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15.xml" ContentType="application/vnd.openxmlformats-officedocument.drawing+xml"/>
  <Override PartName="/xl/drawings/drawing14.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9.xml" ContentType="application/vnd.openxmlformats-officedocument.drawing+xml"/>
  <Override PartName="/xl/drawings/drawing8.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worksheets/sheet38.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6.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9.xml" ContentType="application/vnd.openxmlformats-officedocument.spreadsheetml.worksheet+xml"/>
  <Override PartName="/xl/worksheets/sheet46.xml" ContentType="application/vnd.openxmlformats-officedocument.spreadsheetml.worksheet+xml"/>
  <Override PartName="/xl/worksheets/sheet4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47.xml" ContentType="application/vnd.openxmlformats-officedocument.spreadsheetml.worksheet+xml"/>
  <Override PartName="/xl/worksheets/sheet61.xml" ContentType="application/vnd.openxmlformats-officedocument.spreadsheetml.worksheet+xml"/>
  <Override PartName="/xl/worksheets/sheet59.xml" ContentType="application/vnd.openxmlformats-officedocument.spreadsheetml.worksheet+xml"/>
  <Override PartName="/xl/sharedStrings.xml" ContentType="application/vnd.openxmlformats-officedocument.spreadsheetml.sharedStrings+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60.xml" ContentType="application/vnd.openxmlformats-officedocument.spreadsheetml.worksheet+xml"/>
  <Override PartName="/xl/worksheets/sheet53.xml" ContentType="application/vnd.openxmlformats-officedocument.spreadsheetml.worksheet+xml"/>
  <Override PartName="/xl/worksheets/sheet55.xml" ContentType="application/vnd.openxmlformats-officedocument.spreadsheetml.worksheet+xml"/>
  <Override PartName="/xl/worksheets/sheet58.xml" ContentType="application/vnd.openxmlformats-officedocument.spreadsheetml.worksheet+xml"/>
  <Override PartName="/xl/worksheets/sheet54.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56.xml" ContentType="application/vnd.openxmlformats-officedocument.spreadsheetml.worksheet+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6.xml" ContentType="application/vnd.openxmlformats-officedocument.spreadsheetml.externalLink+xml"/>
  <Override PartName="/xl/externalLinks/externalLink12.xml" ContentType="application/vnd.openxmlformats-officedocument.spreadsheetml.externalLink+xml"/>
  <Override PartName="/xl/comments26.xml" ContentType="application/vnd.openxmlformats-officedocument.spreadsheetml.comments+xml"/>
  <Override PartName="/xl/externalLinks/externalLink11.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comments27.xml" ContentType="application/vnd.openxmlformats-officedocument.spreadsheetml.comments+xml"/>
  <Override PartName="/xl/externalLinks/externalLink10.xml" ContentType="application/vnd.openxmlformats-officedocument.spreadsheetml.externalLink+xml"/>
  <Override PartName="/xl/comments28.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xl/calcChain.xml" ContentType="application/vnd.openxmlformats-officedocument.spreadsheetml.calcChain+xml"/>
  <Override PartName="/customXml/itemProps1.xml" ContentType="application/vnd.openxmlformats-officedocument.customXmlProperties+xml"/>
  <Override PartName="/xl/externalLinks/externalLink5.xml" ContentType="application/vnd.openxmlformats-officedocument.spreadsheetml.externalLink+xml"/>
  <Override PartName="/xl/externalLinks/externalLink1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16.xml" ContentType="application/vnd.openxmlformats-officedocument.spreadsheetml.externalLink+xml"/>
  <Override PartName="/xl/comments1.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xl/comments14.xml" ContentType="application/vnd.openxmlformats-officedocument.spreadsheetml.comments+xml"/>
  <Override PartName="/xl/comments17.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2.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7.xml" ContentType="application/vnd.openxmlformats-officedocument.spreadsheetml.comments+xml"/>
  <Override PartName="/xl/comments3.xml" ContentType="application/vnd.openxmlformats-officedocument.spreadsheetml.comments+xml"/>
  <Override PartName="/xl/comments6.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11.xml" ContentType="application/vnd.openxmlformats-officedocument.spreadsheetml.comments+xml"/>
  <Override PartName="/xl/comments10.xml" ContentType="application/vnd.openxmlformats-officedocument.spreadsheetml.comments+xml"/>
  <Override PartName="/xl/externalLinks/externalLink20.xml" ContentType="application/vnd.openxmlformats-officedocument.spreadsheetml.externalLink+xml"/>
  <Override PartName="/xl/comments24.xml" ContentType="application/vnd.openxmlformats-officedocument.spreadsheetml.comments+xml"/>
  <Override PartName="/xl/externalLinks/externalLink21.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comments23.xml" ContentType="application/vnd.openxmlformats-officedocument.spreadsheetml.comments+xml"/>
  <Override PartName="/xl/externalLinks/externalLink19.xml" ContentType="application/vnd.openxmlformats-officedocument.spreadsheetml.externalLink+xml"/>
  <Override PartName="/xl/comments25.xml" ContentType="application/vnd.openxmlformats-officedocument.spreadsheetml.comments+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24.xml" ContentType="application/vnd.openxmlformats-officedocument.spreadsheetml.externalLink+xml"/>
  <Override PartName="/xl/comments22.xml" ContentType="application/vnd.openxmlformats-officedocument.spreadsheetml.comments+xml"/>
  <Override PartName="/xl/comments20.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xl/pivotCache/pivotCacheDefinition1.xml" ContentType="application/vnd.openxmlformats-officedocument.spreadsheetml.pivotCacheDefinition+xml"/>
  <Override PartName="/xl/externalLinks/externalLink25.xml" ContentType="application/vnd.openxmlformats-officedocument.spreadsheetml.externalLink+xml"/>
  <Override PartName="/xl/comments21.xml" ContentType="application/vnd.openxmlformats-officedocument.spreadsheetml.comments+xml"/>
  <Override PartName="/xl/pivotCache/pivotCacheRecords1.xml" ContentType="application/vnd.openxmlformats-officedocument.spreadsheetml.pivotCacheRecord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H:\11_16\5142\"/>
    </mc:Choice>
  </mc:AlternateContent>
  <bookViews>
    <workbookView xWindow="12375" yWindow="90" windowWidth="16425" windowHeight="12735" tabRatio="826" firstSheet="20" activeTab="20"/>
  </bookViews>
  <sheets>
    <sheet name="Total G-12 Financial" sheetId="29" r:id="rId1"/>
    <sheet name="Cap Struct." sheetId="1" r:id="rId2"/>
    <sheet name="LG Check" sheetId="57" r:id="rId3"/>
    <sheet name="Combined LG" sheetId="2" r:id="rId4"/>
    <sheet name="LG Garbage" sheetId="3" r:id="rId5"/>
    <sheet name=" LG recycle" sheetId="4" r:id="rId6"/>
    <sheet name="LG Yardwaste" sheetId="5" r:id="rId7"/>
    <sheet name="LG MF Recycle" sheetId="6" r:id="rId8"/>
    <sheet name="Summary" sheetId="7" r:id="rId9"/>
    <sheet name="Income Statement" sheetId="30" r:id="rId10"/>
    <sheet name="Proforma" sheetId="8" r:id="rId11"/>
    <sheet name="ReviewAccts" sheetId="48" r:id="rId12"/>
    <sheet name="Lease-Rent Adj" sheetId="71" r:id="rId13"/>
    <sheet name="Legal Exp Adj" sheetId="69" r:id="rId14"/>
    <sheet name="Staff L&amp;I Retro Adjustment" sheetId="65" r:id="rId15"/>
    <sheet name="Staff Depreciation" sheetId="63" r:id="rId16"/>
    <sheet name="Summary (Staff)" sheetId="64" r:id="rId17"/>
    <sheet name="Adj - Restating" sheetId="9" r:id="rId18"/>
    <sheet name="Adj - Proforma" sheetId="10" r:id="rId19"/>
    <sheet name="Matrix" sheetId="11" r:id="rId20"/>
    <sheet name="COS" sheetId="34" r:id="rId21"/>
    <sheet name="Meeks +" sheetId="39" r:id="rId22"/>
    <sheet name="Matrix (Rec)" sheetId="35" r:id="rId23"/>
    <sheet name="COS (Rec)" sheetId="36" r:id="rId24"/>
    <sheet name="Matrix (YW)" sheetId="37" r:id="rId25"/>
    <sheet name="COS (YW)" sheetId="38" r:id="rId26"/>
    <sheet name="Resi Price Out" sheetId="14" r:id="rId27"/>
    <sheet name="Company Price Out Summary" sheetId="70" r:id="rId28"/>
    <sheet name="Price Out Summary" sheetId="13" r:id="rId29"/>
    <sheet name="Resi Price Out Staff" sheetId="61" r:id="rId30"/>
    <sheet name="Comm Price Out" sheetId="15" r:id="rId31"/>
    <sheet name="Comm Price Out Staff" sheetId="66" r:id="rId32"/>
    <sheet name="MF Recy Price Out" sheetId="16" r:id="rId33"/>
    <sheet name=" MF Recy Price Out Staff" sheetId="67" r:id="rId34"/>
    <sheet name="Drop Box Price Out" sheetId="17" r:id="rId35"/>
    <sheet name="Drop Box Price Out Staff" sheetId="68" r:id="rId36"/>
    <sheet name="WUTC Revenue" sheetId="18" r:id="rId37"/>
    <sheet name="Disposal" sheetId="21" r:id="rId38"/>
    <sheet name="Yardwaste Analysis" sheetId="22" r:id="rId39"/>
    <sheet name="Roll Off Average Cost" sheetId="23" r:id="rId40"/>
    <sheet name="Staff Fuel Summary" sheetId="49" r:id="rId41"/>
    <sheet name="Fuel PF Adj" sheetId="24" r:id="rId42"/>
    <sheet name="Staff Fuel Detail" sheetId="50" r:id="rId43"/>
    <sheet name="Fuel Detail" sheetId="25" r:id="rId44"/>
    <sheet name="Staff CNG Detail" sheetId="51" r:id="rId45"/>
    <sheet name="CNG Detail" sheetId="40" r:id="rId46"/>
    <sheet name="Cont Summ" sheetId="26" r:id="rId47"/>
    <sheet name="Cont Regulated Acct (Non-MF)" sheetId="41" r:id="rId48"/>
    <sheet name="Cont Regulated Accounts (MF)." sheetId="42" r:id="rId49"/>
    <sheet name="Cont All Regulated Accounts" sheetId="43" r:id="rId50"/>
    <sheet name="Cont Unregulated Acct (non-MF)." sheetId="44" r:id="rId51"/>
    <sheet name="Cont Unregulated Accounts (MF)." sheetId="45" r:id="rId52"/>
    <sheet name="Cont All Unregulated Accounts" sheetId="46" r:id="rId53"/>
    <sheet name="Cont Detail" sheetId="47" r:id="rId54"/>
    <sheet name="Roll-off Stats" sheetId="31" r:id="rId55"/>
    <sheet name="Comm Stats" sheetId="32" r:id="rId56"/>
    <sheet name="Resi Stats" sheetId="33" r:id="rId57"/>
    <sheet name="Essbase Mgmt Fee" sheetId="52" r:id="rId58"/>
    <sheet name="2014 A53 Division Expense" sheetId="53" r:id="rId59"/>
    <sheet name="2014 BUD CC Pull" sheetId="54" r:id="rId60"/>
    <sheet name="MgtFee" sheetId="55" r:id="rId61"/>
    <sheet name="MgtFee Staff" sheetId="56" r:id="rId62"/>
    <sheet name="Container Maint" sheetId="60" r:id="rId63"/>
  </sheets>
  <externalReferences>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_COS1">#REF!</definedName>
    <definedName name="_COS2">#REF!</definedName>
    <definedName name="_xlnm._FilterDatabase" localSheetId="53" hidden="1">'Cont Detail'!$A$1:$O$2953</definedName>
    <definedName name="CommlStaffPriceOut" localSheetId="28">'[1]Price Out-Reg EASTSIDE-Resi'!#REF!</definedName>
    <definedName name="CommlStaffPriceOut" localSheetId="29">'[1]Price Out-Reg EASTSIDE-Resi'!#REF!</definedName>
    <definedName name="CommlStaffPriceOut" localSheetId="16">'[1]Price Out-Reg EASTSIDE-Resi'!#REF!</definedName>
    <definedName name="CommlStaffPriceOut" localSheetId="0">'[1]Price Out-Reg EASTSIDE-Resi'!#REF!</definedName>
    <definedName name="CommlStaffPriceOut">'[1]Price Out-Reg EASTSIDE-Resi'!#REF!</definedName>
    <definedName name="DBxStaffPriceOut" localSheetId="28">'[1]Price Out-Reg EASTSIDE-Resi'!#REF!</definedName>
    <definedName name="DBxStaffPriceOut" localSheetId="29">'[1]Price Out-Reg EASTSIDE-Resi'!#REF!</definedName>
    <definedName name="DBxStaffPriceOut" localSheetId="16">'[1]Price Out-Reg EASTSIDE-Resi'!#REF!</definedName>
    <definedName name="DBxStaffPriceOut" localSheetId="0">'[1]Price Out-Reg EASTSIDE-Resi'!#REF!</definedName>
    <definedName name="DBxStaffPriceOut">'[1]Price Out-Reg EASTSIDE-Resi'!#REF!</definedName>
    <definedName name="EXT">#REF!</definedName>
    <definedName name="MATRIX" localSheetId="19">Matrix!$A$1:$W$45</definedName>
    <definedName name="MATRIX" localSheetId="22">'Matrix (Rec)'!$A$1:$W$45</definedName>
    <definedName name="MATRIX" localSheetId="24">'Matrix (YW)'!$A$1:$W$45</definedName>
    <definedName name="MATRIX">#REF!</definedName>
    <definedName name="MFStaffPriceOut" localSheetId="28">'[1]Price Out-Reg EASTSIDE-Resi'!#REF!</definedName>
    <definedName name="MFStaffPriceOut" localSheetId="29">'[1]Price Out-Reg EASTSIDE-Resi'!#REF!</definedName>
    <definedName name="MFStaffPriceOut" localSheetId="16">'[1]Price Out-Reg EASTSIDE-Resi'!#REF!</definedName>
    <definedName name="MFStaffPriceOut" localSheetId="0">'[1]Price Out-Reg EASTSIDE-Resi'!#REF!</definedName>
    <definedName name="MFStaffPriceOut">'[1]Price Out-Reg EASTSIDE-Resi'!#REF!</definedName>
    <definedName name="_xlnm.Print_Area" localSheetId="5">' LG recycle'!$A$1:$I$35</definedName>
    <definedName name="_xlnm.Print_Area" localSheetId="3">'Combined LG'!$A$1:$I$32</definedName>
    <definedName name="_xlnm.Print_Area" localSheetId="37">Disposal!$A$1:$S$168</definedName>
    <definedName name="_xlnm.Print_Area" localSheetId="4">'LG Garbage'!$A$1:$I$34</definedName>
    <definedName name="_xlnm.Print_Area" localSheetId="7">'LG MF Recycle'!$A$1:$I$36</definedName>
    <definedName name="_xlnm.Print_Area" localSheetId="6">'LG Yardwaste'!$A$1:$I$35</definedName>
    <definedName name="_xlnm.Print_Area" localSheetId="19">Matrix!$A$1:$V$46</definedName>
    <definedName name="_xlnm.Print_Area" localSheetId="22">'Matrix (Rec)'!$A$1:$V$46</definedName>
    <definedName name="_xlnm.Print_Area" localSheetId="24">'Matrix (YW)'!$A$1:$V$46</definedName>
    <definedName name="_xlnm.Print_Area" localSheetId="10">Proforma!$A$1:$Y$299</definedName>
    <definedName name="_xlnm.Print_Area" localSheetId="11">ReviewAccts!$A$1:$E$95</definedName>
    <definedName name="_xlnm.Print_Area" localSheetId="0">'Total G-12 Financial'!$A$1:$AF$71</definedName>
    <definedName name="_xlnm.Print_Area" localSheetId="38">'Yardwaste Analysis'!$A$1:$P$25</definedName>
    <definedName name="_xlnm.Print_Titles" localSheetId="18">'Adj - Proforma'!$3:$9</definedName>
    <definedName name="_xlnm.Print_Titles" localSheetId="17">'Adj - Restating'!$3:$9</definedName>
    <definedName name="_xlnm.Print_Titles" localSheetId="53">'Cont Detail'!$A:$A,'Cont Detail'!$1:$1</definedName>
    <definedName name="_xlnm.Print_Titles" localSheetId="43">'Fuel Detail'!$1:$5</definedName>
    <definedName name="_xlnm.Print_Titles" localSheetId="0">'Total G-12 Financial'!$W:$X</definedName>
    <definedName name="ReslStaffPriceOut" localSheetId="28">'[1]Price Out-Reg EASTSIDE-Resi'!#REF!</definedName>
    <definedName name="ReslStaffPriceOut" localSheetId="29">'[1]Price Out-Reg EASTSIDE-Resi'!#REF!</definedName>
    <definedName name="ReslStaffPriceOut" localSheetId="16">'[1]Price Out-Reg EASTSIDE-Resi'!#REF!</definedName>
    <definedName name="ReslStaffPriceOut" localSheetId="0">'[1]Price Out-Reg EASTSIDE-Resi'!#REF!</definedName>
    <definedName name="ReslStaffPriceOut">'[1]Price Out-Reg EASTSIDE-Resi'!#REF!</definedName>
    <definedName name="Z_3B54C4DD_9207_4EC3_9D58_6DDE29113D77_.wvu.Cols" localSheetId="8" hidden="1">Summary!$J:$J</definedName>
    <definedName name="Z_3B54C4DD_9207_4EC3_9D58_6DDE29113D77_.wvu.PrintArea" localSheetId="5" hidden="1">' LG recycle'!$A$1:$I$35</definedName>
    <definedName name="Z_3B54C4DD_9207_4EC3_9D58_6DDE29113D77_.wvu.PrintArea" localSheetId="3" hidden="1">'Combined LG'!$A$1:$I$32</definedName>
    <definedName name="Z_3B54C4DD_9207_4EC3_9D58_6DDE29113D77_.wvu.PrintArea" localSheetId="37" hidden="1">Disposal!$A$1:$S$168</definedName>
    <definedName name="Z_3B54C4DD_9207_4EC3_9D58_6DDE29113D77_.wvu.PrintArea" localSheetId="4" hidden="1">'LG Garbage'!$A$1:$I$34</definedName>
    <definedName name="Z_3B54C4DD_9207_4EC3_9D58_6DDE29113D77_.wvu.PrintArea" localSheetId="7" hidden="1">'LG MF Recycle'!$A$1:$I$36</definedName>
    <definedName name="Z_3B54C4DD_9207_4EC3_9D58_6DDE29113D77_.wvu.PrintArea" localSheetId="6" hidden="1">'LG Yardwaste'!$A$1:$I$35</definedName>
    <definedName name="Z_3B54C4DD_9207_4EC3_9D58_6DDE29113D77_.wvu.PrintArea" localSheetId="19" hidden="1">Matrix!$A$1:$V$46</definedName>
    <definedName name="Z_3B54C4DD_9207_4EC3_9D58_6DDE29113D77_.wvu.PrintArea" localSheetId="22" hidden="1">'Matrix (Rec)'!$A$1:$V$46</definedName>
    <definedName name="Z_3B54C4DD_9207_4EC3_9D58_6DDE29113D77_.wvu.PrintArea" localSheetId="24" hidden="1">'Matrix (YW)'!$A$1:$V$46</definedName>
    <definedName name="Z_3B54C4DD_9207_4EC3_9D58_6DDE29113D77_.wvu.PrintArea" localSheetId="10" hidden="1">Proforma!$A$1:$Y$299</definedName>
    <definedName name="Z_3B54C4DD_9207_4EC3_9D58_6DDE29113D77_.wvu.PrintTitles" localSheetId="18" hidden="1">'Adj - Proforma'!$3:$9</definedName>
    <definedName name="Z_3B54C4DD_9207_4EC3_9D58_6DDE29113D77_.wvu.PrintTitles" localSheetId="17" hidden="1">'Adj - Restating'!$3:$9</definedName>
    <definedName name="Z_3B54C4DD_9207_4EC3_9D58_6DDE29113D77_.wvu.PrintTitles" localSheetId="43" hidden="1">'Fuel Detail'!$1:$5</definedName>
    <definedName name="Z_F0EBA2C1_0135_4E69_9CEC_6D98B07219C0_.wvu.Cols" localSheetId="0" hidden="1">'Total G-12 Financial'!$A:$A</definedName>
    <definedName name="Z_F0EBA2C1_0135_4E69_9CEC_6D98B07219C0_.wvu.PrintArea" localSheetId="0" hidden="1">'Total G-12 Financial'!$A$1:$AF$71</definedName>
    <definedName name="Z_F0EBA2C1_0135_4E69_9CEC_6D98B07219C0_.wvu.PrintTitles" localSheetId="0" hidden="1">'Total G-12 Financial'!$W:$X</definedName>
    <definedName name="Z_F69ABAD1_EF76_489D_B027_1BD1F4CFE8A6_.wvu.Cols" localSheetId="8" hidden="1">Summary!$J:$J</definedName>
    <definedName name="Z_F69ABAD1_EF76_489D_B027_1BD1F4CFE8A6_.wvu.PrintArea" localSheetId="5" hidden="1">' LG recycle'!$A$1:$I$35</definedName>
    <definedName name="Z_F69ABAD1_EF76_489D_B027_1BD1F4CFE8A6_.wvu.PrintArea" localSheetId="3" hidden="1">'Combined LG'!$A$1:$I$32</definedName>
    <definedName name="Z_F69ABAD1_EF76_489D_B027_1BD1F4CFE8A6_.wvu.PrintArea" localSheetId="37" hidden="1">Disposal!$A$1:$S$168</definedName>
    <definedName name="Z_F69ABAD1_EF76_489D_B027_1BD1F4CFE8A6_.wvu.PrintArea" localSheetId="4" hidden="1">'LG Garbage'!$A$1:$I$34</definedName>
    <definedName name="Z_F69ABAD1_EF76_489D_B027_1BD1F4CFE8A6_.wvu.PrintArea" localSheetId="7" hidden="1">'LG MF Recycle'!$A$1:$I$36</definedName>
    <definedName name="Z_F69ABAD1_EF76_489D_B027_1BD1F4CFE8A6_.wvu.PrintArea" localSheetId="6" hidden="1">'LG Yardwaste'!$A$1:$I$35</definedName>
    <definedName name="Z_F69ABAD1_EF76_489D_B027_1BD1F4CFE8A6_.wvu.PrintArea" localSheetId="19" hidden="1">Matrix!$A$1:$V$46</definedName>
    <definedName name="Z_F69ABAD1_EF76_489D_B027_1BD1F4CFE8A6_.wvu.PrintArea" localSheetId="22" hidden="1">'Matrix (Rec)'!$A$1:$V$46</definedName>
    <definedName name="Z_F69ABAD1_EF76_489D_B027_1BD1F4CFE8A6_.wvu.PrintArea" localSheetId="24" hidden="1">'Matrix (YW)'!$A$1:$V$46</definedName>
    <definedName name="Z_F69ABAD1_EF76_489D_B027_1BD1F4CFE8A6_.wvu.PrintArea" localSheetId="10" hidden="1">Proforma!$A$1:$Y$299</definedName>
    <definedName name="Z_F69ABAD1_EF76_489D_B027_1BD1F4CFE8A6_.wvu.PrintTitles" localSheetId="18" hidden="1">'Adj - Proforma'!$3:$9</definedName>
    <definedName name="Z_F69ABAD1_EF76_489D_B027_1BD1F4CFE8A6_.wvu.PrintTitles" localSheetId="17" hidden="1">'Adj - Restating'!$3:$9</definedName>
    <definedName name="Z_F69ABAD1_EF76_489D_B027_1BD1F4CFE8A6_.wvu.PrintTitles" localSheetId="43" hidden="1">'Fuel Detail'!$1:$5</definedName>
  </definedNames>
  <calcPr calcId="152511"/>
  <customWorkbookViews>
    <customWorkbookView name="AB - Personal View" guid="{3B54C4DD-9207-4EC3-9D58-6DDE29113D77}" mergeInterval="0" personalView="1" maximized="1" windowWidth="1436" windowHeight="623" tabRatio="851" activeSheetId="8"/>
    <customWorkbookView name="Sjolseth, Cheryl - Personal View" guid="{F69ABAD1-EF76-489D-B027-1BD1F4CFE8A6}" mergeInterval="0" personalView="1" maximized="1" windowWidth="1362" windowHeight="509" tabRatio="851" activeSheetId="24"/>
  </customWorkbookViews>
  <pivotCaches>
    <pivotCache cacheId="0" r:id="rId89"/>
  </pivotCaches>
</workbook>
</file>

<file path=xl/calcChain.xml><?xml version="1.0" encoding="utf-8"?>
<calcChain xmlns="http://schemas.openxmlformats.org/spreadsheetml/2006/main">
  <c r="J37" i="48" l="1"/>
  <c r="H163" i="8" s="1"/>
  <c r="O60" i="71"/>
  <c r="N60" i="71"/>
  <c r="N9" i="66"/>
  <c r="C13" i="70"/>
  <c r="C11" i="70"/>
  <c r="C8" i="70"/>
  <c r="G8" i="70"/>
  <c r="C7" i="70"/>
  <c r="C5" i="70"/>
  <c r="K57" i="14"/>
  <c r="K58" i="14"/>
  <c r="K56" i="14"/>
  <c r="C6" i="69"/>
  <c r="I93" i="68"/>
  <c r="H93" i="68"/>
  <c r="B93" i="68"/>
  <c r="E93" i="68" s="1"/>
  <c r="I92" i="68"/>
  <c r="H92" i="68"/>
  <c r="E92" i="68"/>
  <c r="I91" i="68"/>
  <c r="H91" i="68"/>
  <c r="E91" i="68"/>
  <c r="I90" i="68"/>
  <c r="H90" i="68"/>
  <c r="E90" i="68"/>
  <c r="I89" i="68"/>
  <c r="H89" i="68"/>
  <c r="E89" i="68"/>
  <c r="I88" i="68"/>
  <c r="H88" i="68"/>
  <c r="E88" i="68"/>
  <c r="I87" i="68"/>
  <c r="H87" i="68"/>
  <c r="B87" i="68"/>
  <c r="E87" i="68"/>
  <c r="I86" i="68"/>
  <c r="H86" i="68"/>
  <c r="E86" i="68"/>
  <c r="I85" i="68"/>
  <c r="H85" i="68"/>
  <c r="B85" i="68"/>
  <c r="I84" i="68"/>
  <c r="H84" i="68"/>
  <c r="B84" i="68"/>
  <c r="E84" i="68" s="1"/>
  <c r="I83" i="68"/>
  <c r="H83" i="68"/>
  <c r="B83" i="68"/>
  <c r="E83" i="68" s="1"/>
  <c r="I82" i="68"/>
  <c r="H82" i="68"/>
  <c r="E82" i="68"/>
  <c r="I81" i="68"/>
  <c r="H81" i="68"/>
  <c r="B81" i="68"/>
  <c r="E81" i="68" s="1"/>
  <c r="I80" i="68"/>
  <c r="H80" i="68"/>
  <c r="E80" i="68"/>
  <c r="I79" i="68"/>
  <c r="H79" i="68"/>
  <c r="B79" i="68"/>
  <c r="E79" i="68"/>
  <c r="H78" i="68"/>
  <c r="E78" i="68"/>
  <c r="C78" i="68"/>
  <c r="I78" i="68"/>
  <c r="H77" i="68"/>
  <c r="E77" i="68"/>
  <c r="C77" i="68"/>
  <c r="I77" i="68"/>
  <c r="I76" i="68"/>
  <c r="H76" i="68"/>
  <c r="E76" i="68"/>
  <c r="C76" i="68"/>
  <c r="I75" i="68"/>
  <c r="H75" i="68"/>
  <c r="E75" i="68"/>
  <c r="C75" i="68"/>
  <c r="H74" i="68"/>
  <c r="E74" i="68"/>
  <c r="C74" i="68"/>
  <c r="I74" i="68"/>
  <c r="M74" i="68" s="1"/>
  <c r="I73" i="68"/>
  <c r="H73" i="68"/>
  <c r="E73" i="68"/>
  <c r="C73" i="68"/>
  <c r="H72" i="68"/>
  <c r="E72" i="68"/>
  <c r="C72" i="68"/>
  <c r="I72" i="68" s="1"/>
  <c r="H71" i="68"/>
  <c r="E71" i="68"/>
  <c r="C71" i="68"/>
  <c r="I71" i="68" s="1"/>
  <c r="I70" i="68"/>
  <c r="H70" i="68"/>
  <c r="E70" i="68"/>
  <c r="C70" i="68"/>
  <c r="I69" i="68"/>
  <c r="H69" i="68"/>
  <c r="E69" i="68"/>
  <c r="C69" i="68"/>
  <c r="H68" i="68"/>
  <c r="E68" i="68"/>
  <c r="C68" i="68"/>
  <c r="I68" i="68" s="1"/>
  <c r="M68" i="68" s="1"/>
  <c r="I67" i="68"/>
  <c r="H67" i="68"/>
  <c r="E67" i="68"/>
  <c r="C67" i="68"/>
  <c r="H66" i="68"/>
  <c r="E66" i="68"/>
  <c r="C66" i="68"/>
  <c r="I66" i="68" s="1"/>
  <c r="H65" i="68"/>
  <c r="E65" i="68"/>
  <c r="C65" i="68"/>
  <c r="I65" i="68" s="1"/>
  <c r="I64" i="68"/>
  <c r="H64" i="68"/>
  <c r="B64" i="68"/>
  <c r="I63" i="68"/>
  <c r="H63" i="68"/>
  <c r="B63" i="68"/>
  <c r="H62" i="68"/>
  <c r="E62" i="68"/>
  <c r="C62" i="68"/>
  <c r="I62" i="68" s="1"/>
  <c r="M62" i="68" s="1"/>
  <c r="I61" i="68"/>
  <c r="H61" i="68"/>
  <c r="E61" i="68"/>
  <c r="C61" i="68"/>
  <c r="H60" i="68"/>
  <c r="E60" i="68"/>
  <c r="C60" i="68"/>
  <c r="I60" i="68" s="1"/>
  <c r="H59" i="68"/>
  <c r="E59" i="68"/>
  <c r="C59" i="68"/>
  <c r="I58" i="68"/>
  <c r="H58" i="68"/>
  <c r="E58" i="68"/>
  <c r="C58" i="68"/>
  <c r="I57" i="68"/>
  <c r="H57" i="68"/>
  <c r="E57" i="68"/>
  <c r="C57" i="68"/>
  <c r="H56" i="68"/>
  <c r="E56" i="68"/>
  <c r="C56" i="68"/>
  <c r="I56" i="68"/>
  <c r="M56" i="68" s="1"/>
  <c r="I55" i="68"/>
  <c r="H55" i="68"/>
  <c r="E55" i="68"/>
  <c r="C55" i="68"/>
  <c r="H54" i="68"/>
  <c r="E54" i="68"/>
  <c r="C54" i="68"/>
  <c r="I54" i="68" s="1"/>
  <c r="H53" i="68"/>
  <c r="E53" i="68"/>
  <c r="C53" i="68"/>
  <c r="I53" i="68" s="1"/>
  <c r="I52" i="68"/>
  <c r="H52" i="68"/>
  <c r="B52" i="68"/>
  <c r="C52" i="68" s="1"/>
  <c r="I51" i="68"/>
  <c r="H51" i="68"/>
  <c r="B51" i="68"/>
  <c r="B50" i="68"/>
  <c r="H50" i="68" s="1"/>
  <c r="I49" i="68"/>
  <c r="H49" i="68"/>
  <c r="B49" i="68"/>
  <c r="H48" i="68"/>
  <c r="E48" i="68"/>
  <c r="C48" i="68"/>
  <c r="I48" i="68" s="1"/>
  <c r="H47" i="68"/>
  <c r="E47" i="68"/>
  <c r="C47" i="68"/>
  <c r="I47" i="68" s="1"/>
  <c r="I46" i="68"/>
  <c r="H46" i="68"/>
  <c r="B46" i="68"/>
  <c r="E46" i="68" s="1"/>
  <c r="I45" i="68"/>
  <c r="H45" i="68"/>
  <c r="B45" i="68"/>
  <c r="E45" i="68" s="1"/>
  <c r="H44" i="68"/>
  <c r="E44" i="68"/>
  <c r="C44" i="68"/>
  <c r="I44" i="68" s="1"/>
  <c r="M44" i="68" s="1"/>
  <c r="I43" i="68"/>
  <c r="H43" i="68"/>
  <c r="B43" i="68"/>
  <c r="H42" i="68"/>
  <c r="E42" i="68"/>
  <c r="C42" i="68"/>
  <c r="I42" i="68" s="1"/>
  <c r="H41" i="68"/>
  <c r="E41" i="68"/>
  <c r="C41" i="68"/>
  <c r="I41" i="68" s="1"/>
  <c r="I40" i="68"/>
  <c r="H40" i="68"/>
  <c r="B40" i="68"/>
  <c r="I39" i="68"/>
  <c r="H39" i="68"/>
  <c r="E39" i="68"/>
  <c r="C39" i="68"/>
  <c r="B38" i="68"/>
  <c r="H38" i="68" s="1"/>
  <c r="I37" i="68"/>
  <c r="H37" i="68"/>
  <c r="B37" i="68"/>
  <c r="H36" i="68"/>
  <c r="E36" i="68"/>
  <c r="C36" i="68"/>
  <c r="I36" i="68" s="1"/>
  <c r="H35" i="68"/>
  <c r="E35" i="68"/>
  <c r="C35" i="68"/>
  <c r="I35" i="68" s="1"/>
  <c r="I34" i="68"/>
  <c r="H34" i="68"/>
  <c r="E34" i="68"/>
  <c r="C34" i="68"/>
  <c r="I33" i="68"/>
  <c r="H33" i="68"/>
  <c r="E33" i="68"/>
  <c r="C33" i="68"/>
  <c r="H32" i="68"/>
  <c r="E32" i="68"/>
  <c r="C32" i="68"/>
  <c r="I32" i="68" s="1"/>
  <c r="M32" i="68" s="1"/>
  <c r="I31" i="68"/>
  <c r="H31" i="68"/>
  <c r="E31" i="68"/>
  <c r="C31" i="68"/>
  <c r="H30" i="68"/>
  <c r="E30" i="68"/>
  <c r="C30" i="68"/>
  <c r="I30" i="68" s="1"/>
  <c r="H29" i="68"/>
  <c r="E29" i="68"/>
  <c r="C29" i="68"/>
  <c r="I29" i="68" s="1"/>
  <c r="I28" i="68"/>
  <c r="H28" i="68"/>
  <c r="B28" i="68"/>
  <c r="I27" i="68"/>
  <c r="H27" i="68"/>
  <c r="E27" i="68"/>
  <c r="C27" i="68"/>
  <c r="H26" i="68"/>
  <c r="E26" i="68"/>
  <c r="C26" i="68"/>
  <c r="I26" i="68" s="1"/>
  <c r="M26" i="68" s="1"/>
  <c r="I25" i="68"/>
  <c r="H25" i="68"/>
  <c r="E25" i="68"/>
  <c r="C25" i="68"/>
  <c r="H24" i="68"/>
  <c r="E24" i="68"/>
  <c r="C24" i="68"/>
  <c r="I24" i="68" s="1"/>
  <c r="H23" i="68"/>
  <c r="E23" i="68"/>
  <c r="C23" i="68"/>
  <c r="I23" i="68" s="1"/>
  <c r="I22" i="68"/>
  <c r="H22" i="68"/>
  <c r="E22" i="68"/>
  <c r="C22" i="68"/>
  <c r="I21" i="68"/>
  <c r="H21" i="68"/>
  <c r="E21" i="68"/>
  <c r="C21" i="68"/>
  <c r="H20" i="68"/>
  <c r="E20" i="68"/>
  <c r="C20" i="68"/>
  <c r="I20" i="68" s="1"/>
  <c r="M20" i="68" s="1"/>
  <c r="I19" i="68"/>
  <c r="H19" i="68"/>
  <c r="E19" i="68"/>
  <c r="C19" i="68"/>
  <c r="H18" i="68"/>
  <c r="E18" i="68"/>
  <c r="C18" i="68"/>
  <c r="I18" i="68"/>
  <c r="H17" i="68"/>
  <c r="E17" i="68"/>
  <c r="C17" i="68"/>
  <c r="I17" i="68"/>
  <c r="I16" i="68"/>
  <c r="H16" i="68"/>
  <c r="E16" i="68"/>
  <c r="C16" i="68"/>
  <c r="I15" i="68"/>
  <c r="H15" i="68"/>
  <c r="E15" i="68"/>
  <c r="C15" i="68"/>
  <c r="H14" i="68"/>
  <c r="E14" i="68"/>
  <c r="C14" i="68"/>
  <c r="I14" i="68"/>
  <c r="M14" i="68" s="1"/>
  <c r="E13" i="68"/>
  <c r="C13" i="68"/>
  <c r="I5" i="68"/>
  <c r="H5" i="68"/>
  <c r="I4" i="68"/>
  <c r="H4" i="68"/>
  <c r="B64" i="67"/>
  <c r="G64" i="67" s="1"/>
  <c r="B63" i="67"/>
  <c r="G63" i="67" s="1"/>
  <c r="B62" i="67"/>
  <c r="F62" i="67" s="1"/>
  <c r="B61" i="67"/>
  <c r="G61" i="67" s="1"/>
  <c r="B60" i="67"/>
  <c r="G60" i="67"/>
  <c r="B59" i="67"/>
  <c r="B58" i="67"/>
  <c r="G58" i="67"/>
  <c r="B57" i="67"/>
  <c r="B56" i="67"/>
  <c r="B55" i="67"/>
  <c r="G55" i="67"/>
  <c r="B54" i="67"/>
  <c r="F54" i="67" s="1"/>
  <c r="B53" i="67"/>
  <c r="B52" i="67"/>
  <c r="B51" i="67"/>
  <c r="B50" i="67"/>
  <c r="B49" i="67"/>
  <c r="G49" i="67" s="1"/>
  <c r="B48" i="67"/>
  <c r="G48" i="67" s="1"/>
  <c r="B47" i="67"/>
  <c r="G47" i="67"/>
  <c r="B46" i="67"/>
  <c r="F46" i="67" s="1"/>
  <c r="B45" i="67"/>
  <c r="B44" i="67"/>
  <c r="C44" i="67" s="1"/>
  <c r="D44" i="67" s="1"/>
  <c r="E44" i="67"/>
  <c r="B43" i="67"/>
  <c r="G43" i="67" s="1"/>
  <c r="B42" i="67"/>
  <c r="G42" i="67"/>
  <c r="B41" i="67"/>
  <c r="G41" i="67" s="1"/>
  <c r="B40" i="67"/>
  <c r="G40" i="67"/>
  <c r="B39" i="67"/>
  <c r="B38" i="67"/>
  <c r="B37" i="67"/>
  <c r="C37" i="67"/>
  <c r="D37" i="67" s="1"/>
  <c r="E37" i="67" s="1"/>
  <c r="G37" i="67"/>
  <c r="B36" i="67"/>
  <c r="B35" i="67"/>
  <c r="G35" i="67" s="1"/>
  <c r="B34" i="67"/>
  <c r="B33" i="67"/>
  <c r="C33" i="67" s="1"/>
  <c r="D33" i="67" s="1"/>
  <c r="E33" i="67" s="1"/>
  <c r="B32" i="67"/>
  <c r="F32" i="67" s="1"/>
  <c r="B31" i="67"/>
  <c r="G31" i="67" s="1"/>
  <c r="B30" i="67"/>
  <c r="G30" i="67" s="1"/>
  <c r="B29" i="67"/>
  <c r="B28" i="67"/>
  <c r="B27" i="67"/>
  <c r="B26" i="67"/>
  <c r="B25" i="67"/>
  <c r="B24" i="67"/>
  <c r="F24" i="67" s="1"/>
  <c r="B23" i="67"/>
  <c r="C23" i="67" s="1"/>
  <c r="D23" i="67" s="1"/>
  <c r="E23" i="67" s="1"/>
  <c r="B22" i="67"/>
  <c r="B21" i="67"/>
  <c r="G21" i="67"/>
  <c r="B20" i="67"/>
  <c r="B19" i="67"/>
  <c r="B18" i="67"/>
  <c r="B17" i="67"/>
  <c r="F17" i="67"/>
  <c r="B16" i="67"/>
  <c r="F16" i="67" s="1"/>
  <c r="B15" i="67"/>
  <c r="F15" i="67" s="1"/>
  <c r="H146" i="66"/>
  <c r="H147" i="66" s="1"/>
  <c r="E144" i="66"/>
  <c r="H144" i="66" s="1"/>
  <c r="E143" i="66"/>
  <c r="H143" i="66" s="1"/>
  <c r="B142" i="66"/>
  <c r="E142" i="66" s="1"/>
  <c r="H142" i="66" s="1"/>
  <c r="B141" i="66"/>
  <c r="E141" i="66"/>
  <c r="H141" i="66"/>
  <c r="B140" i="66"/>
  <c r="B139" i="66"/>
  <c r="E139" i="66"/>
  <c r="H139" i="66"/>
  <c r="B138" i="66"/>
  <c r="E137" i="66"/>
  <c r="H137" i="66"/>
  <c r="B136" i="66"/>
  <c r="E136" i="66" s="1"/>
  <c r="H136" i="66" s="1"/>
  <c r="B135" i="66"/>
  <c r="B134" i="66"/>
  <c r="E134" i="66" s="1"/>
  <c r="H134" i="66" s="1"/>
  <c r="E133" i="66"/>
  <c r="H133" i="66"/>
  <c r="B132" i="66"/>
  <c r="C131" i="66"/>
  <c r="E131" i="66"/>
  <c r="H131" i="66"/>
  <c r="C130" i="66"/>
  <c r="E130" i="66" s="1"/>
  <c r="H130" i="66" s="1"/>
  <c r="B129" i="66"/>
  <c r="C129" i="66" s="1"/>
  <c r="E129" i="66" s="1"/>
  <c r="H129" i="66"/>
  <c r="B128" i="66"/>
  <c r="C128" i="66" s="1"/>
  <c r="K128" i="66" s="1"/>
  <c r="B127" i="66"/>
  <c r="C127" i="66" s="1"/>
  <c r="C126" i="66"/>
  <c r="B125" i="66"/>
  <c r="B124" i="66"/>
  <c r="C124" i="66" s="1"/>
  <c r="C123" i="66"/>
  <c r="K123" i="66"/>
  <c r="C122" i="66"/>
  <c r="E122" i="66" s="1"/>
  <c r="H122" i="66" s="1"/>
  <c r="C121" i="66"/>
  <c r="E121" i="66" s="1"/>
  <c r="H121" i="66" s="1"/>
  <c r="C120" i="66"/>
  <c r="C119" i="66"/>
  <c r="K119" i="66" s="1"/>
  <c r="C118" i="66"/>
  <c r="K118" i="66"/>
  <c r="C117" i="66"/>
  <c r="C116" i="66"/>
  <c r="K116" i="66"/>
  <c r="B115" i="66"/>
  <c r="C115" i="66" s="1"/>
  <c r="B114" i="66"/>
  <c r="C114" i="66"/>
  <c r="B113" i="66"/>
  <c r="C113" i="66" s="1"/>
  <c r="C112" i="66"/>
  <c r="E112" i="66"/>
  <c r="H112" i="66" s="1"/>
  <c r="C111" i="66"/>
  <c r="E111" i="66" s="1"/>
  <c r="H111" i="66"/>
  <c r="C110" i="66"/>
  <c r="E110" i="66" s="1"/>
  <c r="H110" i="66" s="1"/>
  <c r="C109" i="66"/>
  <c r="B108" i="66"/>
  <c r="C108" i="66" s="1"/>
  <c r="B107" i="66"/>
  <c r="C107" i="66"/>
  <c r="K107" i="66" s="1"/>
  <c r="C106" i="66"/>
  <c r="C105" i="66"/>
  <c r="K105" i="66"/>
  <c r="C104" i="66"/>
  <c r="C103" i="66"/>
  <c r="E103" i="66" s="1"/>
  <c r="H103" i="66"/>
  <c r="C102" i="66"/>
  <c r="C101" i="66"/>
  <c r="K101" i="66" s="1"/>
  <c r="C100" i="66"/>
  <c r="K100" i="66"/>
  <c r="B99" i="66"/>
  <c r="C99" i="66" s="1"/>
  <c r="B98" i="66"/>
  <c r="C98" i="66" s="1"/>
  <c r="K98" i="66" s="1"/>
  <c r="C97" i="66"/>
  <c r="C96" i="66"/>
  <c r="E96" i="66" s="1"/>
  <c r="H96" i="66" s="1"/>
  <c r="C95" i="66"/>
  <c r="K95" i="66"/>
  <c r="C94" i="66"/>
  <c r="E94" i="66" s="1"/>
  <c r="H94" i="66" s="1"/>
  <c r="C93" i="66"/>
  <c r="K93" i="66" s="1"/>
  <c r="K92" i="66"/>
  <c r="C92" i="66"/>
  <c r="E92" i="66"/>
  <c r="H92" i="66" s="1"/>
  <c r="C91" i="66"/>
  <c r="E91" i="66" s="1"/>
  <c r="H91" i="66" s="1"/>
  <c r="C90" i="66"/>
  <c r="E90" i="66" s="1"/>
  <c r="H90" i="66" s="1"/>
  <c r="B89" i="66"/>
  <c r="C89" i="66"/>
  <c r="B88" i="66"/>
  <c r="C88" i="66" s="1"/>
  <c r="C87" i="66"/>
  <c r="B86" i="66"/>
  <c r="C86" i="66" s="1"/>
  <c r="C85" i="66"/>
  <c r="E85" i="66"/>
  <c r="H85" i="66" s="1"/>
  <c r="J84" i="66"/>
  <c r="B84" i="66"/>
  <c r="C84" i="66"/>
  <c r="E84" i="66" s="1"/>
  <c r="H84" i="66" s="1"/>
  <c r="J83" i="66"/>
  <c r="C83" i="66"/>
  <c r="B82" i="66"/>
  <c r="C82" i="66" s="1"/>
  <c r="E76" i="66"/>
  <c r="H76" i="66"/>
  <c r="B75" i="66"/>
  <c r="E75" i="66" s="1"/>
  <c r="H75" i="66" s="1"/>
  <c r="B74" i="66"/>
  <c r="E74" i="66" s="1"/>
  <c r="H74" i="66" s="1"/>
  <c r="B73" i="66"/>
  <c r="E73" i="66"/>
  <c r="H73" i="66" s="1"/>
  <c r="B72" i="66"/>
  <c r="E72" i="66" s="1"/>
  <c r="H72" i="66" s="1"/>
  <c r="B71" i="66"/>
  <c r="E71" i="66" s="1"/>
  <c r="H71" i="66" s="1"/>
  <c r="E70" i="66"/>
  <c r="H70" i="66" s="1"/>
  <c r="B69" i="66"/>
  <c r="E69" i="66" s="1"/>
  <c r="H69" i="66"/>
  <c r="B68" i="66"/>
  <c r="B67" i="66"/>
  <c r="E67" i="66" s="1"/>
  <c r="H67" i="66" s="1"/>
  <c r="B66" i="66"/>
  <c r="E66" i="66" s="1"/>
  <c r="H66" i="66" s="1"/>
  <c r="B65" i="66"/>
  <c r="E65" i="66" s="1"/>
  <c r="H65" i="66" s="1"/>
  <c r="C64" i="66"/>
  <c r="C63" i="66"/>
  <c r="E63" i="66" s="1"/>
  <c r="H63" i="66" s="1"/>
  <c r="C62" i="66"/>
  <c r="B61" i="66"/>
  <c r="C61" i="66"/>
  <c r="B60" i="66"/>
  <c r="C60" i="66" s="1"/>
  <c r="B59" i="66"/>
  <c r="C59" i="66" s="1"/>
  <c r="K59" i="66" s="1"/>
  <c r="C58" i="66"/>
  <c r="C57" i="66"/>
  <c r="B56" i="66"/>
  <c r="C56" i="66" s="1"/>
  <c r="K56" i="66" s="1"/>
  <c r="B55" i="66"/>
  <c r="C55" i="66"/>
  <c r="B54" i="66"/>
  <c r="C54" i="66" s="1"/>
  <c r="C53" i="66"/>
  <c r="E53" i="66" s="1"/>
  <c r="H53" i="66" s="1"/>
  <c r="C52" i="66"/>
  <c r="E52" i="66"/>
  <c r="H52" i="66" s="1"/>
  <c r="C51" i="66"/>
  <c r="C50" i="66"/>
  <c r="E50" i="66"/>
  <c r="H50" i="66" s="1"/>
  <c r="C49" i="66"/>
  <c r="E49" i="66" s="1"/>
  <c r="H49" i="66" s="1"/>
  <c r="C48" i="66"/>
  <c r="K48" i="66" s="1"/>
  <c r="C47" i="66"/>
  <c r="K47" i="66" s="1"/>
  <c r="B46" i="66"/>
  <c r="C46" i="66"/>
  <c r="B45" i="66"/>
  <c r="B44" i="66"/>
  <c r="C44" i="66" s="1"/>
  <c r="B43" i="66"/>
  <c r="C43" i="66" s="1"/>
  <c r="E43" i="66" s="1"/>
  <c r="H43" i="66" s="1"/>
  <c r="C42" i="66"/>
  <c r="E42" i="66" s="1"/>
  <c r="H42" i="66" s="1"/>
  <c r="C41" i="66"/>
  <c r="B40" i="66"/>
  <c r="C40" i="66"/>
  <c r="E40" i="66" s="1"/>
  <c r="H40" i="66" s="1"/>
  <c r="B39" i="66"/>
  <c r="C39" i="66" s="1"/>
  <c r="B38" i="66"/>
  <c r="C38" i="66" s="1"/>
  <c r="K38" i="66"/>
  <c r="B37" i="66"/>
  <c r="C37" i="66" s="1"/>
  <c r="C36" i="66"/>
  <c r="E36" i="66"/>
  <c r="H36" i="66"/>
  <c r="C35" i="66"/>
  <c r="E35" i="66" s="1"/>
  <c r="H35" i="66" s="1"/>
  <c r="C34" i="66"/>
  <c r="C33" i="66"/>
  <c r="E33" i="66" s="1"/>
  <c r="H33" i="66" s="1"/>
  <c r="C32" i="66"/>
  <c r="E32" i="66" s="1"/>
  <c r="H32" i="66" s="1"/>
  <c r="C31" i="66"/>
  <c r="B30" i="66"/>
  <c r="C30" i="66" s="1"/>
  <c r="B29" i="66"/>
  <c r="C29" i="66"/>
  <c r="B28" i="66"/>
  <c r="C28" i="66" s="1"/>
  <c r="C27" i="66"/>
  <c r="E27" i="66"/>
  <c r="H27" i="66" s="1"/>
  <c r="C26" i="66"/>
  <c r="C25" i="66"/>
  <c r="E25" i="66"/>
  <c r="H25" i="66" s="1"/>
  <c r="C24" i="66"/>
  <c r="E24" i="66" s="1"/>
  <c r="H24" i="66"/>
  <c r="C23" i="66"/>
  <c r="E23" i="66" s="1"/>
  <c r="H23" i="66" s="1"/>
  <c r="C22" i="66"/>
  <c r="C21" i="66"/>
  <c r="E21" i="66" s="1"/>
  <c r="H21" i="66" s="1"/>
  <c r="C20" i="66"/>
  <c r="E20" i="66" s="1"/>
  <c r="H20" i="66" s="1"/>
  <c r="C19" i="66"/>
  <c r="E19" i="66"/>
  <c r="H19" i="66"/>
  <c r="B18" i="66"/>
  <c r="C18" i="66" s="1"/>
  <c r="B17" i="66"/>
  <c r="C17" i="66" s="1"/>
  <c r="E17" i="66" s="1"/>
  <c r="H17" i="66" s="1"/>
  <c r="C16" i="66"/>
  <c r="E16" i="66" s="1"/>
  <c r="H16" i="66" s="1"/>
  <c r="C15" i="66"/>
  <c r="K15" i="66"/>
  <c r="B14" i="66"/>
  <c r="C14" i="66" s="1"/>
  <c r="B13" i="66"/>
  <c r="C13" i="66"/>
  <c r="C12" i="66"/>
  <c r="J11" i="66"/>
  <c r="B11" i="66"/>
  <c r="C11" i="66"/>
  <c r="J10" i="66"/>
  <c r="B10" i="66"/>
  <c r="C10" i="66" s="1"/>
  <c r="E10" i="66" s="1"/>
  <c r="H10" i="66" s="1"/>
  <c r="B9" i="66"/>
  <c r="C9" i="66" s="1"/>
  <c r="I59" i="68"/>
  <c r="E38" i="68"/>
  <c r="C38" i="68"/>
  <c r="I38" i="68" s="1"/>
  <c r="E85" i="68"/>
  <c r="K121" i="66"/>
  <c r="C38" i="67"/>
  <c r="D38" i="67" s="1"/>
  <c r="E38" i="67" s="1"/>
  <c r="G44" i="67"/>
  <c r="F48" i="67"/>
  <c r="H48" i="67" s="1"/>
  <c r="E123" i="66"/>
  <c r="H123" i="66" s="1"/>
  <c r="F21" i="67"/>
  <c r="H21" i="67" s="1"/>
  <c r="G25" i="67"/>
  <c r="C25" i="67"/>
  <c r="D25" i="67"/>
  <c r="G17" i="67"/>
  <c r="C26" i="67"/>
  <c r="D26" i="67" s="1"/>
  <c r="F37" i="67"/>
  <c r="H37" i="67"/>
  <c r="I37" i="67" s="1"/>
  <c r="L37" i="67" s="1"/>
  <c r="G46" i="67"/>
  <c r="F25" i="67"/>
  <c r="H25" i="67" s="1"/>
  <c r="N25" i="67" s="1"/>
  <c r="F31" i="67"/>
  <c r="F35" i="67"/>
  <c r="H35" i="67" s="1"/>
  <c r="C35" i="67"/>
  <c r="D35" i="67" s="1"/>
  <c r="E35" i="67" s="1"/>
  <c r="F47" i="67"/>
  <c r="F51" i="67"/>
  <c r="F55" i="67"/>
  <c r="F63" i="67"/>
  <c r="H63" i="67"/>
  <c r="C55" i="67"/>
  <c r="D55" i="67" s="1"/>
  <c r="E55" i="67"/>
  <c r="F60" i="67"/>
  <c r="H60" i="67" s="1"/>
  <c r="C63" i="67"/>
  <c r="D63" i="67"/>
  <c r="C56" i="67"/>
  <c r="D56" i="67" s="1"/>
  <c r="E105" i="66"/>
  <c r="H105" i="66"/>
  <c r="E26" i="66"/>
  <c r="H26" i="66" s="1"/>
  <c r="E126" i="66"/>
  <c r="H126" i="66"/>
  <c r="K126" i="66"/>
  <c r="K130" i="66"/>
  <c r="K131" i="66"/>
  <c r="K19" i="66"/>
  <c r="K23" i="66"/>
  <c r="K27" i="66"/>
  <c r="K35" i="66"/>
  <c r="K87" i="66"/>
  <c r="E87" i="66"/>
  <c r="H87" i="66" s="1"/>
  <c r="K49" i="66"/>
  <c r="K24" i="66"/>
  <c r="K26" i="66"/>
  <c r="K32" i="66"/>
  <c r="K36" i="66"/>
  <c r="E68" i="66"/>
  <c r="H68" i="66" s="1"/>
  <c r="K50" i="66"/>
  <c r="K42" i="66"/>
  <c r="K52" i="66"/>
  <c r="E93" i="66"/>
  <c r="H93" i="66" s="1"/>
  <c r="K103" i="66"/>
  <c r="K96" i="66"/>
  <c r="K112" i="66"/>
  <c r="E140" i="66"/>
  <c r="H140" i="66" s="1"/>
  <c r="J34" i="2"/>
  <c r="H242" i="8"/>
  <c r="I242" i="8"/>
  <c r="H241" i="8"/>
  <c r="I241" i="8" s="1"/>
  <c r="H239" i="8"/>
  <c r="I239" i="8"/>
  <c r="H240" i="8"/>
  <c r="H238" i="8"/>
  <c r="I238" i="8" s="1"/>
  <c r="H234" i="8"/>
  <c r="I234" i="8" s="1"/>
  <c r="H233" i="8"/>
  <c r="H216" i="8"/>
  <c r="H215" i="8"/>
  <c r="H64" i="48" s="1"/>
  <c r="H214" i="8"/>
  <c r="H63" i="48" s="1"/>
  <c r="H213" i="8"/>
  <c r="H62" i="48" s="1"/>
  <c r="H212" i="8"/>
  <c r="H61" i="48" s="1"/>
  <c r="H211" i="8"/>
  <c r="H60" i="48" s="1"/>
  <c r="H206" i="8"/>
  <c r="H66" i="8"/>
  <c r="H65" i="8"/>
  <c r="I65" i="8" s="1"/>
  <c r="H64" i="8"/>
  <c r="I64" i="8" s="1"/>
  <c r="H63" i="8"/>
  <c r="H62" i="8"/>
  <c r="I62" i="8" s="1"/>
  <c r="H61" i="8"/>
  <c r="I61" i="8"/>
  <c r="H60" i="8"/>
  <c r="H56" i="8"/>
  <c r="H55" i="8"/>
  <c r="G49" i="8"/>
  <c r="I49" i="8" s="1"/>
  <c r="H48" i="8"/>
  <c r="I48" i="8" s="1"/>
  <c r="H47" i="8"/>
  <c r="I47" i="8" s="1"/>
  <c r="H46" i="8"/>
  <c r="H45" i="8"/>
  <c r="H44" i="8"/>
  <c r="I44" i="8" s="1"/>
  <c r="H41" i="8"/>
  <c r="H40" i="8"/>
  <c r="I40" i="8"/>
  <c r="H39" i="8"/>
  <c r="I39" i="8" s="1"/>
  <c r="H273" i="8"/>
  <c r="I273" i="8"/>
  <c r="H270" i="8"/>
  <c r="H250" i="8"/>
  <c r="H146" i="8"/>
  <c r="H137" i="8"/>
  <c r="H23" i="48" s="1"/>
  <c r="H157" i="63"/>
  <c r="I157" i="63" s="1"/>
  <c r="AB157" i="63"/>
  <c r="H156" i="63"/>
  <c r="I29" i="65"/>
  <c r="F29" i="65"/>
  <c r="F30" i="65"/>
  <c r="D29" i="65"/>
  <c r="D30" i="65" s="1"/>
  <c r="E28" i="65"/>
  <c r="E27" i="65"/>
  <c r="E26" i="65"/>
  <c r="K25" i="65"/>
  <c r="I25" i="65"/>
  <c r="F25" i="65"/>
  <c r="D25" i="65"/>
  <c r="E24" i="65"/>
  <c r="E23" i="65"/>
  <c r="E22" i="65"/>
  <c r="E21" i="65"/>
  <c r="K20" i="65"/>
  <c r="I20" i="65"/>
  <c r="F20" i="65"/>
  <c r="D20" i="65"/>
  <c r="E19" i="65"/>
  <c r="E18" i="65"/>
  <c r="E17" i="65"/>
  <c r="E16" i="65"/>
  <c r="K15" i="65"/>
  <c r="I15" i="65"/>
  <c r="F15" i="65"/>
  <c r="D15" i="65"/>
  <c r="E14" i="65"/>
  <c r="E13" i="65"/>
  <c r="E12" i="65"/>
  <c r="E11" i="65"/>
  <c r="K10" i="65"/>
  <c r="L10" i="65" s="1"/>
  <c r="F10" i="65"/>
  <c r="D10" i="65"/>
  <c r="E9" i="65"/>
  <c r="E8" i="65"/>
  <c r="E7" i="65"/>
  <c r="E6" i="65"/>
  <c r="E99" i="48"/>
  <c r="D221" i="9"/>
  <c r="I221" i="9"/>
  <c r="D220" i="9"/>
  <c r="D209" i="9"/>
  <c r="I209" i="9"/>
  <c r="I207" i="8"/>
  <c r="D203" i="9"/>
  <c r="I192" i="8"/>
  <c r="I93" i="8"/>
  <c r="I91" i="8"/>
  <c r="I82" i="8"/>
  <c r="I78" i="8"/>
  <c r="I51" i="8"/>
  <c r="D43" i="9"/>
  <c r="H26" i="9"/>
  <c r="I26" i="9" s="1"/>
  <c r="I84" i="8"/>
  <c r="G33" i="48"/>
  <c r="G45" i="48"/>
  <c r="O62" i="64"/>
  <c r="Q62" i="64" s="1"/>
  <c r="R62" i="64"/>
  <c r="O60" i="64"/>
  <c r="O59" i="64"/>
  <c r="O58" i="64"/>
  <c r="I58" i="64"/>
  <c r="H58" i="64"/>
  <c r="H90" i="64" s="1"/>
  <c r="G58" i="64"/>
  <c r="F58" i="64"/>
  <c r="E58" i="64"/>
  <c r="O57" i="64"/>
  <c r="O56" i="64"/>
  <c r="O55" i="64"/>
  <c r="I55" i="64"/>
  <c r="H55" i="64"/>
  <c r="G55" i="64"/>
  <c r="E55" i="64"/>
  <c r="I53" i="64"/>
  <c r="E53" i="64"/>
  <c r="H37" i="64"/>
  <c r="G37" i="64"/>
  <c r="K33" i="64"/>
  <c r="G21" i="64"/>
  <c r="F41" i="64"/>
  <c r="G20" i="64"/>
  <c r="G19" i="64"/>
  <c r="H19" i="64" s="1"/>
  <c r="G18" i="64"/>
  <c r="G14" i="64"/>
  <c r="B12" i="64"/>
  <c r="B16" i="64" s="1"/>
  <c r="G11" i="64"/>
  <c r="F11" i="64"/>
  <c r="M10" i="64"/>
  <c r="L10" i="64"/>
  <c r="J10" i="64"/>
  <c r="I10" i="64"/>
  <c r="F10" i="64"/>
  <c r="F7" i="64" s="1"/>
  <c r="M9" i="64"/>
  <c r="L9" i="64"/>
  <c r="J9" i="64"/>
  <c r="I9" i="64"/>
  <c r="F9" i="64"/>
  <c r="G8" i="64"/>
  <c r="G7" i="64"/>
  <c r="G5" i="63"/>
  <c r="H5" i="63"/>
  <c r="I11" i="63"/>
  <c r="M11" i="63"/>
  <c r="S11" i="63"/>
  <c r="Z11" i="63"/>
  <c r="AB11" i="63"/>
  <c r="AD11" i="63"/>
  <c r="I12" i="63"/>
  <c r="AB12" i="63" s="1"/>
  <c r="M12" i="63"/>
  <c r="N12" i="63" s="1"/>
  <c r="S12" i="63"/>
  <c r="Z12" i="63"/>
  <c r="AD12" i="63"/>
  <c r="I13" i="63"/>
  <c r="AB13" i="63" s="1"/>
  <c r="M13" i="63"/>
  <c r="N13" i="63"/>
  <c r="S13" i="63"/>
  <c r="Z13" i="63"/>
  <c r="AD13" i="63"/>
  <c r="I14" i="63"/>
  <c r="AB14" i="63" s="1"/>
  <c r="M14" i="63"/>
  <c r="N14" i="63"/>
  <c r="S14" i="63"/>
  <c r="Z14" i="63"/>
  <c r="AD14" i="63"/>
  <c r="I15" i="63"/>
  <c r="AB15" i="63"/>
  <c r="M15" i="63"/>
  <c r="N15" i="63" s="1"/>
  <c r="S15" i="63"/>
  <c r="Z15" i="63"/>
  <c r="AD15" i="63"/>
  <c r="I16" i="63"/>
  <c r="AB16" i="63"/>
  <c r="M16" i="63"/>
  <c r="N16" i="63" s="1"/>
  <c r="S16" i="63"/>
  <c r="Z16" i="63"/>
  <c r="AD16" i="63"/>
  <c r="I17" i="63"/>
  <c r="AB17" i="63" s="1"/>
  <c r="M17" i="63"/>
  <c r="N17" i="63"/>
  <c r="S17" i="63"/>
  <c r="Z17" i="63"/>
  <c r="AD17" i="63"/>
  <c r="F19" i="63"/>
  <c r="L19" i="63"/>
  <c r="I24" i="63"/>
  <c r="AB24" i="63"/>
  <c r="M24" i="63"/>
  <c r="N24" i="63" s="1"/>
  <c r="S24" i="63"/>
  <c r="Z24" i="63"/>
  <c r="AA24" i="63"/>
  <c r="AD24" i="63"/>
  <c r="I25" i="63"/>
  <c r="M25" i="63"/>
  <c r="N25" i="63"/>
  <c r="S25" i="63"/>
  <c r="Z25" i="63"/>
  <c r="AB25" i="63"/>
  <c r="AD25" i="63"/>
  <c r="I26" i="63"/>
  <c r="AB26" i="63" s="1"/>
  <c r="M26" i="63"/>
  <c r="N26" i="63"/>
  <c r="S26" i="63"/>
  <c r="Z26" i="63"/>
  <c r="AA26" i="63"/>
  <c r="AD26" i="63"/>
  <c r="I27" i="63"/>
  <c r="M27" i="63"/>
  <c r="S27" i="63"/>
  <c r="Z27" i="63"/>
  <c r="AB27" i="63"/>
  <c r="AD27" i="63"/>
  <c r="I28" i="63"/>
  <c r="AB28" i="63"/>
  <c r="M28" i="63"/>
  <c r="N28" i="63" s="1"/>
  <c r="S28" i="63"/>
  <c r="Z28" i="63"/>
  <c r="AA28" i="63"/>
  <c r="AD28" i="63"/>
  <c r="I29" i="63"/>
  <c r="M29" i="63"/>
  <c r="N29" i="63" s="1"/>
  <c r="S29" i="63"/>
  <c r="Z29" i="63"/>
  <c r="AB29" i="63"/>
  <c r="AD29" i="63"/>
  <c r="I30" i="63"/>
  <c r="AB30" i="63"/>
  <c r="M30" i="63"/>
  <c r="N30" i="63" s="1"/>
  <c r="S30" i="63"/>
  <c r="Z30" i="63"/>
  <c r="AD30" i="63"/>
  <c r="I31" i="63"/>
  <c r="M31" i="63"/>
  <c r="S31" i="63"/>
  <c r="Z31" i="63"/>
  <c r="AB31" i="63"/>
  <c r="AD31" i="63"/>
  <c r="I32" i="63"/>
  <c r="AB32" i="63"/>
  <c r="M32" i="63"/>
  <c r="N32" i="63" s="1"/>
  <c r="S32" i="63"/>
  <c r="Z32" i="63"/>
  <c r="AD32" i="63"/>
  <c r="I33" i="63"/>
  <c r="AB33" i="63" s="1"/>
  <c r="M33" i="63"/>
  <c r="N33" i="63" s="1"/>
  <c r="S33" i="63"/>
  <c r="Z33" i="63"/>
  <c r="AD33" i="63"/>
  <c r="I34" i="63"/>
  <c r="AB34" i="63" s="1"/>
  <c r="M34" i="63"/>
  <c r="N34" i="63" s="1"/>
  <c r="S34" i="63"/>
  <c r="Z34" i="63"/>
  <c r="AD34" i="63"/>
  <c r="I35" i="63"/>
  <c r="AB35" i="63" s="1"/>
  <c r="M35" i="63"/>
  <c r="N35" i="63" s="1"/>
  <c r="S35" i="63"/>
  <c r="Z35" i="63"/>
  <c r="AD35" i="63"/>
  <c r="I36" i="63"/>
  <c r="AB36" i="63"/>
  <c r="M36" i="63"/>
  <c r="N36" i="63" s="1"/>
  <c r="S36" i="63"/>
  <c r="Z36" i="63"/>
  <c r="AD36" i="63"/>
  <c r="I37" i="63"/>
  <c r="M37" i="63"/>
  <c r="S37" i="63"/>
  <c r="Z37" i="63"/>
  <c r="AB37" i="63"/>
  <c r="AD37" i="63"/>
  <c r="I38" i="63"/>
  <c r="AB38" i="63" s="1"/>
  <c r="M38" i="63"/>
  <c r="N38" i="63"/>
  <c r="S38" i="63"/>
  <c r="Z38" i="63"/>
  <c r="AD38" i="63"/>
  <c r="I39" i="63"/>
  <c r="AB39" i="63"/>
  <c r="M39" i="63"/>
  <c r="N39" i="63" s="1"/>
  <c r="S39" i="63"/>
  <c r="Z39" i="63"/>
  <c r="AD39" i="63"/>
  <c r="I40" i="63"/>
  <c r="AB40" i="63" s="1"/>
  <c r="M40" i="63"/>
  <c r="N40" i="63" s="1"/>
  <c r="S40" i="63"/>
  <c r="Z40" i="63"/>
  <c r="AD40" i="63"/>
  <c r="I41" i="63"/>
  <c r="M41" i="63"/>
  <c r="S41" i="63"/>
  <c r="Z41" i="63"/>
  <c r="AB41" i="63"/>
  <c r="AD41" i="63"/>
  <c r="I42" i="63"/>
  <c r="AB42" i="63"/>
  <c r="M42" i="63"/>
  <c r="N42" i="63" s="1"/>
  <c r="S42" i="63"/>
  <c r="Z42" i="63"/>
  <c r="AD42" i="63"/>
  <c r="I43" i="63"/>
  <c r="M43" i="63"/>
  <c r="S43" i="63"/>
  <c r="Z43" i="63"/>
  <c r="AB43" i="63"/>
  <c r="AD43" i="63"/>
  <c r="I44" i="63"/>
  <c r="AB44" i="63" s="1"/>
  <c r="M44" i="63"/>
  <c r="N44" i="63" s="1"/>
  <c r="S44" i="63"/>
  <c r="Z44" i="63"/>
  <c r="AD44" i="63"/>
  <c r="I45" i="63"/>
  <c r="M45" i="63"/>
  <c r="S45" i="63"/>
  <c r="Z45" i="63"/>
  <c r="AB45" i="63"/>
  <c r="AD45" i="63"/>
  <c r="H46" i="63"/>
  <c r="I46" i="63" s="1"/>
  <c r="AB46" i="63" s="1"/>
  <c r="M46" i="63"/>
  <c r="S46" i="63"/>
  <c r="Z46" i="63"/>
  <c r="AD46" i="63"/>
  <c r="H47" i="63"/>
  <c r="I47" i="63" s="1"/>
  <c r="AB47" i="63" s="1"/>
  <c r="M47" i="63"/>
  <c r="N47" i="63"/>
  <c r="S47" i="63"/>
  <c r="Z47" i="63"/>
  <c r="AD47" i="63"/>
  <c r="H48" i="63"/>
  <c r="M48" i="63"/>
  <c r="S48" i="63"/>
  <c r="Z48" i="63"/>
  <c r="AD48" i="63"/>
  <c r="H49" i="63"/>
  <c r="I49" i="63" s="1"/>
  <c r="AB49" i="63" s="1"/>
  <c r="M49" i="63"/>
  <c r="S49" i="63"/>
  <c r="Z49" i="63"/>
  <c r="AD49" i="63"/>
  <c r="H50" i="63"/>
  <c r="I50" i="63" s="1"/>
  <c r="AB50" i="63" s="1"/>
  <c r="M50" i="63"/>
  <c r="S50" i="63"/>
  <c r="Z50" i="63"/>
  <c r="AD50" i="63"/>
  <c r="H51" i="63"/>
  <c r="M51" i="63"/>
  <c r="S51" i="63"/>
  <c r="Z51" i="63"/>
  <c r="AD51" i="63"/>
  <c r="H52" i="63"/>
  <c r="I52" i="63" s="1"/>
  <c r="AB52" i="63" s="1"/>
  <c r="M52" i="63"/>
  <c r="S52" i="63"/>
  <c r="Z52" i="63"/>
  <c r="AD52" i="63"/>
  <c r="H53" i="63"/>
  <c r="M53" i="63"/>
  <c r="S53" i="63"/>
  <c r="Z53" i="63"/>
  <c r="AD53" i="63"/>
  <c r="H54" i="63"/>
  <c r="M54" i="63"/>
  <c r="S54" i="63"/>
  <c r="Z54" i="63"/>
  <c r="AD54" i="63"/>
  <c r="H55" i="63"/>
  <c r="M55" i="63"/>
  <c r="S55" i="63"/>
  <c r="Z55" i="63"/>
  <c r="AD55" i="63"/>
  <c r="H56" i="63"/>
  <c r="I56" i="63"/>
  <c r="AB56" i="63"/>
  <c r="M56" i="63"/>
  <c r="S56" i="63"/>
  <c r="Z56" i="63"/>
  <c r="AD56" i="63"/>
  <c r="I57" i="63"/>
  <c r="AB57" i="63" s="1"/>
  <c r="M57" i="63"/>
  <c r="S57" i="63"/>
  <c r="Z57" i="63"/>
  <c r="AD57" i="63"/>
  <c r="I58" i="63"/>
  <c r="AB58" i="63"/>
  <c r="M58" i="63"/>
  <c r="N58" i="63" s="1"/>
  <c r="S58" i="63"/>
  <c r="Z58" i="63"/>
  <c r="AD58" i="63"/>
  <c r="I59" i="63"/>
  <c r="AB59" i="63" s="1"/>
  <c r="M59" i="63"/>
  <c r="N59" i="63" s="1"/>
  <c r="S59" i="63"/>
  <c r="Z59" i="63"/>
  <c r="AD59" i="63"/>
  <c r="I60" i="63"/>
  <c r="AB60" i="63" s="1"/>
  <c r="M60" i="63"/>
  <c r="N60" i="63"/>
  <c r="S60" i="63"/>
  <c r="Z60" i="63"/>
  <c r="AD60" i="63"/>
  <c r="I61" i="63"/>
  <c r="AB61" i="63" s="1"/>
  <c r="M61" i="63"/>
  <c r="S61" i="63"/>
  <c r="Z61" i="63"/>
  <c r="AD61" i="63"/>
  <c r="I62" i="63"/>
  <c r="AB62" i="63"/>
  <c r="M62" i="63"/>
  <c r="N62" i="63" s="1"/>
  <c r="S62" i="63"/>
  <c r="Z62" i="63"/>
  <c r="AD62" i="63"/>
  <c r="I63" i="63"/>
  <c r="AB63" i="63" s="1"/>
  <c r="M63" i="63"/>
  <c r="N63" i="63"/>
  <c r="S63" i="63"/>
  <c r="Z63" i="63"/>
  <c r="AD63" i="63"/>
  <c r="I64" i="63"/>
  <c r="AB64" i="63" s="1"/>
  <c r="M64" i="63"/>
  <c r="N64" i="63"/>
  <c r="S64" i="63"/>
  <c r="Z64" i="63"/>
  <c r="AD64" i="63"/>
  <c r="I65" i="63"/>
  <c r="AB65" i="63"/>
  <c r="M65" i="63"/>
  <c r="S65" i="63"/>
  <c r="Z65" i="63"/>
  <c r="AD65" i="63"/>
  <c r="I66" i="63"/>
  <c r="AB66" i="63" s="1"/>
  <c r="M66" i="63"/>
  <c r="N66" i="63"/>
  <c r="S66" i="63"/>
  <c r="Z66" i="63"/>
  <c r="AD66" i="63"/>
  <c r="I67" i="63"/>
  <c r="AB67" i="63" s="1"/>
  <c r="M67" i="63"/>
  <c r="N67" i="63"/>
  <c r="S67" i="63"/>
  <c r="Z67" i="63"/>
  <c r="AD67" i="63"/>
  <c r="I68" i="63"/>
  <c r="AB68" i="63"/>
  <c r="M68" i="63"/>
  <c r="N68" i="63" s="1"/>
  <c r="S68" i="63"/>
  <c r="Z68" i="63"/>
  <c r="AD68" i="63"/>
  <c r="I69" i="63"/>
  <c r="AB69" i="63"/>
  <c r="M69" i="63"/>
  <c r="S69" i="63"/>
  <c r="Z69" i="63"/>
  <c r="AD69" i="63"/>
  <c r="I70" i="63"/>
  <c r="AB70" i="63" s="1"/>
  <c r="M70" i="63"/>
  <c r="N70" i="63"/>
  <c r="S70" i="63"/>
  <c r="Z70" i="63"/>
  <c r="AD70" i="63"/>
  <c r="I71" i="63"/>
  <c r="AB71" i="63"/>
  <c r="M71" i="63"/>
  <c r="N71" i="63" s="1"/>
  <c r="S71" i="63"/>
  <c r="Z71" i="63"/>
  <c r="AD71" i="63"/>
  <c r="I72" i="63"/>
  <c r="AB72" i="63" s="1"/>
  <c r="M72" i="63"/>
  <c r="N72" i="63" s="1"/>
  <c r="S72" i="63"/>
  <c r="Z72" i="63"/>
  <c r="AD72" i="63"/>
  <c r="I73" i="63"/>
  <c r="AB73" i="63" s="1"/>
  <c r="M73" i="63"/>
  <c r="N73" i="63"/>
  <c r="S73" i="63"/>
  <c r="Z73" i="63"/>
  <c r="AD73" i="63"/>
  <c r="I74" i="63"/>
  <c r="AB74" i="63" s="1"/>
  <c r="M74" i="63"/>
  <c r="N74" i="63" s="1"/>
  <c r="S74" i="63"/>
  <c r="Z74" i="63"/>
  <c r="AD74" i="63"/>
  <c r="I75" i="63"/>
  <c r="AB75" i="63"/>
  <c r="M75" i="63"/>
  <c r="S75" i="63"/>
  <c r="Z75" i="63"/>
  <c r="AD75" i="63"/>
  <c r="I76" i="63"/>
  <c r="AB76" i="63" s="1"/>
  <c r="M76" i="63"/>
  <c r="N76" i="63"/>
  <c r="S76" i="63"/>
  <c r="Z76" i="63"/>
  <c r="AD76" i="63"/>
  <c r="I77" i="63"/>
  <c r="AB77" i="63" s="1"/>
  <c r="M77" i="63"/>
  <c r="N77" i="63" s="1"/>
  <c r="S77" i="63"/>
  <c r="Z77" i="63"/>
  <c r="AD77" i="63"/>
  <c r="H78" i="63"/>
  <c r="M78" i="63"/>
  <c r="S78" i="63"/>
  <c r="Z78" i="63"/>
  <c r="AD78" i="63"/>
  <c r="H79" i="63"/>
  <c r="I79" i="63" s="1"/>
  <c r="AB79" i="63" s="1"/>
  <c r="M79" i="63"/>
  <c r="S79" i="63"/>
  <c r="Z79" i="63"/>
  <c r="AD79" i="63"/>
  <c r="H80" i="63"/>
  <c r="I80" i="63"/>
  <c r="AB80" i="63" s="1"/>
  <c r="M80" i="63"/>
  <c r="S80" i="63"/>
  <c r="Z80" i="63"/>
  <c r="AD80" i="63"/>
  <c r="I81" i="63"/>
  <c r="M81" i="63"/>
  <c r="N81" i="63"/>
  <c r="S81" i="63"/>
  <c r="Z81" i="63"/>
  <c r="AB81" i="63"/>
  <c r="AD81" i="63"/>
  <c r="H82" i="63"/>
  <c r="I82" i="63" s="1"/>
  <c r="AB82" i="63" s="1"/>
  <c r="M82" i="63"/>
  <c r="S82" i="63"/>
  <c r="Z82" i="63"/>
  <c r="AD82" i="63"/>
  <c r="H83" i="63"/>
  <c r="M83" i="63"/>
  <c r="S83" i="63"/>
  <c r="Z83" i="63"/>
  <c r="AD83" i="63"/>
  <c r="H84" i="63"/>
  <c r="I84" i="63" s="1"/>
  <c r="AB84" i="63" s="1"/>
  <c r="M84" i="63"/>
  <c r="S84" i="63"/>
  <c r="Z84" i="63"/>
  <c r="AD84" i="63"/>
  <c r="H85" i="63"/>
  <c r="M85" i="63"/>
  <c r="S85" i="63"/>
  <c r="Z85" i="63"/>
  <c r="AA85" i="63"/>
  <c r="AD85" i="63"/>
  <c r="H86" i="63"/>
  <c r="I86" i="63"/>
  <c r="AB86" i="63"/>
  <c r="M86" i="63"/>
  <c r="S86" i="63"/>
  <c r="Z86" i="63"/>
  <c r="AD86" i="63"/>
  <c r="H87" i="63"/>
  <c r="M87" i="63"/>
  <c r="S87" i="63"/>
  <c r="Z87" i="63"/>
  <c r="AD87" i="63"/>
  <c r="H88" i="63"/>
  <c r="I88" i="63"/>
  <c r="AB88" i="63"/>
  <c r="M88" i="63"/>
  <c r="S88" i="63"/>
  <c r="Z88" i="63"/>
  <c r="AD88" i="63"/>
  <c r="H89" i="63"/>
  <c r="I89" i="63" s="1"/>
  <c r="AB89" i="63" s="1"/>
  <c r="M89" i="63"/>
  <c r="N89" i="63" s="1"/>
  <c r="S89" i="63"/>
  <c r="Z89" i="63"/>
  <c r="AD89" i="63"/>
  <c r="H90" i="63"/>
  <c r="I90" i="63" s="1"/>
  <c r="AB90" i="63" s="1"/>
  <c r="M90" i="63"/>
  <c r="S90" i="63"/>
  <c r="Z90" i="63"/>
  <c r="AD90" i="63"/>
  <c r="I91" i="63"/>
  <c r="AB91" i="63" s="1"/>
  <c r="M91" i="63"/>
  <c r="N91" i="63" s="1"/>
  <c r="S91" i="63"/>
  <c r="Z91" i="63"/>
  <c r="AD91" i="63"/>
  <c r="I92" i="63"/>
  <c r="AB92" i="63"/>
  <c r="M92" i="63"/>
  <c r="N92" i="63" s="1"/>
  <c r="S92" i="63"/>
  <c r="Z92" i="63"/>
  <c r="AD92" i="63"/>
  <c r="H93" i="63"/>
  <c r="I93" i="63" s="1"/>
  <c r="AB93" i="63" s="1"/>
  <c r="M93" i="63"/>
  <c r="S93" i="63"/>
  <c r="Z93" i="63"/>
  <c r="AD93" i="63"/>
  <c r="H94" i="63"/>
  <c r="M94" i="63"/>
  <c r="S94" i="63"/>
  <c r="Z94" i="63"/>
  <c r="AD94" i="63"/>
  <c r="H95" i="63"/>
  <c r="I95" i="63" s="1"/>
  <c r="AB95" i="63"/>
  <c r="M95" i="63"/>
  <c r="S95" i="63"/>
  <c r="Z95" i="63"/>
  <c r="AD95" i="63"/>
  <c r="H96" i="63"/>
  <c r="M96" i="63"/>
  <c r="S96" i="63"/>
  <c r="Z96" i="63"/>
  <c r="AA96" i="63"/>
  <c r="AD96" i="63"/>
  <c r="H97" i="63"/>
  <c r="I97" i="63"/>
  <c r="AB97" i="63" s="1"/>
  <c r="M97" i="63"/>
  <c r="S97" i="63"/>
  <c r="Z97" i="63"/>
  <c r="AD97" i="63"/>
  <c r="H98" i="63"/>
  <c r="M98" i="63"/>
  <c r="S98" i="63"/>
  <c r="Z98" i="63"/>
  <c r="AA98" i="63"/>
  <c r="AD98" i="63"/>
  <c r="H99" i="63"/>
  <c r="I99" i="63" s="1"/>
  <c r="AB99" i="63" s="1"/>
  <c r="M99" i="63"/>
  <c r="S99" i="63"/>
  <c r="Z99" i="63"/>
  <c r="AD99" i="63"/>
  <c r="H100" i="63"/>
  <c r="I100" i="63"/>
  <c r="AB100" i="63" s="1"/>
  <c r="M100" i="63"/>
  <c r="S100" i="63"/>
  <c r="Z100" i="63"/>
  <c r="AD100" i="63"/>
  <c r="H101" i="63"/>
  <c r="I101" i="63" s="1"/>
  <c r="AB101" i="63"/>
  <c r="M101" i="63"/>
  <c r="S101" i="63"/>
  <c r="Z101" i="63"/>
  <c r="AD101" i="63"/>
  <c r="H102" i="63"/>
  <c r="M102" i="63"/>
  <c r="S102" i="63"/>
  <c r="Z102" i="63"/>
  <c r="AD102" i="63"/>
  <c r="H103" i="63"/>
  <c r="I103" i="63" s="1"/>
  <c r="AB103" i="63" s="1"/>
  <c r="M103" i="63"/>
  <c r="S103" i="63"/>
  <c r="Z103" i="63"/>
  <c r="AD103" i="63"/>
  <c r="H104" i="63"/>
  <c r="M104" i="63"/>
  <c r="S104" i="63"/>
  <c r="Z104" i="63"/>
  <c r="AD104" i="63"/>
  <c r="H105" i="63"/>
  <c r="I105" i="63"/>
  <c r="AB105" i="63"/>
  <c r="M105" i="63"/>
  <c r="S105" i="63"/>
  <c r="Z105" i="63"/>
  <c r="AD105" i="63"/>
  <c r="H106" i="63"/>
  <c r="M106" i="63"/>
  <c r="S106" i="63"/>
  <c r="Z106" i="63"/>
  <c r="AA106" i="63"/>
  <c r="AD106" i="63"/>
  <c r="H107" i="63"/>
  <c r="I107" i="63"/>
  <c r="AB107" i="63" s="1"/>
  <c r="M107" i="63"/>
  <c r="S107" i="63"/>
  <c r="Z107" i="63"/>
  <c r="AD107" i="63"/>
  <c r="H108" i="63"/>
  <c r="M108" i="63"/>
  <c r="S108" i="63"/>
  <c r="Z108" i="63"/>
  <c r="AD108" i="63"/>
  <c r="H109" i="63"/>
  <c r="I109" i="63"/>
  <c r="AB109" i="63" s="1"/>
  <c r="M109" i="63"/>
  <c r="S109" i="63"/>
  <c r="Z109" i="63"/>
  <c r="AD109" i="63"/>
  <c r="H110" i="63"/>
  <c r="I110" i="63"/>
  <c r="AB110" i="63"/>
  <c r="M110" i="63"/>
  <c r="S110" i="63"/>
  <c r="Z110" i="63"/>
  <c r="AD110" i="63"/>
  <c r="H111" i="63"/>
  <c r="M111" i="63"/>
  <c r="S111" i="63"/>
  <c r="Z111" i="63"/>
  <c r="AD111" i="63"/>
  <c r="H112" i="63"/>
  <c r="I112" i="63"/>
  <c r="AB112" i="63"/>
  <c r="M112" i="63"/>
  <c r="S112" i="63"/>
  <c r="Z112" i="63"/>
  <c r="AD112" i="63"/>
  <c r="H113" i="63"/>
  <c r="M113" i="63"/>
  <c r="S113" i="63"/>
  <c r="Z113" i="63"/>
  <c r="AD113" i="63"/>
  <c r="H114" i="63"/>
  <c r="I114" i="63"/>
  <c r="AB114" i="63"/>
  <c r="M114" i="63"/>
  <c r="S114" i="63"/>
  <c r="Z114" i="63"/>
  <c r="AD114" i="63"/>
  <c r="H115" i="63"/>
  <c r="M115" i="63"/>
  <c r="S115" i="63"/>
  <c r="Z115" i="63"/>
  <c r="AD115" i="63"/>
  <c r="H116" i="63"/>
  <c r="M116" i="63"/>
  <c r="S116" i="63"/>
  <c r="Z116" i="63"/>
  <c r="AA116" i="63"/>
  <c r="AD116" i="63"/>
  <c r="H117" i="63"/>
  <c r="M117" i="63"/>
  <c r="S117" i="63"/>
  <c r="Z117" i="63"/>
  <c r="AD117" i="63"/>
  <c r="H118" i="63"/>
  <c r="I118" i="63" s="1"/>
  <c r="AB118" i="63" s="1"/>
  <c r="M118" i="63"/>
  <c r="S118" i="63"/>
  <c r="Z118" i="63"/>
  <c r="AD118" i="63"/>
  <c r="H119" i="63"/>
  <c r="I119" i="63" s="1"/>
  <c r="AB119" i="63" s="1"/>
  <c r="M119" i="63"/>
  <c r="S119" i="63"/>
  <c r="Z119" i="63"/>
  <c r="AD119" i="63"/>
  <c r="H120" i="63"/>
  <c r="I120" i="63"/>
  <c r="AB120" i="63" s="1"/>
  <c r="M120" i="63"/>
  <c r="S120" i="63"/>
  <c r="Z120" i="63"/>
  <c r="AD120" i="63"/>
  <c r="H121" i="63"/>
  <c r="I121" i="63" s="1"/>
  <c r="AB121" i="63"/>
  <c r="M121" i="63"/>
  <c r="S121" i="63"/>
  <c r="Z121" i="63"/>
  <c r="AD121" i="63"/>
  <c r="H122" i="63"/>
  <c r="M122" i="63"/>
  <c r="S122" i="63"/>
  <c r="Z122" i="63"/>
  <c r="AD122" i="63"/>
  <c r="H123" i="63"/>
  <c r="I123" i="63" s="1"/>
  <c r="AB123" i="63" s="1"/>
  <c r="M123" i="63"/>
  <c r="S123" i="63"/>
  <c r="Z123" i="63"/>
  <c r="AC123" i="63"/>
  <c r="AD123" i="63"/>
  <c r="F125" i="63"/>
  <c r="L125" i="63"/>
  <c r="S125" i="63"/>
  <c r="I135" i="63"/>
  <c r="AB135" i="63" s="1"/>
  <c r="M135" i="63"/>
  <c r="N135" i="63"/>
  <c r="S135" i="63"/>
  <c r="Z135" i="63"/>
  <c r="AD135" i="63"/>
  <c r="H136" i="63"/>
  <c r="I136" i="63" s="1"/>
  <c r="AB136" i="63" s="1"/>
  <c r="M136" i="63"/>
  <c r="S136" i="63"/>
  <c r="Z136" i="63"/>
  <c r="AA136" i="63"/>
  <c r="AD136" i="63"/>
  <c r="H137" i="63"/>
  <c r="I137" i="63" s="1"/>
  <c r="AB137" i="63" s="1"/>
  <c r="M137" i="63"/>
  <c r="S137" i="63"/>
  <c r="Z137" i="63"/>
  <c r="AD137" i="63"/>
  <c r="H138" i="63"/>
  <c r="M138" i="63"/>
  <c r="S138" i="63"/>
  <c r="Z138" i="63"/>
  <c r="AA138" i="63"/>
  <c r="AD138" i="63"/>
  <c r="F140" i="63"/>
  <c r="L140" i="63"/>
  <c r="H143" i="63"/>
  <c r="I143" i="63"/>
  <c r="AB143" i="63" s="1"/>
  <c r="M143" i="63"/>
  <c r="S143" i="63"/>
  <c r="Z143" i="63"/>
  <c r="AD143" i="63"/>
  <c r="H144" i="63"/>
  <c r="M144" i="63"/>
  <c r="S144" i="63"/>
  <c r="Z144" i="63"/>
  <c r="AD144" i="63"/>
  <c r="H145" i="63"/>
  <c r="M145" i="63"/>
  <c r="S145" i="63"/>
  <c r="Z145" i="63"/>
  <c r="AD145" i="63"/>
  <c r="F147" i="63"/>
  <c r="L147" i="63"/>
  <c r="I155" i="63"/>
  <c r="AB155" i="63" s="1"/>
  <c r="M155" i="63"/>
  <c r="N155" i="63" s="1"/>
  <c r="S155" i="63"/>
  <c r="Z155" i="63"/>
  <c r="AD155" i="63"/>
  <c r="M156" i="63"/>
  <c r="S156" i="63"/>
  <c r="Z156" i="63"/>
  <c r="AD156" i="63"/>
  <c r="M157" i="63"/>
  <c r="S157" i="63"/>
  <c r="Z157" i="63"/>
  <c r="AA157" i="63"/>
  <c r="AD157" i="63"/>
  <c r="H158" i="63"/>
  <c r="I158" i="63"/>
  <c r="AB158" i="63"/>
  <c r="M158" i="63"/>
  <c r="S158" i="63"/>
  <c r="Z158" i="63"/>
  <c r="AD158" i="63"/>
  <c r="I159" i="63"/>
  <c r="AB159" i="63" s="1"/>
  <c r="M159" i="63"/>
  <c r="N159" i="63"/>
  <c r="S159" i="63"/>
  <c r="Z159" i="63"/>
  <c r="AD159" i="63"/>
  <c r="F161" i="63"/>
  <c r="L161" i="63"/>
  <c r="H165" i="63"/>
  <c r="I165" i="63"/>
  <c r="AB165" i="63"/>
  <c r="M165" i="63"/>
  <c r="S165" i="63"/>
  <c r="Z165" i="63"/>
  <c r="AA165" i="63"/>
  <c r="AD165" i="63"/>
  <c r="H166" i="63"/>
  <c r="I166" i="63"/>
  <c r="AB166" i="63"/>
  <c r="M166" i="63"/>
  <c r="S166" i="63"/>
  <c r="Z166" i="63"/>
  <c r="AD166" i="63"/>
  <c r="H167" i="63"/>
  <c r="M167" i="63"/>
  <c r="S167" i="63"/>
  <c r="Z167" i="63"/>
  <c r="AA167" i="63"/>
  <c r="AD167" i="63"/>
  <c r="F169" i="63"/>
  <c r="L169" i="63"/>
  <c r="V176" i="63"/>
  <c r="N31" i="63"/>
  <c r="N27" i="63"/>
  <c r="AA12" i="63"/>
  <c r="AA13" i="63"/>
  <c r="AA27" i="63"/>
  <c r="AA33" i="63"/>
  <c r="AA37" i="63"/>
  <c r="AA41" i="63"/>
  <c r="AA45" i="63"/>
  <c r="AA50" i="63"/>
  <c r="AA57" i="63"/>
  <c r="AA61" i="63"/>
  <c r="AA65" i="63"/>
  <c r="AA69" i="63"/>
  <c r="AA73" i="63"/>
  <c r="AA77" i="63"/>
  <c r="AA86" i="63"/>
  <c r="AA159" i="63"/>
  <c r="AA123" i="63"/>
  <c r="AA115" i="63"/>
  <c r="AA107" i="63"/>
  <c r="AA99" i="63"/>
  <c r="AA87" i="63"/>
  <c r="AA55" i="63"/>
  <c r="E30" i="48"/>
  <c r="C30" i="48"/>
  <c r="D73" i="61"/>
  <c r="C73" i="61"/>
  <c r="I72" i="61"/>
  <c r="E72" i="61"/>
  <c r="H72" i="61" s="1"/>
  <c r="B71" i="61"/>
  <c r="B69" i="61"/>
  <c r="D70" i="61"/>
  <c r="D71" i="61" s="1"/>
  <c r="D68" i="61"/>
  <c r="D69" i="61"/>
  <c r="B63" i="61"/>
  <c r="D62" i="61"/>
  <c r="D60" i="61"/>
  <c r="E41" i="61"/>
  <c r="B39" i="61"/>
  <c r="E39" i="61" s="1"/>
  <c r="H39" i="61" s="1"/>
  <c r="B38" i="61"/>
  <c r="E38" i="61"/>
  <c r="H38" i="61" s="1"/>
  <c r="B37" i="61"/>
  <c r="E37" i="61"/>
  <c r="H37" i="61"/>
  <c r="E36" i="61"/>
  <c r="H36" i="61" s="1"/>
  <c r="B35" i="61"/>
  <c r="E35" i="61"/>
  <c r="H35" i="61" s="1"/>
  <c r="E34" i="61"/>
  <c r="H34" i="61"/>
  <c r="E33" i="61"/>
  <c r="H33" i="61" s="1"/>
  <c r="A33" i="61"/>
  <c r="B32" i="61"/>
  <c r="B31" i="61"/>
  <c r="B30" i="61"/>
  <c r="B28" i="61"/>
  <c r="E28" i="61"/>
  <c r="H28" i="61"/>
  <c r="B27" i="61"/>
  <c r="B26" i="61"/>
  <c r="B25" i="61"/>
  <c r="E25" i="61"/>
  <c r="H25" i="61" s="1"/>
  <c r="E24" i="61"/>
  <c r="H24" i="61"/>
  <c r="C24" i="61"/>
  <c r="E23" i="61"/>
  <c r="H23" i="61" s="1"/>
  <c r="C23" i="61"/>
  <c r="E22" i="61"/>
  <c r="H22" i="61" s="1"/>
  <c r="C22" i="61"/>
  <c r="E21" i="61"/>
  <c r="H21" i="61"/>
  <c r="C21" i="61"/>
  <c r="B20" i="61"/>
  <c r="E20" i="61"/>
  <c r="H20" i="61"/>
  <c r="B19" i="61"/>
  <c r="E19" i="61" s="1"/>
  <c r="H19" i="61" s="1"/>
  <c r="B18" i="61"/>
  <c r="B17" i="61"/>
  <c r="B16" i="61"/>
  <c r="B15" i="61"/>
  <c r="K92" i="60"/>
  <c r="J92" i="60"/>
  <c r="I92" i="60"/>
  <c r="H92" i="60"/>
  <c r="G92" i="60"/>
  <c r="F92" i="60"/>
  <c r="E92" i="60"/>
  <c r="D92" i="60"/>
  <c r="C92" i="60"/>
  <c r="B92" i="60"/>
  <c r="K91" i="60"/>
  <c r="J91" i="60"/>
  <c r="I91" i="60"/>
  <c r="H91" i="60"/>
  <c r="G91" i="60"/>
  <c r="F91" i="60"/>
  <c r="E91" i="60"/>
  <c r="D91" i="60"/>
  <c r="C91" i="60"/>
  <c r="B91" i="60"/>
  <c r="I88" i="60"/>
  <c r="M49" i="60"/>
  <c r="L49" i="60"/>
  <c r="K49" i="60"/>
  <c r="M32" i="60"/>
  <c r="C44" i="60"/>
  <c r="C42" i="60"/>
  <c r="C40" i="60"/>
  <c r="D38" i="60"/>
  <c r="D40" i="60" s="1"/>
  <c r="D42" i="60" s="1"/>
  <c r="D44" i="60" s="1"/>
  <c r="C38" i="60"/>
  <c r="C36" i="60"/>
  <c r="I27" i="60"/>
  <c r="I26" i="60"/>
  <c r="I25" i="60"/>
  <c r="G12" i="60"/>
  <c r="G11" i="60"/>
  <c r="C11" i="60"/>
  <c r="G10" i="60"/>
  <c r="G9" i="60"/>
  <c r="C9" i="60"/>
  <c r="G8" i="60"/>
  <c r="G7" i="60"/>
  <c r="C7" i="60"/>
  <c r="G6" i="60"/>
  <c r="G5" i="60"/>
  <c r="D5" i="60"/>
  <c r="D7" i="60" s="1"/>
  <c r="D9" i="60" s="1"/>
  <c r="D11" i="60" s="1"/>
  <c r="C5" i="60"/>
  <c r="G4" i="60"/>
  <c r="G3" i="60"/>
  <c r="C3" i="60"/>
  <c r="I4" i="57"/>
  <c r="J4" i="57" s="1"/>
  <c r="I5" i="57"/>
  <c r="J5" i="57"/>
  <c r="I6" i="57"/>
  <c r="J6" i="57" s="1"/>
  <c r="I7" i="57"/>
  <c r="J7" i="57"/>
  <c r="I3" i="57"/>
  <c r="J3" i="57" s="1"/>
  <c r="E155" i="56"/>
  <c r="D155" i="56"/>
  <c r="C155" i="56"/>
  <c r="E152" i="56"/>
  <c r="D152" i="56"/>
  <c r="C152" i="56"/>
  <c r="E151" i="56"/>
  <c r="D151" i="56"/>
  <c r="C151" i="56"/>
  <c r="E150" i="56"/>
  <c r="D150" i="56"/>
  <c r="C150" i="56"/>
  <c r="E149" i="56"/>
  <c r="D149" i="56"/>
  <c r="C149" i="56"/>
  <c r="E148" i="56"/>
  <c r="D148" i="56"/>
  <c r="C148" i="56"/>
  <c r="E147" i="56"/>
  <c r="D147" i="56"/>
  <c r="C147" i="56"/>
  <c r="E146" i="56"/>
  <c r="D146" i="56"/>
  <c r="C146" i="56"/>
  <c r="E145" i="56"/>
  <c r="E157" i="56"/>
  <c r="D145" i="56"/>
  <c r="D157" i="56"/>
  <c r="C145" i="56"/>
  <c r="E144" i="56"/>
  <c r="D144" i="56"/>
  <c r="C144" i="56"/>
  <c r="E143" i="56"/>
  <c r="D143" i="56"/>
  <c r="C143" i="56"/>
  <c r="E142" i="56"/>
  <c r="D142" i="56"/>
  <c r="C142" i="56"/>
  <c r="E141" i="56"/>
  <c r="D141" i="56"/>
  <c r="C141" i="56"/>
  <c r="E140" i="56"/>
  <c r="D140" i="56"/>
  <c r="C140" i="56"/>
  <c r="E139" i="56"/>
  <c r="D139" i="56"/>
  <c r="C139" i="56"/>
  <c r="E138" i="56"/>
  <c r="D138" i="56"/>
  <c r="C138" i="56"/>
  <c r="E137" i="56"/>
  <c r="D137" i="56"/>
  <c r="C137" i="56"/>
  <c r="E136" i="56"/>
  <c r="D136" i="56"/>
  <c r="C136" i="56"/>
  <c r="E131" i="56"/>
  <c r="D131" i="56"/>
  <c r="C131" i="56"/>
  <c r="D130" i="56"/>
  <c r="C130" i="56"/>
  <c r="E76" i="56"/>
  <c r="I46" i="56"/>
  <c r="L42" i="56"/>
  <c r="K42" i="56"/>
  <c r="J42" i="56"/>
  <c r="I42" i="56"/>
  <c r="I34" i="56"/>
  <c r="L30" i="56"/>
  <c r="I30" i="56"/>
  <c r="I19" i="56"/>
  <c r="L15" i="56"/>
  <c r="I15" i="56"/>
  <c r="D4" i="56"/>
  <c r="D6" i="56"/>
  <c r="C4" i="56"/>
  <c r="E155" i="55"/>
  <c r="D155" i="55"/>
  <c r="C155" i="55"/>
  <c r="E152" i="55"/>
  <c r="D152" i="55"/>
  <c r="C152" i="55"/>
  <c r="E151" i="55"/>
  <c r="D151" i="55"/>
  <c r="C151" i="55"/>
  <c r="E150" i="55"/>
  <c r="D150" i="55"/>
  <c r="C150" i="55"/>
  <c r="E149" i="55"/>
  <c r="D149" i="55"/>
  <c r="C149" i="55"/>
  <c r="E148" i="55"/>
  <c r="D148" i="55"/>
  <c r="C148" i="55"/>
  <c r="E147" i="55"/>
  <c r="D147" i="55"/>
  <c r="C147" i="55"/>
  <c r="E146" i="55"/>
  <c r="D146" i="55"/>
  <c r="C146" i="55"/>
  <c r="E145" i="55"/>
  <c r="E157" i="55"/>
  <c r="D145" i="55"/>
  <c r="C145" i="55"/>
  <c r="E144" i="55"/>
  <c r="D144" i="55"/>
  <c r="C144" i="55"/>
  <c r="E143" i="55"/>
  <c r="D143" i="55"/>
  <c r="C143" i="55"/>
  <c r="E142" i="55"/>
  <c r="D142" i="55"/>
  <c r="C142" i="55"/>
  <c r="E141" i="55"/>
  <c r="D141" i="55"/>
  <c r="C141" i="55"/>
  <c r="E140" i="55"/>
  <c r="D140" i="55"/>
  <c r="C140" i="55"/>
  <c r="E139" i="55"/>
  <c r="D139" i="55"/>
  <c r="C139" i="55"/>
  <c r="E138" i="55"/>
  <c r="D138" i="55"/>
  <c r="C138" i="55"/>
  <c r="E137" i="55"/>
  <c r="D137" i="55"/>
  <c r="C137" i="55"/>
  <c r="E136" i="55"/>
  <c r="D136" i="55"/>
  <c r="C136" i="55"/>
  <c r="E131" i="55"/>
  <c r="D131" i="55"/>
  <c r="C131" i="55"/>
  <c r="E130" i="55"/>
  <c r="D130" i="55"/>
  <c r="C130" i="55"/>
  <c r="I34" i="55"/>
  <c r="L30" i="55"/>
  <c r="I19" i="55"/>
  <c r="L15" i="55"/>
  <c r="E4" i="55"/>
  <c r="D4" i="55"/>
  <c r="C4" i="55"/>
  <c r="M11" i="54"/>
  <c r="L11" i="54"/>
  <c r="K11" i="54"/>
  <c r="J11" i="54"/>
  <c r="I11" i="54"/>
  <c r="H11" i="54"/>
  <c r="G11" i="54"/>
  <c r="F11" i="54"/>
  <c r="E11" i="54"/>
  <c r="D11" i="54"/>
  <c r="C11" i="54"/>
  <c r="B11" i="54"/>
  <c r="N10" i="54"/>
  <c r="O10" i="54"/>
  <c r="N9" i="54"/>
  <c r="O9" i="54"/>
  <c r="N8" i="54"/>
  <c r="O8" i="54"/>
  <c r="I51" i="53"/>
  <c r="H51" i="53"/>
  <c r="E51" i="53"/>
  <c r="D51" i="53"/>
  <c r="B51" i="53"/>
  <c r="B45" i="52"/>
  <c r="C31" i="52" s="1"/>
  <c r="D101" i="48"/>
  <c r="C101" i="48"/>
  <c r="C100" i="48"/>
  <c r="C99" i="48"/>
  <c r="C98" i="48"/>
  <c r="C97" i="48"/>
  <c r="C96" i="48"/>
  <c r="O4" i="49"/>
  <c r="M4" i="49"/>
  <c r="K4" i="49"/>
  <c r="J4" i="49"/>
  <c r="F111" i="51"/>
  <c r="F112" i="51"/>
  <c r="E111" i="51"/>
  <c r="E112" i="51" s="1"/>
  <c r="D98" i="51"/>
  <c r="G97" i="51"/>
  <c r="F97" i="51"/>
  <c r="F98" i="51" s="1"/>
  <c r="E97" i="51"/>
  <c r="E98" i="51"/>
  <c r="C97" i="51"/>
  <c r="C98" i="51" s="1"/>
  <c r="J91" i="51"/>
  <c r="G91" i="51"/>
  <c r="J90" i="51"/>
  <c r="G90" i="51"/>
  <c r="J89" i="51"/>
  <c r="G89" i="51"/>
  <c r="J88" i="51"/>
  <c r="G88" i="51"/>
  <c r="J87" i="51"/>
  <c r="G87" i="51"/>
  <c r="J86" i="51"/>
  <c r="G86" i="51"/>
  <c r="J85" i="51"/>
  <c r="G85" i="51"/>
  <c r="I84" i="51"/>
  <c r="J84" i="51" s="1"/>
  <c r="I83" i="51"/>
  <c r="L83" i="51"/>
  <c r="I82" i="51"/>
  <c r="L82" i="51" s="1"/>
  <c r="I81" i="51"/>
  <c r="L81" i="51"/>
  <c r="I80" i="51"/>
  <c r="L80" i="51" s="1"/>
  <c r="I79" i="51"/>
  <c r="L79" i="51"/>
  <c r="I78" i="51"/>
  <c r="L78" i="51" s="1"/>
  <c r="I77" i="51"/>
  <c r="I76" i="51"/>
  <c r="L76" i="51"/>
  <c r="G75" i="51"/>
  <c r="H75" i="51" s="1"/>
  <c r="G74" i="51"/>
  <c r="H74" i="51"/>
  <c r="G73" i="51"/>
  <c r="H73" i="51" s="1"/>
  <c r="I73" i="51" s="1"/>
  <c r="G72" i="51"/>
  <c r="H72" i="51" s="1"/>
  <c r="M72" i="51" s="1"/>
  <c r="G71" i="51"/>
  <c r="H71" i="51"/>
  <c r="M71" i="51" s="1"/>
  <c r="G70" i="51"/>
  <c r="H70" i="51"/>
  <c r="I70" i="51"/>
  <c r="G69" i="51"/>
  <c r="H69" i="51" s="1"/>
  <c r="G68" i="51"/>
  <c r="H68" i="51" s="1"/>
  <c r="I68" i="51" s="1"/>
  <c r="G67" i="51"/>
  <c r="H67" i="51"/>
  <c r="G66" i="51"/>
  <c r="H66" i="51"/>
  <c r="G65" i="51"/>
  <c r="H65" i="51"/>
  <c r="M65" i="51" s="1"/>
  <c r="G64" i="51"/>
  <c r="H64" i="51" s="1"/>
  <c r="I64" i="51" s="1"/>
  <c r="G63" i="51"/>
  <c r="H63" i="51" s="1"/>
  <c r="I63" i="51" s="1"/>
  <c r="G62" i="51"/>
  <c r="H62" i="51" s="1"/>
  <c r="M62" i="51" s="1"/>
  <c r="F56" i="51"/>
  <c r="E56" i="51"/>
  <c r="F55" i="51"/>
  <c r="E55" i="51"/>
  <c r="M54" i="51"/>
  <c r="I54" i="51"/>
  <c r="M53" i="51"/>
  <c r="I53" i="51"/>
  <c r="M52" i="51"/>
  <c r="I52" i="51"/>
  <c r="M51" i="51"/>
  <c r="I51" i="51"/>
  <c r="M50" i="51"/>
  <c r="I50" i="51"/>
  <c r="M49" i="51"/>
  <c r="I49" i="51"/>
  <c r="M48" i="51"/>
  <c r="I48" i="51"/>
  <c r="M47" i="51"/>
  <c r="I47" i="51"/>
  <c r="M46" i="51"/>
  <c r="I46" i="51"/>
  <c r="M45" i="51"/>
  <c r="I45" i="51"/>
  <c r="M44" i="51"/>
  <c r="I44" i="51"/>
  <c r="M43" i="51"/>
  <c r="I43" i="51"/>
  <c r="G42" i="51"/>
  <c r="I42" i="51"/>
  <c r="C42" i="51"/>
  <c r="G41" i="51"/>
  <c r="C41" i="51"/>
  <c r="H40" i="51"/>
  <c r="G40" i="51" s="1"/>
  <c r="C40" i="51"/>
  <c r="G39" i="51"/>
  <c r="I39" i="51"/>
  <c r="C39" i="51"/>
  <c r="G38" i="51"/>
  <c r="I38" i="51" s="1"/>
  <c r="C38" i="51"/>
  <c r="G37" i="51"/>
  <c r="C37" i="51"/>
  <c r="G36" i="51"/>
  <c r="I36" i="51"/>
  <c r="C36" i="51"/>
  <c r="G35" i="51"/>
  <c r="I35" i="51" s="1"/>
  <c r="C35" i="51"/>
  <c r="G34" i="51"/>
  <c r="I34" i="51"/>
  <c r="C34" i="51"/>
  <c r="G33" i="51"/>
  <c r="C33" i="51"/>
  <c r="G32" i="51"/>
  <c r="I32" i="51" s="1"/>
  <c r="C32" i="51"/>
  <c r="G31" i="51"/>
  <c r="C31" i="51"/>
  <c r="L30" i="51"/>
  <c r="I30" i="51"/>
  <c r="L29" i="51"/>
  <c r="I29" i="51"/>
  <c r="L28" i="51"/>
  <c r="I28" i="51"/>
  <c r="L27" i="51"/>
  <c r="I27" i="51"/>
  <c r="L26" i="51"/>
  <c r="I26" i="51"/>
  <c r="L25" i="51"/>
  <c r="I25" i="51"/>
  <c r="L24" i="51"/>
  <c r="I24" i="51"/>
  <c r="L23" i="51"/>
  <c r="I23" i="51"/>
  <c r="L22" i="51"/>
  <c r="I22" i="51"/>
  <c r="L21" i="51"/>
  <c r="I21" i="51"/>
  <c r="L20" i="51"/>
  <c r="I20" i="51"/>
  <c r="L19" i="51"/>
  <c r="I19" i="51"/>
  <c r="I18" i="51"/>
  <c r="D18" i="51"/>
  <c r="K18" i="51" s="1"/>
  <c r="I17" i="51"/>
  <c r="D17" i="51"/>
  <c r="K17" i="51"/>
  <c r="I16" i="51"/>
  <c r="D16" i="51"/>
  <c r="I15" i="51"/>
  <c r="D15" i="51"/>
  <c r="K15" i="51" s="1"/>
  <c r="I14" i="51"/>
  <c r="D14" i="51"/>
  <c r="K14" i="51"/>
  <c r="I13" i="51"/>
  <c r="D13" i="51"/>
  <c r="K13" i="51" s="1"/>
  <c r="I12" i="51"/>
  <c r="D12" i="51"/>
  <c r="K12" i="51" s="1"/>
  <c r="I11" i="51"/>
  <c r="D11" i="51"/>
  <c r="K11" i="51" s="1"/>
  <c r="I10" i="51"/>
  <c r="D10" i="51"/>
  <c r="K10" i="51"/>
  <c r="I9" i="51"/>
  <c r="D9" i="51"/>
  <c r="I8" i="51"/>
  <c r="D8" i="51"/>
  <c r="K8" i="51" s="1"/>
  <c r="I7" i="51"/>
  <c r="D7" i="51"/>
  <c r="N62" i="50"/>
  <c r="M62" i="50"/>
  <c r="N52" i="50"/>
  <c r="M52" i="50"/>
  <c r="F44" i="50"/>
  <c r="E44" i="50"/>
  <c r="D44" i="50"/>
  <c r="C44" i="50"/>
  <c r="B44" i="50"/>
  <c r="F43" i="50"/>
  <c r="E43" i="50"/>
  <c r="D43" i="50"/>
  <c r="C43" i="50"/>
  <c r="B43" i="50"/>
  <c r="F42" i="50"/>
  <c r="E42" i="50"/>
  <c r="D42" i="50"/>
  <c r="C42" i="50"/>
  <c r="B42" i="50"/>
  <c r="F41" i="50"/>
  <c r="E41" i="50"/>
  <c r="D41" i="50"/>
  <c r="C41" i="50"/>
  <c r="B41" i="50"/>
  <c r="F40" i="50"/>
  <c r="E40" i="50"/>
  <c r="D40" i="50"/>
  <c r="C40" i="50"/>
  <c r="B40" i="50"/>
  <c r="F39" i="50"/>
  <c r="E39" i="50"/>
  <c r="D39" i="50"/>
  <c r="C39" i="50"/>
  <c r="B39" i="50"/>
  <c r="F38" i="50"/>
  <c r="D38" i="50"/>
  <c r="B38" i="50"/>
  <c r="F37" i="50"/>
  <c r="E37" i="50"/>
  <c r="D37" i="50"/>
  <c r="C37" i="50"/>
  <c r="B37" i="50"/>
  <c r="F36" i="50"/>
  <c r="E36" i="50"/>
  <c r="D36" i="50"/>
  <c r="C36" i="50"/>
  <c r="B36" i="50"/>
  <c r="F35" i="50"/>
  <c r="E35" i="50"/>
  <c r="D35" i="50"/>
  <c r="C35" i="50"/>
  <c r="B35" i="50"/>
  <c r="F34" i="50"/>
  <c r="E34" i="50"/>
  <c r="D34" i="50"/>
  <c r="C34" i="50"/>
  <c r="B34" i="50"/>
  <c r="F33" i="50"/>
  <c r="D33" i="50"/>
  <c r="B33" i="50"/>
  <c r="F32" i="50"/>
  <c r="D32" i="50"/>
  <c r="C32" i="50"/>
  <c r="B32" i="50"/>
  <c r="F31" i="50"/>
  <c r="E31" i="50"/>
  <c r="D31" i="50"/>
  <c r="B31" i="50"/>
  <c r="F30" i="50"/>
  <c r="D30" i="50"/>
  <c r="B30" i="50"/>
  <c r="F29" i="50"/>
  <c r="E29" i="50"/>
  <c r="D29" i="50"/>
  <c r="B29" i="50"/>
  <c r="F28" i="50"/>
  <c r="E28" i="50"/>
  <c r="D28" i="50"/>
  <c r="C28" i="50"/>
  <c r="B28" i="50"/>
  <c r="F27" i="50"/>
  <c r="E27" i="50"/>
  <c r="D27" i="50"/>
  <c r="B27" i="50"/>
  <c r="F26" i="50"/>
  <c r="D26" i="50"/>
  <c r="B26" i="50"/>
  <c r="F25" i="50"/>
  <c r="D25" i="50"/>
  <c r="B25" i="50"/>
  <c r="F24" i="50"/>
  <c r="E24" i="50"/>
  <c r="D24" i="50"/>
  <c r="C24" i="50"/>
  <c r="B24" i="50"/>
  <c r="F23" i="50"/>
  <c r="E23" i="50"/>
  <c r="D23" i="50"/>
  <c r="C23" i="50"/>
  <c r="B23" i="50"/>
  <c r="F22" i="50"/>
  <c r="D22" i="50"/>
  <c r="C22" i="50"/>
  <c r="B22" i="50"/>
  <c r="F21" i="50"/>
  <c r="E21" i="50"/>
  <c r="D21" i="50"/>
  <c r="C21" i="50"/>
  <c r="B21" i="50"/>
  <c r="F20" i="50"/>
  <c r="E20" i="50"/>
  <c r="D20" i="50"/>
  <c r="C20" i="50"/>
  <c r="B20" i="50"/>
  <c r="F19" i="50"/>
  <c r="E19" i="50"/>
  <c r="D19" i="50"/>
  <c r="C19" i="50"/>
  <c r="B19" i="50"/>
  <c r="F18" i="50"/>
  <c r="E18" i="50"/>
  <c r="D18" i="50"/>
  <c r="C18" i="50"/>
  <c r="B18" i="50"/>
  <c r="F17" i="50"/>
  <c r="E17" i="50"/>
  <c r="D17" i="50"/>
  <c r="B17" i="50"/>
  <c r="F16" i="50"/>
  <c r="E16" i="50"/>
  <c r="D16" i="50"/>
  <c r="C16" i="50"/>
  <c r="B16" i="50"/>
  <c r="F15" i="50"/>
  <c r="E15" i="50"/>
  <c r="D15" i="50"/>
  <c r="C15" i="50"/>
  <c r="B15" i="50"/>
  <c r="F14" i="50"/>
  <c r="E14" i="50"/>
  <c r="D14" i="50"/>
  <c r="B14" i="50"/>
  <c r="F13" i="50"/>
  <c r="E13" i="50"/>
  <c r="D13" i="50"/>
  <c r="C13" i="50"/>
  <c r="B13" i="50"/>
  <c r="F12" i="50"/>
  <c r="E12" i="50"/>
  <c r="D12" i="50"/>
  <c r="C12" i="50"/>
  <c r="B12" i="50"/>
  <c r="F11" i="50"/>
  <c r="E11" i="50"/>
  <c r="D11" i="50"/>
  <c r="B11" i="50"/>
  <c r="F10" i="50"/>
  <c r="E10" i="50"/>
  <c r="D10" i="50"/>
  <c r="B10" i="50"/>
  <c r="F9" i="50"/>
  <c r="E9" i="50"/>
  <c r="D9" i="50"/>
  <c r="C9" i="50"/>
  <c r="B9" i="50"/>
  <c r="F8" i="50"/>
  <c r="E8" i="50"/>
  <c r="D8" i="50"/>
  <c r="C8" i="50"/>
  <c r="B8" i="50"/>
  <c r="F7" i="50"/>
  <c r="E7" i="50"/>
  <c r="D7" i="50"/>
  <c r="C7" i="50"/>
  <c r="B7" i="50"/>
  <c r="F6" i="50"/>
  <c r="D6" i="50"/>
  <c r="B6" i="50"/>
  <c r="F5" i="50"/>
  <c r="E5" i="50"/>
  <c r="D5" i="50"/>
  <c r="C5" i="50"/>
  <c r="B5" i="50"/>
  <c r="C17" i="48"/>
  <c r="C18" i="48"/>
  <c r="E18" i="48"/>
  <c r="C19" i="48"/>
  <c r="E19" i="48"/>
  <c r="C20" i="48"/>
  <c r="E20" i="48"/>
  <c r="C21" i="48"/>
  <c r="E21" i="48"/>
  <c r="C22" i="48"/>
  <c r="D22" i="48"/>
  <c r="D29" i="48" s="1"/>
  <c r="C23" i="48"/>
  <c r="C24" i="48"/>
  <c r="C25" i="48"/>
  <c r="C95" i="48"/>
  <c r="C94" i="48"/>
  <c r="C93" i="48"/>
  <c r="C92" i="48"/>
  <c r="C91" i="48"/>
  <c r="C90" i="48"/>
  <c r="C89" i="48"/>
  <c r="C88" i="48"/>
  <c r="C87" i="48"/>
  <c r="C86" i="48"/>
  <c r="C85" i="48"/>
  <c r="C84" i="48"/>
  <c r="C83" i="48"/>
  <c r="C82" i="48"/>
  <c r="C81" i="48"/>
  <c r="D77" i="48"/>
  <c r="D78" i="48" s="1"/>
  <c r="C77" i="48"/>
  <c r="C76" i="48"/>
  <c r="C75" i="48"/>
  <c r="C74" i="48"/>
  <c r="C73" i="48"/>
  <c r="C72" i="48"/>
  <c r="C71" i="48"/>
  <c r="C70" i="48"/>
  <c r="E69" i="48"/>
  <c r="C69" i="48"/>
  <c r="E68" i="48"/>
  <c r="C68" i="48"/>
  <c r="D66" i="48"/>
  <c r="C65" i="48"/>
  <c r="C64" i="48"/>
  <c r="C63" i="48"/>
  <c r="C62" i="48"/>
  <c r="C61" i="48"/>
  <c r="C60" i="48"/>
  <c r="C59" i="48"/>
  <c r="C58" i="48"/>
  <c r="E57" i="48"/>
  <c r="C57" i="48"/>
  <c r="C56" i="48"/>
  <c r="C55" i="48"/>
  <c r="C54" i="48"/>
  <c r="C53" i="48"/>
  <c r="C52" i="48"/>
  <c r="D50" i="48"/>
  <c r="D51" i="48"/>
  <c r="C50" i="48"/>
  <c r="C49" i="48"/>
  <c r="C48" i="48"/>
  <c r="C47" i="48"/>
  <c r="C46" i="48"/>
  <c r="C45" i="48"/>
  <c r="C44" i="48"/>
  <c r="C43" i="48"/>
  <c r="C42" i="48"/>
  <c r="C41" i="48"/>
  <c r="C40" i="48"/>
  <c r="C39" i="48"/>
  <c r="C38" i="48"/>
  <c r="C37" i="48"/>
  <c r="C36" i="48"/>
  <c r="C35" i="48"/>
  <c r="C34" i="48"/>
  <c r="C33" i="48"/>
  <c r="C32" i="48"/>
  <c r="C31" i="48"/>
  <c r="C28" i="48"/>
  <c r="C27" i="48"/>
  <c r="C26" i="48"/>
  <c r="C16" i="48"/>
  <c r="C15" i="48"/>
  <c r="C14" i="48"/>
  <c r="C13" i="48"/>
  <c r="C12" i="48"/>
  <c r="C11" i="48"/>
  <c r="C7" i="48"/>
  <c r="C2" i="48"/>
  <c r="C285" i="8"/>
  <c r="C286" i="8" s="1"/>
  <c r="C243" i="8"/>
  <c r="C228" i="8"/>
  <c r="C229" i="8"/>
  <c r="C217" i="8"/>
  <c r="C53" i="8"/>
  <c r="C194" i="8"/>
  <c r="C195" i="8"/>
  <c r="C197" i="8" s="1"/>
  <c r="C182" i="8"/>
  <c r="C168" i="8"/>
  <c r="C169" i="8"/>
  <c r="C158" i="8"/>
  <c r="C136" i="8"/>
  <c r="C143" i="8" s="1"/>
  <c r="C128" i="8"/>
  <c r="C124" i="8"/>
  <c r="C112" i="8"/>
  <c r="C108" i="8"/>
  <c r="C69" i="8"/>
  <c r="C70" i="8" s="1"/>
  <c r="C24" i="8"/>
  <c r="C32" i="8" s="1"/>
  <c r="C20" i="8"/>
  <c r="B87" i="17"/>
  <c r="B85" i="17"/>
  <c r="B243" i="34" s="1"/>
  <c r="B84" i="17"/>
  <c r="B83" i="17"/>
  <c r="B241" i="34" s="1"/>
  <c r="G241" i="34" s="1"/>
  <c r="B81" i="17"/>
  <c r="B239" i="34" s="1"/>
  <c r="G239" i="34" s="1"/>
  <c r="B79" i="17"/>
  <c r="B142" i="15"/>
  <c r="B141" i="15"/>
  <c r="B140" i="15"/>
  <c r="E140" i="15" s="1"/>
  <c r="H140" i="15" s="1"/>
  <c r="B139" i="15"/>
  <c r="E139" i="15" s="1"/>
  <c r="H139" i="15" s="1"/>
  <c r="B138" i="15"/>
  <c r="B136" i="15"/>
  <c r="B135" i="15"/>
  <c r="B134" i="15"/>
  <c r="B132" i="15"/>
  <c r="B75" i="15"/>
  <c r="B74" i="15"/>
  <c r="B73" i="15"/>
  <c r="B72" i="15"/>
  <c r="B71" i="15"/>
  <c r="B69" i="15"/>
  <c r="B68" i="15"/>
  <c r="B67" i="15"/>
  <c r="B66" i="15"/>
  <c r="B65" i="15"/>
  <c r="B39" i="14"/>
  <c r="B38" i="14"/>
  <c r="B30" i="34" s="1"/>
  <c r="B37" i="14"/>
  <c r="B35" i="14"/>
  <c r="B93" i="17"/>
  <c r="M17" i="22"/>
  <c r="L17" i="22"/>
  <c r="P42" i="21" s="1"/>
  <c r="K17" i="22"/>
  <c r="J17" i="22"/>
  <c r="I17" i="22"/>
  <c r="M42" i="21" s="1"/>
  <c r="H17" i="22"/>
  <c r="G17" i="22"/>
  <c r="F17" i="22"/>
  <c r="J42" i="21" s="1"/>
  <c r="E17" i="22"/>
  <c r="D17" i="22"/>
  <c r="H42" i="21" s="1"/>
  <c r="C17" i="22"/>
  <c r="B17" i="22"/>
  <c r="M12" i="22"/>
  <c r="L12" i="22"/>
  <c r="K12" i="22"/>
  <c r="J12" i="22"/>
  <c r="I12" i="22"/>
  <c r="H12" i="22"/>
  <c r="G12" i="22"/>
  <c r="F12" i="22"/>
  <c r="E12" i="22"/>
  <c r="D12" i="22"/>
  <c r="C12" i="22"/>
  <c r="B12" i="22"/>
  <c r="M9" i="22"/>
  <c r="L9" i="22"/>
  <c r="K9" i="22"/>
  <c r="J9" i="22"/>
  <c r="I9" i="22"/>
  <c r="H9" i="22"/>
  <c r="G9" i="22"/>
  <c r="F9" i="22"/>
  <c r="E9" i="22"/>
  <c r="D9" i="22"/>
  <c r="C9" i="22"/>
  <c r="B9" i="22"/>
  <c r="M7" i="22"/>
  <c r="L7" i="22"/>
  <c r="K7" i="22"/>
  <c r="J7" i="22"/>
  <c r="N44" i="21" s="1"/>
  <c r="N55" i="21" s="1"/>
  <c r="I7" i="22"/>
  <c r="H7" i="22"/>
  <c r="L44" i="21" s="1"/>
  <c r="G7" i="22"/>
  <c r="F7" i="22"/>
  <c r="E7" i="22"/>
  <c r="D7" i="22"/>
  <c r="C7" i="22"/>
  <c r="B7" i="22"/>
  <c r="M7" i="23"/>
  <c r="L7" i="23"/>
  <c r="K7" i="23"/>
  <c r="J7" i="23"/>
  <c r="I7" i="23"/>
  <c r="H7" i="23"/>
  <c r="G7" i="23"/>
  <c r="F7" i="23"/>
  <c r="E7" i="23"/>
  <c r="D7" i="23"/>
  <c r="C7" i="23"/>
  <c r="B7" i="23"/>
  <c r="V4" i="38"/>
  <c r="V4" i="36"/>
  <c r="V4" i="34"/>
  <c r="T4" i="34"/>
  <c r="E17" i="7"/>
  <c r="Q2" i="8" s="1"/>
  <c r="C17" i="7"/>
  <c r="Q3" i="8" s="1"/>
  <c r="E16" i="7"/>
  <c r="P2" i="8" s="1"/>
  <c r="C16" i="7"/>
  <c r="P3" i="8" s="1"/>
  <c r="P291" i="8" s="1"/>
  <c r="X291" i="8" s="1"/>
  <c r="E15" i="7"/>
  <c r="O2" i="8" s="1"/>
  <c r="C15" i="7"/>
  <c r="O3" i="8" s="1"/>
  <c r="O291" i="8" s="1"/>
  <c r="E14" i="7"/>
  <c r="N2" i="8"/>
  <c r="C14" i="7"/>
  <c r="N3" i="8" s="1"/>
  <c r="N291" i="8" s="1"/>
  <c r="V291" i="8" s="1"/>
  <c r="C10" i="7"/>
  <c r="F284" i="9"/>
  <c r="N36" i="18"/>
  <c r="M36" i="18"/>
  <c r="L36" i="18"/>
  <c r="K36" i="18"/>
  <c r="J36" i="18"/>
  <c r="I36" i="18"/>
  <c r="H36" i="18"/>
  <c r="G36" i="18"/>
  <c r="F36" i="18"/>
  <c r="E36" i="18"/>
  <c r="D36" i="18"/>
  <c r="C36" i="18"/>
  <c r="N45" i="18"/>
  <c r="M45" i="18"/>
  <c r="L45" i="18"/>
  <c r="K45" i="18"/>
  <c r="J45" i="18"/>
  <c r="I45" i="18"/>
  <c r="H45" i="18"/>
  <c r="G45" i="18"/>
  <c r="F45" i="18"/>
  <c r="E45" i="18"/>
  <c r="D45" i="18"/>
  <c r="C45" i="18"/>
  <c r="N40" i="18"/>
  <c r="M40" i="18"/>
  <c r="L40" i="18"/>
  <c r="K40" i="18"/>
  <c r="J40" i="18"/>
  <c r="I40" i="18"/>
  <c r="H40" i="18"/>
  <c r="G40" i="18"/>
  <c r="F40" i="18"/>
  <c r="E40" i="18"/>
  <c r="D40" i="18"/>
  <c r="C40" i="18"/>
  <c r="N39" i="18"/>
  <c r="M39" i="18"/>
  <c r="L39" i="18"/>
  <c r="K39" i="18"/>
  <c r="J39" i="18"/>
  <c r="I39" i="18"/>
  <c r="H39" i="18"/>
  <c r="G39" i="18"/>
  <c r="F39" i="18"/>
  <c r="E39" i="18"/>
  <c r="D39" i="18"/>
  <c r="C39" i="18"/>
  <c r="N38" i="18"/>
  <c r="M38" i="18"/>
  <c r="L38" i="18"/>
  <c r="K38" i="18"/>
  <c r="J38" i="18"/>
  <c r="I38" i="18"/>
  <c r="H38" i="18"/>
  <c r="G38" i="18"/>
  <c r="F38" i="18"/>
  <c r="E38" i="18"/>
  <c r="D38" i="18"/>
  <c r="C38" i="18"/>
  <c r="N37" i="18"/>
  <c r="M37" i="18"/>
  <c r="L37" i="18"/>
  <c r="K37" i="18"/>
  <c r="J37" i="18"/>
  <c r="I37" i="18"/>
  <c r="H37" i="18"/>
  <c r="G37" i="18"/>
  <c r="F37" i="18"/>
  <c r="E37" i="18"/>
  <c r="D37" i="18"/>
  <c r="C37" i="18"/>
  <c r="N34" i="18"/>
  <c r="M34" i="18"/>
  <c r="L34" i="18"/>
  <c r="K34" i="18"/>
  <c r="J34" i="18"/>
  <c r="I34" i="18"/>
  <c r="H34" i="18"/>
  <c r="G34" i="18"/>
  <c r="F34" i="18"/>
  <c r="E34" i="18"/>
  <c r="D34" i="18"/>
  <c r="C34" i="18"/>
  <c r="N33" i="18"/>
  <c r="M33" i="18"/>
  <c r="L33" i="18"/>
  <c r="K33" i="18"/>
  <c r="J33" i="18"/>
  <c r="I33" i="18"/>
  <c r="H33" i="18"/>
  <c r="G33" i="18"/>
  <c r="F33" i="18"/>
  <c r="E33" i="18"/>
  <c r="D33" i="18"/>
  <c r="C33" i="18"/>
  <c r="N26" i="18"/>
  <c r="M26" i="18"/>
  <c r="L26" i="18"/>
  <c r="K26" i="18"/>
  <c r="J26" i="18"/>
  <c r="I26" i="18"/>
  <c r="H26" i="18"/>
  <c r="G26" i="18"/>
  <c r="F26" i="18"/>
  <c r="E26" i="18"/>
  <c r="D26" i="18"/>
  <c r="C26" i="18"/>
  <c r="N25" i="18"/>
  <c r="M25" i="18"/>
  <c r="L25" i="18"/>
  <c r="K25" i="18"/>
  <c r="J25" i="18"/>
  <c r="I25" i="18"/>
  <c r="H25" i="18"/>
  <c r="G25" i="18"/>
  <c r="F25" i="18"/>
  <c r="E25" i="18"/>
  <c r="D25" i="18"/>
  <c r="C25" i="18"/>
  <c r="N24" i="18"/>
  <c r="M24" i="18"/>
  <c r="L24" i="18"/>
  <c r="K24" i="18"/>
  <c r="J24" i="18"/>
  <c r="I24" i="18"/>
  <c r="H24" i="18"/>
  <c r="G24" i="18"/>
  <c r="F24" i="18"/>
  <c r="E24" i="18"/>
  <c r="D24" i="18"/>
  <c r="C24" i="18"/>
  <c r="N22" i="18"/>
  <c r="M22" i="18"/>
  <c r="L22" i="18"/>
  <c r="K22" i="18"/>
  <c r="J22" i="18"/>
  <c r="I22" i="18"/>
  <c r="H22" i="18"/>
  <c r="G22" i="18"/>
  <c r="F22" i="18"/>
  <c r="E22" i="18"/>
  <c r="D22" i="18"/>
  <c r="C22" i="18"/>
  <c r="N20" i="18"/>
  <c r="M20" i="18"/>
  <c r="L20" i="18"/>
  <c r="K20" i="18"/>
  <c r="J20" i="18"/>
  <c r="I20" i="18"/>
  <c r="H20" i="18"/>
  <c r="G20" i="18"/>
  <c r="F20" i="18"/>
  <c r="E20" i="18"/>
  <c r="D20" i="18"/>
  <c r="C20" i="18"/>
  <c r="N19" i="18"/>
  <c r="M19" i="18"/>
  <c r="L19" i="18"/>
  <c r="L23" i="18" s="1"/>
  <c r="K19" i="18"/>
  <c r="J19" i="18"/>
  <c r="I19" i="18"/>
  <c r="H19" i="18"/>
  <c r="G19" i="18"/>
  <c r="F19" i="18"/>
  <c r="E19" i="18"/>
  <c r="D19" i="18"/>
  <c r="C19" i="18"/>
  <c r="N18" i="18"/>
  <c r="M18" i="18"/>
  <c r="L18" i="18"/>
  <c r="K18" i="18"/>
  <c r="J18" i="18"/>
  <c r="I18" i="18"/>
  <c r="H18" i="18"/>
  <c r="G18" i="18"/>
  <c r="F18" i="18"/>
  <c r="E18" i="18"/>
  <c r="D18" i="18"/>
  <c r="C18" i="18"/>
  <c r="N17" i="18"/>
  <c r="M17" i="18"/>
  <c r="L17" i="18"/>
  <c r="K17" i="18"/>
  <c r="J17" i="18"/>
  <c r="I17" i="18"/>
  <c r="H17" i="18"/>
  <c r="G17" i="18"/>
  <c r="F17" i="18"/>
  <c r="E17" i="18"/>
  <c r="D17" i="18"/>
  <c r="C17" i="18"/>
  <c r="N11" i="18"/>
  <c r="M11" i="18"/>
  <c r="L11" i="18"/>
  <c r="K11" i="18"/>
  <c r="J11" i="18"/>
  <c r="I11" i="18"/>
  <c r="H11" i="18"/>
  <c r="G11" i="18"/>
  <c r="F11" i="18"/>
  <c r="E11" i="18"/>
  <c r="D11" i="18"/>
  <c r="C11" i="18"/>
  <c r="N10" i="18"/>
  <c r="M10" i="18"/>
  <c r="L10" i="18"/>
  <c r="K10" i="18"/>
  <c r="J10" i="18"/>
  <c r="I10" i="18"/>
  <c r="H10" i="18"/>
  <c r="G10" i="18"/>
  <c r="F10" i="18"/>
  <c r="E10" i="18"/>
  <c r="D10" i="18"/>
  <c r="C10" i="18"/>
  <c r="N8" i="18"/>
  <c r="M8" i="18"/>
  <c r="L8" i="18"/>
  <c r="K8" i="18"/>
  <c r="J8" i="18"/>
  <c r="I8" i="18"/>
  <c r="H8" i="18"/>
  <c r="G8" i="18"/>
  <c r="F8" i="18"/>
  <c r="E8" i="18"/>
  <c r="D8" i="18"/>
  <c r="C8" i="18"/>
  <c r="N7" i="18"/>
  <c r="M7" i="18"/>
  <c r="L7" i="18"/>
  <c r="K7" i="18"/>
  <c r="J7" i="18"/>
  <c r="I7" i="18"/>
  <c r="H7" i="18"/>
  <c r="G7" i="18"/>
  <c r="F7" i="18"/>
  <c r="E7" i="18"/>
  <c r="D7" i="18"/>
  <c r="C7" i="18"/>
  <c r="N6" i="18"/>
  <c r="M6" i="18"/>
  <c r="L6" i="18"/>
  <c r="K6" i="18"/>
  <c r="J6" i="18"/>
  <c r="I6" i="18"/>
  <c r="H6" i="18"/>
  <c r="G6" i="18"/>
  <c r="F6" i="18"/>
  <c r="E6" i="18"/>
  <c r="D6" i="18"/>
  <c r="C6" i="18"/>
  <c r="N5" i="18"/>
  <c r="N13" i="18" s="1"/>
  <c r="M5" i="18"/>
  <c r="L5" i="18"/>
  <c r="L13" i="18"/>
  <c r="K5" i="18"/>
  <c r="J5" i="18"/>
  <c r="I5" i="18"/>
  <c r="H5" i="18"/>
  <c r="H13" i="18" s="1"/>
  <c r="G5" i="18"/>
  <c r="F5" i="18"/>
  <c r="E5" i="18"/>
  <c r="D5" i="18"/>
  <c r="C5" i="18"/>
  <c r="B64" i="17"/>
  <c r="B52" i="17"/>
  <c r="B46" i="17"/>
  <c r="B40" i="17"/>
  <c r="C40" i="17" s="1"/>
  <c r="B28" i="17"/>
  <c r="B186" i="34" s="1"/>
  <c r="B63" i="17"/>
  <c r="C63" i="17" s="1"/>
  <c r="B51" i="17"/>
  <c r="B209" i="34" s="1"/>
  <c r="B50" i="17"/>
  <c r="E50" i="17" s="1"/>
  <c r="B49" i="17"/>
  <c r="B45" i="17"/>
  <c r="B43" i="17"/>
  <c r="B38" i="17"/>
  <c r="B37" i="17"/>
  <c r="E37" i="17" s="1"/>
  <c r="F47" i="29"/>
  <c r="F49" i="29" s="1"/>
  <c r="F43" i="29"/>
  <c r="F41" i="29"/>
  <c r="F39" i="29"/>
  <c r="F33" i="29"/>
  <c r="F29" i="29"/>
  <c r="F31" i="29" s="1"/>
  <c r="F21" i="29"/>
  <c r="F19" i="29"/>
  <c r="F13" i="29"/>
  <c r="T60" i="29"/>
  <c r="T59" i="29"/>
  <c r="T47" i="29"/>
  <c r="T49" i="29"/>
  <c r="T43" i="29"/>
  <c r="T41" i="29"/>
  <c r="T39" i="29"/>
  <c r="T35" i="29"/>
  <c r="T33" i="29"/>
  <c r="T30" i="29"/>
  <c r="T29" i="29"/>
  <c r="T20" i="29"/>
  <c r="T19" i="29"/>
  <c r="T23" i="29" s="1"/>
  <c r="T17" i="29"/>
  <c r="T14" i="29"/>
  <c r="O60" i="29"/>
  <c r="O59" i="29"/>
  <c r="O56" i="29"/>
  <c r="O55" i="29"/>
  <c r="O47" i="29"/>
  <c r="O49" i="29" s="1"/>
  <c r="O43" i="29"/>
  <c r="O41" i="29"/>
  <c r="O39" i="29"/>
  <c r="O37" i="29"/>
  <c r="O35" i="29"/>
  <c r="O33" i="29"/>
  <c r="O30" i="29"/>
  <c r="O29" i="29"/>
  <c r="O22" i="29"/>
  <c r="O21" i="29"/>
  <c r="O19" i="29"/>
  <c r="O17" i="29"/>
  <c r="O12" i="29"/>
  <c r="O11" i="29"/>
  <c r="O8" i="29"/>
  <c r="O6" i="29"/>
  <c r="L60" i="29"/>
  <c r="L59" i="29"/>
  <c r="L47" i="29"/>
  <c r="L49" i="29" s="1"/>
  <c r="L43" i="29"/>
  <c r="L41" i="29"/>
  <c r="L39" i="29"/>
  <c r="L37" i="29"/>
  <c r="L35" i="29"/>
  <c r="L33" i="29"/>
  <c r="L30" i="29"/>
  <c r="L29" i="29"/>
  <c r="L31" i="29" s="1"/>
  <c r="L45" i="29" s="1"/>
  <c r="L51" i="29" s="1"/>
  <c r="L17" i="29"/>
  <c r="L23" i="29" s="1"/>
  <c r="L9" i="29"/>
  <c r="L8" i="29"/>
  <c r="L6" i="29"/>
  <c r="J60" i="29"/>
  <c r="J59" i="29"/>
  <c r="J56" i="29"/>
  <c r="J55" i="29"/>
  <c r="J47" i="29"/>
  <c r="J49" i="29"/>
  <c r="J43" i="29"/>
  <c r="J41" i="29"/>
  <c r="J39" i="29"/>
  <c r="J37" i="29"/>
  <c r="J35" i="29"/>
  <c r="J33" i="29"/>
  <c r="J30" i="29"/>
  <c r="J29" i="29"/>
  <c r="J22" i="29"/>
  <c r="J19" i="29"/>
  <c r="J17" i="29"/>
  <c r="J13" i="29"/>
  <c r="J12" i="29"/>
  <c r="J11" i="29"/>
  <c r="J9" i="29"/>
  <c r="J8" i="29"/>
  <c r="J6" i="29"/>
  <c r="H60" i="29"/>
  <c r="H59" i="29"/>
  <c r="H61" i="29"/>
  <c r="H56" i="29"/>
  <c r="H55" i="29"/>
  <c r="H47" i="29"/>
  <c r="H49" i="29"/>
  <c r="H43" i="29"/>
  <c r="H41" i="29"/>
  <c r="H39" i="29"/>
  <c r="H37" i="29"/>
  <c r="H35" i="29"/>
  <c r="H33" i="29"/>
  <c r="H30" i="29"/>
  <c r="H29" i="29"/>
  <c r="H22" i="29"/>
  <c r="H19" i="29"/>
  <c r="H17" i="29"/>
  <c r="H13" i="29"/>
  <c r="H12" i="29"/>
  <c r="H11" i="29"/>
  <c r="H9" i="29"/>
  <c r="H8" i="29"/>
  <c r="H6" i="29"/>
  <c r="B129" i="15"/>
  <c r="C62" i="67" s="1"/>
  <c r="D62" i="67" s="1"/>
  <c r="E62" i="67" s="1"/>
  <c r="B128" i="15"/>
  <c r="C61" i="67" s="1"/>
  <c r="D61" i="67" s="1"/>
  <c r="E61" i="67" s="1"/>
  <c r="B127" i="15"/>
  <c r="C60" i="67" s="1"/>
  <c r="D60" i="67" s="1"/>
  <c r="E60" i="67" s="1"/>
  <c r="B125" i="15"/>
  <c r="C58" i="67" s="1"/>
  <c r="D58" i="67" s="1"/>
  <c r="E58" i="67" s="1"/>
  <c r="B124" i="15"/>
  <c r="C57" i="67" s="1"/>
  <c r="D57" i="67" s="1"/>
  <c r="E57" i="67" s="1"/>
  <c r="B115" i="15"/>
  <c r="C48" i="67" s="1"/>
  <c r="D48" i="67" s="1"/>
  <c r="B114" i="15"/>
  <c r="C47" i="67" s="1"/>
  <c r="D47" i="67" s="1"/>
  <c r="E47" i="67" s="1"/>
  <c r="B113" i="15"/>
  <c r="C46" i="67" s="1"/>
  <c r="D46" i="67" s="1"/>
  <c r="E46" i="67" s="1"/>
  <c r="B108" i="15"/>
  <c r="C41" i="67" s="1"/>
  <c r="D41" i="67" s="1"/>
  <c r="B107" i="15"/>
  <c r="C40" i="67" s="1"/>
  <c r="D40" i="67" s="1"/>
  <c r="B99" i="15"/>
  <c r="C32" i="67"/>
  <c r="D32" i="67" s="1"/>
  <c r="B98" i="15"/>
  <c r="C31" i="67" s="1"/>
  <c r="D31" i="67" s="1"/>
  <c r="E31" i="67" s="1"/>
  <c r="B89" i="15"/>
  <c r="C22" i="67" s="1"/>
  <c r="D22" i="67" s="1"/>
  <c r="E22" i="67" s="1"/>
  <c r="B88" i="15"/>
  <c r="C21" i="67" s="1"/>
  <c r="D21" i="67" s="1"/>
  <c r="B86" i="15"/>
  <c r="C19" i="67" s="1"/>
  <c r="D19" i="67" s="1"/>
  <c r="E19" i="67" s="1"/>
  <c r="B84" i="15"/>
  <c r="C17" i="67" s="1"/>
  <c r="B82" i="15"/>
  <c r="C82" i="15"/>
  <c r="K82" i="15" s="1"/>
  <c r="B61" i="15"/>
  <c r="B60" i="15"/>
  <c r="B59" i="15"/>
  <c r="B56" i="15"/>
  <c r="B55" i="15"/>
  <c r="B54" i="15"/>
  <c r="B46" i="15"/>
  <c r="B45" i="15"/>
  <c r="B44" i="15"/>
  <c r="B43" i="15"/>
  <c r="B40" i="15"/>
  <c r="C40" i="15" s="1"/>
  <c r="B39" i="15"/>
  <c r="B38" i="15"/>
  <c r="B37" i="15"/>
  <c r="C37" i="15" s="1"/>
  <c r="B30" i="15"/>
  <c r="B56" i="34" s="1"/>
  <c r="B29" i="15"/>
  <c r="B28" i="15"/>
  <c r="B18" i="15"/>
  <c r="C18" i="15" s="1"/>
  <c r="B17" i="15"/>
  <c r="B14" i="15"/>
  <c r="B40" i="34"/>
  <c r="B13" i="15"/>
  <c r="B39" i="34"/>
  <c r="B11" i="15"/>
  <c r="B10" i="15"/>
  <c r="B9" i="15"/>
  <c r="D1" i="40"/>
  <c r="I4" i="17"/>
  <c r="I5" i="17"/>
  <c r="H5" i="17"/>
  <c r="H4" i="17"/>
  <c r="L13" i="34"/>
  <c r="L23" i="34" s="1"/>
  <c r="H100" i="10"/>
  <c r="L100" i="10"/>
  <c r="H14" i="48" s="1"/>
  <c r="O252" i="30"/>
  <c r="O251" i="30"/>
  <c r="O250" i="30"/>
  <c r="O249" i="30"/>
  <c r="O248" i="30"/>
  <c r="O247" i="30"/>
  <c r="O246" i="30"/>
  <c r="O245" i="30"/>
  <c r="O244" i="30"/>
  <c r="E96" i="48"/>
  <c r="O243" i="30"/>
  <c r="O242" i="30"/>
  <c r="O241" i="30"/>
  <c r="O240" i="30"/>
  <c r="O239" i="30"/>
  <c r="O238" i="30"/>
  <c r="O237" i="30"/>
  <c r="O236" i="30"/>
  <c r="O235" i="30"/>
  <c r="E92" i="48" s="1"/>
  <c r="O234" i="30"/>
  <c r="O233" i="30"/>
  <c r="E90" i="48"/>
  <c r="O232" i="30"/>
  <c r="O231" i="30"/>
  <c r="E88" i="48" s="1"/>
  <c r="O230" i="30"/>
  <c r="O229" i="30"/>
  <c r="O228" i="30"/>
  <c r="E85" i="48" s="1"/>
  <c r="O227" i="30"/>
  <c r="O226" i="30"/>
  <c r="O225" i="30"/>
  <c r="O224" i="30"/>
  <c r="O223" i="30"/>
  <c r="O222" i="30"/>
  <c r="O221" i="30"/>
  <c r="O220" i="30"/>
  <c r="O219" i="30"/>
  <c r="O218" i="30"/>
  <c r="O217" i="30"/>
  <c r="O216" i="30"/>
  <c r="E82" i="48"/>
  <c r="O215" i="30"/>
  <c r="O214" i="30"/>
  <c r="O213" i="30"/>
  <c r="O212" i="30"/>
  <c r="O211" i="30"/>
  <c r="O210" i="30"/>
  <c r="O209" i="30"/>
  <c r="O208" i="30"/>
  <c r="O207" i="30"/>
  <c r="O206" i="30"/>
  <c r="O205" i="30"/>
  <c r="O204" i="30"/>
  <c r="O203" i="30"/>
  <c r="O202" i="30"/>
  <c r="O201" i="30"/>
  <c r="O200" i="30"/>
  <c r="O199" i="30"/>
  <c r="O198" i="30"/>
  <c r="E77" i="48" s="1"/>
  <c r="O197" i="30"/>
  <c r="O196" i="30"/>
  <c r="E75" i="48" s="1"/>
  <c r="O195" i="30"/>
  <c r="E74" i="48"/>
  <c r="O194" i="30"/>
  <c r="O193" i="30"/>
  <c r="O192" i="30"/>
  <c r="O191" i="30"/>
  <c r="E70" i="48" s="1"/>
  <c r="G70" i="48" s="1"/>
  <c r="O190" i="30"/>
  <c r="O189" i="30"/>
  <c r="E65" i="48" s="1"/>
  <c r="O188" i="30"/>
  <c r="E64" i="48" s="1"/>
  <c r="O187" i="30"/>
  <c r="E63" i="48" s="1"/>
  <c r="O186" i="30"/>
  <c r="E62" i="48"/>
  <c r="O185" i="30"/>
  <c r="O184" i="30"/>
  <c r="O183" i="30"/>
  <c r="O182" i="30"/>
  <c r="E58" i="48"/>
  <c r="O181" i="30"/>
  <c r="O180" i="30"/>
  <c r="O179" i="30"/>
  <c r="O178" i="30"/>
  <c r="O177" i="30"/>
  <c r="O176" i="30"/>
  <c r="O175" i="30"/>
  <c r="O174" i="30"/>
  <c r="O173" i="30"/>
  <c r="O172" i="30"/>
  <c r="O171" i="30"/>
  <c r="O170" i="30"/>
  <c r="O169" i="30"/>
  <c r="O168" i="30"/>
  <c r="E46" i="48"/>
  <c r="O167" i="30"/>
  <c r="E45" i="48" s="1"/>
  <c r="O166" i="30"/>
  <c r="E44" i="48"/>
  <c r="O165" i="30"/>
  <c r="O164" i="30"/>
  <c r="E42" i="48" s="1"/>
  <c r="O163" i="30"/>
  <c r="O162" i="30"/>
  <c r="O161" i="30"/>
  <c r="O160" i="30"/>
  <c r="O159" i="30"/>
  <c r="E41" i="48"/>
  <c r="O158" i="30"/>
  <c r="O157" i="30"/>
  <c r="O156" i="30"/>
  <c r="O155" i="30"/>
  <c r="O154" i="30"/>
  <c r="O153" i="30"/>
  <c r="O152" i="30"/>
  <c r="O151" i="30"/>
  <c r="O150" i="30"/>
  <c r="O149" i="30"/>
  <c r="O148" i="30"/>
  <c r="E39" i="48"/>
  <c r="O147" i="30"/>
  <c r="E38" i="48" s="1"/>
  <c r="O146" i="30"/>
  <c r="O145" i="30"/>
  <c r="O144" i="30"/>
  <c r="O143" i="30"/>
  <c r="E35" i="48"/>
  <c r="O142" i="30"/>
  <c r="O141" i="30"/>
  <c r="O140" i="30"/>
  <c r="O139" i="30"/>
  <c r="O138" i="30"/>
  <c r="O137" i="30"/>
  <c r="O136" i="30"/>
  <c r="O135" i="30"/>
  <c r="O134" i="30"/>
  <c r="E34" i="48" s="1"/>
  <c r="O133" i="30"/>
  <c r="E33" i="48"/>
  <c r="O132" i="30"/>
  <c r="O131" i="30"/>
  <c r="E31" i="48" s="1"/>
  <c r="O130" i="30"/>
  <c r="O129" i="30"/>
  <c r="O128" i="30"/>
  <c r="O127" i="30"/>
  <c r="E28" i="48"/>
  <c r="O126" i="30"/>
  <c r="O125" i="30"/>
  <c r="E26" i="48" s="1"/>
  <c r="O124" i="30"/>
  <c r="O123" i="30"/>
  <c r="E24" i="48" s="1"/>
  <c r="O122" i="30"/>
  <c r="O121" i="30"/>
  <c r="E22" i="48"/>
  <c r="O120" i="30"/>
  <c r="O119" i="30"/>
  <c r="O118" i="30"/>
  <c r="O117" i="30"/>
  <c r="O116" i="30"/>
  <c r="O115" i="30"/>
  <c r="O114" i="30"/>
  <c r="O113" i="30"/>
  <c r="O112" i="30"/>
  <c r="O111" i="30"/>
  <c r="O110" i="30"/>
  <c r="E16" i="48"/>
  <c r="O109" i="30"/>
  <c r="O108" i="30"/>
  <c r="O107" i="30"/>
  <c r="O106" i="30"/>
  <c r="O105" i="30"/>
  <c r="O104" i="30"/>
  <c r="O103" i="30"/>
  <c r="O102" i="30"/>
  <c r="O101" i="30"/>
  <c r="O100" i="30"/>
  <c r="O99" i="30"/>
  <c r="O98" i="30"/>
  <c r="O97" i="30"/>
  <c r="O96" i="30"/>
  <c r="O95" i="30"/>
  <c r="O94" i="30"/>
  <c r="O93" i="30"/>
  <c r="O92" i="30"/>
  <c r="O91" i="30"/>
  <c r="O90" i="30"/>
  <c r="O89" i="30"/>
  <c r="O88" i="30"/>
  <c r="O87" i="30"/>
  <c r="O86" i="30"/>
  <c r="O85" i="30"/>
  <c r="O84" i="30"/>
  <c r="O83" i="30"/>
  <c r="O82" i="30"/>
  <c r="O81" i="30"/>
  <c r="O80" i="30"/>
  <c r="O79" i="30"/>
  <c r="O78" i="30"/>
  <c r="O77" i="30"/>
  <c r="O76" i="30"/>
  <c r="O75" i="30"/>
  <c r="O74" i="30"/>
  <c r="O73" i="30"/>
  <c r="O72" i="30"/>
  <c r="O71" i="30"/>
  <c r="O70" i="30"/>
  <c r="E13" i="48" s="1"/>
  <c r="O69" i="30"/>
  <c r="O68" i="30"/>
  <c r="O67" i="30"/>
  <c r="O66" i="30"/>
  <c r="O65" i="30"/>
  <c r="O64" i="30"/>
  <c r="O63" i="30"/>
  <c r="O62" i="30"/>
  <c r="E12" i="48" s="1"/>
  <c r="O61" i="30"/>
  <c r="O60" i="30"/>
  <c r="O59" i="30"/>
  <c r="O58" i="30"/>
  <c r="O57" i="30"/>
  <c r="O56" i="30"/>
  <c r="O55" i="30"/>
  <c r="O54" i="30"/>
  <c r="O53" i="30"/>
  <c r="O52" i="30"/>
  <c r="O51" i="30"/>
  <c r="O50" i="30"/>
  <c r="O49" i="30"/>
  <c r="O48" i="30"/>
  <c r="O47" i="30"/>
  <c r="O46" i="30"/>
  <c r="O45" i="30"/>
  <c r="O44" i="30"/>
  <c r="O43" i="30"/>
  <c r="O42" i="30"/>
  <c r="O41" i="30"/>
  <c r="O40" i="30"/>
  <c r="O39" i="30"/>
  <c r="O38" i="30"/>
  <c r="O37" i="30"/>
  <c r="O36" i="30"/>
  <c r="O35" i="30"/>
  <c r="O34" i="30"/>
  <c r="O33" i="30"/>
  <c r="O32" i="30"/>
  <c r="O31" i="30"/>
  <c r="O30" i="30"/>
  <c r="O29" i="30"/>
  <c r="O28" i="30"/>
  <c r="O27" i="30"/>
  <c r="O26" i="30"/>
  <c r="O25" i="30"/>
  <c r="O24" i="30"/>
  <c r="O23" i="30"/>
  <c r="O22" i="30"/>
  <c r="O21" i="30"/>
  <c r="O20" i="30"/>
  <c r="O19" i="30"/>
  <c r="O18" i="30"/>
  <c r="O17" i="30"/>
  <c r="O16" i="30"/>
  <c r="O15" i="30"/>
  <c r="O14" i="30"/>
  <c r="O13" i="30"/>
  <c r="O12" i="30"/>
  <c r="O11" i="30"/>
  <c r="O10" i="30"/>
  <c r="O9" i="30"/>
  <c r="O8" i="30"/>
  <c r="O7" i="30"/>
  <c r="E160" i="34"/>
  <c r="E161" i="34"/>
  <c r="E162" i="34"/>
  <c r="E163" i="34"/>
  <c r="E164" i="34"/>
  <c r="E165" i="34"/>
  <c r="E166" i="34"/>
  <c r="E167" i="34"/>
  <c r="E101" i="34"/>
  <c r="Z36" i="39"/>
  <c r="AA36" i="39"/>
  <c r="Z35" i="39"/>
  <c r="AA35" i="39" s="1"/>
  <c r="Z34" i="39"/>
  <c r="AA34" i="39"/>
  <c r="E33" i="14"/>
  <c r="H33" i="14" s="1"/>
  <c r="E72" i="14"/>
  <c r="H72" i="14"/>
  <c r="A33" i="14"/>
  <c r="D14" i="38"/>
  <c r="E14" i="38"/>
  <c r="AY14" i="38"/>
  <c r="H14" i="38"/>
  <c r="AW14" i="38" s="1"/>
  <c r="G14" i="38"/>
  <c r="S142" i="8"/>
  <c r="S141" i="8"/>
  <c r="S140" i="8"/>
  <c r="S139" i="8"/>
  <c r="S138" i="8"/>
  <c r="S137" i="8"/>
  <c r="S136" i="8"/>
  <c r="S135" i="8"/>
  <c r="S134" i="8"/>
  <c r="S133" i="8"/>
  <c r="S132" i="8"/>
  <c r="S131" i="8"/>
  <c r="E76" i="15"/>
  <c r="H76" i="15" s="1"/>
  <c r="E143" i="15"/>
  <c r="H143" i="15"/>
  <c r="D70" i="14"/>
  <c r="D62" i="14"/>
  <c r="D63" i="14" s="1"/>
  <c r="D60" i="14"/>
  <c r="D68" i="14"/>
  <c r="D69" i="14" s="1"/>
  <c r="D32" i="5" s="1"/>
  <c r="E10" i="38"/>
  <c r="H10" i="38"/>
  <c r="AW10" i="38" s="1"/>
  <c r="Q9" i="36"/>
  <c r="Q10" i="36"/>
  <c r="F38" i="21"/>
  <c r="F66" i="21" s="1"/>
  <c r="E10" i="36"/>
  <c r="H10" i="36"/>
  <c r="AW10" i="36"/>
  <c r="B24" i="18"/>
  <c r="B39" i="18" s="1"/>
  <c r="B71" i="14"/>
  <c r="B69" i="14"/>
  <c r="B63" i="14"/>
  <c r="B32" i="14"/>
  <c r="B30" i="14"/>
  <c r="B28" i="14"/>
  <c r="B27" i="14"/>
  <c r="B26" i="14"/>
  <c r="E26" i="14"/>
  <c r="B25" i="14"/>
  <c r="B22" i="34" s="1"/>
  <c r="B20" i="14"/>
  <c r="B19" i="14"/>
  <c r="B18" i="14"/>
  <c r="B17" i="14"/>
  <c r="B16" i="14"/>
  <c r="B15" i="14"/>
  <c r="A10" i="36"/>
  <c r="A10" i="38"/>
  <c r="I13" i="22"/>
  <c r="I18" i="22"/>
  <c r="M97" i="21"/>
  <c r="J13" i="22"/>
  <c r="J18" i="22" s="1"/>
  <c r="K13" i="22"/>
  <c r="K18" i="22"/>
  <c r="L13" i="22"/>
  <c r="M13" i="22"/>
  <c r="M18" i="22"/>
  <c r="Q97" i="21"/>
  <c r="B13" i="22"/>
  <c r="C13" i="22" s="1"/>
  <c r="H13" i="22"/>
  <c r="H18" i="22"/>
  <c r="L97" i="21" s="1"/>
  <c r="Q9" i="38"/>
  <c r="H9" i="36"/>
  <c r="AW9" i="36"/>
  <c r="P12" i="33"/>
  <c r="Q19" i="24"/>
  <c r="Q18" i="24"/>
  <c r="Q17" i="24"/>
  <c r="Q16" i="24"/>
  <c r="Q15" i="24"/>
  <c r="Q14" i="24"/>
  <c r="Q13" i="24"/>
  <c r="Q12" i="24"/>
  <c r="Q11" i="24"/>
  <c r="Q10" i="24"/>
  <c r="Q9" i="24"/>
  <c r="Q8" i="24"/>
  <c r="O19" i="24"/>
  <c r="O18" i="24"/>
  <c r="O17" i="24"/>
  <c r="O16" i="24"/>
  <c r="O15" i="24"/>
  <c r="O14" i="24"/>
  <c r="O13" i="24"/>
  <c r="O12" i="24"/>
  <c r="O11" i="24"/>
  <c r="O10" i="24"/>
  <c r="O9" i="24"/>
  <c r="O8" i="24"/>
  <c r="F244" i="10"/>
  <c r="G244" i="10"/>
  <c r="H244" i="10"/>
  <c r="I244" i="10"/>
  <c r="J244" i="10"/>
  <c r="K244" i="10"/>
  <c r="C244" i="10"/>
  <c r="D244" i="10"/>
  <c r="E241" i="10"/>
  <c r="L241" i="10"/>
  <c r="E238" i="10"/>
  <c r="L238" i="10" s="1"/>
  <c r="E234" i="10"/>
  <c r="L234" i="10"/>
  <c r="E233" i="10"/>
  <c r="L233" i="10" s="1"/>
  <c r="E215" i="10"/>
  <c r="L215" i="10"/>
  <c r="E211" i="10"/>
  <c r="L211" i="10" s="1"/>
  <c r="E206" i="10"/>
  <c r="C146" i="10"/>
  <c r="E85" i="10"/>
  <c r="L85" i="10" s="1"/>
  <c r="E80" i="10"/>
  <c r="L80" i="10"/>
  <c r="E75" i="10"/>
  <c r="L75" i="10" s="1"/>
  <c r="E65" i="10"/>
  <c r="L65" i="10"/>
  <c r="E60" i="10"/>
  <c r="L60" i="10" s="1"/>
  <c r="E56" i="10"/>
  <c r="L56" i="10"/>
  <c r="E48" i="10"/>
  <c r="L48" i="10" s="1"/>
  <c r="E44" i="10"/>
  <c r="L44" i="10"/>
  <c r="E39" i="10"/>
  <c r="D98" i="10"/>
  <c r="D141" i="10" s="1"/>
  <c r="D143" i="10" s="1"/>
  <c r="E98" i="10"/>
  <c r="E141" i="10" s="1"/>
  <c r="F98" i="10"/>
  <c r="G98" i="10"/>
  <c r="G141" i="10"/>
  <c r="G143" i="10" s="1"/>
  <c r="H98" i="10"/>
  <c r="H141" i="10"/>
  <c r="H143" i="10"/>
  <c r="I98" i="10"/>
  <c r="I141" i="10" s="1"/>
  <c r="I143" i="10" s="1"/>
  <c r="J98" i="10"/>
  <c r="J141" i="10" s="1"/>
  <c r="J143" i="10" s="1"/>
  <c r="K98" i="10"/>
  <c r="K141" i="10"/>
  <c r="K143" i="10" s="1"/>
  <c r="C98" i="10"/>
  <c r="C141" i="10"/>
  <c r="C143" i="10"/>
  <c r="F87" i="10"/>
  <c r="F127" i="10" s="1"/>
  <c r="F129" i="10" s="1"/>
  <c r="G87" i="10"/>
  <c r="G127" i="10" s="1"/>
  <c r="G129" i="10" s="1"/>
  <c r="H87" i="10"/>
  <c r="H127" i="10"/>
  <c r="H129" i="10" s="1"/>
  <c r="I87" i="10"/>
  <c r="I127" i="10"/>
  <c r="I129" i="10"/>
  <c r="J87" i="10"/>
  <c r="J127" i="10" s="1"/>
  <c r="J129" i="10" s="1"/>
  <c r="K87" i="10"/>
  <c r="K127" i="10" s="1"/>
  <c r="K129" i="10" s="1"/>
  <c r="C87" i="10"/>
  <c r="D87" i="10"/>
  <c r="D127" i="10" s="1"/>
  <c r="D129" i="10" s="1"/>
  <c r="K6" i="43"/>
  <c r="L6" i="43"/>
  <c r="M6" i="43"/>
  <c r="N6" i="43"/>
  <c r="O6" i="43"/>
  <c r="K7" i="43"/>
  <c r="L7" i="43"/>
  <c r="M7" i="43"/>
  <c r="N7" i="43"/>
  <c r="O7" i="43"/>
  <c r="K8" i="43"/>
  <c r="L8" i="43"/>
  <c r="M8" i="43"/>
  <c r="N8" i="43"/>
  <c r="O8" i="43"/>
  <c r="K9" i="43"/>
  <c r="L9" i="43"/>
  <c r="M9" i="43"/>
  <c r="N9" i="43"/>
  <c r="O9" i="43"/>
  <c r="K10" i="43"/>
  <c r="L10" i="43"/>
  <c r="M10" i="43"/>
  <c r="N10" i="43"/>
  <c r="O10" i="43"/>
  <c r="K11" i="43"/>
  <c r="L11" i="43"/>
  <c r="M11" i="43"/>
  <c r="N11" i="43"/>
  <c r="O11" i="43"/>
  <c r="K12" i="43"/>
  <c r="L12" i="43"/>
  <c r="M12" i="43"/>
  <c r="N12" i="43"/>
  <c r="O12" i="43"/>
  <c r="K13" i="43"/>
  <c r="L13" i="43"/>
  <c r="M13" i="43"/>
  <c r="N13" i="43"/>
  <c r="O13" i="43"/>
  <c r="K14" i="43"/>
  <c r="L14" i="43"/>
  <c r="M14" i="43"/>
  <c r="N14" i="43"/>
  <c r="O14" i="43"/>
  <c r="K15" i="43"/>
  <c r="L15" i="43"/>
  <c r="M15" i="43"/>
  <c r="N15" i="43"/>
  <c r="O15" i="43"/>
  <c r="K16" i="43"/>
  <c r="L16" i="43"/>
  <c r="M16" i="43"/>
  <c r="N16" i="43"/>
  <c r="O16" i="43"/>
  <c r="K17" i="43"/>
  <c r="L17" i="43"/>
  <c r="M17" i="43"/>
  <c r="N17" i="43"/>
  <c r="O17" i="43"/>
  <c r="K18" i="43"/>
  <c r="L18" i="43"/>
  <c r="M18" i="43"/>
  <c r="N18" i="43"/>
  <c r="O18" i="43"/>
  <c r="K19" i="43"/>
  <c r="L19" i="43"/>
  <c r="M19" i="43"/>
  <c r="N19" i="43"/>
  <c r="O19" i="43"/>
  <c r="K20" i="43"/>
  <c r="L20" i="43"/>
  <c r="M20" i="43"/>
  <c r="N20" i="43"/>
  <c r="O20" i="43"/>
  <c r="K21" i="43"/>
  <c r="L21" i="43"/>
  <c r="M21" i="43"/>
  <c r="N21" i="43"/>
  <c r="O21" i="43"/>
  <c r="K22" i="43"/>
  <c r="L22" i="43"/>
  <c r="M22" i="43"/>
  <c r="N22" i="43"/>
  <c r="O22" i="43"/>
  <c r="K23" i="43"/>
  <c r="L23" i="43"/>
  <c r="M23" i="43"/>
  <c r="N23" i="43"/>
  <c r="O23" i="43"/>
  <c r="K24" i="43"/>
  <c r="L24" i="43"/>
  <c r="M24" i="43"/>
  <c r="N24" i="43"/>
  <c r="O24" i="43"/>
  <c r="K25" i="43"/>
  <c r="L25" i="43"/>
  <c r="M25" i="43"/>
  <c r="N25" i="43"/>
  <c r="O25" i="43"/>
  <c r="K26" i="43"/>
  <c r="L26" i="43"/>
  <c r="M26" i="43"/>
  <c r="N26" i="43"/>
  <c r="O26" i="43"/>
  <c r="K27" i="43"/>
  <c r="L27" i="43"/>
  <c r="M27" i="43"/>
  <c r="N27" i="43"/>
  <c r="O27" i="43"/>
  <c r="K28" i="43"/>
  <c r="L28" i="43"/>
  <c r="M28" i="43"/>
  <c r="N28" i="43"/>
  <c r="O28" i="43"/>
  <c r="K29" i="43"/>
  <c r="L29" i="43"/>
  <c r="M29" i="43"/>
  <c r="N29" i="43"/>
  <c r="O29" i="43"/>
  <c r="K30" i="43"/>
  <c r="L30" i="43"/>
  <c r="M30" i="43"/>
  <c r="N30" i="43"/>
  <c r="O30" i="43"/>
  <c r="K31" i="43"/>
  <c r="L31" i="43"/>
  <c r="M31" i="43"/>
  <c r="N31" i="43"/>
  <c r="O31" i="43"/>
  <c r="K32" i="43"/>
  <c r="L32" i="43"/>
  <c r="M32" i="43"/>
  <c r="N32" i="43"/>
  <c r="O32" i="43"/>
  <c r="K33" i="43"/>
  <c r="L33" i="43"/>
  <c r="M33" i="43"/>
  <c r="N33" i="43"/>
  <c r="O33" i="43"/>
  <c r="K34" i="43"/>
  <c r="L34" i="43"/>
  <c r="M34" i="43"/>
  <c r="N34" i="43"/>
  <c r="O34" i="43"/>
  <c r="K35" i="43"/>
  <c r="L35" i="43"/>
  <c r="M35" i="43"/>
  <c r="N35" i="43"/>
  <c r="O35" i="43"/>
  <c r="K36" i="43"/>
  <c r="L36" i="43"/>
  <c r="M36" i="43"/>
  <c r="N36" i="43"/>
  <c r="O36" i="43"/>
  <c r="K37" i="43"/>
  <c r="L37" i="43"/>
  <c r="M37" i="43"/>
  <c r="N37" i="43"/>
  <c r="O37" i="43"/>
  <c r="K38" i="43"/>
  <c r="L38" i="43"/>
  <c r="M38" i="43"/>
  <c r="N38" i="43"/>
  <c r="O38" i="43"/>
  <c r="K39" i="43"/>
  <c r="L39" i="43"/>
  <c r="M39" i="43"/>
  <c r="N39" i="43"/>
  <c r="O39" i="43"/>
  <c r="K40" i="43"/>
  <c r="L40" i="43"/>
  <c r="M40" i="43"/>
  <c r="N40" i="43"/>
  <c r="O40" i="43"/>
  <c r="K41" i="43"/>
  <c r="L41" i="43"/>
  <c r="M41" i="43"/>
  <c r="N41" i="43"/>
  <c r="O41" i="43"/>
  <c r="K42" i="43"/>
  <c r="L42" i="43"/>
  <c r="M42" i="43"/>
  <c r="N42" i="43"/>
  <c r="O42" i="43"/>
  <c r="K43" i="43"/>
  <c r="L43" i="43"/>
  <c r="M43" i="43"/>
  <c r="N43" i="43"/>
  <c r="O43" i="43"/>
  <c r="K44" i="43"/>
  <c r="L44" i="43"/>
  <c r="M44" i="43"/>
  <c r="N44" i="43"/>
  <c r="O44" i="43"/>
  <c r="K45" i="43"/>
  <c r="L45" i="43"/>
  <c r="M45" i="43"/>
  <c r="N45" i="43"/>
  <c r="O45" i="43"/>
  <c r="K46" i="43"/>
  <c r="L46" i="43"/>
  <c r="M46" i="43"/>
  <c r="N46" i="43"/>
  <c r="O46" i="43"/>
  <c r="K47" i="43"/>
  <c r="L47" i="43"/>
  <c r="M47" i="43"/>
  <c r="N47" i="43"/>
  <c r="O47" i="43"/>
  <c r="K48" i="43"/>
  <c r="L48" i="43"/>
  <c r="M48" i="43"/>
  <c r="N48" i="43"/>
  <c r="O48" i="43"/>
  <c r="K49" i="43"/>
  <c r="L49" i="43"/>
  <c r="M49" i="43"/>
  <c r="N49" i="43"/>
  <c r="O49" i="43"/>
  <c r="K50" i="43"/>
  <c r="L50" i="43"/>
  <c r="M50" i="43"/>
  <c r="N50" i="43"/>
  <c r="O50" i="43"/>
  <c r="K51" i="43"/>
  <c r="L51" i="43"/>
  <c r="M51" i="43"/>
  <c r="N51" i="43"/>
  <c r="O51" i="43"/>
  <c r="K52" i="43"/>
  <c r="L52" i="43"/>
  <c r="M52" i="43"/>
  <c r="N52" i="43"/>
  <c r="O52" i="43"/>
  <c r="K53" i="43"/>
  <c r="L53" i="43"/>
  <c r="M53" i="43"/>
  <c r="N53" i="43"/>
  <c r="O53" i="43"/>
  <c r="K54" i="43"/>
  <c r="L54" i="43"/>
  <c r="M54" i="43"/>
  <c r="N54" i="43"/>
  <c r="O54" i="43"/>
  <c r="K55" i="43"/>
  <c r="L55" i="43"/>
  <c r="M55" i="43"/>
  <c r="N55" i="43"/>
  <c r="O55" i="43"/>
  <c r="K56" i="43"/>
  <c r="L56" i="43"/>
  <c r="M56" i="43"/>
  <c r="N56" i="43"/>
  <c r="O56" i="43"/>
  <c r="K57" i="43"/>
  <c r="L57" i="43"/>
  <c r="M57" i="43"/>
  <c r="N57" i="43"/>
  <c r="O57" i="43"/>
  <c r="K58" i="43"/>
  <c r="L58" i="43"/>
  <c r="M58" i="43"/>
  <c r="N58" i="43"/>
  <c r="O58" i="43"/>
  <c r="K59" i="43"/>
  <c r="L59" i="43"/>
  <c r="M59" i="43"/>
  <c r="N59" i="43"/>
  <c r="O59" i="43"/>
  <c r="K60" i="43"/>
  <c r="L60" i="43"/>
  <c r="M60" i="43"/>
  <c r="N60" i="43"/>
  <c r="O60" i="43"/>
  <c r="K61" i="43"/>
  <c r="L61" i="43"/>
  <c r="M61" i="43"/>
  <c r="N61" i="43"/>
  <c r="O61" i="43"/>
  <c r="K62" i="43"/>
  <c r="L62" i="43"/>
  <c r="M62" i="43"/>
  <c r="N62" i="43"/>
  <c r="O62" i="43"/>
  <c r="K63" i="43"/>
  <c r="L63" i="43"/>
  <c r="M63" i="43"/>
  <c r="N63" i="43"/>
  <c r="O63" i="43"/>
  <c r="K64" i="43"/>
  <c r="L64" i="43"/>
  <c r="M64" i="43"/>
  <c r="N64" i="43"/>
  <c r="O64" i="43"/>
  <c r="K65" i="43"/>
  <c r="L65" i="43"/>
  <c r="M65" i="43"/>
  <c r="N65" i="43"/>
  <c r="O65" i="43"/>
  <c r="K66" i="43"/>
  <c r="L66" i="43"/>
  <c r="M66" i="43"/>
  <c r="N66" i="43"/>
  <c r="O66" i="43"/>
  <c r="K67" i="43"/>
  <c r="L67" i="43"/>
  <c r="M67" i="43"/>
  <c r="N67" i="43"/>
  <c r="O67" i="43"/>
  <c r="K68" i="43"/>
  <c r="L68" i="43"/>
  <c r="M68" i="43"/>
  <c r="N68" i="43"/>
  <c r="O68" i="43"/>
  <c r="K69" i="43"/>
  <c r="L69" i="43"/>
  <c r="M69" i="43"/>
  <c r="N69" i="43"/>
  <c r="O69" i="43"/>
  <c r="K70" i="43"/>
  <c r="L70" i="43"/>
  <c r="M70" i="43"/>
  <c r="N70" i="43"/>
  <c r="O70" i="43"/>
  <c r="K71" i="43"/>
  <c r="L71" i="43"/>
  <c r="M71" i="43"/>
  <c r="N71" i="43"/>
  <c r="O71" i="43"/>
  <c r="K72" i="43"/>
  <c r="L72" i="43"/>
  <c r="M72" i="43"/>
  <c r="N72" i="43"/>
  <c r="O72" i="43"/>
  <c r="K73" i="43"/>
  <c r="L73" i="43"/>
  <c r="M73" i="43"/>
  <c r="N73" i="43"/>
  <c r="O73" i="43"/>
  <c r="K74" i="43"/>
  <c r="L74" i="43"/>
  <c r="M74" i="43"/>
  <c r="N74" i="43"/>
  <c r="O74" i="43"/>
  <c r="K75" i="43"/>
  <c r="L75" i="43"/>
  <c r="M75" i="43"/>
  <c r="N75" i="43"/>
  <c r="O75" i="43"/>
  <c r="K76" i="43"/>
  <c r="L76" i="43"/>
  <c r="M76" i="43"/>
  <c r="N76" i="43"/>
  <c r="O76" i="43"/>
  <c r="K77" i="43"/>
  <c r="L77" i="43"/>
  <c r="M77" i="43"/>
  <c r="N77" i="43"/>
  <c r="O77" i="43"/>
  <c r="K78" i="43"/>
  <c r="L78" i="43"/>
  <c r="M78" i="43"/>
  <c r="N78" i="43"/>
  <c r="O78" i="43"/>
  <c r="K79" i="43"/>
  <c r="L79" i="43"/>
  <c r="M79" i="43"/>
  <c r="N79" i="43"/>
  <c r="O79" i="43"/>
  <c r="K80" i="43"/>
  <c r="L80" i="43"/>
  <c r="M80" i="43"/>
  <c r="N80" i="43"/>
  <c r="O80" i="43"/>
  <c r="K81" i="43"/>
  <c r="L81" i="43"/>
  <c r="M81" i="43"/>
  <c r="N81" i="43"/>
  <c r="O81" i="43"/>
  <c r="K82" i="43"/>
  <c r="L82" i="43"/>
  <c r="M82" i="43"/>
  <c r="N82" i="43"/>
  <c r="O82" i="43"/>
  <c r="K83" i="43"/>
  <c r="L83" i="43"/>
  <c r="M83" i="43"/>
  <c r="N83" i="43"/>
  <c r="O83" i="43"/>
  <c r="K84" i="43"/>
  <c r="L84" i="43"/>
  <c r="M84" i="43"/>
  <c r="N84" i="43"/>
  <c r="O84" i="43"/>
  <c r="K85" i="43"/>
  <c r="L85" i="43"/>
  <c r="M85" i="43"/>
  <c r="N85" i="43"/>
  <c r="O85" i="43"/>
  <c r="K86" i="43"/>
  <c r="L86" i="43"/>
  <c r="M86" i="43"/>
  <c r="N86" i="43"/>
  <c r="O86" i="43"/>
  <c r="K87" i="43"/>
  <c r="L87" i="43"/>
  <c r="M87" i="43"/>
  <c r="N87" i="43"/>
  <c r="O87" i="43"/>
  <c r="K88" i="43"/>
  <c r="L88" i="43"/>
  <c r="M88" i="43"/>
  <c r="N88" i="43"/>
  <c r="O88" i="43"/>
  <c r="K89" i="43"/>
  <c r="L89" i="43"/>
  <c r="M89" i="43"/>
  <c r="N89" i="43"/>
  <c r="O89" i="43"/>
  <c r="K90" i="43"/>
  <c r="L90" i="43"/>
  <c r="M90" i="43"/>
  <c r="N90" i="43"/>
  <c r="O90" i="43"/>
  <c r="K91" i="43"/>
  <c r="L91" i="43"/>
  <c r="M91" i="43"/>
  <c r="N91" i="43"/>
  <c r="O91" i="43"/>
  <c r="K92" i="43"/>
  <c r="L92" i="43"/>
  <c r="M92" i="43"/>
  <c r="N92" i="43"/>
  <c r="O92" i="43"/>
  <c r="K93" i="43"/>
  <c r="L93" i="43"/>
  <c r="M93" i="43"/>
  <c r="N93" i="43"/>
  <c r="O93" i="43"/>
  <c r="K94" i="43"/>
  <c r="L94" i="43"/>
  <c r="M94" i="43"/>
  <c r="N94" i="43"/>
  <c r="O94" i="43"/>
  <c r="K95" i="43"/>
  <c r="L95" i="43"/>
  <c r="M95" i="43"/>
  <c r="N95" i="43"/>
  <c r="O95" i="43"/>
  <c r="K96" i="43"/>
  <c r="L96" i="43"/>
  <c r="M96" i="43"/>
  <c r="N96" i="43"/>
  <c r="O96" i="43"/>
  <c r="K97" i="43"/>
  <c r="L97" i="43"/>
  <c r="M97" i="43"/>
  <c r="N97" i="43"/>
  <c r="O97" i="43"/>
  <c r="K98" i="43"/>
  <c r="L98" i="43"/>
  <c r="M98" i="43"/>
  <c r="N98" i="43"/>
  <c r="O98" i="43"/>
  <c r="K99" i="43"/>
  <c r="L99" i="43"/>
  <c r="M99" i="43"/>
  <c r="N99" i="43"/>
  <c r="O99" i="43"/>
  <c r="K100" i="43"/>
  <c r="L100" i="43"/>
  <c r="M100" i="43"/>
  <c r="N100" i="43"/>
  <c r="O100" i="43"/>
  <c r="K101" i="43"/>
  <c r="L101" i="43"/>
  <c r="M101" i="43"/>
  <c r="N101" i="43"/>
  <c r="O101" i="43"/>
  <c r="K102" i="43"/>
  <c r="L102" i="43"/>
  <c r="M102" i="43"/>
  <c r="N102" i="43"/>
  <c r="O102" i="43"/>
  <c r="K103" i="43"/>
  <c r="L103" i="43"/>
  <c r="M103" i="43"/>
  <c r="N103" i="43"/>
  <c r="O103" i="43"/>
  <c r="K104" i="43"/>
  <c r="L104" i="43"/>
  <c r="M104" i="43"/>
  <c r="N104" i="43"/>
  <c r="O104" i="43"/>
  <c r="K105" i="43"/>
  <c r="L105" i="43"/>
  <c r="M105" i="43"/>
  <c r="N105" i="43"/>
  <c r="O105" i="43"/>
  <c r="K106" i="43"/>
  <c r="L106" i="43"/>
  <c r="M106" i="43"/>
  <c r="N106" i="43"/>
  <c r="O106" i="43"/>
  <c r="K107" i="43"/>
  <c r="L107" i="43"/>
  <c r="M107" i="43"/>
  <c r="N107" i="43"/>
  <c r="O107" i="43"/>
  <c r="O5" i="43"/>
  <c r="N5" i="43"/>
  <c r="M5" i="43"/>
  <c r="L5" i="43"/>
  <c r="O78" i="41"/>
  <c r="O79" i="41"/>
  <c r="O80" i="41"/>
  <c r="O81" i="41"/>
  <c r="O82" i="41"/>
  <c r="O83" i="41"/>
  <c r="O84" i="41"/>
  <c r="O85" i="41"/>
  <c r="O86" i="41"/>
  <c r="O87" i="41"/>
  <c r="O88" i="41"/>
  <c r="O89" i="41"/>
  <c r="O90" i="41"/>
  <c r="O91" i="41"/>
  <c r="O92" i="41"/>
  <c r="O93" i="41"/>
  <c r="O94" i="41"/>
  <c r="O95" i="41"/>
  <c r="O96" i="41"/>
  <c r="O97" i="41"/>
  <c r="O98" i="41"/>
  <c r="O99" i="41"/>
  <c r="O100" i="41"/>
  <c r="O101" i="41"/>
  <c r="O102" i="41"/>
  <c r="O103" i="41"/>
  <c r="O104" i="41"/>
  <c r="O6" i="41"/>
  <c r="O7" i="41"/>
  <c r="O8" i="41"/>
  <c r="O9" i="41"/>
  <c r="O10" i="41"/>
  <c r="O11" i="41"/>
  <c r="O12" i="41"/>
  <c r="O13" i="41"/>
  <c r="O14" i="41"/>
  <c r="O15" i="41"/>
  <c r="O16" i="41"/>
  <c r="O17" i="41"/>
  <c r="O18" i="41"/>
  <c r="O19" i="41"/>
  <c r="O20" i="41"/>
  <c r="O21" i="41"/>
  <c r="O22" i="41"/>
  <c r="O23" i="41"/>
  <c r="O24" i="41"/>
  <c r="O25" i="41"/>
  <c r="O26" i="41"/>
  <c r="O27" i="41"/>
  <c r="O28" i="41"/>
  <c r="O29" i="41"/>
  <c r="O30" i="41"/>
  <c r="O31" i="41"/>
  <c r="O32" i="41"/>
  <c r="O33" i="41"/>
  <c r="O34" i="41"/>
  <c r="O35" i="41"/>
  <c r="O36" i="41"/>
  <c r="O37" i="41"/>
  <c r="O38" i="41"/>
  <c r="O39" i="41"/>
  <c r="O40" i="41"/>
  <c r="O41" i="41"/>
  <c r="O42" i="41"/>
  <c r="O43" i="41"/>
  <c r="O44" i="41"/>
  <c r="O45" i="41"/>
  <c r="O46" i="41"/>
  <c r="O47" i="41"/>
  <c r="O48" i="41"/>
  <c r="O49" i="41"/>
  <c r="O50" i="41"/>
  <c r="O51" i="41"/>
  <c r="O52" i="41"/>
  <c r="O53" i="41"/>
  <c r="O54" i="41"/>
  <c r="O55" i="41"/>
  <c r="O56" i="41"/>
  <c r="O57" i="41"/>
  <c r="O58" i="41"/>
  <c r="O59" i="41"/>
  <c r="O60" i="41"/>
  <c r="O61" i="41"/>
  <c r="O62" i="41"/>
  <c r="O63" i="41"/>
  <c r="O64" i="41"/>
  <c r="O65" i="41"/>
  <c r="O66" i="41"/>
  <c r="O67" i="41"/>
  <c r="O68" i="41"/>
  <c r="O69" i="41"/>
  <c r="O70" i="41"/>
  <c r="O71" i="41"/>
  <c r="O72" i="41"/>
  <c r="O73" i="41"/>
  <c r="O74" i="41"/>
  <c r="O75" i="41"/>
  <c r="O76" i="41"/>
  <c r="O77" i="41"/>
  <c r="O5" i="41"/>
  <c r="J59" i="42"/>
  <c r="J60" i="42"/>
  <c r="J61" i="42"/>
  <c r="K6" i="42"/>
  <c r="L6" i="42"/>
  <c r="M6" i="42"/>
  <c r="K7" i="42"/>
  <c r="L7" i="42"/>
  <c r="M7" i="42"/>
  <c r="K8" i="42"/>
  <c r="L8" i="42"/>
  <c r="M8" i="42"/>
  <c r="K9" i="42"/>
  <c r="L9" i="42"/>
  <c r="M9" i="42"/>
  <c r="K10" i="42"/>
  <c r="L10" i="42"/>
  <c r="M10" i="42"/>
  <c r="K11" i="42"/>
  <c r="L11" i="42"/>
  <c r="M11" i="42"/>
  <c r="K12" i="42"/>
  <c r="L12" i="42"/>
  <c r="M12" i="42"/>
  <c r="K13" i="42"/>
  <c r="L13" i="42"/>
  <c r="M13" i="42"/>
  <c r="K14" i="42"/>
  <c r="L14" i="42"/>
  <c r="M14" i="42"/>
  <c r="K15" i="42"/>
  <c r="L15" i="42"/>
  <c r="M15" i="42"/>
  <c r="K16" i="42"/>
  <c r="L16" i="42"/>
  <c r="M16" i="42"/>
  <c r="K17" i="42"/>
  <c r="L17" i="42"/>
  <c r="M17" i="42"/>
  <c r="K18" i="42"/>
  <c r="L18" i="42"/>
  <c r="M18" i="42"/>
  <c r="K19" i="42"/>
  <c r="L19" i="42"/>
  <c r="M19" i="42"/>
  <c r="K20" i="42"/>
  <c r="L20" i="42"/>
  <c r="M20" i="42"/>
  <c r="K21" i="42"/>
  <c r="L21" i="42"/>
  <c r="M21" i="42"/>
  <c r="K22" i="42"/>
  <c r="L22" i="42"/>
  <c r="M22" i="42"/>
  <c r="K23" i="42"/>
  <c r="L23" i="42"/>
  <c r="M23" i="42"/>
  <c r="K24" i="42"/>
  <c r="L24" i="42"/>
  <c r="M24" i="42"/>
  <c r="K25" i="42"/>
  <c r="L25" i="42"/>
  <c r="M25" i="42"/>
  <c r="K26" i="42"/>
  <c r="L26" i="42"/>
  <c r="M26" i="42"/>
  <c r="K27" i="42"/>
  <c r="L27" i="42"/>
  <c r="M27" i="42"/>
  <c r="K28" i="42"/>
  <c r="L28" i="42"/>
  <c r="M28" i="42"/>
  <c r="K29" i="42"/>
  <c r="L29" i="42"/>
  <c r="M29" i="42"/>
  <c r="K30" i="42"/>
  <c r="L30" i="42"/>
  <c r="M30" i="42"/>
  <c r="K31" i="42"/>
  <c r="L31" i="42"/>
  <c r="M31" i="42"/>
  <c r="K32" i="42"/>
  <c r="L32" i="42"/>
  <c r="M32" i="42"/>
  <c r="K33" i="42"/>
  <c r="L33" i="42"/>
  <c r="M33" i="42"/>
  <c r="K34" i="42"/>
  <c r="L34" i="42"/>
  <c r="M34" i="42"/>
  <c r="K35" i="42"/>
  <c r="L35" i="42"/>
  <c r="M35" i="42"/>
  <c r="K36" i="42"/>
  <c r="L36" i="42"/>
  <c r="M36" i="42"/>
  <c r="K37" i="42"/>
  <c r="L37" i="42"/>
  <c r="M37" i="42"/>
  <c r="K38" i="42"/>
  <c r="L38" i="42"/>
  <c r="M38" i="42"/>
  <c r="K39" i="42"/>
  <c r="L39" i="42"/>
  <c r="M39" i="42"/>
  <c r="K40" i="42"/>
  <c r="L40" i="42"/>
  <c r="M40" i="42"/>
  <c r="K41" i="42"/>
  <c r="L41" i="42"/>
  <c r="M41" i="42"/>
  <c r="K42" i="42"/>
  <c r="L42" i="42"/>
  <c r="M42" i="42"/>
  <c r="K43" i="42"/>
  <c r="L43" i="42"/>
  <c r="M43" i="42"/>
  <c r="K44" i="42"/>
  <c r="L44" i="42"/>
  <c r="M44" i="42"/>
  <c r="K45" i="42"/>
  <c r="L45" i="42"/>
  <c r="M45" i="42"/>
  <c r="K46" i="42"/>
  <c r="L46" i="42"/>
  <c r="M46" i="42"/>
  <c r="K47" i="42"/>
  <c r="L47" i="42"/>
  <c r="M47" i="42"/>
  <c r="K48" i="42"/>
  <c r="L48" i="42"/>
  <c r="M48" i="42"/>
  <c r="K49" i="42"/>
  <c r="L49" i="42"/>
  <c r="M49" i="42"/>
  <c r="K50" i="42"/>
  <c r="L50" i="42"/>
  <c r="M50" i="42"/>
  <c r="K51" i="42"/>
  <c r="L51" i="42"/>
  <c r="M51" i="42"/>
  <c r="K52" i="42"/>
  <c r="L52" i="42"/>
  <c r="M52" i="42"/>
  <c r="K53" i="42"/>
  <c r="L53" i="42"/>
  <c r="M53" i="42"/>
  <c r="K54" i="42"/>
  <c r="L54" i="42"/>
  <c r="M54" i="42"/>
  <c r="K55" i="42"/>
  <c r="L55" i="42"/>
  <c r="M55" i="42"/>
  <c r="K56" i="42"/>
  <c r="L56" i="42"/>
  <c r="M56" i="42"/>
  <c r="K57" i="42"/>
  <c r="L57" i="42"/>
  <c r="M57" i="42"/>
  <c r="K58" i="42"/>
  <c r="L58" i="42"/>
  <c r="M58" i="42"/>
  <c r="K59" i="42"/>
  <c r="L59" i="42"/>
  <c r="M59" i="42"/>
  <c r="K60" i="42"/>
  <c r="L60" i="42"/>
  <c r="M60" i="42"/>
  <c r="K61" i="42"/>
  <c r="L61" i="42"/>
  <c r="M61" i="42"/>
  <c r="M5" i="42"/>
  <c r="L5" i="42"/>
  <c r="K5" i="42"/>
  <c r="J6" i="42"/>
  <c r="J7" i="42"/>
  <c r="J8" i="42"/>
  <c r="J9" i="42"/>
  <c r="J10" i="42"/>
  <c r="J11" i="42"/>
  <c r="J12" i="42"/>
  <c r="J13" i="42"/>
  <c r="J14" i="42"/>
  <c r="J15" i="42"/>
  <c r="J16" i="42"/>
  <c r="J17" i="42"/>
  <c r="J18" i="42"/>
  <c r="J19" i="42"/>
  <c r="J20" i="42"/>
  <c r="J21" i="42"/>
  <c r="J22" i="42"/>
  <c r="J23" i="42"/>
  <c r="J24" i="42"/>
  <c r="J25" i="42"/>
  <c r="J26" i="42"/>
  <c r="J27" i="42"/>
  <c r="J28" i="42"/>
  <c r="J29" i="42"/>
  <c r="J30" i="42"/>
  <c r="J31" i="42"/>
  <c r="J32" i="42"/>
  <c r="J33" i="42"/>
  <c r="J34" i="42"/>
  <c r="J35" i="42"/>
  <c r="J36" i="42"/>
  <c r="J37" i="42"/>
  <c r="J38" i="42"/>
  <c r="J39" i="42"/>
  <c r="J40" i="42"/>
  <c r="J41" i="42"/>
  <c r="J42" i="42"/>
  <c r="J43" i="42"/>
  <c r="J44" i="42"/>
  <c r="J45" i="42"/>
  <c r="J46" i="42"/>
  <c r="J47" i="42"/>
  <c r="J48" i="42"/>
  <c r="J49" i="42"/>
  <c r="J50" i="42"/>
  <c r="J51" i="42"/>
  <c r="J52" i="42"/>
  <c r="J53" i="42"/>
  <c r="J54" i="42"/>
  <c r="J55" i="42"/>
  <c r="J56" i="42"/>
  <c r="J57" i="42"/>
  <c r="K7" i="41"/>
  <c r="K97" i="41"/>
  <c r="L97" i="41"/>
  <c r="M97" i="41"/>
  <c r="N97" i="41"/>
  <c r="K98" i="41"/>
  <c r="L98" i="41"/>
  <c r="M98" i="41"/>
  <c r="N98" i="41"/>
  <c r="K99" i="41"/>
  <c r="L99" i="41"/>
  <c r="M99" i="41"/>
  <c r="N99" i="41"/>
  <c r="K100" i="41"/>
  <c r="L100" i="41"/>
  <c r="M100" i="41"/>
  <c r="N100" i="41"/>
  <c r="K101" i="41"/>
  <c r="L101" i="41"/>
  <c r="M101" i="41"/>
  <c r="N101" i="41"/>
  <c r="K102" i="41"/>
  <c r="L102" i="41"/>
  <c r="M102" i="41"/>
  <c r="N102" i="41"/>
  <c r="K103" i="41"/>
  <c r="L103" i="41"/>
  <c r="M103" i="41"/>
  <c r="N103" i="41"/>
  <c r="K104" i="41"/>
  <c r="L104" i="41"/>
  <c r="M104" i="41"/>
  <c r="N104" i="41"/>
  <c r="K6" i="41"/>
  <c r="L6" i="41"/>
  <c r="M6" i="41"/>
  <c r="N6" i="41"/>
  <c r="L7" i="41"/>
  <c r="M7" i="41"/>
  <c r="N7" i="41"/>
  <c r="K8" i="41"/>
  <c r="L8" i="41"/>
  <c r="M8" i="41"/>
  <c r="N8" i="41"/>
  <c r="K9" i="41"/>
  <c r="L9" i="41"/>
  <c r="M9" i="41"/>
  <c r="N9" i="41"/>
  <c r="K10" i="41"/>
  <c r="L10" i="41"/>
  <c r="M10" i="41"/>
  <c r="N10" i="41"/>
  <c r="K11" i="41"/>
  <c r="L11" i="41"/>
  <c r="M11" i="41"/>
  <c r="N11" i="41"/>
  <c r="K12" i="41"/>
  <c r="L12" i="41"/>
  <c r="M12" i="41"/>
  <c r="N12" i="41"/>
  <c r="K13" i="41"/>
  <c r="L13" i="41"/>
  <c r="M13" i="41"/>
  <c r="N13" i="41"/>
  <c r="K14" i="41"/>
  <c r="L14" i="41"/>
  <c r="M14" i="41"/>
  <c r="N14" i="41"/>
  <c r="K15" i="41"/>
  <c r="L15" i="41"/>
  <c r="M15" i="41"/>
  <c r="N15" i="41"/>
  <c r="K16" i="41"/>
  <c r="L16" i="41"/>
  <c r="M16" i="41"/>
  <c r="N16" i="41"/>
  <c r="K17" i="41"/>
  <c r="L17" i="41"/>
  <c r="M17" i="41"/>
  <c r="N17" i="41"/>
  <c r="K18" i="41"/>
  <c r="L18" i="41"/>
  <c r="M18" i="41"/>
  <c r="N18" i="41"/>
  <c r="K19" i="41"/>
  <c r="L19" i="41"/>
  <c r="M19" i="41"/>
  <c r="N19" i="41"/>
  <c r="K20" i="41"/>
  <c r="L20" i="41"/>
  <c r="M20" i="41"/>
  <c r="N20" i="41"/>
  <c r="K21" i="41"/>
  <c r="L21" i="41"/>
  <c r="M21" i="41"/>
  <c r="N21" i="41"/>
  <c r="K22" i="41"/>
  <c r="L22" i="41"/>
  <c r="M22" i="41"/>
  <c r="N22" i="41"/>
  <c r="K23" i="41"/>
  <c r="L23" i="41"/>
  <c r="M23" i="41"/>
  <c r="N23" i="41"/>
  <c r="K24" i="41"/>
  <c r="L24" i="41"/>
  <c r="M24" i="41"/>
  <c r="N24" i="41"/>
  <c r="K25" i="41"/>
  <c r="L25" i="41"/>
  <c r="M25" i="41"/>
  <c r="N25" i="41"/>
  <c r="K26" i="41"/>
  <c r="L26" i="41"/>
  <c r="M26" i="41"/>
  <c r="N26" i="41"/>
  <c r="K27" i="41"/>
  <c r="L27" i="41"/>
  <c r="M27" i="41"/>
  <c r="N27" i="41"/>
  <c r="K28" i="41"/>
  <c r="L28" i="41"/>
  <c r="M28" i="41"/>
  <c r="N28" i="41"/>
  <c r="K29" i="41"/>
  <c r="L29" i="41"/>
  <c r="M29" i="41"/>
  <c r="N29" i="41"/>
  <c r="K30" i="41"/>
  <c r="L30" i="41"/>
  <c r="M30" i="41"/>
  <c r="N30" i="41"/>
  <c r="K31" i="41"/>
  <c r="L31" i="41"/>
  <c r="M31" i="41"/>
  <c r="N31" i="41"/>
  <c r="K32" i="41"/>
  <c r="L32" i="41"/>
  <c r="M32" i="41"/>
  <c r="N32" i="41"/>
  <c r="K33" i="41"/>
  <c r="L33" i="41"/>
  <c r="M33" i="41"/>
  <c r="N33" i="41"/>
  <c r="K34" i="41"/>
  <c r="L34" i="41"/>
  <c r="M34" i="41"/>
  <c r="N34" i="41"/>
  <c r="K35" i="41"/>
  <c r="L35" i="41"/>
  <c r="M35" i="41"/>
  <c r="N35" i="41"/>
  <c r="K36" i="41"/>
  <c r="L36" i="41"/>
  <c r="M36" i="41"/>
  <c r="N36" i="41"/>
  <c r="K37" i="41"/>
  <c r="L37" i="41"/>
  <c r="M37" i="41"/>
  <c r="N37" i="41"/>
  <c r="K38" i="41"/>
  <c r="L38" i="41"/>
  <c r="M38" i="41"/>
  <c r="N38" i="41"/>
  <c r="K39" i="41"/>
  <c r="L39" i="41"/>
  <c r="M39" i="41"/>
  <c r="N39" i="41"/>
  <c r="K40" i="41"/>
  <c r="L40" i="41"/>
  <c r="M40" i="41"/>
  <c r="N40" i="41"/>
  <c r="K41" i="41"/>
  <c r="L41" i="41"/>
  <c r="M41" i="41"/>
  <c r="N41" i="41"/>
  <c r="K42" i="41"/>
  <c r="L42" i="41"/>
  <c r="M42" i="41"/>
  <c r="N42" i="41"/>
  <c r="K43" i="41"/>
  <c r="L43" i="41"/>
  <c r="M43" i="41"/>
  <c r="N43" i="41"/>
  <c r="K44" i="41"/>
  <c r="L44" i="41"/>
  <c r="M44" i="41"/>
  <c r="N44" i="41"/>
  <c r="K45" i="41"/>
  <c r="L45" i="41"/>
  <c r="M45" i="41"/>
  <c r="N45" i="41"/>
  <c r="K46" i="41"/>
  <c r="L46" i="41"/>
  <c r="M46" i="41"/>
  <c r="N46" i="41"/>
  <c r="K47" i="41"/>
  <c r="L47" i="41"/>
  <c r="M47" i="41"/>
  <c r="N47" i="41"/>
  <c r="K48" i="41"/>
  <c r="L48" i="41"/>
  <c r="M48" i="41"/>
  <c r="N48" i="41"/>
  <c r="K49" i="41"/>
  <c r="L49" i="41"/>
  <c r="M49" i="41"/>
  <c r="N49" i="41"/>
  <c r="K50" i="41"/>
  <c r="L50" i="41"/>
  <c r="M50" i="41"/>
  <c r="N50" i="41"/>
  <c r="K51" i="41"/>
  <c r="L51" i="41"/>
  <c r="M51" i="41"/>
  <c r="N51" i="41"/>
  <c r="K52" i="41"/>
  <c r="L52" i="41"/>
  <c r="M52" i="41"/>
  <c r="N52" i="41"/>
  <c r="K53" i="41"/>
  <c r="L53" i="41"/>
  <c r="M53" i="41"/>
  <c r="N53" i="41"/>
  <c r="K54" i="41"/>
  <c r="L54" i="41"/>
  <c r="M54" i="41"/>
  <c r="N54" i="41"/>
  <c r="K55" i="41"/>
  <c r="L55" i="41"/>
  <c r="M55" i="41"/>
  <c r="N55" i="41"/>
  <c r="K56" i="41"/>
  <c r="L56" i="41"/>
  <c r="M56" i="41"/>
  <c r="N56" i="41"/>
  <c r="K57" i="41"/>
  <c r="L57" i="41"/>
  <c r="M57" i="41"/>
  <c r="N57" i="41"/>
  <c r="K58" i="41"/>
  <c r="L58" i="41"/>
  <c r="M58" i="41"/>
  <c r="N58" i="41"/>
  <c r="K59" i="41"/>
  <c r="L59" i="41"/>
  <c r="M59" i="41"/>
  <c r="N59" i="41"/>
  <c r="K60" i="41"/>
  <c r="L60" i="41"/>
  <c r="M60" i="41"/>
  <c r="N60" i="41"/>
  <c r="K61" i="41"/>
  <c r="L61" i="41"/>
  <c r="M61" i="41"/>
  <c r="N61" i="41"/>
  <c r="K62" i="41"/>
  <c r="L62" i="41"/>
  <c r="M62" i="41"/>
  <c r="N62" i="41"/>
  <c r="K63" i="41"/>
  <c r="L63" i="41"/>
  <c r="M63" i="41"/>
  <c r="N63" i="41"/>
  <c r="K64" i="41"/>
  <c r="L64" i="41"/>
  <c r="M64" i="41"/>
  <c r="N64" i="41"/>
  <c r="K65" i="41"/>
  <c r="L65" i="41"/>
  <c r="M65" i="41"/>
  <c r="N65" i="41"/>
  <c r="K66" i="41"/>
  <c r="L66" i="41"/>
  <c r="M66" i="41"/>
  <c r="N66" i="41"/>
  <c r="K67" i="41"/>
  <c r="L67" i="41"/>
  <c r="M67" i="41"/>
  <c r="N67" i="41"/>
  <c r="K68" i="41"/>
  <c r="L68" i="41"/>
  <c r="M68" i="41"/>
  <c r="N68" i="41"/>
  <c r="K69" i="41"/>
  <c r="L69" i="41"/>
  <c r="M69" i="41"/>
  <c r="N69" i="41"/>
  <c r="K70" i="41"/>
  <c r="L70" i="41"/>
  <c r="M70" i="41"/>
  <c r="N70" i="41"/>
  <c r="K71" i="41"/>
  <c r="L71" i="41"/>
  <c r="M71" i="41"/>
  <c r="N71" i="41"/>
  <c r="K72" i="41"/>
  <c r="L72" i="41"/>
  <c r="M72" i="41"/>
  <c r="N72" i="41"/>
  <c r="K73" i="41"/>
  <c r="L73" i="41"/>
  <c r="M73" i="41"/>
  <c r="N73" i="41"/>
  <c r="K74" i="41"/>
  <c r="L74" i="41"/>
  <c r="M74" i="41"/>
  <c r="N74" i="41"/>
  <c r="K75" i="41"/>
  <c r="L75" i="41"/>
  <c r="M75" i="41"/>
  <c r="N75" i="41"/>
  <c r="K76" i="41"/>
  <c r="L76" i="41"/>
  <c r="M76" i="41"/>
  <c r="N76" i="41"/>
  <c r="K77" i="41"/>
  <c r="L77" i="41"/>
  <c r="M77" i="41"/>
  <c r="N77" i="41"/>
  <c r="K78" i="41"/>
  <c r="L78" i="41"/>
  <c r="M78" i="41"/>
  <c r="N78" i="41"/>
  <c r="K79" i="41"/>
  <c r="L79" i="41"/>
  <c r="M79" i="41"/>
  <c r="N79" i="41"/>
  <c r="K80" i="41"/>
  <c r="L80" i="41"/>
  <c r="M80" i="41"/>
  <c r="N80" i="41"/>
  <c r="K81" i="41"/>
  <c r="L81" i="41"/>
  <c r="M81" i="41"/>
  <c r="N81" i="41"/>
  <c r="K82" i="41"/>
  <c r="L82" i="41"/>
  <c r="M82" i="41"/>
  <c r="N82" i="41"/>
  <c r="K83" i="41"/>
  <c r="L83" i="41"/>
  <c r="M83" i="41"/>
  <c r="N83" i="41"/>
  <c r="K84" i="41"/>
  <c r="L84" i="41"/>
  <c r="M84" i="41"/>
  <c r="N84" i="41"/>
  <c r="K85" i="41"/>
  <c r="L85" i="41"/>
  <c r="M85" i="41"/>
  <c r="N85" i="41"/>
  <c r="K86" i="41"/>
  <c r="L86" i="41"/>
  <c r="M86" i="41"/>
  <c r="N86" i="41"/>
  <c r="K87" i="41"/>
  <c r="L87" i="41"/>
  <c r="M87" i="41"/>
  <c r="N87" i="41"/>
  <c r="K88" i="41"/>
  <c r="L88" i="41"/>
  <c r="M88" i="41"/>
  <c r="N88" i="41"/>
  <c r="K89" i="41"/>
  <c r="L89" i="41"/>
  <c r="M89" i="41"/>
  <c r="N89" i="41"/>
  <c r="K90" i="41"/>
  <c r="L90" i="41"/>
  <c r="M90" i="41"/>
  <c r="N90" i="41"/>
  <c r="K91" i="41"/>
  <c r="L91" i="41"/>
  <c r="M91" i="41"/>
  <c r="N91" i="41"/>
  <c r="K92" i="41"/>
  <c r="L92" i="41"/>
  <c r="M92" i="41"/>
  <c r="N92" i="41"/>
  <c r="K93" i="41"/>
  <c r="L93" i="41"/>
  <c r="M93" i="41"/>
  <c r="N93" i="41"/>
  <c r="K94" i="41"/>
  <c r="L94" i="41"/>
  <c r="M94" i="41"/>
  <c r="N94" i="41"/>
  <c r="K95" i="41"/>
  <c r="L95" i="41"/>
  <c r="M95" i="41"/>
  <c r="N95" i="41"/>
  <c r="K96" i="41"/>
  <c r="L96" i="41"/>
  <c r="M96" i="41"/>
  <c r="N96" i="41"/>
  <c r="L5" i="41"/>
  <c r="K5" i="41"/>
  <c r="M5" i="41"/>
  <c r="N5" i="41"/>
  <c r="K105" i="41"/>
  <c r="K106" i="41"/>
  <c r="K107" i="41"/>
  <c r="K108" i="41"/>
  <c r="K109" i="41"/>
  <c r="K110" i="41"/>
  <c r="K111" i="41"/>
  <c r="K112" i="41"/>
  <c r="K113" i="41"/>
  <c r="K114" i="41"/>
  <c r="K115" i="41"/>
  <c r="K116" i="41"/>
  <c r="K117" i="41"/>
  <c r="K118" i="41"/>
  <c r="K119" i="41"/>
  <c r="K120" i="41"/>
  <c r="K2245" i="47"/>
  <c r="K2246" i="47"/>
  <c r="K2247" i="47"/>
  <c r="K2248" i="47"/>
  <c r="K2249" i="47"/>
  <c r="K2250" i="47"/>
  <c r="K2251" i="47"/>
  <c r="K2252" i="47"/>
  <c r="K2253" i="47"/>
  <c r="K2254" i="47"/>
  <c r="K2255" i="47"/>
  <c r="K2256" i="47"/>
  <c r="K2257" i="47"/>
  <c r="K2258" i="47"/>
  <c r="K2259" i="47"/>
  <c r="K2260" i="47"/>
  <c r="K2261" i="47"/>
  <c r="K2262" i="47"/>
  <c r="K2263" i="47"/>
  <c r="K2264" i="47"/>
  <c r="K2265" i="47"/>
  <c r="K2266" i="47"/>
  <c r="K2267" i="47"/>
  <c r="K2268" i="47"/>
  <c r="K2269" i="47"/>
  <c r="K2270" i="47"/>
  <c r="K2271" i="47"/>
  <c r="K2272" i="47"/>
  <c r="K2273" i="47"/>
  <c r="K2274" i="47"/>
  <c r="K2275" i="47"/>
  <c r="K2276" i="47"/>
  <c r="K2277" i="47"/>
  <c r="K2278" i="47"/>
  <c r="K2279" i="47"/>
  <c r="K2280" i="47"/>
  <c r="K2281" i="47"/>
  <c r="K2282" i="47"/>
  <c r="K2283" i="47"/>
  <c r="K2284" i="47"/>
  <c r="K2285" i="47"/>
  <c r="K2286" i="47"/>
  <c r="K2287" i="47"/>
  <c r="K2288" i="47"/>
  <c r="K2289" i="47"/>
  <c r="K2290" i="47"/>
  <c r="K2291" i="47"/>
  <c r="K2292" i="47"/>
  <c r="K2293" i="47"/>
  <c r="K2294" i="47"/>
  <c r="K2295" i="47"/>
  <c r="K2296" i="47"/>
  <c r="K2297" i="47"/>
  <c r="K2298" i="47"/>
  <c r="K2299" i="47"/>
  <c r="K2300" i="47"/>
  <c r="K2301" i="47"/>
  <c r="K2302" i="47"/>
  <c r="K2303" i="47"/>
  <c r="K2304" i="47"/>
  <c r="K2305" i="47"/>
  <c r="K2306" i="47"/>
  <c r="K2307" i="47"/>
  <c r="K2308" i="47"/>
  <c r="K2309" i="47"/>
  <c r="K2310" i="47"/>
  <c r="K2311" i="47"/>
  <c r="K2312" i="47"/>
  <c r="K2313" i="47"/>
  <c r="K2314" i="47"/>
  <c r="K2315" i="47"/>
  <c r="K2316" i="47"/>
  <c r="K2317" i="47"/>
  <c r="K2318" i="47"/>
  <c r="K2319" i="47"/>
  <c r="K2320" i="47"/>
  <c r="K2321" i="47"/>
  <c r="K2322" i="47"/>
  <c r="K2323" i="47"/>
  <c r="K2324" i="47"/>
  <c r="K2325" i="47"/>
  <c r="K2326" i="47"/>
  <c r="K2327" i="47"/>
  <c r="K2328" i="47"/>
  <c r="K2329" i="47"/>
  <c r="K2330" i="47"/>
  <c r="K2331" i="47"/>
  <c r="K2332" i="47"/>
  <c r="K2333" i="47"/>
  <c r="K2334" i="47"/>
  <c r="K2335" i="47"/>
  <c r="K2336" i="47"/>
  <c r="K2337" i="47"/>
  <c r="K2338" i="47"/>
  <c r="K2339" i="47"/>
  <c r="K2340" i="47"/>
  <c r="K2341" i="47"/>
  <c r="K2342" i="47"/>
  <c r="K2343" i="47"/>
  <c r="K2344" i="47"/>
  <c r="K2345" i="47"/>
  <c r="K2346" i="47"/>
  <c r="K2347" i="47"/>
  <c r="K2348" i="47"/>
  <c r="K2349" i="47"/>
  <c r="K2350" i="47"/>
  <c r="K2351" i="47"/>
  <c r="K2352" i="47"/>
  <c r="K2353" i="47"/>
  <c r="K2354" i="47"/>
  <c r="K2355" i="47"/>
  <c r="K2356" i="47"/>
  <c r="K2357" i="47"/>
  <c r="K2358" i="47"/>
  <c r="K2359" i="47"/>
  <c r="K2360" i="47"/>
  <c r="K2361" i="47"/>
  <c r="K2362" i="47"/>
  <c r="K2363" i="47"/>
  <c r="K2364" i="47"/>
  <c r="K2365" i="47"/>
  <c r="K2366" i="47"/>
  <c r="K2367" i="47"/>
  <c r="K2368" i="47"/>
  <c r="K2369" i="47"/>
  <c r="K2370" i="47"/>
  <c r="K2371" i="47"/>
  <c r="K2372" i="47"/>
  <c r="K2373" i="47"/>
  <c r="K2374" i="47"/>
  <c r="K2375" i="47"/>
  <c r="K2376" i="47"/>
  <c r="K2377" i="47"/>
  <c r="K2378" i="47"/>
  <c r="K2379" i="47"/>
  <c r="K2380" i="47"/>
  <c r="K2381" i="47"/>
  <c r="K2382" i="47"/>
  <c r="K2383" i="47"/>
  <c r="K2384" i="47"/>
  <c r="K2385" i="47"/>
  <c r="K2386" i="47"/>
  <c r="K2387" i="47"/>
  <c r="K2388" i="47"/>
  <c r="K2389" i="47"/>
  <c r="K2390" i="47"/>
  <c r="K2391" i="47"/>
  <c r="K2392" i="47"/>
  <c r="K2393" i="47"/>
  <c r="K2394" i="47"/>
  <c r="K2395" i="47"/>
  <c r="K2396" i="47"/>
  <c r="K2397" i="47"/>
  <c r="K2398" i="47"/>
  <c r="K2399" i="47"/>
  <c r="K2400" i="47"/>
  <c r="K2401" i="47"/>
  <c r="K2402" i="47"/>
  <c r="K2403" i="47"/>
  <c r="K2404" i="47"/>
  <c r="K2405" i="47"/>
  <c r="K2406" i="47"/>
  <c r="K2407" i="47"/>
  <c r="K2408" i="47"/>
  <c r="K2409" i="47"/>
  <c r="K2410" i="47"/>
  <c r="K2411" i="47"/>
  <c r="K2412" i="47"/>
  <c r="K2413" i="47"/>
  <c r="K2414" i="47"/>
  <c r="K2415" i="47"/>
  <c r="K2416" i="47"/>
  <c r="K2417" i="47"/>
  <c r="K2418" i="47"/>
  <c r="K2419" i="47"/>
  <c r="K2420" i="47"/>
  <c r="K2421" i="47"/>
  <c r="K2422" i="47"/>
  <c r="K2423" i="47"/>
  <c r="K2424" i="47"/>
  <c r="K2425" i="47"/>
  <c r="K2426" i="47"/>
  <c r="K2427" i="47"/>
  <c r="K2428" i="47"/>
  <c r="K2429" i="47"/>
  <c r="K2430" i="47"/>
  <c r="K2431" i="47"/>
  <c r="K2432" i="47"/>
  <c r="K2433" i="47"/>
  <c r="K2434" i="47"/>
  <c r="K2435" i="47"/>
  <c r="K2436" i="47"/>
  <c r="K2437" i="47"/>
  <c r="K2438" i="47"/>
  <c r="K2439" i="47"/>
  <c r="K2440" i="47"/>
  <c r="K2441" i="47"/>
  <c r="K2442" i="47"/>
  <c r="K2443" i="47"/>
  <c r="K2444" i="47"/>
  <c r="K2445" i="47"/>
  <c r="K2446" i="47"/>
  <c r="K2447" i="47"/>
  <c r="K2448" i="47"/>
  <c r="K2449" i="47"/>
  <c r="K2450" i="47"/>
  <c r="K2451" i="47"/>
  <c r="K2452" i="47"/>
  <c r="K2453" i="47"/>
  <c r="K2454" i="47"/>
  <c r="K2455" i="47"/>
  <c r="K2456" i="47"/>
  <c r="K2457" i="47"/>
  <c r="K2458" i="47"/>
  <c r="K2459" i="47"/>
  <c r="K2460" i="47"/>
  <c r="K2461" i="47"/>
  <c r="K2462" i="47"/>
  <c r="K2463" i="47"/>
  <c r="K2464" i="47"/>
  <c r="K2465" i="47"/>
  <c r="K2466" i="47"/>
  <c r="K2467" i="47"/>
  <c r="K2468" i="47"/>
  <c r="K2469" i="47"/>
  <c r="K2470" i="47"/>
  <c r="K2471" i="47"/>
  <c r="K2472" i="47"/>
  <c r="K2473" i="47"/>
  <c r="K2474" i="47"/>
  <c r="K2475" i="47"/>
  <c r="K2476" i="47"/>
  <c r="K2477" i="47"/>
  <c r="K2478" i="47"/>
  <c r="K2479" i="47"/>
  <c r="K2480" i="47"/>
  <c r="K2481" i="47"/>
  <c r="K2482" i="47"/>
  <c r="K2483" i="47"/>
  <c r="K2484" i="47"/>
  <c r="K2485" i="47"/>
  <c r="K2486" i="47"/>
  <c r="K2487" i="47"/>
  <c r="K2488" i="47"/>
  <c r="K2489" i="47"/>
  <c r="K2490" i="47"/>
  <c r="K2491" i="47"/>
  <c r="K2492" i="47"/>
  <c r="K2493" i="47"/>
  <c r="K2494" i="47"/>
  <c r="K2495" i="47"/>
  <c r="K2496" i="47"/>
  <c r="K2497" i="47"/>
  <c r="K2498" i="47"/>
  <c r="K2499" i="47"/>
  <c r="K2500" i="47"/>
  <c r="K2501" i="47"/>
  <c r="K2502" i="47"/>
  <c r="K2503" i="47"/>
  <c r="K2504" i="47"/>
  <c r="K2505" i="47"/>
  <c r="K2506" i="47"/>
  <c r="K2507" i="47"/>
  <c r="K2508" i="47"/>
  <c r="K2509" i="47"/>
  <c r="K2510" i="47"/>
  <c r="K2511" i="47"/>
  <c r="K2512" i="47"/>
  <c r="K2513" i="47"/>
  <c r="K2514" i="47"/>
  <c r="K2515" i="47"/>
  <c r="K2516" i="47"/>
  <c r="K2517" i="47"/>
  <c r="K2518" i="47"/>
  <c r="K2519" i="47"/>
  <c r="K2520" i="47"/>
  <c r="K2521" i="47"/>
  <c r="K2522" i="47"/>
  <c r="K2523" i="47"/>
  <c r="K2524" i="47"/>
  <c r="K2525" i="47"/>
  <c r="K2526" i="47"/>
  <c r="K2527" i="47"/>
  <c r="K2528" i="47"/>
  <c r="K2529" i="47"/>
  <c r="K2530" i="47"/>
  <c r="K2531" i="47"/>
  <c r="K2532" i="47"/>
  <c r="K2533" i="47"/>
  <c r="K2534" i="47"/>
  <c r="K2535" i="47"/>
  <c r="K2536" i="47"/>
  <c r="K2537" i="47"/>
  <c r="K2538" i="47"/>
  <c r="K2539" i="47"/>
  <c r="K2540" i="47"/>
  <c r="K2541" i="47"/>
  <c r="K2542" i="47"/>
  <c r="K2543" i="47"/>
  <c r="K2544" i="47"/>
  <c r="K2545" i="47"/>
  <c r="K2546" i="47"/>
  <c r="K2547" i="47"/>
  <c r="K2548" i="47"/>
  <c r="K2549" i="47"/>
  <c r="K2550" i="47"/>
  <c r="K2551" i="47"/>
  <c r="K2552" i="47"/>
  <c r="K2553" i="47"/>
  <c r="K2554" i="47"/>
  <c r="K2555" i="47"/>
  <c r="K2556" i="47"/>
  <c r="K2557" i="47"/>
  <c r="K2558" i="47"/>
  <c r="K2559" i="47"/>
  <c r="K2560" i="47"/>
  <c r="K2561" i="47"/>
  <c r="K2562" i="47"/>
  <c r="K2563" i="47"/>
  <c r="K2564" i="47"/>
  <c r="K2565" i="47"/>
  <c r="K2566" i="47"/>
  <c r="K2567" i="47"/>
  <c r="K2568" i="47"/>
  <c r="K2569" i="47"/>
  <c r="K2570" i="47"/>
  <c r="K2571" i="47"/>
  <c r="K2572" i="47"/>
  <c r="K2573" i="47"/>
  <c r="K2574" i="47"/>
  <c r="K2575" i="47"/>
  <c r="K2576" i="47"/>
  <c r="K2577" i="47"/>
  <c r="K2578" i="47"/>
  <c r="K2579" i="47"/>
  <c r="K2580" i="47"/>
  <c r="K2581" i="47"/>
  <c r="K2582" i="47"/>
  <c r="K2583" i="47"/>
  <c r="K2584" i="47"/>
  <c r="K2585" i="47"/>
  <c r="K2586" i="47"/>
  <c r="K2587" i="47"/>
  <c r="K2588" i="47"/>
  <c r="K2589" i="47"/>
  <c r="K2590" i="47"/>
  <c r="K2591" i="47"/>
  <c r="K2592" i="47"/>
  <c r="K2593" i="47"/>
  <c r="K2594" i="47"/>
  <c r="K2595" i="47"/>
  <c r="K2596" i="47"/>
  <c r="K2597" i="47"/>
  <c r="K2598" i="47"/>
  <c r="K2599" i="47"/>
  <c r="K2600" i="47"/>
  <c r="K2601" i="47"/>
  <c r="K2602" i="47"/>
  <c r="K2603" i="47"/>
  <c r="K2604" i="47"/>
  <c r="K2605" i="47"/>
  <c r="K2606" i="47"/>
  <c r="K2607" i="47"/>
  <c r="K2608" i="47"/>
  <c r="K2609" i="47"/>
  <c r="K2610" i="47"/>
  <c r="K2611" i="47"/>
  <c r="K2612" i="47"/>
  <c r="K2613" i="47"/>
  <c r="K2614" i="47"/>
  <c r="K2615" i="47"/>
  <c r="K2616" i="47"/>
  <c r="K2617" i="47"/>
  <c r="K2618" i="47"/>
  <c r="K2619" i="47"/>
  <c r="K2620" i="47"/>
  <c r="K2621" i="47"/>
  <c r="K2622" i="47"/>
  <c r="K2623" i="47"/>
  <c r="K2624" i="47"/>
  <c r="K2625" i="47"/>
  <c r="K2626" i="47"/>
  <c r="K2627" i="47"/>
  <c r="K2628" i="47"/>
  <c r="K2629" i="47"/>
  <c r="K2630" i="47"/>
  <c r="K2631" i="47"/>
  <c r="K2632" i="47"/>
  <c r="K2633" i="47"/>
  <c r="K2634" i="47"/>
  <c r="K2635" i="47"/>
  <c r="K2636" i="47"/>
  <c r="K2637" i="47"/>
  <c r="K2638" i="47"/>
  <c r="K2639" i="47"/>
  <c r="K2640" i="47"/>
  <c r="K2641" i="47"/>
  <c r="K2642" i="47"/>
  <c r="K2643" i="47"/>
  <c r="K2644" i="47"/>
  <c r="K2645" i="47"/>
  <c r="K2646" i="47"/>
  <c r="K2647" i="47"/>
  <c r="K2648" i="47"/>
  <c r="K2649" i="47"/>
  <c r="K2650" i="47"/>
  <c r="K2651" i="47"/>
  <c r="K2652" i="47"/>
  <c r="K2653" i="47"/>
  <c r="K2654" i="47"/>
  <c r="K2655" i="47"/>
  <c r="K2656" i="47"/>
  <c r="K2657" i="47"/>
  <c r="K2658" i="47"/>
  <c r="K2659" i="47"/>
  <c r="K2660" i="47"/>
  <c r="K2661" i="47"/>
  <c r="K2662" i="47"/>
  <c r="K2663" i="47"/>
  <c r="K2664" i="47"/>
  <c r="K2665" i="47"/>
  <c r="K2666" i="47"/>
  <c r="K2667" i="47"/>
  <c r="K2668" i="47"/>
  <c r="K2669" i="47"/>
  <c r="K2670" i="47"/>
  <c r="K2671" i="47"/>
  <c r="K2672" i="47"/>
  <c r="K2673" i="47"/>
  <c r="K2674" i="47"/>
  <c r="K2675" i="47"/>
  <c r="K2676" i="47"/>
  <c r="K2677" i="47"/>
  <c r="K2678" i="47"/>
  <c r="K2679" i="47"/>
  <c r="K2680" i="47"/>
  <c r="K2681" i="47"/>
  <c r="K2682" i="47"/>
  <c r="K2683" i="47"/>
  <c r="K2684" i="47"/>
  <c r="K2685" i="47"/>
  <c r="K2686" i="47"/>
  <c r="K2687" i="47"/>
  <c r="K2688" i="47"/>
  <c r="K2689" i="47"/>
  <c r="K2690" i="47"/>
  <c r="K2691" i="47"/>
  <c r="K2692" i="47"/>
  <c r="K2693" i="47"/>
  <c r="K2694" i="47"/>
  <c r="K2695" i="47"/>
  <c r="K2696" i="47"/>
  <c r="K2697" i="47"/>
  <c r="K2698" i="47"/>
  <c r="K2699" i="47"/>
  <c r="K2700" i="47"/>
  <c r="K2701" i="47"/>
  <c r="K2702" i="47"/>
  <c r="K2703" i="47"/>
  <c r="K2704" i="47"/>
  <c r="K2705" i="47"/>
  <c r="K2706" i="47"/>
  <c r="K2707" i="47"/>
  <c r="K2708" i="47"/>
  <c r="K2709" i="47"/>
  <c r="K2710" i="47"/>
  <c r="K2711" i="47"/>
  <c r="K2712" i="47"/>
  <c r="K2713" i="47"/>
  <c r="K2714" i="47"/>
  <c r="K2715" i="47"/>
  <c r="K2716" i="47"/>
  <c r="K2717" i="47"/>
  <c r="K2718" i="47"/>
  <c r="K2719" i="47"/>
  <c r="K2720" i="47"/>
  <c r="K2721" i="47"/>
  <c r="K2722" i="47"/>
  <c r="K2723" i="47"/>
  <c r="K2724" i="47"/>
  <c r="K2725" i="47"/>
  <c r="K2726" i="47"/>
  <c r="K2727" i="47"/>
  <c r="K2728" i="47"/>
  <c r="K2729" i="47"/>
  <c r="K2730" i="47"/>
  <c r="K2731" i="47"/>
  <c r="K2732" i="47"/>
  <c r="K2733" i="47"/>
  <c r="K2734" i="47"/>
  <c r="K2735" i="47"/>
  <c r="K2736" i="47"/>
  <c r="K2737" i="47"/>
  <c r="K2738" i="47"/>
  <c r="K2739" i="47"/>
  <c r="K2740" i="47"/>
  <c r="K2741" i="47"/>
  <c r="K2742" i="47"/>
  <c r="K2743" i="47"/>
  <c r="K2744" i="47"/>
  <c r="K2745" i="47"/>
  <c r="K2746" i="47"/>
  <c r="K2747" i="47"/>
  <c r="K2748" i="47"/>
  <c r="K2749" i="47"/>
  <c r="K2750" i="47"/>
  <c r="K2751" i="47"/>
  <c r="K2752" i="47"/>
  <c r="K2753" i="47"/>
  <c r="K2754" i="47"/>
  <c r="K2755" i="47"/>
  <c r="K2756" i="47"/>
  <c r="K2757" i="47"/>
  <c r="K2758" i="47"/>
  <c r="K2759" i="47"/>
  <c r="K2760" i="47"/>
  <c r="K2761" i="47"/>
  <c r="K2762" i="47"/>
  <c r="K2763" i="47"/>
  <c r="K2764" i="47"/>
  <c r="K2765" i="47"/>
  <c r="K2766" i="47"/>
  <c r="K2767" i="47"/>
  <c r="K2768" i="47"/>
  <c r="K2769" i="47"/>
  <c r="K2770" i="47"/>
  <c r="K2771" i="47"/>
  <c r="K2772" i="47"/>
  <c r="K2773" i="47"/>
  <c r="K2774" i="47"/>
  <c r="K2775" i="47"/>
  <c r="K2776" i="47"/>
  <c r="K2777" i="47"/>
  <c r="K2778" i="47"/>
  <c r="K2779" i="47"/>
  <c r="K2780" i="47"/>
  <c r="K2781" i="47"/>
  <c r="K2782" i="47"/>
  <c r="K2783" i="47"/>
  <c r="K2784" i="47"/>
  <c r="K2785" i="47"/>
  <c r="K2786" i="47"/>
  <c r="K2787" i="47"/>
  <c r="K2788" i="47"/>
  <c r="K2789" i="47"/>
  <c r="K2790" i="47"/>
  <c r="K2791" i="47"/>
  <c r="K2792" i="47"/>
  <c r="K2793" i="47"/>
  <c r="K2794" i="47"/>
  <c r="K2795" i="47"/>
  <c r="K2796" i="47"/>
  <c r="K2797" i="47"/>
  <c r="K2798" i="47"/>
  <c r="K2799" i="47"/>
  <c r="K2800" i="47"/>
  <c r="K2801" i="47"/>
  <c r="K2802" i="47"/>
  <c r="K2803" i="47"/>
  <c r="K2804" i="47"/>
  <c r="K2805" i="47"/>
  <c r="K2806" i="47"/>
  <c r="K2807" i="47"/>
  <c r="K2808" i="47"/>
  <c r="K2809" i="47"/>
  <c r="K2810" i="47"/>
  <c r="K2811" i="47"/>
  <c r="K2812" i="47"/>
  <c r="K2813" i="47"/>
  <c r="K2814" i="47"/>
  <c r="K2815" i="47"/>
  <c r="K2816" i="47"/>
  <c r="K2817" i="47"/>
  <c r="K2818" i="47"/>
  <c r="K2819" i="47"/>
  <c r="K2820" i="47"/>
  <c r="K2821" i="47"/>
  <c r="K2822" i="47"/>
  <c r="K2823" i="47"/>
  <c r="K2824" i="47"/>
  <c r="K2825" i="47"/>
  <c r="K2826" i="47"/>
  <c r="K2827" i="47"/>
  <c r="K2828" i="47"/>
  <c r="K2829" i="47"/>
  <c r="K2830" i="47"/>
  <c r="K2831" i="47"/>
  <c r="K2832" i="47"/>
  <c r="K2833" i="47"/>
  <c r="K2834" i="47"/>
  <c r="K2835" i="47"/>
  <c r="K2836" i="47"/>
  <c r="K2837" i="47"/>
  <c r="K2838" i="47"/>
  <c r="K2839" i="47"/>
  <c r="K2840" i="47"/>
  <c r="K2841" i="47"/>
  <c r="K2842" i="47"/>
  <c r="K2843" i="47"/>
  <c r="K2844" i="47"/>
  <c r="K2845" i="47"/>
  <c r="K2846" i="47"/>
  <c r="K2847" i="47"/>
  <c r="K2848" i="47"/>
  <c r="K2849" i="47"/>
  <c r="K2850" i="47"/>
  <c r="K2851" i="47"/>
  <c r="K2852" i="47"/>
  <c r="K2853" i="47"/>
  <c r="K2854" i="47"/>
  <c r="K2855" i="47"/>
  <c r="K2856" i="47"/>
  <c r="K2857" i="47"/>
  <c r="K2858" i="47"/>
  <c r="K2859" i="47"/>
  <c r="K2860" i="47"/>
  <c r="K2861" i="47"/>
  <c r="K2862" i="47"/>
  <c r="K2863" i="47"/>
  <c r="K2864" i="47"/>
  <c r="K2865" i="47"/>
  <c r="K2866" i="47"/>
  <c r="K2867" i="47"/>
  <c r="K2868" i="47"/>
  <c r="K2869" i="47"/>
  <c r="K2870" i="47"/>
  <c r="K2871" i="47"/>
  <c r="K2872" i="47"/>
  <c r="K2873" i="47"/>
  <c r="K2874" i="47"/>
  <c r="K2875" i="47"/>
  <c r="K2876" i="47"/>
  <c r="K2877" i="47"/>
  <c r="K2878" i="47"/>
  <c r="K2879" i="47"/>
  <c r="K2880" i="47"/>
  <c r="K2881" i="47"/>
  <c r="K2882" i="47"/>
  <c r="K2883" i="47"/>
  <c r="K2884" i="47"/>
  <c r="K2885" i="47"/>
  <c r="K2886" i="47"/>
  <c r="K2887" i="47"/>
  <c r="K2888" i="47"/>
  <c r="K2889" i="47"/>
  <c r="K2890" i="47"/>
  <c r="K2891" i="47"/>
  <c r="K2892" i="47"/>
  <c r="K2893" i="47"/>
  <c r="K2894" i="47"/>
  <c r="K2895" i="47"/>
  <c r="K2896" i="47"/>
  <c r="K2897" i="47"/>
  <c r="K2898" i="47"/>
  <c r="K2899" i="47"/>
  <c r="K2900" i="47"/>
  <c r="K2901" i="47"/>
  <c r="K2902" i="47"/>
  <c r="K2903" i="47"/>
  <c r="K2904" i="47"/>
  <c r="K2905" i="47"/>
  <c r="K2906" i="47"/>
  <c r="K2907" i="47"/>
  <c r="K2908" i="47"/>
  <c r="K2909" i="47"/>
  <c r="K2910" i="47"/>
  <c r="K2911" i="47"/>
  <c r="K2912" i="47"/>
  <c r="K2913" i="47"/>
  <c r="K2914" i="47"/>
  <c r="K2915" i="47"/>
  <c r="K2916" i="47"/>
  <c r="K2917" i="47"/>
  <c r="K2918" i="47"/>
  <c r="K2919" i="47"/>
  <c r="K2920" i="47"/>
  <c r="K2921" i="47"/>
  <c r="K2922" i="47"/>
  <c r="K2923" i="47"/>
  <c r="K2924" i="47"/>
  <c r="K2925" i="47"/>
  <c r="K2926" i="47"/>
  <c r="K2927" i="47"/>
  <c r="K2928" i="47"/>
  <c r="K2929" i="47"/>
  <c r="K2930" i="47"/>
  <c r="K2931" i="47"/>
  <c r="K2932" i="47"/>
  <c r="K2933" i="47"/>
  <c r="K2934" i="47"/>
  <c r="K2935" i="47"/>
  <c r="K2936" i="47"/>
  <c r="K2937" i="47"/>
  <c r="K2938" i="47"/>
  <c r="K2939" i="47"/>
  <c r="K2940" i="47"/>
  <c r="K2941" i="47"/>
  <c r="K2942" i="47"/>
  <c r="K2943" i="47"/>
  <c r="K2944" i="47"/>
  <c r="K2945" i="47"/>
  <c r="K2946" i="47"/>
  <c r="K2947" i="47"/>
  <c r="K2948" i="47"/>
  <c r="K2949" i="47"/>
  <c r="K2950" i="47"/>
  <c r="K2951" i="47"/>
  <c r="K2952" i="47"/>
  <c r="K2953" i="47"/>
  <c r="K3" i="47"/>
  <c r="K4" i="47"/>
  <c r="K5" i="47"/>
  <c r="K6" i="47"/>
  <c r="K7" i="47"/>
  <c r="K8" i="47"/>
  <c r="K9" i="47"/>
  <c r="K10" i="47"/>
  <c r="K11" i="47"/>
  <c r="K12" i="47"/>
  <c r="K13" i="47"/>
  <c r="K14" i="47"/>
  <c r="K15" i="47"/>
  <c r="K16" i="47"/>
  <c r="K17" i="47"/>
  <c r="K18" i="47"/>
  <c r="K19" i="47"/>
  <c r="K20" i="47"/>
  <c r="K21" i="47"/>
  <c r="K22" i="47"/>
  <c r="K23" i="47"/>
  <c r="K24" i="47"/>
  <c r="K25" i="47"/>
  <c r="K26" i="47"/>
  <c r="K27" i="47"/>
  <c r="K28" i="47"/>
  <c r="K29" i="47"/>
  <c r="K30" i="47"/>
  <c r="K31" i="47"/>
  <c r="K32" i="47"/>
  <c r="K33" i="47"/>
  <c r="K34" i="47"/>
  <c r="K35" i="47"/>
  <c r="K36" i="47"/>
  <c r="K37" i="47"/>
  <c r="K38" i="47"/>
  <c r="K39" i="47"/>
  <c r="K40" i="47"/>
  <c r="K41" i="47"/>
  <c r="K42" i="47"/>
  <c r="K43" i="47"/>
  <c r="K44" i="47"/>
  <c r="K45" i="47"/>
  <c r="K46" i="47"/>
  <c r="K47" i="47"/>
  <c r="K48" i="47"/>
  <c r="K49" i="47"/>
  <c r="K50" i="47"/>
  <c r="K51" i="47"/>
  <c r="K52" i="47"/>
  <c r="K53" i="47"/>
  <c r="K54" i="47"/>
  <c r="K55" i="47"/>
  <c r="K56" i="47"/>
  <c r="K57" i="47"/>
  <c r="K58" i="47"/>
  <c r="K59" i="47"/>
  <c r="K60" i="47"/>
  <c r="K61" i="47"/>
  <c r="K62" i="47"/>
  <c r="K63" i="47"/>
  <c r="K64" i="47"/>
  <c r="K65" i="47"/>
  <c r="K66" i="47"/>
  <c r="K67" i="47"/>
  <c r="K68" i="47"/>
  <c r="K69" i="47"/>
  <c r="K70" i="47"/>
  <c r="K71" i="47"/>
  <c r="K72" i="47"/>
  <c r="K73" i="47"/>
  <c r="K74" i="47"/>
  <c r="K75" i="47"/>
  <c r="K76" i="47"/>
  <c r="K77" i="47"/>
  <c r="K78" i="47"/>
  <c r="K79" i="47"/>
  <c r="K80" i="47"/>
  <c r="K81" i="47"/>
  <c r="K82" i="47"/>
  <c r="K83" i="47"/>
  <c r="K84" i="47"/>
  <c r="K85" i="47"/>
  <c r="K86" i="47"/>
  <c r="K87" i="47"/>
  <c r="K88" i="47"/>
  <c r="K89" i="47"/>
  <c r="K90" i="47"/>
  <c r="K91" i="47"/>
  <c r="K92" i="47"/>
  <c r="K93" i="47"/>
  <c r="K94" i="47"/>
  <c r="K95" i="47"/>
  <c r="K96" i="47"/>
  <c r="K97" i="47"/>
  <c r="K98" i="47"/>
  <c r="K99" i="47"/>
  <c r="K100" i="47"/>
  <c r="K101" i="47"/>
  <c r="K102" i="47"/>
  <c r="K103" i="47"/>
  <c r="K104" i="47"/>
  <c r="K105" i="47"/>
  <c r="K106" i="47"/>
  <c r="K107" i="47"/>
  <c r="K108" i="47"/>
  <c r="K109" i="47"/>
  <c r="K110" i="47"/>
  <c r="K111" i="47"/>
  <c r="K112" i="47"/>
  <c r="K113" i="47"/>
  <c r="K114" i="47"/>
  <c r="K115" i="47"/>
  <c r="K116" i="47"/>
  <c r="K117" i="47"/>
  <c r="K118" i="47"/>
  <c r="K119" i="47"/>
  <c r="K120" i="47"/>
  <c r="K121" i="47"/>
  <c r="K122" i="47"/>
  <c r="K123" i="47"/>
  <c r="K124" i="47"/>
  <c r="K125" i="47"/>
  <c r="K126" i="47"/>
  <c r="K127" i="47"/>
  <c r="K128" i="47"/>
  <c r="K129" i="47"/>
  <c r="K130" i="47"/>
  <c r="K131" i="47"/>
  <c r="K132" i="47"/>
  <c r="K133" i="47"/>
  <c r="K134" i="47"/>
  <c r="K135" i="47"/>
  <c r="K136" i="47"/>
  <c r="K137" i="47"/>
  <c r="K138" i="47"/>
  <c r="K139" i="47"/>
  <c r="K140" i="47"/>
  <c r="K141" i="47"/>
  <c r="K142" i="47"/>
  <c r="K143" i="47"/>
  <c r="K144" i="47"/>
  <c r="K145" i="47"/>
  <c r="K146" i="47"/>
  <c r="K147" i="47"/>
  <c r="K148" i="47"/>
  <c r="K149" i="47"/>
  <c r="K150" i="47"/>
  <c r="K151" i="47"/>
  <c r="K152" i="47"/>
  <c r="K153" i="47"/>
  <c r="K154" i="47"/>
  <c r="K155" i="47"/>
  <c r="K156" i="47"/>
  <c r="K157" i="47"/>
  <c r="K158" i="47"/>
  <c r="K159" i="47"/>
  <c r="K160" i="47"/>
  <c r="K161" i="47"/>
  <c r="K162" i="47"/>
  <c r="K163" i="47"/>
  <c r="K164" i="47"/>
  <c r="K165" i="47"/>
  <c r="K166" i="47"/>
  <c r="K167" i="47"/>
  <c r="K168" i="47"/>
  <c r="K169" i="47"/>
  <c r="K170" i="47"/>
  <c r="K171" i="47"/>
  <c r="K172" i="47"/>
  <c r="K173" i="47"/>
  <c r="K174" i="47"/>
  <c r="K175" i="47"/>
  <c r="K176" i="47"/>
  <c r="K177" i="47"/>
  <c r="K178" i="47"/>
  <c r="K179" i="47"/>
  <c r="K180" i="47"/>
  <c r="K181" i="47"/>
  <c r="K182" i="47"/>
  <c r="K183" i="47"/>
  <c r="K184" i="47"/>
  <c r="K185" i="47"/>
  <c r="K186" i="47"/>
  <c r="K187" i="47"/>
  <c r="K188" i="47"/>
  <c r="K189" i="47"/>
  <c r="K190" i="47"/>
  <c r="K191" i="47"/>
  <c r="K192" i="47"/>
  <c r="K193" i="47"/>
  <c r="K194" i="47"/>
  <c r="K195" i="47"/>
  <c r="K196" i="47"/>
  <c r="K197" i="47"/>
  <c r="K198" i="47"/>
  <c r="K199" i="47"/>
  <c r="K200" i="47"/>
  <c r="K201" i="47"/>
  <c r="K202" i="47"/>
  <c r="K203" i="47"/>
  <c r="K204" i="47"/>
  <c r="K205" i="47"/>
  <c r="K206" i="47"/>
  <c r="K207" i="47"/>
  <c r="K208" i="47"/>
  <c r="K209" i="47"/>
  <c r="K210" i="47"/>
  <c r="K211" i="47"/>
  <c r="K212" i="47"/>
  <c r="K213" i="47"/>
  <c r="K214" i="47"/>
  <c r="K215" i="47"/>
  <c r="K216" i="47"/>
  <c r="K217" i="47"/>
  <c r="K218" i="47"/>
  <c r="K219" i="47"/>
  <c r="K220" i="47"/>
  <c r="K221" i="47"/>
  <c r="K222" i="47"/>
  <c r="K223" i="47"/>
  <c r="K224" i="47"/>
  <c r="K225" i="47"/>
  <c r="K226" i="47"/>
  <c r="K227" i="47"/>
  <c r="K228" i="47"/>
  <c r="K229" i="47"/>
  <c r="K230" i="47"/>
  <c r="K231" i="47"/>
  <c r="K232" i="47"/>
  <c r="K233" i="47"/>
  <c r="K234" i="47"/>
  <c r="K235" i="47"/>
  <c r="K236" i="47"/>
  <c r="K237" i="47"/>
  <c r="K238" i="47"/>
  <c r="K239" i="47"/>
  <c r="K240" i="47"/>
  <c r="K241" i="47"/>
  <c r="K242" i="47"/>
  <c r="K243" i="47"/>
  <c r="K244" i="47"/>
  <c r="K245" i="47"/>
  <c r="K246" i="47"/>
  <c r="K247" i="47"/>
  <c r="K248" i="47"/>
  <c r="K249" i="47"/>
  <c r="K250" i="47"/>
  <c r="K251" i="47"/>
  <c r="K252" i="47"/>
  <c r="K253" i="47"/>
  <c r="K254" i="47"/>
  <c r="K255" i="47"/>
  <c r="K256" i="47"/>
  <c r="K257" i="47"/>
  <c r="K258" i="47"/>
  <c r="K259" i="47"/>
  <c r="K260" i="47"/>
  <c r="K261" i="47"/>
  <c r="K262" i="47"/>
  <c r="K263" i="47"/>
  <c r="K264" i="47"/>
  <c r="K265" i="47"/>
  <c r="K266" i="47"/>
  <c r="K267" i="47"/>
  <c r="K268" i="47"/>
  <c r="K269" i="47"/>
  <c r="K270" i="47"/>
  <c r="K271" i="47"/>
  <c r="K272" i="47"/>
  <c r="K273" i="47"/>
  <c r="K274" i="47"/>
  <c r="K275" i="47"/>
  <c r="K276" i="47"/>
  <c r="K277" i="47"/>
  <c r="K278" i="47"/>
  <c r="K279" i="47"/>
  <c r="K280" i="47"/>
  <c r="K281" i="47"/>
  <c r="K282" i="47"/>
  <c r="K283" i="47"/>
  <c r="K284" i="47"/>
  <c r="K285" i="47"/>
  <c r="K286" i="47"/>
  <c r="K287" i="47"/>
  <c r="K288" i="47"/>
  <c r="K289" i="47"/>
  <c r="K290" i="47"/>
  <c r="K291" i="47"/>
  <c r="K292" i="47"/>
  <c r="K293" i="47"/>
  <c r="K294" i="47"/>
  <c r="K295" i="47"/>
  <c r="K296" i="47"/>
  <c r="K297" i="47"/>
  <c r="K298" i="47"/>
  <c r="K299" i="47"/>
  <c r="K300" i="47"/>
  <c r="K301" i="47"/>
  <c r="K302" i="47"/>
  <c r="K303" i="47"/>
  <c r="K304" i="47"/>
  <c r="K305" i="47"/>
  <c r="K306" i="47"/>
  <c r="K307" i="47"/>
  <c r="K308" i="47"/>
  <c r="K309" i="47"/>
  <c r="K310" i="47"/>
  <c r="K311" i="47"/>
  <c r="K312" i="47"/>
  <c r="K313" i="47"/>
  <c r="K314" i="47"/>
  <c r="K315" i="47"/>
  <c r="K316" i="47"/>
  <c r="K317" i="47"/>
  <c r="K318" i="47"/>
  <c r="K319" i="47"/>
  <c r="K320" i="47"/>
  <c r="K321" i="47"/>
  <c r="K322" i="47"/>
  <c r="K323" i="47"/>
  <c r="K324" i="47"/>
  <c r="K325" i="47"/>
  <c r="K326" i="47"/>
  <c r="K327" i="47"/>
  <c r="K328" i="47"/>
  <c r="K329" i="47"/>
  <c r="K330" i="47"/>
  <c r="K331" i="47"/>
  <c r="K332" i="47"/>
  <c r="K333" i="47"/>
  <c r="K334" i="47"/>
  <c r="K335" i="47"/>
  <c r="K336" i="47"/>
  <c r="K337" i="47"/>
  <c r="K338" i="47"/>
  <c r="K339" i="47"/>
  <c r="K340" i="47"/>
  <c r="K341" i="47"/>
  <c r="K342" i="47"/>
  <c r="K343" i="47"/>
  <c r="K344" i="47"/>
  <c r="K345" i="47"/>
  <c r="K346" i="47"/>
  <c r="K347" i="47"/>
  <c r="K348" i="47"/>
  <c r="K349" i="47"/>
  <c r="K350" i="47"/>
  <c r="K351" i="47"/>
  <c r="K352" i="47"/>
  <c r="K353" i="47"/>
  <c r="K354" i="47"/>
  <c r="K355" i="47"/>
  <c r="K356" i="47"/>
  <c r="K357" i="47"/>
  <c r="K358" i="47"/>
  <c r="K359" i="47"/>
  <c r="K360" i="47"/>
  <c r="K361" i="47"/>
  <c r="K362" i="47"/>
  <c r="K363" i="47"/>
  <c r="K364" i="47"/>
  <c r="K365" i="47"/>
  <c r="K366" i="47"/>
  <c r="K367" i="47"/>
  <c r="K368" i="47"/>
  <c r="K369" i="47"/>
  <c r="K370" i="47"/>
  <c r="K371" i="47"/>
  <c r="K372" i="47"/>
  <c r="K373" i="47"/>
  <c r="K374" i="47"/>
  <c r="K375" i="47"/>
  <c r="K376" i="47"/>
  <c r="K377" i="47"/>
  <c r="K378" i="47"/>
  <c r="K379" i="47"/>
  <c r="K380" i="47"/>
  <c r="K381" i="47"/>
  <c r="K382" i="47"/>
  <c r="K383" i="47"/>
  <c r="K384" i="47"/>
  <c r="K385" i="47"/>
  <c r="K386" i="47"/>
  <c r="K387" i="47"/>
  <c r="K388" i="47"/>
  <c r="K389" i="47"/>
  <c r="K390" i="47"/>
  <c r="K391" i="47"/>
  <c r="K392" i="47"/>
  <c r="K393" i="47"/>
  <c r="K394" i="47"/>
  <c r="K395" i="47"/>
  <c r="K396" i="47"/>
  <c r="K397" i="47"/>
  <c r="K398" i="47"/>
  <c r="K399" i="47"/>
  <c r="K400" i="47"/>
  <c r="K401" i="47"/>
  <c r="K402" i="47"/>
  <c r="K403" i="47"/>
  <c r="K404" i="47"/>
  <c r="K405" i="47"/>
  <c r="K406" i="47"/>
  <c r="K407" i="47"/>
  <c r="K408" i="47"/>
  <c r="K409" i="47"/>
  <c r="K410" i="47"/>
  <c r="K411" i="47"/>
  <c r="K412" i="47"/>
  <c r="K413" i="47"/>
  <c r="K414" i="47"/>
  <c r="K415" i="47"/>
  <c r="K416" i="47"/>
  <c r="K417" i="47"/>
  <c r="K418" i="47"/>
  <c r="K419" i="47"/>
  <c r="K420" i="47"/>
  <c r="K421" i="47"/>
  <c r="K422" i="47"/>
  <c r="K423" i="47"/>
  <c r="K424" i="47"/>
  <c r="K425" i="47"/>
  <c r="K426" i="47"/>
  <c r="K427" i="47"/>
  <c r="K428" i="47"/>
  <c r="K429" i="47"/>
  <c r="K430" i="47"/>
  <c r="K431" i="47"/>
  <c r="K432" i="47"/>
  <c r="K433" i="47"/>
  <c r="K434" i="47"/>
  <c r="K435" i="47"/>
  <c r="K436" i="47"/>
  <c r="K437" i="47"/>
  <c r="K438" i="47"/>
  <c r="K439" i="47"/>
  <c r="K440" i="47"/>
  <c r="K441" i="47"/>
  <c r="K442" i="47"/>
  <c r="K443" i="47"/>
  <c r="K444" i="47"/>
  <c r="K445" i="47"/>
  <c r="K446" i="47"/>
  <c r="K447" i="47"/>
  <c r="K448" i="47"/>
  <c r="K449" i="47"/>
  <c r="K450" i="47"/>
  <c r="K451" i="47"/>
  <c r="K452" i="47"/>
  <c r="K453" i="47"/>
  <c r="K454" i="47"/>
  <c r="K455" i="47"/>
  <c r="K456" i="47"/>
  <c r="K457" i="47"/>
  <c r="K458" i="47"/>
  <c r="K459" i="47"/>
  <c r="K460" i="47"/>
  <c r="K461" i="47"/>
  <c r="K462" i="47"/>
  <c r="K463" i="47"/>
  <c r="K464" i="47"/>
  <c r="K465" i="47"/>
  <c r="K466" i="47"/>
  <c r="K467" i="47"/>
  <c r="K468" i="47"/>
  <c r="K469" i="47"/>
  <c r="K470" i="47"/>
  <c r="K471" i="47"/>
  <c r="K472" i="47"/>
  <c r="K473" i="47"/>
  <c r="K474" i="47"/>
  <c r="K475" i="47"/>
  <c r="K476" i="47"/>
  <c r="K477" i="47"/>
  <c r="K478" i="47"/>
  <c r="K479" i="47"/>
  <c r="K480" i="47"/>
  <c r="K481" i="47"/>
  <c r="K482" i="47"/>
  <c r="K483" i="47"/>
  <c r="K484" i="47"/>
  <c r="K485" i="47"/>
  <c r="K486" i="47"/>
  <c r="K487" i="47"/>
  <c r="K488" i="47"/>
  <c r="K489" i="47"/>
  <c r="K490" i="47"/>
  <c r="K491" i="47"/>
  <c r="K492" i="47"/>
  <c r="K493" i="47"/>
  <c r="K494" i="47"/>
  <c r="K495" i="47"/>
  <c r="K496" i="47"/>
  <c r="K497" i="47"/>
  <c r="K498" i="47"/>
  <c r="K499" i="47"/>
  <c r="K500" i="47"/>
  <c r="K501" i="47"/>
  <c r="K502" i="47"/>
  <c r="K503" i="47"/>
  <c r="K504" i="47"/>
  <c r="K505" i="47"/>
  <c r="K506" i="47"/>
  <c r="K507" i="47"/>
  <c r="K508" i="47"/>
  <c r="K509" i="47"/>
  <c r="K510" i="47"/>
  <c r="K511" i="47"/>
  <c r="K512" i="47"/>
  <c r="K513" i="47"/>
  <c r="K514" i="47"/>
  <c r="K515" i="47"/>
  <c r="K516" i="47"/>
  <c r="K517" i="47"/>
  <c r="K518" i="47"/>
  <c r="K519" i="47"/>
  <c r="K520" i="47"/>
  <c r="K521" i="47"/>
  <c r="K522" i="47"/>
  <c r="K523" i="47"/>
  <c r="K524" i="47"/>
  <c r="K525" i="47"/>
  <c r="K526" i="47"/>
  <c r="K527" i="47"/>
  <c r="K528" i="47"/>
  <c r="K529" i="47"/>
  <c r="K530" i="47"/>
  <c r="K531" i="47"/>
  <c r="K532" i="47"/>
  <c r="K533" i="47"/>
  <c r="K534" i="47"/>
  <c r="K535" i="47"/>
  <c r="K536" i="47"/>
  <c r="K537" i="47"/>
  <c r="K538" i="47"/>
  <c r="K539" i="47"/>
  <c r="K540" i="47"/>
  <c r="K541" i="47"/>
  <c r="K542" i="47"/>
  <c r="K543" i="47"/>
  <c r="K544" i="47"/>
  <c r="K545" i="47"/>
  <c r="K546" i="47"/>
  <c r="K547" i="47"/>
  <c r="K548" i="47"/>
  <c r="K549" i="47"/>
  <c r="K550" i="47"/>
  <c r="K551" i="47"/>
  <c r="K552" i="47"/>
  <c r="K553" i="47"/>
  <c r="K554" i="47"/>
  <c r="K555" i="47"/>
  <c r="K556" i="47"/>
  <c r="K557" i="47"/>
  <c r="K558" i="47"/>
  <c r="K559" i="47"/>
  <c r="K560" i="47"/>
  <c r="K561" i="47"/>
  <c r="K562" i="47"/>
  <c r="K563" i="47"/>
  <c r="K564" i="47"/>
  <c r="K565" i="47"/>
  <c r="K566" i="47"/>
  <c r="K567" i="47"/>
  <c r="K568" i="47"/>
  <c r="K569" i="47"/>
  <c r="K570" i="47"/>
  <c r="K571" i="47"/>
  <c r="K572" i="47"/>
  <c r="K573" i="47"/>
  <c r="K574" i="47"/>
  <c r="K575" i="47"/>
  <c r="K576" i="47"/>
  <c r="K577" i="47"/>
  <c r="K578" i="47"/>
  <c r="K579" i="47"/>
  <c r="K580" i="47"/>
  <c r="K581" i="47"/>
  <c r="K582" i="47"/>
  <c r="K583" i="47"/>
  <c r="K584" i="47"/>
  <c r="K585" i="47"/>
  <c r="K586" i="47"/>
  <c r="K587" i="47"/>
  <c r="K588" i="47"/>
  <c r="K589" i="47"/>
  <c r="K590" i="47"/>
  <c r="K591" i="47"/>
  <c r="K592" i="47"/>
  <c r="K593" i="47"/>
  <c r="K594" i="47"/>
  <c r="K595" i="47"/>
  <c r="K596" i="47"/>
  <c r="K597" i="47"/>
  <c r="K598" i="47"/>
  <c r="K599" i="47"/>
  <c r="K600" i="47"/>
  <c r="K601" i="47"/>
  <c r="K602" i="47"/>
  <c r="K603" i="47"/>
  <c r="K604" i="47"/>
  <c r="K605" i="47"/>
  <c r="K606" i="47"/>
  <c r="K607" i="47"/>
  <c r="K608" i="47"/>
  <c r="K609" i="47"/>
  <c r="K610" i="47"/>
  <c r="K611" i="47"/>
  <c r="K612" i="47"/>
  <c r="K613" i="47"/>
  <c r="K614" i="47"/>
  <c r="K615" i="47"/>
  <c r="K616" i="47"/>
  <c r="K617" i="47"/>
  <c r="K618" i="47"/>
  <c r="K619" i="47"/>
  <c r="K620" i="47"/>
  <c r="K621" i="47"/>
  <c r="K622" i="47"/>
  <c r="K623" i="47"/>
  <c r="K624" i="47"/>
  <c r="K625" i="47"/>
  <c r="K626" i="47"/>
  <c r="K627" i="47"/>
  <c r="K628" i="47"/>
  <c r="K629" i="47"/>
  <c r="K630" i="47"/>
  <c r="K631" i="47"/>
  <c r="K632" i="47"/>
  <c r="K633" i="47"/>
  <c r="K634" i="47"/>
  <c r="K635" i="47"/>
  <c r="K636" i="47"/>
  <c r="K637" i="47"/>
  <c r="K638" i="47"/>
  <c r="K639" i="47"/>
  <c r="K640" i="47"/>
  <c r="K641" i="47"/>
  <c r="K642" i="47"/>
  <c r="K643" i="47"/>
  <c r="K644" i="47"/>
  <c r="K645" i="47"/>
  <c r="K646" i="47"/>
  <c r="K647" i="47"/>
  <c r="K648" i="47"/>
  <c r="K649" i="47"/>
  <c r="K650" i="47"/>
  <c r="K651" i="47"/>
  <c r="K652" i="47"/>
  <c r="K653" i="47"/>
  <c r="K654" i="47"/>
  <c r="K655" i="47"/>
  <c r="K656" i="47"/>
  <c r="K657" i="47"/>
  <c r="K658" i="47"/>
  <c r="K659" i="47"/>
  <c r="K660" i="47"/>
  <c r="K661" i="47"/>
  <c r="K662" i="47"/>
  <c r="K663" i="47"/>
  <c r="K664" i="47"/>
  <c r="K665" i="47"/>
  <c r="K666" i="47"/>
  <c r="K667" i="47"/>
  <c r="K668" i="47"/>
  <c r="K669" i="47"/>
  <c r="K670" i="47"/>
  <c r="K671" i="47"/>
  <c r="K672" i="47"/>
  <c r="K673" i="47"/>
  <c r="K674" i="47"/>
  <c r="K675" i="47"/>
  <c r="K676" i="47"/>
  <c r="K677" i="47"/>
  <c r="K678" i="47"/>
  <c r="K679" i="47"/>
  <c r="K680" i="47"/>
  <c r="K681" i="47"/>
  <c r="K682" i="47"/>
  <c r="K683" i="47"/>
  <c r="K684" i="47"/>
  <c r="K685" i="47"/>
  <c r="K686" i="47"/>
  <c r="K687" i="47"/>
  <c r="K688" i="47"/>
  <c r="K689" i="47"/>
  <c r="K690" i="47"/>
  <c r="K691" i="47"/>
  <c r="K692" i="47"/>
  <c r="K693" i="47"/>
  <c r="K694" i="47"/>
  <c r="K695" i="47"/>
  <c r="K696" i="47"/>
  <c r="K697" i="47"/>
  <c r="K698" i="47"/>
  <c r="K699" i="47"/>
  <c r="K700" i="47"/>
  <c r="K701" i="47"/>
  <c r="K702" i="47"/>
  <c r="K703" i="47"/>
  <c r="K704" i="47"/>
  <c r="K705" i="47"/>
  <c r="K706" i="47"/>
  <c r="K707" i="47"/>
  <c r="K708" i="47"/>
  <c r="K709" i="47"/>
  <c r="K710" i="47"/>
  <c r="K711" i="47"/>
  <c r="K712" i="47"/>
  <c r="K713" i="47"/>
  <c r="K714" i="47"/>
  <c r="K715" i="47"/>
  <c r="K716" i="47"/>
  <c r="K717" i="47"/>
  <c r="K718" i="47"/>
  <c r="K719" i="47"/>
  <c r="K720" i="47"/>
  <c r="K721" i="47"/>
  <c r="K722" i="47"/>
  <c r="K723" i="47"/>
  <c r="K724" i="47"/>
  <c r="K725" i="47"/>
  <c r="K726" i="47"/>
  <c r="K727" i="47"/>
  <c r="K728" i="47"/>
  <c r="K729" i="47"/>
  <c r="K730" i="47"/>
  <c r="K731" i="47"/>
  <c r="K732" i="47"/>
  <c r="K733" i="47"/>
  <c r="K734" i="47"/>
  <c r="K735" i="47"/>
  <c r="K736" i="47"/>
  <c r="K737" i="47"/>
  <c r="K738" i="47"/>
  <c r="K739" i="47"/>
  <c r="K740" i="47"/>
  <c r="K741" i="47"/>
  <c r="K742" i="47"/>
  <c r="K743" i="47"/>
  <c r="K744" i="47"/>
  <c r="K745" i="47"/>
  <c r="K746" i="47"/>
  <c r="K747" i="47"/>
  <c r="K748" i="47"/>
  <c r="K749" i="47"/>
  <c r="K750" i="47"/>
  <c r="K751" i="47"/>
  <c r="K752" i="47"/>
  <c r="K753" i="47"/>
  <c r="K754" i="47"/>
  <c r="K755" i="47"/>
  <c r="K756" i="47"/>
  <c r="K757" i="47"/>
  <c r="K758" i="47"/>
  <c r="K759" i="47"/>
  <c r="K760" i="47"/>
  <c r="K761" i="47"/>
  <c r="K762" i="47"/>
  <c r="K763" i="47"/>
  <c r="K764" i="47"/>
  <c r="K765" i="47"/>
  <c r="K766" i="47"/>
  <c r="K767" i="47"/>
  <c r="K768" i="47"/>
  <c r="K769" i="47"/>
  <c r="K770" i="47"/>
  <c r="K771" i="47"/>
  <c r="K772" i="47"/>
  <c r="K773" i="47"/>
  <c r="K774" i="47"/>
  <c r="K775" i="47"/>
  <c r="K776" i="47"/>
  <c r="K777" i="47"/>
  <c r="K778" i="47"/>
  <c r="K779" i="47"/>
  <c r="K780" i="47"/>
  <c r="K781" i="47"/>
  <c r="K782" i="47"/>
  <c r="K783" i="47"/>
  <c r="K784" i="47"/>
  <c r="K785" i="47"/>
  <c r="K786" i="47"/>
  <c r="K787" i="47"/>
  <c r="K788" i="47"/>
  <c r="K789" i="47"/>
  <c r="K790" i="47"/>
  <c r="K791" i="47"/>
  <c r="K792" i="47"/>
  <c r="K793" i="47"/>
  <c r="K794" i="47"/>
  <c r="K795" i="47"/>
  <c r="K796" i="47"/>
  <c r="K797" i="47"/>
  <c r="K798" i="47"/>
  <c r="K799" i="47"/>
  <c r="K800" i="47"/>
  <c r="K801" i="47"/>
  <c r="K802" i="47"/>
  <c r="K803" i="47"/>
  <c r="K804" i="47"/>
  <c r="K805" i="47"/>
  <c r="K806" i="47"/>
  <c r="K807" i="47"/>
  <c r="K808" i="47"/>
  <c r="K809" i="47"/>
  <c r="K810" i="47"/>
  <c r="K811" i="47"/>
  <c r="K812" i="47"/>
  <c r="K813" i="47"/>
  <c r="K814" i="47"/>
  <c r="K815" i="47"/>
  <c r="K816" i="47"/>
  <c r="K817" i="47"/>
  <c r="K818" i="47"/>
  <c r="K819" i="47"/>
  <c r="K820" i="47"/>
  <c r="K821" i="47"/>
  <c r="K822" i="47"/>
  <c r="K823" i="47"/>
  <c r="K824" i="47"/>
  <c r="K825" i="47"/>
  <c r="K826" i="47"/>
  <c r="K827" i="47"/>
  <c r="K828" i="47"/>
  <c r="K829" i="47"/>
  <c r="K830" i="47"/>
  <c r="K831" i="47"/>
  <c r="K832" i="47"/>
  <c r="K833" i="47"/>
  <c r="K834" i="47"/>
  <c r="K835" i="47"/>
  <c r="K836" i="47"/>
  <c r="K837" i="47"/>
  <c r="K838" i="47"/>
  <c r="K839" i="47"/>
  <c r="K840" i="47"/>
  <c r="K841" i="47"/>
  <c r="K842" i="47"/>
  <c r="K843" i="47"/>
  <c r="K844" i="47"/>
  <c r="K845" i="47"/>
  <c r="K846" i="47"/>
  <c r="K847" i="47"/>
  <c r="K848" i="47"/>
  <c r="K849" i="47"/>
  <c r="K850" i="47"/>
  <c r="K851" i="47"/>
  <c r="K852" i="47"/>
  <c r="K853" i="47"/>
  <c r="K854" i="47"/>
  <c r="K855" i="47"/>
  <c r="K856" i="47"/>
  <c r="K857" i="47"/>
  <c r="K858" i="47"/>
  <c r="K859" i="47"/>
  <c r="K860" i="47"/>
  <c r="K861" i="47"/>
  <c r="K862" i="47"/>
  <c r="K863" i="47"/>
  <c r="K864" i="47"/>
  <c r="K865" i="47"/>
  <c r="K866" i="47"/>
  <c r="K867" i="47"/>
  <c r="K868" i="47"/>
  <c r="K869" i="47"/>
  <c r="K870" i="47"/>
  <c r="K871" i="47"/>
  <c r="K872" i="47"/>
  <c r="K873" i="47"/>
  <c r="K874" i="47"/>
  <c r="K875" i="47"/>
  <c r="K876" i="47"/>
  <c r="K877" i="47"/>
  <c r="K878" i="47"/>
  <c r="K879" i="47"/>
  <c r="K880" i="47"/>
  <c r="K881" i="47"/>
  <c r="K882" i="47"/>
  <c r="K883" i="47"/>
  <c r="K884" i="47"/>
  <c r="K885" i="47"/>
  <c r="K886" i="47"/>
  <c r="K887" i="47"/>
  <c r="K888" i="47"/>
  <c r="K889" i="47"/>
  <c r="K890" i="47"/>
  <c r="K891" i="47"/>
  <c r="K892" i="47"/>
  <c r="K893" i="47"/>
  <c r="K894" i="47"/>
  <c r="K895" i="47"/>
  <c r="K896" i="47"/>
  <c r="K897" i="47"/>
  <c r="K898" i="47"/>
  <c r="K899" i="47"/>
  <c r="K900" i="47"/>
  <c r="K901" i="47"/>
  <c r="K902" i="47"/>
  <c r="K903" i="47"/>
  <c r="K904" i="47"/>
  <c r="K905" i="47"/>
  <c r="K906" i="47"/>
  <c r="K907" i="47"/>
  <c r="K908" i="47"/>
  <c r="K909" i="47"/>
  <c r="K910" i="47"/>
  <c r="K911" i="47"/>
  <c r="K912" i="47"/>
  <c r="K913" i="47"/>
  <c r="K914" i="47"/>
  <c r="K915" i="47"/>
  <c r="K916" i="47"/>
  <c r="K917" i="47"/>
  <c r="K918" i="47"/>
  <c r="K919" i="47"/>
  <c r="K920" i="47"/>
  <c r="K921" i="47"/>
  <c r="K922" i="47"/>
  <c r="K923" i="47"/>
  <c r="K924" i="47"/>
  <c r="K925" i="47"/>
  <c r="K926" i="47"/>
  <c r="K927" i="47"/>
  <c r="K928" i="47"/>
  <c r="K929" i="47"/>
  <c r="K930" i="47"/>
  <c r="K931" i="47"/>
  <c r="K932" i="47"/>
  <c r="K933" i="47"/>
  <c r="K934" i="47"/>
  <c r="K935" i="47"/>
  <c r="K936" i="47"/>
  <c r="K937" i="47"/>
  <c r="K938" i="47"/>
  <c r="K939" i="47"/>
  <c r="K940" i="47"/>
  <c r="K941" i="47"/>
  <c r="K942" i="47"/>
  <c r="K943" i="47"/>
  <c r="K944" i="47"/>
  <c r="K945" i="47"/>
  <c r="K946" i="47"/>
  <c r="K947" i="47"/>
  <c r="K948" i="47"/>
  <c r="K949" i="47"/>
  <c r="K950" i="47"/>
  <c r="K951" i="47"/>
  <c r="K952" i="47"/>
  <c r="K953" i="47"/>
  <c r="K954" i="47"/>
  <c r="K955" i="47"/>
  <c r="K956" i="47"/>
  <c r="K957" i="47"/>
  <c r="K958" i="47"/>
  <c r="K959" i="47"/>
  <c r="K960" i="47"/>
  <c r="K961" i="47"/>
  <c r="K962" i="47"/>
  <c r="K963" i="47"/>
  <c r="K964" i="47"/>
  <c r="K965" i="47"/>
  <c r="K966" i="47"/>
  <c r="K967" i="47"/>
  <c r="K968" i="47"/>
  <c r="K969" i="47"/>
  <c r="K970" i="47"/>
  <c r="K971" i="47"/>
  <c r="K972" i="47"/>
  <c r="K973" i="47"/>
  <c r="K974" i="47"/>
  <c r="K975" i="47"/>
  <c r="K976" i="47"/>
  <c r="K977" i="47"/>
  <c r="K978" i="47"/>
  <c r="K979" i="47"/>
  <c r="K980" i="47"/>
  <c r="K981" i="47"/>
  <c r="K982" i="47"/>
  <c r="K983" i="47"/>
  <c r="K984" i="47"/>
  <c r="K985" i="47"/>
  <c r="K986" i="47"/>
  <c r="K987" i="47"/>
  <c r="K988" i="47"/>
  <c r="K989" i="47"/>
  <c r="K990" i="47"/>
  <c r="K991" i="47"/>
  <c r="K992" i="47"/>
  <c r="K993" i="47"/>
  <c r="K994" i="47"/>
  <c r="K995" i="47"/>
  <c r="K996" i="47"/>
  <c r="K997" i="47"/>
  <c r="K998" i="47"/>
  <c r="K999" i="47"/>
  <c r="K1000" i="47"/>
  <c r="K1001" i="47"/>
  <c r="K1002" i="47"/>
  <c r="K1003" i="47"/>
  <c r="K1004" i="47"/>
  <c r="K1005" i="47"/>
  <c r="K1006" i="47"/>
  <c r="K1007" i="47"/>
  <c r="K1008" i="47"/>
  <c r="K1009" i="47"/>
  <c r="K1010" i="47"/>
  <c r="K1011" i="47"/>
  <c r="K1012" i="47"/>
  <c r="K1013" i="47"/>
  <c r="K1014" i="47"/>
  <c r="K1015" i="47"/>
  <c r="K1016" i="47"/>
  <c r="K1017" i="47"/>
  <c r="K1018" i="47"/>
  <c r="K1019" i="47"/>
  <c r="K1020" i="47"/>
  <c r="K1021" i="47"/>
  <c r="K1022" i="47"/>
  <c r="K1023" i="47"/>
  <c r="K1024" i="47"/>
  <c r="K1025" i="47"/>
  <c r="K1026" i="47"/>
  <c r="K1027" i="47"/>
  <c r="K1028" i="47"/>
  <c r="K1029" i="47"/>
  <c r="K1030" i="47"/>
  <c r="K1031" i="47"/>
  <c r="K1032" i="47"/>
  <c r="K1033" i="47"/>
  <c r="K1034" i="47"/>
  <c r="K1035" i="47"/>
  <c r="K1036" i="47"/>
  <c r="K1037" i="47"/>
  <c r="K1038" i="47"/>
  <c r="K1039" i="47"/>
  <c r="K1040" i="47"/>
  <c r="K1041" i="47"/>
  <c r="K1042" i="47"/>
  <c r="K1043" i="47"/>
  <c r="K1044" i="47"/>
  <c r="K1045" i="47"/>
  <c r="K1046" i="47"/>
  <c r="K1047" i="47"/>
  <c r="K1048" i="47"/>
  <c r="K1049" i="47"/>
  <c r="K1050" i="47"/>
  <c r="K1051" i="47"/>
  <c r="K1052" i="47"/>
  <c r="K1053" i="47"/>
  <c r="K1054" i="47"/>
  <c r="K1055" i="47"/>
  <c r="K1056" i="47"/>
  <c r="K1057" i="47"/>
  <c r="K1058" i="47"/>
  <c r="K1059" i="47"/>
  <c r="K1060" i="47"/>
  <c r="K1061" i="47"/>
  <c r="K1062" i="47"/>
  <c r="K1063" i="47"/>
  <c r="K1064" i="47"/>
  <c r="K1065" i="47"/>
  <c r="K1066" i="47"/>
  <c r="K1067" i="47"/>
  <c r="K1068" i="47"/>
  <c r="K1069" i="47"/>
  <c r="K1070" i="47"/>
  <c r="K1071" i="47"/>
  <c r="K1072" i="47"/>
  <c r="K1073" i="47"/>
  <c r="K1074" i="47"/>
  <c r="K1075" i="47"/>
  <c r="K1076" i="47"/>
  <c r="K1077" i="47"/>
  <c r="K1078" i="47"/>
  <c r="K1079" i="47"/>
  <c r="K1080" i="47"/>
  <c r="K1081" i="47"/>
  <c r="K1082" i="47"/>
  <c r="K1083" i="47"/>
  <c r="K1084" i="47"/>
  <c r="K1085" i="47"/>
  <c r="K1086" i="47"/>
  <c r="K1087" i="47"/>
  <c r="K1088" i="47"/>
  <c r="K1089" i="47"/>
  <c r="K1090" i="47"/>
  <c r="K1091" i="47"/>
  <c r="K1092" i="47"/>
  <c r="K1093" i="47"/>
  <c r="K1094" i="47"/>
  <c r="K1095" i="47"/>
  <c r="K1096" i="47"/>
  <c r="K1097" i="47"/>
  <c r="K1098" i="47"/>
  <c r="K1099" i="47"/>
  <c r="K1100" i="47"/>
  <c r="K1101" i="47"/>
  <c r="K1102" i="47"/>
  <c r="K1103" i="47"/>
  <c r="K1104" i="47"/>
  <c r="K1105" i="47"/>
  <c r="K1106" i="47"/>
  <c r="K1107" i="47"/>
  <c r="K1108" i="47"/>
  <c r="K1109" i="47"/>
  <c r="K1110" i="47"/>
  <c r="K1111" i="47"/>
  <c r="K1112" i="47"/>
  <c r="K1113" i="47"/>
  <c r="K1114" i="47"/>
  <c r="K1115" i="47"/>
  <c r="K1116" i="47"/>
  <c r="K1117" i="47"/>
  <c r="K1118" i="47"/>
  <c r="K1119" i="47"/>
  <c r="K1120" i="47"/>
  <c r="K1121" i="47"/>
  <c r="K1122" i="47"/>
  <c r="K1123" i="47"/>
  <c r="K1124" i="47"/>
  <c r="K1125" i="47"/>
  <c r="K1126" i="47"/>
  <c r="K1127" i="47"/>
  <c r="K1128" i="47"/>
  <c r="K1129" i="47"/>
  <c r="K1130" i="47"/>
  <c r="K1131" i="47"/>
  <c r="K1132" i="47"/>
  <c r="K1133" i="47"/>
  <c r="K1134" i="47"/>
  <c r="K1135" i="47"/>
  <c r="K1136" i="47"/>
  <c r="K1137" i="47"/>
  <c r="K1138" i="47"/>
  <c r="K1139" i="47"/>
  <c r="K1140" i="47"/>
  <c r="K1141" i="47"/>
  <c r="K1142" i="47"/>
  <c r="K1143" i="47"/>
  <c r="K1144" i="47"/>
  <c r="K1145" i="47"/>
  <c r="K1146" i="47"/>
  <c r="K1147" i="47"/>
  <c r="K1148" i="47"/>
  <c r="K1149" i="47"/>
  <c r="K1150" i="47"/>
  <c r="K1151" i="47"/>
  <c r="K1152" i="47"/>
  <c r="K1153" i="47"/>
  <c r="K1154" i="47"/>
  <c r="K1155" i="47"/>
  <c r="K1156" i="47"/>
  <c r="K1157" i="47"/>
  <c r="K1158" i="47"/>
  <c r="K1159" i="47"/>
  <c r="K1160" i="47"/>
  <c r="K1161" i="47"/>
  <c r="K1162" i="47"/>
  <c r="K1163" i="47"/>
  <c r="K1164" i="47"/>
  <c r="K1165" i="47"/>
  <c r="K1166" i="47"/>
  <c r="K1167" i="47"/>
  <c r="K1168" i="47"/>
  <c r="K1169" i="47"/>
  <c r="K1170" i="47"/>
  <c r="K1171" i="47"/>
  <c r="K1172" i="47"/>
  <c r="K1173" i="47"/>
  <c r="K1174" i="47"/>
  <c r="K1175" i="47"/>
  <c r="K1176" i="47"/>
  <c r="K1177" i="47"/>
  <c r="K1178" i="47"/>
  <c r="K1179" i="47"/>
  <c r="K1180" i="47"/>
  <c r="K1181" i="47"/>
  <c r="K1182" i="47"/>
  <c r="K1183" i="47"/>
  <c r="K1184" i="47"/>
  <c r="K1185" i="47"/>
  <c r="K1186" i="47"/>
  <c r="K1187" i="47"/>
  <c r="K1188" i="47"/>
  <c r="K1189" i="47"/>
  <c r="K1190" i="47"/>
  <c r="K1191" i="47"/>
  <c r="K1192" i="47"/>
  <c r="K1193" i="47"/>
  <c r="K1194" i="47"/>
  <c r="K1195" i="47"/>
  <c r="K1196" i="47"/>
  <c r="K1197" i="47"/>
  <c r="K1198" i="47"/>
  <c r="K1199" i="47"/>
  <c r="K1200" i="47"/>
  <c r="K1201" i="47"/>
  <c r="K1202" i="47"/>
  <c r="K1203" i="47"/>
  <c r="K1204" i="47"/>
  <c r="K1205" i="47"/>
  <c r="K1206" i="47"/>
  <c r="K1207" i="47"/>
  <c r="K1208" i="47"/>
  <c r="K1209" i="47"/>
  <c r="K1210" i="47"/>
  <c r="K1211" i="47"/>
  <c r="K1212" i="47"/>
  <c r="K1213" i="47"/>
  <c r="K1214" i="47"/>
  <c r="K1215" i="47"/>
  <c r="K1216" i="47"/>
  <c r="K1217" i="47"/>
  <c r="K1218" i="47"/>
  <c r="K1219" i="47"/>
  <c r="K1220" i="47"/>
  <c r="K1221" i="47"/>
  <c r="K1222" i="47"/>
  <c r="K1223" i="47"/>
  <c r="K1224" i="47"/>
  <c r="K1225" i="47"/>
  <c r="K1226" i="47"/>
  <c r="K1227" i="47"/>
  <c r="K1228" i="47"/>
  <c r="K1229" i="47"/>
  <c r="K1230" i="47"/>
  <c r="K1231" i="47"/>
  <c r="K1232" i="47"/>
  <c r="K1233" i="47"/>
  <c r="K1234" i="47"/>
  <c r="K1235" i="47"/>
  <c r="K1236" i="47"/>
  <c r="K1237" i="47"/>
  <c r="K1238" i="47"/>
  <c r="K1239" i="47"/>
  <c r="K1240" i="47"/>
  <c r="K1241" i="47"/>
  <c r="K1242" i="47"/>
  <c r="K1243" i="47"/>
  <c r="K1244" i="47"/>
  <c r="K1245" i="47"/>
  <c r="K1246" i="47"/>
  <c r="K1247" i="47"/>
  <c r="K1248" i="47"/>
  <c r="K1249" i="47"/>
  <c r="K1250" i="47"/>
  <c r="K1251" i="47"/>
  <c r="K1252" i="47"/>
  <c r="K1253" i="47"/>
  <c r="K1254" i="47"/>
  <c r="K1255" i="47"/>
  <c r="K1256" i="47"/>
  <c r="K1257" i="47"/>
  <c r="K1258" i="47"/>
  <c r="K1259" i="47"/>
  <c r="K1260" i="47"/>
  <c r="K1261" i="47"/>
  <c r="K1262" i="47"/>
  <c r="K1263" i="47"/>
  <c r="K1264" i="47"/>
  <c r="K1265" i="47"/>
  <c r="K1266" i="47"/>
  <c r="K1267" i="47"/>
  <c r="K1268" i="47"/>
  <c r="K1269" i="47"/>
  <c r="K1270" i="47"/>
  <c r="K1271" i="47"/>
  <c r="K1272" i="47"/>
  <c r="K1273" i="47"/>
  <c r="K1274" i="47"/>
  <c r="K1275" i="47"/>
  <c r="K1276" i="47"/>
  <c r="K1277" i="47"/>
  <c r="K1278" i="47"/>
  <c r="K1279" i="47"/>
  <c r="K1280" i="47"/>
  <c r="K1281" i="47"/>
  <c r="K1282" i="47"/>
  <c r="K1283" i="47"/>
  <c r="K1284" i="47"/>
  <c r="K1285" i="47"/>
  <c r="K1286" i="47"/>
  <c r="K1287" i="47"/>
  <c r="K1288" i="47"/>
  <c r="K1289" i="47"/>
  <c r="K1290" i="47"/>
  <c r="K1291" i="47"/>
  <c r="K1292" i="47"/>
  <c r="K1293" i="47"/>
  <c r="K1294" i="47"/>
  <c r="K1295" i="47"/>
  <c r="K1296" i="47"/>
  <c r="K1297" i="47"/>
  <c r="K1298" i="47"/>
  <c r="K1299" i="47"/>
  <c r="K1300" i="47"/>
  <c r="K1301" i="47"/>
  <c r="K1302" i="47"/>
  <c r="K1303" i="47"/>
  <c r="K1304" i="47"/>
  <c r="K1305" i="47"/>
  <c r="K1306" i="47"/>
  <c r="K1307" i="47"/>
  <c r="K1308" i="47"/>
  <c r="K1309" i="47"/>
  <c r="K1310" i="47"/>
  <c r="K1311" i="47"/>
  <c r="K1312" i="47"/>
  <c r="K1313" i="47"/>
  <c r="K1314" i="47"/>
  <c r="K1315" i="47"/>
  <c r="K1316" i="47"/>
  <c r="K1317" i="47"/>
  <c r="K1318" i="47"/>
  <c r="K1319" i="47"/>
  <c r="K1320" i="47"/>
  <c r="K1321" i="47"/>
  <c r="K1322" i="47"/>
  <c r="K1323" i="47"/>
  <c r="K1324" i="47"/>
  <c r="K1325" i="47"/>
  <c r="K1326" i="47"/>
  <c r="K1327" i="47"/>
  <c r="K1328" i="47"/>
  <c r="K1329" i="47"/>
  <c r="K1330" i="47"/>
  <c r="K1331" i="47"/>
  <c r="K1332" i="47"/>
  <c r="K1333" i="47"/>
  <c r="K1334" i="47"/>
  <c r="K1335" i="47"/>
  <c r="K1336" i="47"/>
  <c r="K1337" i="47"/>
  <c r="K1338" i="47"/>
  <c r="K1339" i="47"/>
  <c r="K1340" i="47"/>
  <c r="K1341" i="47"/>
  <c r="K1342" i="47"/>
  <c r="K1343" i="47"/>
  <c r="K1344" i="47"/>
  <c r="K1345" i="47"/>
  <c r="K1346" i="47"/>
  <c r="K1347" i="47"/>
  <c r="K1348" i="47"/>
  <c r="K1349" i="47"/>
  <c r="K1350" i="47"/>
  <c r="K1351" i="47"/>
  <c r="K1352" i="47"/>
  <c r="K1353" i="47"/>
  <c r="K1354" i="47"/>
  <c r="K1355" i="47"/>
  <c r="K1356" i="47"/>
  <c r="K1357" i="47"/>
  <c r="K1358" i="47"/>
  <c r="K1359" i="47"/>
  <c r="K1360" i="47"/>
  <c r="K1361" i="47"/>
  <c r="K1362" i="47"/>
  <c r="K1363" i="47"/>
  <c r="K1364" i="47"/>
  <c r="K1365" i="47"/>
  <c r="K1366" i="47"/>
  <c r="K1367" i="47"/>
  <c r="K1368" i="47"/>
  <c r="K1369" i="47"/>
  <c r="K1370" i="47"/>
  <c r="K1371" i="47"/>
  <c r="K1372" i="47"/>
  <c r="K1373" i="47"/>
  <c r="K1374" i="47"/>
  <c r="K1375" i="47"/>
  <c r="K1376" i="47"/>
  <c r="K1377" i="47"/>
  <c r="K1378" i="47"/>
  <c r="K1379" i="47"/>
  <c r="K1380" i="47"/>
  <c r="K1381" i="47"/>
  <c r="K1382" i="47"/>
  <c r="K1383" i="47"/>
  <c r="K1384" i="47"/>
  <c r="K1385" i="47"/>
  <c r="K1386" i="47"/>
  <c r="K1387" i="47"/>
  <c r="K1388" i="47"/>
  <c r="K1389" i="47"/>
  <c r="K1390" i="47"/>
  <c r="K1391" i="47"/>
  <c r="K1392" i="47"/>
  <c r="K1393" i="47"/>
  <c r="K1394" i="47"/>
  <c r="K1395" i="47"/>
  <c r="K1396" i="47"/>
  <c r="K1397" i="47"/>
  <c r="K1398" i="47"/>
  <c r="K1399" i="47"/>
  <c r="K1400" i="47"/>
  <c r="K1401" i="47"/>
  <c r="K1402" i="47"/>
  <c r="K1403" i="47"/>
  <c r="K1404" i="47"/>
  <c r="K1405" i="47"/>
  <c r="K1406" i="47"/>
  <c r="K1407" i="47"/>
  <c r="K1408" i="47"/>
  <c r="K1409" i="47"/>
  <c r="K1410" i="47"/>
  <c r="K1411" i="47"/>
  <c r="K1412" i="47"/>
  <c r="K1413" i="47"/>
  <c r="K1414" i="47"/>
  <c r="K1415" i="47"/>
  <c r="K1416" i="47"/>
  <c r="K1417" i="47"/>
  <c r="K1418" i="47"/>
  <c r="K1419" i="47"/>
  <c r="K1420" i="47"/>
  <c r="K1421" i="47"/>
  <c r="K1422" i="47"/>
  <c r="K1423" i="47"/>
  <c r="K1424" i="47"/>
  <c r="K1425" i="47"/>
  <c r="K1426" i="47"/>
  <c r="K1427" i="47"/>
  <c r="K1428" i="47"/>
  <c r="K1429" i="47"/>
  <c r="K1430" i="47"/>
  <c r="K1431" i="47"/>
  <c r="K1432" i="47"/>
  <c r="K1433" i="47"/>
  <c r="K1434" i="47"/>
  <c r="K1435" i="47"/>
  <c r="K1436" i="47"/>
  <c r="K1437" i="47"/>
  <c r="K1438" i="47"/>
  <c r="K1439" i="47"/>
  <c r="K1440" i="47"/>
  <c r="K1441" i="47"/>
  <c r="K1442" i="47"/>
  <c r="K1443" i="47"/>
  <c r="K1444" i="47"/>
  <c r="K1445" i="47"/>
  <c r="K1446" i="47"/>
  <c r="K1447" i="47"/>
  <c r="K1448" i="47"/>
  <c r="K1449" i="47"/>
  <c r="K1450" i="47"/>
  <c r="K1451" i="47"/>
  <c r="K1452" i="47"/>
  <c r="K1453" i="47"/>
  <c r="K1454" i="47"/>
  <c r="K1455" i="47"/>
  <c r="K1456" i="47"/>
  <c r="K1457" i="47"/>
  <c r="K1458" i="47"/>
  <c r="K1459" i="47"/>
  <c r="K1460" i="47"/>
  <c r="K1461" i="47"/>
  <c r="K1462" i="47"/>
  <c r="K1463" i="47"/>
  <c r="K1464" i="47"/>
  <c r="K1465" i="47"/>
  <c r="K1466" i="47"/>
  <c r="K1467" i="47"/>
  <c r="K1468" i="47"/>
  <c r="K1469" i="47"/>
  <c r="K1470" i="47"/>
  <c r="K1471" i="47"/>
  <c r="K1472" i="47"/>
  <c r="K1473" i="47"/>
  <c r="K1474" i="47"/>
  <c r="K1475" i="47"/>
  <c r="K1476" i="47"/>
  <c r="K1477" i="47"/>
  <c r="K1478" i="47"/>
  <c r="K1479" i="47"/>
  <c r="K1480" i="47"/>
  <c r="K1481" i="47"/>
  <c r="K1482" i="47"/>
  <c r="K1483" i="47"/>
  <c r="K1484" i="47"/>
  <c r="K1485" i="47"/>
  <c r="K1486" i="47"/>
  <c r="K1487" i="47"/>
  <c r="K1488" i="47"/>
  <c r="K1489" i="47"/>
  <c r="K1490" i="47"/>
  <c r="K1491" i="47"/>
  <c r="K1492" i="47"/>
  <c r="K1493" i="47"/>
  <c r="K1494" i="47"/>
  <c r="K1495" i="47"/>
  <c r="K1496" i="47"/>
  <c r="K1497" i="47"/>
  <c r="K1498" i="47"/>
  <c r="K1499" i="47"/>
  <c r="K1500" i="47"/>
  <c r="K1501" i="47"/>
  <c r="K1502" i="47"/>
  <c r="K1503" i="47"/>
  <c r="K1504" i="47"/>
  <c r="K1505" i="47"/>
  <c r="K1506" i="47"/>
  <c r="K1507" i="47"/>
  <c r="K1508" i="47"/>
  <c r="K1509" i="47"/>
  <c r="K1510" i="47"/>
  <c r="K1511" i="47"/>
  <c r="K1512" i="47"/>
  <c r="K1513" i="47"/>
  <c r="K1514" i="47"/>
  <c r="K1515" i="47"/>
  <c r="K1516" i="47"/>
  <c r="K1517" i="47"/>
  <c r="K1518" i="47"/>
  <c r="K1519" i="47"/>
  <c r="K1520" i="47"/>
  <c r="K1521" i="47"/>
  <c r="K1522" i="47"/>
  <c r="K1523" i="47"/>
  <c r="K1524" i="47"/>
  <c r="K1525" i="47"/>
  <c r="K1526" i="47"/>
  <c r="K1527" i="47"/>
  <c r="K1528" i="47"/>
  <c r="K1529" i="47"/>
  <c r="K1530" i="47"/>
  <c r="K1531" i="47"/>
  <c r="K1532" i="47"/>
  <c r="K1533" i="47"/>
  <c r="K1534" i="47"/>
  <c r="K1535" i="47"/>
  <c r="K1536" i="47"/>
  <c r="K1537" i="47"/>
  <c r="K1538" i="47"/>
  <c r="K1539" i="47"/>
  <c r="K1540" i="47"/>
  <c r="K1541" i="47"/>
  <c r="K1542" i="47"/>
  <c r="K1543" i="47"/>
  <c r="K1544" i="47"/>
  <c r="K1545" i="47"/>
  <c r="K1546" i="47"/>
  <c r="K1547" i="47"/>
  <c r="K1548" i="47"/>
  <c r="K1549" i="47"/>
  <c r="K1550" i="47"/>
  <c r="K1551" i="47"/>
  <c r="K1552" i="47"/>
  <c r="K1553" i="47"/>
  <c r="K1554" i="47"/>
  <c r="K1555" i="47"/>
  <c r="K1556" i="47"/>
  <c r="K1557" i="47"/>
  <c r="K1558" i="47"/>
  <c r="K1559" i="47"/>
  <c r="K1560" i="47"/>
  <c r="K1561" i="47"/>
  <c r="K1562" i="47"/>
  <c r="K1563" i="47"/>
  <c r="K1564" i="47"/>
  <c r="K1565" i="47"/>
  <c r="K1566" i="47"/>
  <c r="K1567" i="47"/>
  <c r="K1568" i="47"/>
  <c r="K1569" i="47"/>
  <c r="K1570" i="47"/>
  <c r="K1571" i="47"/>
  <c r="K1572" i="47"/>
  <c r="K1573" i="47"/>
  <c r="K1574" i="47"/>
  <c r="K1575" i="47"/>
  <c r="K1576" i="47"/>
  <c r="K1577" i="47"/>
  <c r="K1578" i="47"/>
  <c r="K1579" i="47"/>
  <c r="K1580" i="47"/>
  <c r="K1581" i="47"/>
  <c r="K1582" i="47"/>
  <c r="K1583" i="47"/>
  <c r="K1584" i="47"/>
  <c r="K1585" i="47"/>
  <c r="K1586" i="47"/>
  <c r="K1587" i="47"/>
  <c r="K1588" i="47"/>
  <c r="K1589" i="47"/>
  <c r="K1590" i="47"/>
  <c r="K1591" i="47"/>
  <c r="K1592" i="47"/>
  <c r="K1593" i="47"/>
  <c r="K1594" i="47"/>
  <c r="K1595" i="47"/>
  <c r="K1596" i="47"/>
  <c r="K1597" i="47"/>
  <c r="K1598" i="47"/>
  <c r="K1599" i="47"/>
  <c r="K1600" i="47"/>
  <c r="K1601" i="47"/>
  <c r="K1602" i="47"/>
  <c r="K1603" i="47"/>
  <c r="K1604" i="47"/>
  <c r="K1605" i="47"/>
  <c r="K1606" i="47"/>
  <c r="K1607" i="47"/>
  <c r="K1608" i="47"/>
  <c r="K1609" i="47"/>
  <c r="K1610" i="47"/>
  <c r="K1611" i="47"/>
  <c r="K1612" i="47"/>
  <c r="K1613" i="47"/>
  <c r="K1614" i="47"/>
  <c r="K1615" i="47"/>
  <c r="K1616" i="47"/>
  <c r="K1617" i="47"/>
  <c r="K1618" i="47"/>
  <c r="K1619" i="47"/>
  <c r="K1620" i="47"/>
  <c r="K1621" i="47"/>
  <c r="K1622" i="47"/>
  <c r="K1623" i="47"/>
  <c r="K1624" i="47"/>
  <c r="K1625" i="47"/>
  <c r="K1626" i="47"/>
  <c r="K1627" i="47"/>
  <c r="K1628" i="47"/>
  <c r="K1629" i="47"/>
  <c r="K1630" i="47"/>
  <c r="K1631" i="47"/>
  <c r="K1632" i="47"/>
  <c r="K1633" i="47"/>
  <c r="K1634" i="47"/>
  <c r="K1635" i="47"/>
  <c r="K1636" i="47"/>
  <c r="K1637" i="47"/>
  <c r="K1638" i="47"/>
  <c r="K1639" i="47"/>
  <c r="K1640" i="47"/>
  <c r="K1641" i="47"/>
  <c r="K1642" i="47"/>
  <c r="K1643" i="47"/>
  <c r="K1644" i="47"/>
  <c r="K1645" i="47"/>
  <c r="K1646" i="47"/>
  <c r="K1647" i="47"/>
  <c r="K1648" i="47"/>
  <c r="K1649" i="47"/>
  <c r="K1650" i="47"/>
  <c r="K1651" i="47"/>
  <c r="K1652" i="47"/>
  <c r="K1653" i="47"/>
  <c r="K1654" i="47"/>
  <c r="K1655" i="47"/>
  <c r="K1656" i="47"/>
  <c r="K1657" i="47"/>
  <c r="K1658" i="47"/>
  <c r="K1659" i="47"/>
  <c r="K1660" i="47"/>
  <c r="K1661" i="47"/>
  <c r="K1662" i="47"/>
  <c r="K1663" i="47"/>
  <c r="K1664" i="47"/>
  <c r="K1665" i="47"/>
  <c r="K1666" i="47"/>
  <c r="K1667" i="47"/>
  <c r="K1668" i="47"/>
  <c r="K1669" i="47"/>
  <c r="K1670" i="47"/>
  <c r="K1671" i="47"/>
  <c r="K1672" i="47"/>
  <c r="K1673" i="47"/>
  <c r="K1674" i="47"/>
  <c r="K1675" i="47"/>
  <c r="K1676" i="47"/>
  <c r="K1677" i="47"/>
  <c r="K1678" i="47"/>
  <c r="K1679" i="47"/>
  <c r="K1680" i="47"/>
  <c r="K1681" i="47"/>
  <c r="K1682" i="47"/>
  <c r="K1683" i="47"/>
  <c r="K1684" i="47"/>
  <c r="K1685" i="47"/>
  <c r="K1686" i="47"/>
  <c r="K1687" i="47"/>
  <c r="K1688" i="47"/>
  <c r="K1689" i="47"/>
  <c r="K1690" i="47"/>
  <c r="K1691" i="47"/>
  <c r="K1692" i="47"/>
  <c r="K1693" i="47"/>
  <c r="K1694" i="47"/>
  <c r="K1695" i="47"/>
  <c r="K1696" i="47"/>
  <c r="K1697" i="47"/>
  <c r="K1698" i="47"/>
  <c r="K1699" i="47"/>
  <c r="K1700" i="47"/>
  <c r="K1701" i="47"/>
  <c r="K1702" i="47"/>
  <c r="K1703" i="47"/>
  <c r="K1704" i="47"/>
  <c r="K1705" i="47"/>
  <c r="K1706" i="47"/>
  <c r="K1707" i="47"/>
  <c r="K1708" i="47"/>
  <c r="K1709" i="47"/>
  <c r="K1710" i="47"/>
  <c r="K1711" i="47"/>
  <c r="K1712" i="47"/>
  <c r="K1713" i="47"/>
  <c r="K1714" i="47"/>
  <c r="K1715" i="47"/>
  <c r="K1716" i="47"/>
  <c r="K1717" i="47"/>
  <c r="K1718" i="47"/>
  <c r="K1719" i="47"/>
  <c r="K1720" i="47"/>
  <c r="K1721" i="47"/>
  <c r="K1722" i="47"/>
  <c r="K1723" i="47"/>
  <c r="K1724" i="47"/>
  <c r="K1725" i="47"/>
  <c r="K1726" i="47"/>
  <c r="K1727" i="47"/>
  <c r="K1728" i="47"/>
  <c r="K1729" i="47"/>
  <c r="K1730" i="47"/>
  <c r="K1731" i="47"/>
  <c r="K1732" i="47"/>
  <c r="K1733" i="47"/>
  <c r="K1734" i="47"/>
  <c r="K1735" i="47"/>
  <c r="K1736" i="47"/>
  <c r="K1737" i="47"/>
  <c r="K1738" i="47"/>
  <c r="K1739" i="47"/>
  <c r="K1740" i="47"/>
  <c r="K1741" i="47"/>
  <c r="K1742" i="47"/>
  <c r="K1743" i="47"/>
  <c r="K1744" i="47"/>
  <c r="K1745" i="47"/>
  <c r="K1746" i="47"/>
  <c r="K1747" i="47"/>
  <c r="K1748" i="47"/>
  <c r="K1749" i="47"/>
  <c r="K1750" i="47"/>
  <c r="K1751" i="47"/>
  <c r="K1752" i="47"/>
  <c r="K1753" i="47"/>
  <c r="K1754" i="47"/>
  <c r="K1755" i="47"/>
  <c r="K1756" i="47"/>
  <c r="K1757" i="47"/>
  <c r="K1758" i="47"/>
  <c r="K1759" i="47"/>
  <c r="K1760" i="47"/>
  <c r="K1761" i="47"/>
  <c r="K1762" i="47"/>
  <c r="K1763" i="47"/>
  <c r="K1764" i="47"/>
  <c r="K1765" i="47"/>
  <c r="K1766" i="47"/>
  <c r="K1767" i="47"/>
  <c r="K1768" i="47"/>
  <c r="K1769" i="47"/>
  <c r="K1770" i="47"/>
  <c r="K1771" i="47"/>
  <c r="K1772" i="47"/>
  <c r="K1773" i="47"/>
  <c r="K1774" i="47"/>
  <c r="K1775" i="47"/>
  <c r="K1776" i="47"/>
  <c r="K1777" i="47"/>
  <c r="K1778" i="47"/>
  <c r="K1779" i="47"/>
  <c r="K1780" i="47"/>
  <c r="K1781" i="47"/>
  <c r="K1782" i="47"/>
  <c r="K1783" i="47"/>
  <c r="K1784" i="47"/>
  <c r="K1785" i="47"/>
  <c r="K1786" i="47"/>
  <c r="K1787" i="47"/>
  <c r="K1788" i="47"/>
  <c r="K1789" i="47"/>
  <c r="K1790" i="47"/>
  <c r="K1791" i="47"/>
  <c r="K1792" i="47"/>
  <c r="K1793" i="47"/>
  <c r="K1794" i="47"/>
  <c r="K1795" i="47"/>
  <c r="K1796" i="47"/>
  <c r="K1797" i="47"/>
  <c r="K1798" i="47"/>
  <c r="K1799" i="47"/>
  <c r="K1800" i="47"/>
  <c r="K1801" i="47"/>
  <c r="K1802" i="47"/>
  <c r="K1803" i="47"/>
  <c r="K1804" i="47"/>
  <c r="K1805" i="47"/>
  <c r="K1806" i="47"/>
  <c r="K1807" i="47"/>
  <c r="K1808" i="47"/>
  <c r="K1809" i="47"/>
  <c r="K1810" i="47"/>
  <c r="K1811" i="47"/>
  <c r="K1812" i="47"/>
  <c r="K1813" i="47"/>
  <c r="K1814" i="47"/>
  <c r="K1815" i="47"/>
  <c r="K1816" i="47"/>
  <c r="K1817" i="47"/>
  <c r="K1818" i="47"/>
  <c r="K1819" i="47"/>
  <c r="K1820" i="47"/>
  <c r="K1821" i="47"/>
  <c r="K1822" i="47"/>
  <c r="K1823" i="47"/>
  <c r="K1824" i="47"/>
  <c r="K1825" i="47"/>
  <c r="K1826" i="47"/>
  <c r="K1827" i="47"/>
  <c r="K1828" i="47"/>
  <c r="K1829" i="47"/>
  <c r="K1830" i="47"/>
  <c r="K1831" i="47"/>
  <c r="K1832" i="47"/>
  <c r="K1833" i="47"/>
  <c r="K1834" i="47"/>
  <c r="K1835" i="47"/>
  <c r="K1836" i="47"/>
  <c r="K1837" i="47"/>
  <c r="K1838" i="47"/>
  <c r="K1839" i="47"/>
  <c r="K1840" i="47"/>
  <c r="K1841" i="47"/>
  <c r="K1842" i="47"/>
  <c r="K1843" i="47"/>
  <c r="K1844" i="47"/>
  <c r="K1845" i="47"/>
  <c r="K1846" i="47"/>
  <c r="K1847" i="47"/>
  <c r="K1848" i="47"/>
  <c r="K1849" i="47"/>
  <c r="K1850" i="47"/>
  <c r="K1851" i="47"/>
  <c r="K1852" i="47"/>
  <c r="K1853" i="47"/>
  <c r="K1854" i="47"/>
  <c r="K1855" i="47"/>
  <c r="K1856" i="47"/>
  <c r="K1857" i="47"/>
  <c r="K1858" i="47"/>
  <c r="K1859" i="47"/>
  <c r="K1860" i="47"/>
  <c r="K1861" i="47"/>
  <c r="K1862" i="47"/>
  <c r="K1863" i="47"/>
  <c r="K1864" i="47"/>
  <c r="K1865" i="47"/>
  <c r="K1866" i="47"/>
  <c r="K1867" i="47"/>
  <c r="K1868" i="47"/>
  <c r="K1869" i="47"/>
  <c r="K1870" i="47"/>
  <c r="K1871" i="47"/>
  <c r="K1872" i="47"/>
  <c r="K1873" i="47"/>
  <c r="K1874" i="47"/>
  <c r="K1875" i="47"/>
  <c r="K1876" i="47"/>
  <c r="K1877" i="47"/>
  <c r="K1878" i="47"/>
  <c r="K1879" i="47"/>
  <c r="K1880" i="47"/>
  <c r="K1881" i="47"/>
  <c r="K1882" i="47"/>
  <c r="K1883" i="47"/>
  <c r="K1884" i="47"/>
  <c r="K1885" i="47"/>
  <c r="K1886" i="47"/>
  <c r="K1887" i="47"/>
  <c r="K1888" i="47"/>
  <c r="K1889" i="47"/>
  <c r="K1890" i="47"/>
  <c r="K1891" i="47"/>
  <c r="K1892" i="47"/>
  <c r="K1893" i="47"/>
  <c r="K1894" i="47"/>
  <c r="K1895" i="47"/>
  <c r="K1896" i="47"/>
  <c r="K1897" i="47"/>
  <c r="K1898" i="47"/>
  <c r="K1899" i="47"/>
  <c r="K1900" i="47"/>
  <c r="K1901" i="47"/>
  <c r="K1902" i="47"/>
  <c r="K1903" i="47"/>
  <c r="K1904" i="47"/>
  <c r="K1905" i="47"/>
  <c r="K1906" i="47"/>
  <c r="K1907" i="47"/>
  <c r="K1908" i="47"/>
  <c r="K1909" i="47"/>
  <c r="K1910" i="47"/>
  <c r="K1911" i="47"/>
  <c r="K1912" i="47"/>
  <c r="K1913" i="47"/>
  <c r="K1914" i="47"/>
  <c r="K1915" i="47"/>
  <c r="K1916" i="47"/>
  <c r="K1917" i="47"/>
  <c r="K1918" i="47"/>
  <c r="K1919" i="47"/>
  <c r="K1920" i="47"/>
  <c r="K1921" i="47"/>
  <c r="K1922" i="47"/>
  <c r="K1923" i="47"/>
  <c r="K1924" i="47"/>
  <c r="K1925" i="47"/>
  <c r="K1926" i="47"/>
  <c r="K1927" i="47"/>
  <c r="K1928" i="47"/>
  <c r="K1929" i="47"/>
  <c r="K1930" i="47"/>
  <c r="K1931" i="47"/>
  <c r="K1932" i="47"/>
  <c r="K1933" i="47"/>
  <c r="K1934" i="47"/>
  <c r="K1935" i="47"/>
  <c r="K1936" i="47"/>
  <c r="K1937" i="47"/>
  <c r="K1938" i="47"/>
  <c r="K1939" i="47"/>
  <c r="K1940" i="47"/>
  <c r="K1941" i="47"/>
  <c r="K1942" i="47"/>
  <c r="K1943" i="47"/>
  <c r="K1944" i="47"/>
  <c r="K1945" i="47"/>
  <c r="K1946" i="47"/>
  <c r="K1947" i="47"/>
  <c r="K1948" i="47"/>
  <c r="K1949" i="47"/>
  <c r="K1950" i="47"/>
  <c r="K1951" i="47"/>
  <c r="K1952" i="47"/>
  <c r="K1953" i="47"/>
  <c r="K1954" i="47"/>
  <c r="K1955" i="47"/>
  <c r="K1956" i="47"/>
  <c r="K1957" i="47"/>
  <c r="K1958" i="47"/>
  <c r="K1959" i="47"/>
  <c r="K1960" i="47"/>
  <c r="K1961" i="47"/>
  <c r="K1962" i="47"/>
  <c r="K1963" i="47"/>
  <c r="K1964" i="47"/>
  <c r="K1965" i="47"/>
  <c r="K1966" i="47"/>
  <c r="K1967" i="47"/>
  <c r="K1968" i="47"/>
  <c r="K1969" i="47"/>
  <c r="K1970" i="47"/>
  <c r="K1971" i="47"/>
  <c r="K1972" i="47"/>
  <c r="K1973" i="47"/>
  <c r="K1974" i="47"/>
  <c r="K1975" i="47"/>
  <c r="K1976" i="47"/>
  <c r="K1977" i="47"/>
  <c r="K1978" i="47"/>
  <c r="K1979" i="47"/>
  <c r="K1980" i="47"/>
  <c r="K1981" i="47"/>
  <c r="K1982" i="47"/>
  <c r="K1983" i="47"/>
  <c r="K1984" i="47"/>
  <c r="K1985" i="47"/>
  <c r="K1986" i="47"/>
  <c r="K1987" i="47"/>
  <c r="K1988" i="47"/>
  <c r="K1989" i="47"/>
  <c r="K1990" i="47"/>
  <c r="K1991" i="47"/>
  <c r="K1992" i="47"/>
  <c r="K1993" i="47"/>
  <c r="K1994" i="47"/>
  <c r="K1995" i="47"/>
  <c r="K1996" i="47"/>
  <c r="K1997" i="47"/>
  <c r="K1998" i="47"/>
  <c r="K1999" i="47"/>
  <c r="K2000" i="47"/>
  <c r="K2001" i="47"/>
  <c r="K2002" i="47"/>
  <c r="K2003" i="47"/>
  <c r="K2004" i="47"/>
  <c r="K2005" i="47"/>
  <c r="K2006" i="47"/>
  <c r="K2007" i="47"/>
  <c r="K2008" i="47"/>
  <c r="K2009" i="47"/>
  <c r="K2010" i="47"/>
  <c r="K2011" i="47"/>
  <c r="K2012" i="47"/>
  <c r="K2013" i="47"/>
  <c r="K2014" i="47"/>
  <c r="K2015" i="47"/>
  <c r="K2016" i="47"/>
  <c r="K2017" i="47"/>
  <c r="K2018" i="47"/>
  <c r="K2019" i="47"/>
  <c r="K2020" i="47"/>
  <c r="K2021" i="47"/>
  <c r="K2022" i="47"/>
  <c r="K2023" i="47"/>
  <c r="K2024" i="47"/>
  <c r="K2025" i="47"/>
  <c r="K2026" i="47"/>
  <c r="K2027" i="47"/>
  <c r="K2028" i="47"/>
  <c r="K2029" i="47"/>
  <c r="K2030" i="47"/>
  <c r="K2031" i="47"/>
  <c r="K2032" i="47"/>
  <c r="K2033" i="47"/>
  <c r="K2034" i="47"/>
  <c r="K2035" i="47"/>
  <c r="K2036" i="47"/>
  <c r="K2037" i="47"/>
  <c r="K2038" i="47"/>
  <c r="K2039" i="47"/>
  <c r="K2040" i="47"/>
  <c r="K2041" i="47"/>
  <c r="K2042" i="47"/>
  <c r="K2043" i="47"/>
  <c r="K2044" i="47"/>
  <c r="K2045" i="47"/>
  <c r="K2046" i="47"/>
  <c r="K2047" i="47"/>
  <c r="K2048" i="47"/>
  <c r="K2049" i="47"/>
  <c r="K2050" i="47"/>
  <c r="K2051" i="47"/>
  <c r="K2052" i="47"/>
  <c r="K2053" i="47"/>
  <c r="K2054" i="47"/>
  <c r="K2055" i="47"/>
  <c r="K2056" i="47"/>
  <c r="K2057" i="47"/>
  <c r="K2058" i="47"/>
  <c r="K2059" i="47"/>
  <c r="K2060" i="47"/>
  <c r="K2061" i="47"/>
  <c r="K2062" i="47"/>
  <c r="K2063" i="47"/>
  <c r="K2064" i="47"/>
  <c r="K2065" i="47"/>
  <c r="K2066" i="47"/>
  <c r="K2067" i="47"/>
  <c r="K2068" i="47"/>
  <c r="K2069" i="47"/>
  <c r="K2070" i="47"/>
  <c r="K2071" i="47"/>
  <c r="K2072" i="47"/>
  <c r="K2073" i="47"/>
  <c r="K2074" i="47"/>
  <c r="K2075" i="47"/>
  <c r="K2076" i="47"/>
  <c r="K2077" i="47"/>
  <c r="K2078" i="47"/>
  <c r="K2079" i="47"/>
  <c r="K2080" i="47"/>
  <c r="K2081" i="47"/>
  <c r="K2082" i="47"/>
  <c r="K2083" i="47"/>
  <c r="K2084" i="47"/>
  <c r="K2085" i="47"/>
  <c r="K2086" i="47"/>
  <c r="K2087" i="47"/>
  <c r="K2088" i="47"/>
  <c r="K2089" i="47"/>
  <c r="K2090" i="47"/>
  <c r="K2091" i="47"/>
  <c r="K2092" i="47"/>
  <c r="K2093" i="47"/>
  <c r="K2094" i="47"/>
  <c r="K2095" i="47"/>
  <c r="K2096" i="47"/>
  <c r="K2097" i="47"/>
  <c r="K2098" i="47"/>
  <c r="K2099" i="47"/>
  <c r="K2100" i="47"/>
  <c r="K2101" i="47"/>
  <c r="K2102" i="47"/>
  <c r="K2103" i="47"/>
  <c r="K2104" i="47"/>
  <c r="K2105" i="47"/>
  <c r="K2106" i="47"/>
  <c r="K2107" i="47"/>
  <c r="K2108" i="47"/>
  <c r="K2109" i="47"/>
  <c r="K2110" i="47"/>
  <c r="K2111" i="47"/>
  <c r="K2112" i="47"/>
  <c r="K2113" i="47"/>
  <c r="K2114" i="47"/>
  <c r="K2115" i="47"/>
  <c r="K2116" i="47"/>
  <c r="K2117" i="47"/>
  <c r="K2118" i="47"/>
  <c r="K2119" i="47"/>
  <c r="K2120" i="47"/>
  <c r="K2121" i="47"/>
  <c r="K2122" i="47"/>
  <c r="K2123" i="47"/>
  <c r="K2124" i="47"/>
  <c r="K2125" i="47"/>
  <c r="K2126" i="47"/>
  <c r="K2127" i="47"/>
  <c r="K2128" i="47"/>
  <c r="K2129" i="47"/>
  <c r="K2130" i="47"/>
  <c r="K2131" i="47"/>
  <c r="K2132" i="47"/>
  <c r="K2133" i="47"/>
  <c r="K2134" i="47"/>
  <c r="K2135" i="47"/>
  <c r="K2136" i="47"/>
  <c r="K2137" i="47"/>
  <c r="K2138" i="47"/>
  <c r="K2139" i="47"/>
  <c r="K2140" i="47"/>
  <c r="K2141" i="47"/>
  <c r="K2142" i="47"/>
  <c r="K2143" i="47"/>
  <c r="K2144" i="47"/>
  <c r="K2145" i="47"/>
  <c r="K2146" i="47"/>
  <c r="K2147" i="47"/>
  <c r="K2148" i="47"/>
  <c r="K2149" i="47"/>
  <c r="K2150" i="47"/>
  <c r="K2151" i="47"/>
  <c r="K2152" i="47"/>
  <c r="K2153" i="47"/>
  <c r="K2154" i="47"/>
  <c r="K2155" i="47"/>
  <c r="K2156" i="47"/>
  <c r="K2157" i="47"/>
  <c r="K2158" i="47"/>
  <c r="K2159" i="47"/>
  <c r="K2160" i="47"/>
  <c r="K2161" i="47"/>
  <c r="K2162" i="47"/>
  <c r="K2163" i="47"/>
  <c r="K2164" i="47"/>
  <c r="K2165" i="47"/>
  <c r="K2166" i="47"/>
  <c r="K2167" i="47"/>
  <c r="K2168" i="47"/>
  <c r="K2169" i="47"/>
  <c r="K2170" i="47"/>
  <c r="K2171" i="47"/>
  <c r="K2172" i="47"/>
  <c r="K2173" i="47"/>
  <c r="K2174" i="47"/>
  <c r="K2175" i="47"/>
  <c r="K2176" i="47"/>
  <c r="K2177" i="47"/>
  <c r="K2178" i="47"/>
  <c r="K2179" i="47"/>
  <c r="K2180" i="47"/>
  <c r="K2181" i="47"/>
  <c r="K2182" i="47"/>
  <c r="K2183" i="47"/>
  <c r="K2184" i="47"/>
  <c r="K2185" i="47"/>
  <c r="K2186" i="47"/>
  <c r="K2187" i="47"/>
  <c r="K2188" i="47"/>
  <c r="K2189" i="47"/>
  <c r="K2190" i="47"/>
  <c r="K2191" i="47"/>
  <c r="K2192" i="47"/>
  <c r="K2193" i="47"/>
  <c r="K2194" i="47"/>
  <c r="K2195" i="47"/>
  <c r="K2196" i="47"/>
  <c r="K2197" i="47"/>
  <c r="K2198" i="47"/>
  <c r="K2199" i="47"/>
  <c r="K2200" i="47"/>
  <c r="K2201" i="47"/>
  <c r="K2202" i="47"/>
  <c r="K2203" i="47"/>
  <c r="K2204" i="47"/>
  <c r="K2205" i="47"/>
  <c r="K2206" i="47"/>
  <c r="K2207" i="47"/>
  <c r="K2208" i="47"/>
  <c r="K2209" i="47"/>
  <c r="K2210" i="47"/>
  <c r="K2211" i="47"/>
  <c r="K2212" i="47"/>
  <c r="K2213" i="47"/>
  <c r="K2214" i="47"/>
  <c r="K2215" i="47"/>
  <c r="K2216" i="47"/>
  <c r="K2217" i="47"/>
  <c r="K2218" i="47"/>
  <c r="K2219" i="47"/>
  <c r="K2220" i="47"/>
  <c r="K2221" i="47"/>
  <c r="K2222" i="47"/>
  <c r="K2223" i="47"/>
  <c r="K2224" i="47"/>
  <c r="K2225" i="47"/>
  <c r="K2226" i="47"/>
  <c r="K2227" i="47"/>
  <c r="K2228" i="47"/>
  <c r="K2229" i="47"/>
  <c r="K2230" i="47"/>
  <c r="K2231" i="47"/>
  <c r="K2232" i="47"/>
  <c r="K2233" i="47"/>
  <c r="K2234" i="47"/>
  <c r="K2235" i="47"/>
  <c r="K2236" i="47"/>
  <c r="K2237" i="47"/>
  <c r="K2238" i="47"/>
  <c r="K2239" i="47"/>
  <c r="K2240" i="47"/>
  <c r="K2241" i="47"/>
  <c r="K2242" i="47"/>
  <c r="K2243" i="47"/>
  <c r="K2" i="47"/>
  <c r="K2244" i="47"/>
  <c r="J3" i="26"/>
  <c r="B6" i="23"/>
  <c r="F50" i="21" s="1"/>
  <c r="D83" i="31"/>
  <c r="E83" i="31"/>
  <c r="F83" i="31"/>
  <c r="G83" i="31"/>
  <c r="H83" i="31"/>
  <c r="I83" i="31"/>
  <c r="J83" i="31"/>
  <c r="K83" i="31"/>
  <c r="L83" i="31"/>
  <c r="M83" i="31"/>
  <c r="N83" i="31"/>
  <c r="O83" i="31"/>
  <c r="C83" i="31"/>
  <c r="M6" i="23"/>
  <c r="Q50" i="21"/>
  <c r="L6" i="23"/>
  <c r="K6" i="23"/>
  <c r="O50" i="21"/>
  <c r="J6" i="23"/>
  <c r="N50" i="21" s="1"/>
  <c r="I6" i="23"/>
  <c r="H6" i="23"/>
  <c r="G6" i="23"/>
  <c r="K50" i="21" s="1"/>
  <c r="F6" i="23"/>
  <c r="E6" i="23"/>
  <c r="D6" i="23"/>
  <c r="C6" i="23"/>
  <c r="C24" i="14"/>
  <c r="C23" i="14"/>
  <c r="C22" i="14"/>
  <c r="C21" i="14"/>
  <c r="O21" i="18"/>
  <c r="C2" i="18"/>
  <c r="D2" i="18" s="1"/>
  <c r="E2" i="18" s="1"/>
  <c r="Q110" i="21"/>
  <c r="P110" i="21"/>
  <c r="O110" i="21"/>
  <c r="N110" i="21"/>
  <c r="M110" i="21"/>
  <c r="L110" i="21"/>
  <c r="K110" i="21"/>
  <c r="J110" i="21"/>
  <c r="I110" i="21"/>
  <c r="H110" i="21"/>
  <c r="G110" i="21"/>
  <c r="F110" i="21"/>
  <c r="G25" i="21"/>
  <c r="H25" i="21"/>
  <c r="I25" i="21"/>
  <c r="J25" i="21"/>
  <c r="K25" i="21"/>
  <c r="L25" i="21"/>
  <c r="M25" i="21"/>
  <c r="N25" i="21"/>
  <c r="O25" i="21"/>
  <c r="P25" i="21"/>
  <c r="Q25" i="21"/>
  <c r="F25" i="21"/>
  <c r="G23" i="21"/>
  <c r="H23" i="21"/>
  <c r="I23" i="21"/>
  <c r="I60" i="21" s="1"/>
  <c r="J23" i="21"/>
  <c r="J60" i="21"/>
  <c r="K23" i="21"/>
  <c r="L23" i="21"/>
  <c r="L60" i="21" s="1"/>
  <c r="M23" i="21"/>
  <c r="N23" i="21"/>
  <c r="N60" i="21" s="1"/>
  <c r="O23" i="21"/>
  <c r="P23" i="21"/>
  <c r="Q23" i="21"/>
  <c r="Q60" i="21" s="1"/>
  <c r="F23" i="21"/>
  <c r="F60" i="21"/>
  <c r="G34" i="21"/>
  <c r="H34" i="21"/>
  <c r="H65" i="21" s="1"/>
  <c r="I34" i="21"/>
  <c r="I65" i="21"/>
  <c r="J34" i="21"/>
  <c r="J65" i="21" s="1"/>
  <c r="K34" i="21"/>
  <c r="K65" i="21" s="1"/>
  <c r="L34" i="21"/>
  <c r="M34" i="21"/>
  <c r="M65" i="21"/>
  <c r="N34" i="21"/>
  <c r="N65" i="21" s="1"/>
  <c r="O34" i="21"/>
  <c r="P34" i="21"/>
  <c r="P65" i="21" s="1"/>
  <c r="Q34" i="21"/>
  <c r="G36" i="21"/>
  <c r="H36" i="21"/>
  <c r="I36" i="21"/>
  <c r="J36" i="21"/>
  <c r="K36" i="21"/>
  <c r="L36" i="21"/>
  <c r="M36" i="21"/>
  <c r="N36" i="21"/>
  <c r="O36" i="21"/>
  <c r="P36" i="21"/>
  <c r="Q36" i="21"/>
  <c r="G38" i="21"/>
  <c r="G66" i="21" s="1"/>
  <c r="H38" i="21"/>
  <c r="H66" i="21"/>
  <c r="I38" i="21"/>
  <c r="I39" i="21" s="1"/>
  <c r="J38" i="21"/>
  <c r="K38" i="21"/>
  <c r="K66" i="21"/>
  <c r="L38" i="21"/>
  <c r="L66" i="21" s="1"/>
  <c r="M38" i="21"/>
  <c r="N38" i="21"/>
  <c r="O38" i="21"/>
  <c r="O66" i="21" s="1"/>
  <c r="P38" i="21"/>
  <c r="P66" i="21" s="1"/>
  <c r="Q38" i="21"/>
  <c r="G40" i="21"/>
  <c r="H40" i="21"/>
  <c r="I40" i="21"/>
  <c r="J40" i="21"/>
  <c r="J39" i="21"/>
  <c r="K40" i="21"/>
  <c r="L40" i="21"/>
  <c r="M40" i="21"/>
  <c r="N40" i="21"/>
  <c r="O40" i="21"/>
  <c r="P40" i="21"/>
  <c r="Q40" i="21"/>
  <c r="F40" i="21"/>
  <c r="F36" i="21"/>
  <c r="F34" i="21"/>
  <c r="G29" i="21"/>
  <c r="H29" i="21"/>
  <c r="I29" i="21"/>
  <c r="J29" i="21"/>
  <c r="K29" i="21"/>
  <c r="L29" i="21"/>
  <c r="M29" i="21"/>
  <c r="N29" i="21"/>
  <c r="O29" i="21"/>
  <c r="P29" i="21"/>
  <c r="Q29" i="21"/>
  <c r="F29" i="21"/>
  <c r="G27" i="21"/>
  <c r="H27" i="21"/>
  <c r="I27" i="21"/>
  <c r="I61" i="21"/>
  <c r="J27" i="21"/>
  <c r="K27" i="21"/>
  <c r="L27" i="21"/>
  <c r="M27" i="21"/>
  <c r="M123" i="21" s="1"/>
  <c r="M154" i="21"/>
  <c r="N27" i="21"/>
  <c r="O27" i="21"/>
  <c r="P27" i="21"/>
  <c r="P123" i="21"/>
  <c r="P154" i="21" s="1"/>
  <c r="Q27" i="21"/>
  <c r="F27" i="21"/>
  <c r="C24" i="37"/>
  <c r="D24" i="37" s="1"/>
  <c r="C24" i="35"/>
  <c r="D24" i="35" s="1"/>
  <c r="F149" i="9"/>
  <c r="AZ97" i="46"/>
  <c r="AZ97" i="45"/>
  <c r="AZ97" i="44"/>
  <c r="K120" i="43"/>
  <c r="K119" i="43"/>
  <c r="K118" i="43"/>
  <c r="K117" i="43"/>
  <c r="K116" i="43"/>
  <c r="K115" i="43"/>
  <c r="K114" i="43"/>
  <c r="K113" i="43"/>
  <c r="K112" i="43"/>
  <c r="K111" i="43"/>
  <c r="K110" i="43"/>
  <c r="K109" i="43"/>
  <c r="K108" i="43"/>
  <c r="K5" i="43"/>
  <c r="J120" i="42"/>
  <c r="J119" i="42"/>
  <c r="J118" i="42"/>
  <c r="J117" i="42"/>
  <c r="J116" i="42"/>
  <c r="J115" i="42"/>
  <c r="J114" i="42"/>
  <c r="J113" i="42"/>
  <c r="J112" i="42"/>
  <c r="J111" i="42"/>
  <c r="J110" i="42"/>
  <c r="J109" i="42"/>
  <c r="J108" i="42"/>
  <c r="J107" i="42"/>
  <c r="J106" i="42"/>
  <c r="J105" i="42"/>
  <c r="J104" i="42"/>
  <c r="J103" i="42"/>
  <c r="J102" i="42"/>
  <c r="J101" i="42"/>
  <c r="J100" i="42"/>
  <c r="J99" i="42"/>
  <c r="J98" i="42"/>
  <c r="J58" i="42"/>
  <c r="J5" i="42"/>
  <c r="B28" i="40"/>
  <c r="C27" i="40"/>
  <c r="C26" i="40"/>
  <c r="D26" i="40" s="1"/>
  <c r="I21" i="24"/>
  <c r="I22" i="24"/>
  <c r="I20" i="24"/>
  <c r="E37" i="25"/>
  <c r="C37" i="25"/>
  <c r="I37" i="25"/>
  <c r="G37" i="25"/>
  <c r="G36" i="25"/>
  <c r="L36" i="25" s="1"/>
  <c r="C36" i="25"/>
  <c r="B9" i="24"/>
  <c r="B10" i="24"/>
  <c r="B11" i="24" s="1"/>
  <c r="B12" i="24" s="1"/>
  <c r="B13" i="24" s="1"/>
  <c r="B14" i="24" s="1"/>
  <c r="B15" i="24" s="1"/>
  <c r="B16" i="24" s="1"/>
  <c r="B17" i="24" s="1"/>
  <c r="B18" i="24" s="1"/>
  <c r="B19" i="24" s="1"/>
  <c r="E27" i="40"/>
  <c r="E26" i="40"/>
  <c r="E25" i="40"/>
  <c r="C25" i="40"/>
  <c r="B21" i="40"/>
  <c r="E18" i="40"/>
  <c r="C18" i="40"/>
  <c r="K19" i="24" s="1"/>
  <c r="E17" i="40"/>
  <c r="C17" i="40"/>
  <c r="D17" i="40"/>
  <c r="E16" i="40"/>
  <c r="C16" i="40"/>
  <c r="D16" i="40"/>
  <c r="E15" i="40"/>
  <c r="I16" i="24" s="1"/>
  <c r="C15" i="40"/>
  <c r="E14" i="40"/>
  <c r="C14" i="40"/>
  <c r="E13" i="40"/>
  <c r="I14" i="24"/>
  <c r="C13" i="40"/>
  <c r="K14" i="24"/>
  <c r="E12" i="40"/>
  <c r="C12" i="40"/>
  <c r="E11" i="40"/>
  <c r="I12" i="24"/>
  <c r="C11" i="40"/>
  <c r="E10" i="40"/>
  <c r="I11" i="24" s="1"/>
  <c r="C10" i="40"/>
  <c r="E9" i="40"/>
  <c r="I10" i="24"/>
  <c r="C9" i="40"/>
  <c r="E8" i="40"/>
  <c r="C8" i="40"/>
  <c r="D8" i="40"/>
  <c r="E7" i="40"/>
  <c r="C7" i="40"/>
  <c r="D7" i="40" s="1"/>
  <c r="A7" i="40"/>
  <c r="A8" i="40" s="1"/>
  <c r="A9" i="40" s="1"/>
  <c r="A10" i="40" s="1"/>
  <c r="A11" i="40" s="1"/>
  <c r="A12" i="40" s="1"/>
  <c r="A13" i="40" s="1"/>
  <c r="A14" i="40" s="1"/>
  <c r="A15" i="40" s="1"/>
  <c r="A16" i="40" s="1"/>
  <c r="A17" i="40" s="1"/>
  <c r="A18" i="40" s="1"/>
  <c r="G35" i="25"/>
  <c r="L35" i="25" s="1"/>
  <c r="C35" i="25"/>
  <c r="I34" i="25"/>
  <c r="G34" i="25"/>
  <c r="C34" i="25"/>
  <c r="G33" i="25"/>
  <c r="L33" i="25" s="1"/>
  <c r="C33" i="25"/>
  <c r="G32" i="25"/>
  <c r="L32" i="25" s="1"/>
  <c r="C32" i="25"/>
  <c r="I28" i="25"/>
  <c r="G28" i="25"/>
  <c r="E28" i="25"/>
  <c r="C28" i="25"/>
  <c r="G27" i="25"/>
  <c r="L27" i="25" s="1"/>
  <c r="C27" i="25"/>
  <c r="G26" i="25"/>
  <c r="L26" i="25"/>
  <c r="C26" i="25"/>
  <c r="G25" i="25"/>
  <c r="L25" i="25" s="1"/>
  <c r="C25" i="25"/>
  <c r="G24" i="25"/>
  <c r="L24" i="25" s="1"/>
  <c r="E24" i="25"/>
  <c r="C24" i="25"/>
  <c r="G23" i="25"/>
  <c r="L23" i="25" s="1"/>
  <c r="C23" i="25"/>
  <c r="I22" i="25"/>
  <c r="G22" i="25"/>
  <c r="E22" i="25"/>
  <c r="C22" i="25"/>
  <c r="I21" i="25"/>
  <c r="G21" i="25"/>
  <c r="E21" i="25"/>
  <c r="C21" i="25"/>
  <c r="I20" i="25"/>
  <c r="G20" i="25"/>
  <c r="E20" i="25"/>
  <c r="C20" i="25"/>
  <c r="I19" i="25"/>
  <c r="G19" i="25"/>
  <c r="C19" i="25"/>
  <c r="G18" i="25"/>
  <c r="L18" i="25"/>
  <c r="E18" i="25"/>
  <c r="C18" i="25"/>
  <c r="G17" i="25"/>
  <c r="L17" i="25"/>
  <c r="E17" i="25"/>
  <c r="C17" i="25"/>
  <c r="I16" i="25"/>
  <c r="G16" i="25"/>
  <c r="E16" i="25"/>
  <c r="C16" i="25"/>
  <c r="I15" i="25"/>
  <c r="G15" i="25"/>
  <c r="E15" i="25"/>
  <c r="C15" i="25"/>
  <c r="I14" i="25"/>
  <c r="G14" i="25"/>
  <c r="E14" i="25"/>
  <c r="C14" i="25"/>
  <c r="G13" i="25"/>
  <c r="L13" i="25"/>
  <c r="E13" i="25"/>
  <c r="C13" i="25"/>
  <c r="I12" i="25"/>
  <c r="G12" i="25"/>
  <c r="E12" i="25"/>
  <c r="C12" i="25"/>
  <c r="G11" i="25"/>
  <c r="L11" i="25"/>
  <c r="E11" i="25"/>
  <c r="C11" i="25"/>
  <c r="I10" i="25"/>
  <c r="G10" i="25"/>
  <c r="E10" i="25"/>
  <c r="C10" i="25"/>
  <c r="I9" i="25"/>
  <c r="G9" i="25"/>
  <c r="E9" i="25"/>
  <c r="C9" i="25"/>
  <c r="I8" i="25"/>
  <c r="G8" i="25"/>
  <c r="E8" i="25"/>
  <c r="C8" i="25"/>
  <c r="I7" i="25"/>
  <c r="G7" i="25"/>
  <c r="E7" i="25"/>
  <c r="C7" i="25"/>
  <c r="I6" i="25"/>
  <c r="G6" i="25"/>
  <c r="E6" i="25"/>
  <c r="C6" i="25"/>
  <c r="I5" i="25"/>
  <c r="G5" i="25"/>
  <c r="E5" i="25"/>
  <c r="C5" i="25"/>
  <c r="B5" i="25"/>
  <c r="B6" i="25"/>
  <c r="B42" i="8"/>
  <c r="B43" i="8"/>
  <c r="B57" i="8"/>
  <c r="P24" i="33"/>
  <c r="P25" i="33"/>
  <c r="P26" i="33"/>
  <c r="P27" i="33"/>
  <c r="P28" i="33"/>
  <c r="P29" i="33"/>
  <c r="P30" i="33"/>
  <c r="P31" i="33"/>
  <c r="P23" i="33"/>
  <c r="B29" i="10"/>
  <c r="B28" i="10"/>
  <c r="B27" i="10"/>
  <c r="B26" i="10"/>
  <c r="B52" i="10"/>
  <c r="B51" i="10"/>
  <c r="B50" i="10"/>
  <c r="B49" i="10"/>
  <c r="B48" i="10"/>
  <c r="B47" i="10"/>
  <c r="B46" i="10"/>
  <c r="B45" i="10"/>
  <c r="B44" i="10"/>
  <c r="B43" i="10"/>
  <c r="B42" i="10"/>
  <c r="B41" i="10"/>
  <c r="B40" i="10"/>
  <c r="B39" i="10"/>
  <c r="B69" i="10"/>
  <c r="B68" i="10"/>
  <c r="B67" i="10"/>
  <c r="B66" i="10"/>
  <c r="B65" i="10"/>
  <c r="B64" i="10"/>
  <c r="B63" i="10"/>
  <c r="B62" i="10"/>
  <c r="B61" i="10"/>
  <c r="B60" i="10"/>
  <c r="B59" i="10"/>
  <c r="B58" i="10"/>
  <c r="B57" i="10"/>
  <c r="B56" i="10"/>
  <c r="B55" i="10"/>
  <c r="B87" i="10"/>
  <c r="B86" i="10"/>
  <c r="B85" i="10"/>
  <c r="B84" i="10"/>
  <c r="B83" i="10"/>
  <c r="B82" i="10"/>
  <c r="B81" i="10"/>
  <c r="B80" i="10"/>
  <c r="B79" i="10"/>
  <c r="B78" i="10"/>
  <c r="B77" i="10"/>
  <c r="B76" i="10"/>
  <c r="B75" i="10"/>
  <c r="B74" i="10"/>
  <c r="B98" i="10"/>
  <c r="B97" i="10"/>
  <c r="B96" i="10"/>
  <c r="B95" i="10"/>
  <c r="B94" i="10"/>
  <c r="B93" i="10"/>
  <c r="B92" i="10"/>
  <c r="B91" i="10"/>
  <c r="B90" i="10"/>
  <c r="B89" i="10"/>
  <c r="B112" i="10"/>
  <c r="B111" i="10"/>
  <c r="B110" i="10"/>
  <c r="B109" i="10"/>
  <c r="B108" i="10"/>
  <c r="B107" i="10"/>
  <c r="B106" i="10"/>
  <c r="B105" i="10"/>
  <c r="B104" i="10"/>
  <c r="B103" i="10"/>
  <c r="B102" i="10"/>
  <c r="B101" i="10"/>
  <c r="B100" i="10"/>
  <c r="B128" i="10"/>
  <c r="B127" i="10"/>
  <c r="B126" i="10"/>
  <c r="B125" i="10"/>
  <c r="B124" i="10"/>
  <c r="B123" i="10"/>
  <c r="B122" i="10"/>
  <c r="B121" i="10"/>
  <c r="B120" i="10"/>
  <c r="B119" i="10"/>
  <c r="B118" i="10"/>
  <c r="B117" i="10"/>
  <c r="B116" i="10"/>
  <c r="B115" i="10"/>
  <c r="B142" i="10"/>
  <c r="B141" i="10"/>
  <c r="B140" i="10"/>
  <c r="B139" i="10"/>
  <c r="B138" i="10"/>
  <c r="B137" i="10"/>
  <c r="B136" i="10"/>
  <c r="B135" i="10"/>
  <c r="B134" i="10"/>
  <c r="B133" i="10"/>
  <c r="B132" i="10"/>
  <c r="B131" i="10"/>
  <c r="B157" i="10"/>
  <c r="B156" i="10"/>
  <c r="B155" i="10"/>
  <c r="B154" i="10"/>
  <c r="B153" i="10"/>
  <c r="B152" i="10"/>
  <c r="B151" i="10"/>
  <c r="B150" i="10"/>
  <c r="B149" i="10"/>
  <c r="B148" i="10"/>
  <c r="B147" i="10"/>
  <c r="B146" i="10"/>
  <c r="B145" i="10"/>
  <c r="B168" i="10"/>
  <c r="B167" i="10"/>
  <c r="B166" i="10"/>
  <c r="B165" i="10"/>
  <c r="B164" i="10"/>
  <c r="B163" i="10"/>
  <c r="B162" i="10"/>
  <c r="B161" i="10"/>
  <c r="B160" i="10"/>
  <c r="B171" i="10"/>
  <c r="B181" i="10"/>
  <c r="B180" i="10"/>
  <c r="B179" i="10"/>
  <c r="B178" i="10"/>
  <c r="B177" i="10"/>
  <c r="B176" i="10"/>
  <c r="B175" i="10"/>
  <c r="B174" i="10"/>
  <c r="B173" i="10"/>
  <c r="B172" i="10"/>
  <c r="B194" i="10"/>
  <c r="B193" i="10"/>
  <c r="B192" i="10"/>
  <c r="B191" i="10"/>
  <c r="B190" i="10"/>
  <c r="B189" i="10"/>
  <c r="B188" i="10"/>
  <c r="B187" i="10"/>
  <c r="B186" i="10"/>
  <c r="B216" i="10"/>
  <c r="B215" i="10"/>
  <c r="B214" i="10"/>
  <c r="B213" i="10"/>
  <c r="B212" i="10"/>
  <c r="B211" i="10"/>
  <c r="B210" i="10"/>
  <c r="B209" i="10"/>
  <c r="B208" i="10"/>
  <c r="B207" i="10"/>
  <c r="B206" i="10"/>
  <c r="B205" i="10"/>
  <c r="B204" i="10"/>
  <c r="B203" i="10"/>
  <c r="B228" i="10"/>
  <c r="B227" i="10"/>
  <c r="B226" i="10"/>
  <c r="B225" i="10"/>
  <c r="B224" i="10"/>
  <c r="B223" i="10"/>
  <c r="B222" i="10"/>
  <c r="B221" i="10"/>
  <c r="B220" i="10"/>
  <c r="B219" i="10"/>
  <c r="B242" i="10"/>
  <c r="B241" i="10"/>
  <c r="B240" i="10"/>
  <c r="B239" i="10"/>
  <c r="B238" i="10"/>
  <c r="B237" i="10"/>
  <c r="B236" i="10"/>
  <c r="B235" i="10"/>
  <c r="B234" i="10"/>
  <c r="B233"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B259" i="10"/>
  <c r="B258" i="10"/>
  <c r="B257" i="10"/>
  <c r="B256" i="10"/>
  <c r="B255" i="10"/>
  <c r="B254" i="10"/>
  <c r="B253" i="10"/>
  <c r="B252" i="10"/>
  <c r="B251" i="10"/>
  <c r="B250" i="10"/>
  <c r="B249" i="10"/>
  <c r="B248" i="10"/>
  <c r="B247" i="10"/>
  <c r="B246" i="10"/>
  <c r="B245" i="10"/>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2" i="9"/>
  <c r="B241" i="9"/>
  <c r="B240" i="9"/>
  <c r="B239" i="9"/>
  <c r="B238" i="9"/>
  <c r="B237" i="9"/>
  <c r="B236" i="9"/>
  <c r="B235" i="9"/>
  <c r="B234" i="9"/>
  <c r="B233" i="9"/>
  <c r="B228" i="9"/>
  <c r="B227" i="9"/>
  <c r="B226" i="9"/>
  <c r="B225" i="9"/>
  <c r="B224" i="9"/>
  <c r="B223" i="9"/>
  <c r="B222" i="9"/>
  <c r="B221" i="9"/>
  <c r="B220" i="9"/>
  <c r="B219" i="9"/>
  <c r="B216" i="9"/>
  <c r="B215" i="9"/>
  <c r="B214" i="9"/>
  <c r="B213" i="9"/>
  <c r="B212" i="9"/>
  <c r="B211" i="9"/>
  <c r="B210" i="9"/>
  <c r="B209" i="9"/>
  <c r="B208" i="9"/>
  <c r="B207" i="9"/>
  <c r="B206" i="9"/>
  <c r="B205" i="9"/>
  <c r="B204" i="9"/>
  <c r="B203" i="9"/>
  <c r="B194" i="9"/>
  <c r="B193" i="9"/>
  <c r="B192" i="9"/>
  <c r="B191" i="9"/>
  <c r="B190" i="9"/>
  <c r="B189" i="9"/>
  <c r="B188" i="9"/>
  <c r="B187" i="9"/>
  <c r="B186" i="9"/>
  <c r="B181" i="9"/>
  <c r="B180" i="9"/>
  <c r="B179" i="9"/>
  <c r="B178" i="9"/>
  <c r="B177" i="9"/>
  <c r="B176" i="9"/>
  <c r="B175" i="9"/>
  <c r="B174" i="9"/>
  <c r="B173" i="9"/>
  <c r="B172" i="9"/>
  <c r="B171" i="9"/>
  <c r="B168" i="9"/>
  <c r="B167" i="9"/>
  <c r="B166" i="9"/>
  <c r="B165" i="9"/>
  <c r="B164" i="9"/>
  <c r="B163" i="9"/>
  <c r="B162" i="9"/>
  <c r="B161" i="9"/>
  <c r="B160" i="9"/>
  <c r="B157" i="9"/>
  <c r="B156" i="9"/>
  <c r="B155" i="9"/>
  <c r="B154" i="9"/>
  <c r="B153" i="9"/>
  <c r="B152" i="9"/>
  <c r="B151" i="9"/>
  <c r="B150" i="9"/>
  <c r="B149" i="9"/>
  <c r="B148" i="9"/>
  <c r="B147" i="9"/>
  <c r="B146" i="9"/>
  <c r="B145" i="9"/>
  <c r="B142" i="9"/>
  <c r="B141" i="9"/>
  <c r="B140" i="9"/>
  <c r="B139" i="9"/>
  <c r="B138" i="9"/>
  <c r="B137" i="9"/>
  <c r="B136" i="9"/>
  <c r="B135" i="9"/>
  <c r="B134" i="9"/>
  <c r="B133" i="9"/>
  <c r="B132" i="9"/>
  <c r="B131" i="9"/>
  <c r="B128" i="9"/>
  <c r="B127" i="9"/>
  <c r="B126" i="9"/>
  <c r="B125" i="9"/>
  <c r="B124" i="9"/>
  <c r="B123" i="9"/>
  <c r="B122" i="9"/>
  <c r="B121" i="9"/>
  <c r="B120" i="9"/>
  <c r="B119" i="9"/>
  <c r="B118" i="9"/>
  <c r="B117" i="9"/>
  <c r="B116" i="9"/>
  <c r="B115" i="9"/>
  <c r="B112" i="9"/>
  <c r="B111" i="9"/>
  <c r="B110" i="9"/>
  <c r="B109" i="9"/>
  <c r="B108" i="9"/>
  <c r="B107" i="9"/>
  <c r="B106" i="9"/>
  <c r="B105" i="9"/>
  <c r="B104" i="9"/>
  <c r="B103" i="9"/>
  <c r="B102" i="9"/>
  <c r="B101" i="9"/>
  <c r="B100" i="9"/>
  <c r="B98" i="9"/>
  <c r="B97" i="9"/>
  <c r="B96" i="9"/>
  <c r="B95" i="9"/>
  <c r="B94" i="9"/>
  <c r="B93" i="9"/>
  <c r="B92" i="9"/>
  <c r="B91" i="9"/>
  <c r="B90" i="9"/>
  <c r="B89" i="9"/>
  <c r="B87" i="9"/>
  <c r="B86" i="9"/>
  <c r="B85" i="9"/>
  <c r="B84" i="9"/>
  <c r="B83" i="9"/>
  <c r="B82" i="9"/>
  <c r="B81" i="9"/>
  <c r="B80" i="9"/>
  <c r="B79" i="9"/>
  <c r="B78" i="9"/>
  <c r="B77" i="9"/>
  <c r="B76" i="9"/>
  <c r="B75" i="9"/>
  <c r="B74" i="9"/>
  <c r="B69" i="9"/>
  <c r="B68" i="9"/>
  <c r="B67" i="9"/>
  <c r="B66" i="9"/>
  <c r="B65" i="9"/>
  <c r="B64" i="9"/>
  <c r="B63" i="9"/>
  <c r="B62" i="9"/>
  <c r="B61" i="9"/>
  <c r="B60" i="9"/>
  <c r="B59" i="9"/>
  <c r="B58" i="9"/>
  <c r="B57" i="9"/>
  <c r="B56" i="9"/>
  <c r="B55" i="9"/>
  <c r="B51" i="9"/>
  <c r="B50" i="9"/>
  <c r="B49" i="9"/>
  <c r="B48" i="9"/>
  <c r="B47" i="9"/>
  <c r="B46" i="9"/>
  <c r="B45" i="9"/>
  <c r="B44" i="9"/>
  <c r="B43" i="9"/>
  <c r="B42" i="9"/>
  <c r="B41" i="9"/>
  <c r="B40" i="9"/>
  <c r="B39" i="9"/>
  <c r="B29" i="9"/>
  <c r="B28" i="9"/>
  <c r="B27" i="9"/>
  <c r="B26" i="9"/>
  <c r="B285" i="8"/>
  <c r="B284" i="8"/>
  <c r="B283" i="8"/>
  <c r="B282" i="8"/>
  <c r="B281" i="8"/>
  <c r="B280" i="8"/>
  <c r="B279" i="8"/>
  <c r="B278" i="8"/>
  <c r="B277" i="8"/>
  <c r="B276" i="8"/>
  <c r="B275" i="8"/>
  <c r="B274" i="8"/>
  <c r="B273" i="8"/>
  <c r="B272" i="8"/>
  <c r="B271" i="8"/>
  <c r="B270" i="8"/>
  <c r="B269" i="8"/>
  <c r="B268" i="8"/>
  <c r="B267" i="8"/>
  <c r="B266" i="8"/>
  <c r="B265" i="8"/>
  <c r="B264" i="8"/>
  <c r="B263" i="8"/>
  <c r="B262" i="8"/>
  <c r="B261" i="8"/>
  <c r="B260" i="8"/>
  <c r="B259" i="8"/>
  <c r="B258" i="8"/>
  <c r="B257" i="8"/>
  <c r="B256" i="8"/>
  <c r="B255" i="8"/>
  <c r="B254" i="8"/>
  <c r="B253" i="8"/>
  <c r="B252" i="8"/>
  <c r="B251" i="8"/>
  <c r="B250" i="8"/>
  <c r="B249" i="8"/>
  <c r="B248" i="8"/>
  <c r="B247" i="8"/>
  <c r="B246" i="8"/>
  <c r="B245" i="8"/>
  <c r="B242" i="8"/>
  <c r="B241" i="8"/>
  <c r="B240" i="8"/>
  <c r="B239" i="8"/>
  <c r="B238" i="8"/>
  <c r="B237" i="8"/>
  <c r="B236" i="8"/>
  <c r="B235" i="8"/>
  <c r="B234" i="8"/>
  <c r="B233" i="8"/>
  <c r="B228" i="8"/>
  <c r="B227" i="8"/>
  <c r="B226" i="8"/>
  <c r="B225" i="8"/>
  <c r="B224" i="8"/>
  <c r="B223" i="8"/>
  <c r="B222" i="8"/>
  <c r="B221" i="8"/>
  <c r="B220" i="8"/>
  <c r="B219" i="8"/>
  <c r="B216" i="8"/>
  <c r="B215" i="8"/>
  <c r="B214" i="8"/>
  <c r="B213" i="8"/>
  <c r="B212" i="8"/>
  <c r="B211" i="8"/>
  <c r="B210" i="8"/>
  <c r="B209" i="8"/>
  <c r="B208" i="8"/>
  <c r="B207" i="8"/>
  <c r="B206" i="8"/>
  <c r="B205" i="8"/>
  <c r="B204" i="8"/>
  <c r="B203" i="8"/>
  <c r="B194" i="8"/>
  <c r="B193" i="8"/>
  <c r="B192" i="8"/>
  <c r="B191" i="8"/>
  <c r="B190" i="8"/>
  <c r="B189" i="8"/>
  <c r="B188" i="8"/>
  <c r="B187" i="8"/>
  <c r="B186" i="8"/>
  <c r="B181" i="8"/>
  <c r="B180" i="8"/>
  <c r="B179" i="8"/>
  <c r="B178" i="8"/>
  <c r="B177" i="8"/>
  <c r="B176" i="8"/>
  <c r="B175" i="8"/>
  <c r="B174" i="8"/>
  <c r="B173" i="8"/>
  <c r="B172" i="8"/>
  <c r="B171" i="8"/>
  <c r="B168" i="8"/>
  <c r="B167" i="8"/>
  <c r="B166" i="8"/>
  <c r="B165" i="8"/>
  <c r="B164" i="8"/>
  <c r="B163" i="8"/>
  <c r="B162" i="8"/>
  <c r="B161" i="8"/>
  <c r="B160" i="8"/>
  <c r="B157" i="8"/>
  <c r="B156" i="8"/>
  <c r="B155" i="8"/>
  <c r="B154" i="8"/>
  <c r="B153" i="8"/>
  <c r="B152" i="8"/>
  <c r="B151" i="8"/>
  <c r="B150" i="8"/>
  <c r="B149" i="8"/>
  <c r="B148" i="8"/>
  <c r="B147" i="8"/>
  <c r="B146" i="8"/>
  <c r="B145" i="8"/>
  <c r="B128" i="8"/>
  <c r="B127" i="8"/>
  <c r="B126" i="8"/>
  <c r="B125" i="8"/>
  <c r="B124" i="8"/>
  <c r="B123" i="8"/>
  <c r="B122" i="8"/>
  <c r="B121" i="8"/>
  <c r="B120" i="8"/>
  <c r="B119" i="8"/>
  <c r="B118" i="8"/>
  <c r="B117" i="8"/>
  <c r="B116" i="8"/>
  <c r="B115" i="8"/>
  <c r="B112" i="8"/>
  <c r="B111" i="8"/>
  <c r="B110" i="8"/>
  <c r="B109" i="8"/>
  <c r="B108" i="8"/>
  <c r="B107" i="8"/>
  <c r="B106" i="8"/>
  <c r="B105" i="8"/>
  <c r="B104" i="8"/>
  <c r="B103" i="8"/>
  <c r="B102" i="8"/>
  <c r="B101" i="8"/>
  <c r="B100" i="8"/>
  <c r="B98" i="8"/>
  <c r="B97" i="8"/>
  <c r="B96" i="8"/>
  <c r="B95" i="8"/>
  <c r="B94" i="8"/>
  <c r="B93" i="8"/>
  <c r="B92" i="8"/>
  <c r="B91" i="8"/>
  <c r="B90" i="8"/>
  <c r="B89" i="8"/>
  <c r="B87" i="8"/>
  <c r="B86" i="8"/>
  <c r="B85" i="8"/>
  <c r="B84" i="8"/>
  <c r="B83" i="8"/>
  <c r="B82" i="8"/>
  <c r="B81" i="8"/>
  <c r="B80" i="8"/>
  <c r="B79" i="8"/>
  <c r="B78" i="8"/>
  <c r="B77" i="8"/>
  <c r="B76" i="8"/>
  <c r="B75" i="8"/>
  <c r="B74" i="8"/>
  <c r="B26" i="8"/>
  <c r="B69" i="8"/>
  <c r="B68" i="8"/>
  <c r="B67" i="8"/>
  <c r="B66" i="8"/>
  <c r="B65" i="8"/>
  <c r="B64" i="8"/>
  <c r="B63" i="8"/>
  <c r="B62" i="8"/>
  <c r="B61" i="8"/>
  <c r="B60" i="8"/>
  <c r="B59" i="8"/>
  <c r="B58" i="8"/>
  <c r="B56" i="8"/>
  <c r="B55" i="8"/>
  <c r="B52" i="8"/>
  <c r="B51" i="8"/>
  <c r="B50" i="8"/>
  <c r="B49" i="8"/>
  <c r="B48" i="8"/>
  <c r="B47" i="8"/>
  <c r="B46" i="8"/>
  <c r="B45" i="8"/>
  <c r="B44" i="8"/>
  <c r="B41" i="8"/>
  <c r="B40" i="8"/>
  <c r="B39" i="8"/>
  <c r="B29" i="8"/>
  <c r="B28" i="8"/>
  <c r="H28" i="9"/>
  <c r="B27" i="8"/>
  <c r="H27" i="9"/>
  <c r="I27" i="9" s="1"/>
  <c r="B132" i="8"/>
  <c r="B133" i="8"/>
  <c r="B134" i="8"/>
  <c r="B135" i="8"/>
  <c r="B136" i="8"/>
  <c r="B137" i="8"/>
  <c r="B138" i="8"/>
  <c r="B139" i="8"/>
  <c r="B140" i="8"/>
  <c r="B141" i="8"/>
  <c r="B142" i="8"/>
  <c r="B131" i="8"/>
  <c r="Q176" i="10"/>
  <c r="Q175" i="10"/>
  <c r="R175" i="10"/>
  <c r="Q174" i="10"/>
  <c r="Q173" i="10"/>
  <c r="Q172" i="10"/>
  <c r="Q171" i="10"/>
  <c r="R171" i="10" s="1"/>
  <c r="Q161" i="10"/>
  <c r="Q162" i="10"/>
  <c r="Q163" i="10"/>
  <c r="Q164" i="10"/>
  <c r="Q165" i="10"/>
  <c r="Q166" i="10"/>
  <c r="Q167" i="10"/>
  <c r="Q168" i="10"/>
  <c r="Q169" i="10"/>
  <c r="Q170" i="10"/>
  <c r="Q159" i="10"/>
  <c r="Q160" i="10"/>
  <c r="L254" i="10"/>
  <c r="H83" i="48"/>
  <c r="L255" i="10"/>
  <c r="H255" i="8" s="1"/>
  <c r="I255" i="8" s="1"/>
  <c r="L256" i="10"/>
  <c r="H256" i="8"/>
  <c r="I256" i="8" s="1"/>
  <c r="L257" i="10"/>
  <c r="H257" i="8"/>
  <c r="L258" i="10"/>
  <c r="H258" i="8" s="1"/>
  <c r="L259" i="10"/>
  <c r="H259" i="8"/>
  <c r="I259" i="8"/>
  <c r="L260" i="10"/>
  <c r="H260" i="8" s="1"/>
  <c r="I260" i="8" s="1"/>
  <c r="L261" i="10"/>
  <c r="H261" i="8" s="1"/>
  <c r="I261" i="8" s="1"/>
  <c r="L262" i="10"/>
  <c r="L263" i="10"/>
  <c r="H263" i="8" s="1"/>
  <c r="I263" i="8" s="1"/>
  <c r="L264" i="10"/>
  <c r="H264" i="8"/>
  <c r="L265" i="10"/>
  <c r="H265" i="8" s="1"/>
  <c r="I265" i="8" s="1"/>
  <c r="L266" i="10"/>
  <c r="H266" i="8" s="1"/>
  <c r="I266" i="8" s="1"/>
  <c r="L267" i="10"/>
  <c r="H267" i="8"/>
  <c r="L268" i="10"/>
  <c r="H268" i="8" s="1"/>
  <c r="L269" i="10"/>
  <c r="H269" i="8"/>
  <c r="L270" i="10"/>
  <c r="L271" i="10"/>
  <c r="H271" i="8"/>
  <c r="L272" i="10"/>
  <c r="H272" i="8" s="1"/>
  <c r="I272" i="8" s="1"/>
  <c r="L273" i="10"/>
  <c r="L274" i="10"/>
  <c r="H274" i="8" s="1"/>
  <c r="I274" i="8" s="1"/>
  <c r="L275" i="10"/>
  <c r="H275" i="8"/>
  <c r="I275" i="8" s="1"/>
  <c r="L276" i="10"/>
  <c r="H276" i="8"/>
  <c r="I276" i="8"/>
  <c r="L277" i="10"/>
  <c r="H277" i="8" s="1"/>
  <c r="L278" i="10"/>
  <c r="L279" i="10"/>
  <c r="L280" i="10"/>
  <c r="H280" i="8" s="1"/>
  <c r="L281" i="10"/>
  <c r="H281" i="8"/>
  <c r="L282" i="10"/>
  <c r="H282" i="8" s="1"/>
  <c r="L283" i="10"/>
  <c r="H283" i="8"/>
  <c r="L284" i="10"/>
  <c r="H100" i="48" s="1"/>
  <c r="L285" i="10"/>
  <c r="H285" i="8"/>
  <c r="I285" i="8" s="1"/>
  <c r="L235" i="10"/>
  <c r="L236" i="10"/>
  <c r="L237" i="10"/>
  <c r="H237" i="8" s="1"/>
  <c r="L239" i="10"/>
  <c r="L240" i="10"/>
  <c r="L242" i="10"/>
  <c r="L223" i="10"/>
  <c r="H223" i="8" s="1"/>
  <c r="L224" i="10"/>
  <c r="H224" i="8"/>
  <c r="I224" i="8" s="1"/>
  <c r="L225" i="10"/>
  <c r="H74" i="48"/>
  <c r="L226" i="10"/>
  <c r="H226" i="8" s="1"/>
  <c r="I226" i="8" s="1"/>
  <c r="L227" i="10"/>
  <c r="H227" i="8"/>
  <c r="L228" i="10"/>
  <c r="H228" i="8" s="1"/>
  <c r="L212" i="10"/>
  <c r="L213" i="10"/>
  <c r="L214" i="10"/>
  <c r="L189" i="10"/>
  <c r="L190" i="10"/>
  <c r="L191" i="10"/>
  <c r="L192" i="10"/>
  <c r="L193" i="10"/>
  <c r="L194" i="10"/>
  <c r="L177" i="10"/>
  <c r="H177" i="8" s="1"/>
  <c r="I177" i="8" s="1"/>
  <c r="L178" i="10"/>
  <c r="H178" i="8"/>
  <c r="I178" i="8" s="1"/>
  <c r="L179" i="10"/>
  <c r="H179" i="8"/>
  <c r="I179" i="8"/>
  <c r="L180" i="10"/>
  <c r="H180" i="8" s="1"/>
  <c r="L116" i="10"/>
  <c r="H116" i="8"/>
  <c r="I116" i="8" s="1"/>
  <c r="L117" i="10"/>
  <c r="H117" i="8"/>
  <c r="I117" i="8"/>
  <c r="L118" i="10"/>
  <c r="H118" i="8" s="1"/>
  <c r="I118" i="8" s="1"/>
  <c r="L119" i="10"/>
  <c r="H119" i="8" s="1"/>
  <c r="L120" i="10"/>
  <c r="H120" i="8"/>
  <c r="I120" i="8"/>
  <c r="L121" i="10"/>
  <c r="H121" i="8" s="1"/>
  <c r="L122" i="10"/>
  <c r="H122" i="8"/>
  <c r="I122" i="8" s="1"/>
  <c r="L123" i="10"/>
  <c r="H123" i="8"/>
  <c r="L124" i="10"/>
  <c r="H124" i="8" s="1"/>
  <c r="I124" i="8" s="1"/>
  <c r="L125" i="10"/>
  <c r="H125" i="8"/>
  <c r="I125" i="8" s="1"/>
  <c r="L126" i="10"/>
  <c r="H126" i="8"/>
  <c r="L128" i="10"/>
  <c r="H128" i="8" s="1"/>
  <c r="I128" i="8" s="1"/>
  <c r="L102" i="10"/>
  <c r="H102" i="8"/>
  <c r="I102" i="8" s="1"/>
  <c r="L103" i="10"/>
  <c r="H103" i="8"/>
  <c r="L104" i="10"/>
  <c r="H104" i="8" s="1"/>
  <c r="I104" i="8" s="1"/>
  <c r="L105" i="10"/>
  <c r="H105" i="8"/>
  <c r="I105" i="8" s="1"/>
  <c r="L106" i="10"/>
  <c r="H106" i="8"/>
  <c r="I106" i="8"/>
  <c r="L107" i="10"/>
  <c r="H107" i="8" s="1"/>
  <c r="L108" i="10"/>
  <c r="H108" i="8"/>
  <c r="I108" i="8" s="1"/>
  <c r="L109" i="10"/>
  <c r="H109" i="8"/>
  <c r="L110" i="10"/>
  <c r="H110" i="8" s="1"/>
  <c r="I110" i="8" s="1"/>
  <c r="L111" i="10"/>
  <c r="H111" i="8"/>
  <c r="I111" i="8" s="1"/>
  <c r="L95" i="10"/>
  <c r="L96" i="10"/>
  <c r="L97" i="10"/>
  <c r="H97" i="8" s="1"/>
  <c r="I97" i="8" s="1"/>
  <c r="L78" i="10"/>
  <c r="L79" i="10"/>
  <c r="L81" i="10"/>
  <c r="L82" i="10"/>
  <c r="L83" i="10"/>
  <c r="L84" i="10"/>
  <c r="L61" i="10"/>
  <c r="L62" i="10"/>
  <c r="L63" i="10"/>
  <c r="L64" i="10"/>
  <c r="L66" i="10"/>
  <c r="L67" i="10"/>
  <c r="L68" i="10"/>
  <c r="L69" i="10"/>
  <c r="L40" i="10"/>
  <c r="L41" i="10"/>
  <c r="L42" i="10"/>
  <c r="L43" i="10"/>
  <c r="L45" i="10"/>
  <c r="L46" i="10"/>
  <c r="L47" i="10"/>
  <c r="L49" i="10"/>
  <c r="L50" i="10"/>
  <c r="L51" i="10"/>
  <c r="L52" i="10"/>
  <c r="I95" i="9"/>
  <c r="I96" i="9"/>
  <c r="I60" i="9"/>
  <c r="I61" i="9"/>
  <c r="I62" i="9"/>
  <c r="I63" i="9"/>
  <c r="I64" i="9"/>
  <c r="I65" i="9"/>
  <c r="I66" i="9"/>
  <c r="I67" i="9"/>
  <c r="I68" i="9"/>
  <c r="I40" i="9"/>
  <c r="I41" i="9"/>
  <c r="I42" i="9"/>
  <c r="I44" i="9"/>
  <c r="I45" i="9"/>
  <c r="I46" i="9"/>
  <c r="I47" i="9"/>
  <c r="I48" i="9"/>
  <c r="I49" i="9"/>
  <c r="I50" i="9"/>
  <c r="I51" i="9"/>
  <c r="I285" i="9"/>
  <c r="I255" i="9"/>
  <c r="I256" i="9"/>
  <c r="I257" i="9"/>
  <c r="I258" i="9"/>
  <c r="G84" i="48"/>
  <c r="I259" i="9"/>
  <c r="I261" i="9"/>
  <c r="I262" i="9"/>
  <c r="I263" i="9"/>
  <c r="I264" i="9"/>
  <c r="I265" i="9"/>
  <c r="I266" i="9"/>
  <c r="I267" i="9"/>
  <c r="I268" i="9"/>
  <c r="I269" i="9"/>
  <c r="I270" i="9"/>
  <c r="I271" i="9"/>
  <c r="I272" i="9"/>
  <c r="I273" i="9"/>
  <c r="I274" i="9"/>
  <c r="I275" i="9"/>
  <c r="I276" i="9"/>
  <c r="I277" i="9"/>
  <c r="I278" i="9"/>
  <c r="I279" i="9"/>
  <c r="I280" i="9"/>
  <c r="I281" i="9"/>
  <c r="I282" i="9"/>
  <c r="I283" i="9"/>
  <c r="I236" i="9"/>
  <c r="I236" i="8"/>
  <c r="I238" i="9"/>
  <c r="I239" i="9"/>
  <c r="I240" i="9"/>
  <c r="I241" i="9"/>
  <c r="I242" i="9"/>
  <c r="I226" i="9"/>
  <c r="I212" i="9"/>
  <c r="G61" i="48"/>
  <c r="I218" i="9"/>
  <c r="I189" i="9"/>
  <c r="I190" i="9"/>
  <c r="G46" i="48"/>
  <c r="I191" i="9"/>
  <c r="I192" i="9"/>
  <c r="I193" i="9"/>
  <c r="I177" i="9"/>
  <c r="I178" i="9"/>
  <c r="I179" i="9"/>
  <c r="I180" i="9"/>
  <c r="I181" i="9"/>
  <c r="I116" i="9"/>
  <c r="I117" i="9"/>
  <c r="I118" i="9"/>
  <c r="I119" i="9"/>
  <c r="I120" i="9"/>
  <c r="I121" i="9"/>
  <c r="I122" i="9"/>
  <c r="I123" i="9"/>
  <c r="I124" i="9"/>
  <c r="I125" i="9"/>
  <c r="I103" i="9"/>
  <c r="I104" i="9"/>
  <c r="I105" i="9"/>
  <c r="I106" i="9"/>
  <c r="I107" i="9"/>
  <c r="I108" i="9"/>
  <c r="I109" i="9"/>
  <c r="I110" i="9"/>
  <c r="I111" i="9"/>
  <c r="I78" i="9"/>
  <c r="I80" i="9"/>
  <c r="I81" i="9"/>
  <c r="I82" i="9"/>
  <c r="H286" i="8"/>
  <c r="H245" i="8"/>
  <c r="H196" i="8"/>
  <c r="H16" i="8"/>
  <c r="I16" i="8" s="1"/>
  <c r="K16" i="8" s="1"/>
  <c r="D11" i="29" s="1"/>
  <c r="H15" i="8"/>
  <c r="E100" i="48"/>
  <c r="I254" i="9"/>
  <c r="I52" i="8"/>
  <c r="L16" i="34"/>
  <c r="L15" i="34"/>
  <c r="L21" i="34" s="1"/>
  <c r="L14" i="34"/>
  <c r="L20" i="34"/>
  <c r="L171" i="34"/>
  <c r="L189" i="34" s="1"/>
  <c r="L190" i="34" s="1"/>
  <c r="H240" i="34"/>
  <c r="AW240" i="34"/>
  <c r="BA240" i="34" s="1"/>
  <c r="B240" i="34"/>
  <c r="A240" i="34"/>
  <c r="E82" i="17"/>
  <c r="H82" i="17"/>
  <c r="I82" i="17"/>
  <c r="Q13" i="21"/>
  <c r="Q15" i="21"/>
  <c r="P13" i="21"/>
  <c r="P15" i="21"/>
  <c r="N13" i="21"/>
  <c r="N15" i="21"/>
  <c r="L13" i="21"/>
  <c r="L15" i="21"/>
  <c r="O13" i="21"/>
  <c r="O15" i="21"/>
  <c r="M13" i="21"/>
  <c r="M15" i="21"/>
  <c r="K13" i="21"/>
  <c r="K15" i="21"/>
  <c r="J13" i="21"/>
  <c r="J15" i="21"/>
  <c r="I13" i="21"/>
  <c r="I15" i="21"/>
  <c r="H13" i="21"/>
  <c r="H15" i="21"/>
  <c r="G13" i="21"/>
  <c r="G15" i="21"/>
  <c r="F13" i="21"/>
  <c r="F15" i="21"/>
  <c r="F12" i="21"/>
  <c r="H11" i="38"/>
  <c r="AW11" i="38" s="1"/>
  <c r="A2" i="36"/>
  <c r="G9" i="1"/>
  <c r="F9" i="1"/>
  <c r="E19" i="2" s="1"/>
  <c r="E19" i="6" s="1"/>
  <c r="C36" i="1"/>
  <c r="C37" i="1"/>
  <c r="B36" i="1"/>
  <c r="E90" i="34"/>
  <c r="AI168" i="34"/>
  <c r="AH168" i="34"/>
  <c r="AE168" i="34"/>
  <c r="AA168" i="34"/>
  <c r="X168" i="34"/>
  <c r="T168" i="34"/>
  <c r="T103" i="34"/>
  <c r="AI103" i="34"/>
  <c r="AH103" i="34"/>
  <c r="AE103" i="34"/>
  <c r="AA103" i="34"/>
  <c r="X103" i="34"/>
  <c r="AA6" i="34"/>
  <c r="AE6" i="34"/>
  <c r="AF6" i="34"/>
  <c r="AH6" i="34"/>
  <c r="AI6" i="34"/>
  <c r="AA7" i="34"/>
  <c r="AE7" i="34"/>
  <c r="AH7" i="34"/>
  <c r="AI7" i="34"/>
  <c r="Z8" i="34"/>
  <c r="AF8" i="34"/>
  <c r="AG8" i="34"/>
  <c r="AL8" i="34"/>
  <c r="Z9" i="34"/>
  <c r="AF9" i="34"/>
  <c r="AG9" i="34"/>
  <c r="AL9" i="34"/>
  <c r="X6" i="34"/>
  <c r="X7" i="34"/>
  <c r="T6" i="34"/>
  <c r="T7" i="34"/>
  <c r="R8" i="34"/>
  <c r="S8" i="34"/>
  <c r="R9" i="34"/>
  <c r="S9" i="34"/>
  <c r="Q9" i="34"/>
  <c r="Q8" i="34"/>
  <c r="Q85" i="34"/>
  <c r="Q80" i="34"/>
  <c r="Q147" i="34"/>
  <c r="Q78" i="34"/>
  <c r="Q76" i="34"/>
  <c r="Q77" i="34"/>
  <c r="Q144" i="34"/>
  <c r="Q69" i="34"/>
  <c r="Q136" i="34"/>
  <c r="Q67" i="34"/>
  <c r="Q63" i="34"/>
  <c r="Q130" i="34" s="1"/>
  <c r="Q61" i="34"/>
  <c r="Q62" i="34"/>
  <c r="Q129" i="34"/>
  <c r="Q54" i="34"/>
  <c r="Q52" i="34"/>
  <c r="Q119" i="34"/>
  <c r="Q47" i="34"/>
  <c r="Q38" i="34"/>
  <c r="Q43" i="34"/>
  <c r="Q35" i="34"/>
  <c r="Q36" i="34"/>
  <c r="Q107" i="34" s="1"/>
  <c r="Q167" i="34"/>
  <c r="Q166" i="34"/>
  <c r="Q165" i="34"/>
  <c r="Q164" i="34"/>
  <c r="Q163" i="34"/>
  <c r="Q162" i="34"/>
  <c r="Q161" i="34"/>
  <c r="Q160" i="34"/>
  <c r="Q159" i="34"/>
  <c r="Q158" i="34"/>
  <c r="Q157" i="34"/>
  <c r="Q156" i="34"/>
  <c r="D11" i="39"/>
  <c r="E11" i="39"/>
  <c r="D10" i="39"/>
  <c r="E10" i="39" s="1"/>
  <c r="Q14" i="34"/>
  <c r="Q15" i="34"/>
  <c r="Q21" i="34" s="1"/>
  <c r="Q16" i="34"/>
  <c r="Q13" i="34"/>
  <c r="L207" i="34"/>
  <c r="H15" i="17"/>
  <c r="H16" i="17"/>
  <c r="H17" i="17"/>
  <c r="H18" i="17"/>
  <c r="H19" i="17"/>
  <c r="H20" i="17"/>
  <c r="H21" i="17"/>
  <c r="H22" i="17"/>
  <c r="H23" i="17"/>
  <c r="H24" i="17"/>
  <c r="H25" i="17"/>
  <c r="H27" i="17"/>
  <c r="H28" i="17"/>
  <c r="H29" i="17"/>
  <c r="H30" i="17"/>
  <c r="H31" i="17"/>
  <c r="H32" i="17"/>
  <c r="H33" i="17"/>
  <c r="H34" i="17"/>
  <c r="H35" i="17"/>
  <c r="H36" i="17"/>
  <c r="H37" i="17"/>
  <c r="H39" i="17"/>
  <c r="H40" i="17"/>
  <c r="H42" i="17"/>
  <c r="H43" i="17"/>
  <c r="H45" i="17"/>
  <c r="H46" i="17"/>
  <c r="H47" i="17"/>
  <c r="H48" i="17"/>
  <c r="H49"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3" i="17"/>
  <c r="H84" i="17"/>
  <c r="H85" i="17"/>
  <c r="H86" i="17"/>
  <c r="H87" i="17"/>
  <c r="H88" i="17"/>
  <c r="H89" i="17"/>
  <c r="H90" i="17"/>
  <c r="H91" i="17"/>
  <c r="H92" i="17"/>
  <c r="H93" i="17"/>
  <c r="H14" i="17"/>
  <c r="B223" i="34"/>
  <c r="H41" i="17"/>
  <c r="G9" i="34"/>
  <c r="F9" i="34"/>
  <c r="L173" i="34"/>
  <c r="L195" i="34"/>
  <c r="L196" i="34" s="1"/>
  <c r="L201" i="34"/>
  <c r="L202" i="34"/>
  <c r="L203" i="34"/>
  <c r="L204" i="34" s="1"/>
  <c r="L205" i="34" s="1"/>
  <c r="L206" i="34" s="1"/>
  <c r="L209" i="34"/>
  <c r="L210" i="34"/>
  <c r="L211" i="34" s="1"/>
  <c r="L212" i="34" s="1"/>
  <c r="L219" i="34"/>
  <c r="L221" i="34"/>
  <c r="L233" i="34"/>
  <c r="L234" i="34"/>
  <c r="L235" i="34"/>
  <c r="L236" i="34" s="1"/>
  <c r="L197" i="34"/>
  <c r="L198" i="34"/>
  <c r="L199" i="34"/>
  <c r="L200" i="34" s="1"/>
  <c r="H251" i="34"/>
  <c r="AW251" i="34"/>
  <c r="H250" i="34"/>
  <c r="AW250" i="34" s="1"/>
  <c r="BA250" i="34" s="1"/>
  <c r="H249" i="34"/>
  <c r="AW249" i="34"/>
  <c r="H248" i="34"/>
  <c r="H247" i="34"/>
  <c r="H246" i="34"/>
  <c r="H245" i="34"/>
  <c r="H244" i="34"/>
  <c r="H243" i="34"/>
  <c r="AW243" i="34"/>
  <c r="H242" i="34"/>
  <c r="AW242" i="34"/>
  <c r="H241" i="34"/>
  <c r="H239" i="34"/>
  <c r="H238" i="34"/>
  <c r="H237" i="34"/>
  <c r="AW237" i="34" s="1"/>
  <c r="H236" i="34"/>
  <c r="H235" i="34"/>
  <c r="AW235" i="34"/>
  <c r="H232" i="34"/>
  <c r="H230" i="34"/>
  <c r="H229" i="34"/>
  <c r="H228" i="34"/>
  <c r="AW228" i="34" s="1"/>
  <c r="H226" i="34"/>
  <c r="AW226" i="34"/>
  <c r="BA226" i="34" s="1"/>
  <c r="H224" i="34"/>
  <c r="H223" i="34"/>
  <c r="H220" i="34"/>
  <c r="AW220" i="34" s="1"/>
  <c r="H218" i="34"/>
  <c r="AW218" i="34"/>
  <c r="BA218" i="34"/>
  <c r="H217" i="34"/>
  <c r="AW217" i="34" s="1"/>
  <c r="BA217" i="34" s="1"/>
  <c r="H214" i="34"/>
  <c r="AW214" i="34"/>
  <c r="H212" i="34"/>
  <c r="AW212" i="34"/>
  <c r="H211" i="34"/>
  <c r="AW211" i="34"/>
  <c r="H208" i="34"/>
  <c r="AW208" i="34"/>
  <c r="H206" i="34"/>
  <c r="H205" i="34"/>
  <c r="AW205" i="34" s="1"/>
  <c r="H202" i="34"/>
  <c r="H200" i="34"/>
  <c r="AW200" i="34"/>
  <c r="H199" i="34"/>
  <c r="AW199" i="34"/>
  <c r="H196" i="34"/>
  <c r="AW196" i="34"/>
  <c r="H194" i="34"/>
  <c r="AW194" i="34"/>
  <c r="BA194" i="34"/>
  <c r="H193" i="34"/>
  <c r="H192" i="34"/>
  <c r="AW192" i="34"/>
  <c r="H190" i="34"/>
  <c r="AW190" i="34"/>
  <c r="BA190" i="34" s="1"/>
  <c r="H188" i="34"/>
  <c r="AW188" i="34"/>
  <c r="H187" i="34"/>
  <c r="AW187" i="34" s="1"/>
  <c r="H184" i="34"/>
  <c r="AW184" i="34"/>
  <c r="H182" i="34"/>
  <c r="AW182" i="34" s="1"/>
  <c r="BA182" i="34" s="1"/>
  <c r="H181" i="34"/>
  <c r="AW181" i="34"/>
  <c r="BA181" i="34" s="1"/>
  <c r="H180" i="34"/>
  <c r="H178" i="34"/>
  <c r="H176" i="34"/>
  <c r="AW176" i="34" s="1"/>
  <c r="H175" i="34"/>
  <c r="AW175" i="34"/>
  <c r="H174" i="34"/>
  <c r="AW174" i="34" s="1"/>
  <c r="H173" i="34"/>
  <c r="H172" i="34"/>
  <c r="H171" i="34"/>
  <c r="AW171" i="34" s="1"/>
  <c r="B250" i="34"/>
  <c r="B249" i="34"/>
  <c r="B248" i="34"/>
  <c r="B247" i="34"/>
  <c r="G247" i="34"/>
  <c r="B246" i="34"/>
  <c r="G246" i="34"/>
  <c r="B244" i="34"/>
  <c r="G244" i="34"/>
  <c r="B236" i="34"/>
  <c r="B235" i="34"/>
  <c r="B234" i="34"/>
  <c r="B233" i="34"/>
  <c r="B232" i="34"/>
  <c r="B231" i="34"/>
  <c r="B230" i="34"/>
  <c r="B229" i="34"/>
  <c r="B228" i="34"/>
  <c r="B227" i="34"/>
  <c r="B226" i="34"/>
  <c r="B225" i="34"/>
  <c r="B224" i="34"/>
  <c r="B220" i="34"/>
  <c r="B218" i="34"/>
  <c r="B217" i="34"/>
  <c r="B216" i="34"/>
  <c r="B215" i="34"/>
  <c r="B214" i="34"/>
  <c r="B212" i="34"/>
  <c r="B211" i="34"/>
  <c r="B206" i="34"/>
  <c r="B205" i="34"/>
  <c r="B200" i="34"/>
  <c r="B199" i="34"/>
  <c r="B194" i="34"/>
  <c r="B193" i="34"/>
  <c r="B192" i="34"/>
  <c r="I192" i="34"/>
  <c r="J192" i="34"/>
  <c r="B191" i="34"/>
  <c r="B190" i="34"/>
  <c r="B189" i="34"/>
  <c r="B188" i="34"/>
  <c r="I188" i="34" s="1"/>
  <c r="J188" i="34" s="1"/>
  <c r="B187" i="34"/>
  <c r="B182" i="34"/>
  <c r="B181" i="34"/>
  <c r="B178" i="34"/>
  <c r="I178" i="34"/>
  <c r="J178" i="34" s="1"/>
  <c r="B177" i="34"/>
  <c r="B176" i="34"/>
  <c r="B175" i="34"/>
  <c r="B172" i="34"/>
  <c r="A250" i="34"/>
  <c r="A251" i="34"/>
  <c r="A245" i="34"/>
  <c r="A246" i="34"/>
  <c r="A247" i="34"/>
  <c r="A248" i="34"/>
  <c r="A249" i="34"/>
  <c r="A236" i="34"/>
  <c r="A237" i="34"/>
  <c r="A238" i="34"/>
  <c r="A239" i="34"/>
  <c r="A241" i="34"/>
  <c r="A242" i="34"/>
  <c r="A243" i="34"/>
  <c r="A244" i="34"/>
  <c r="A231" i="34"/>
  <c r="A232" i="34"/>
  <c r="A233" i="34"/>
  <c r="A234" i="34"/>
  <c r="A235" i="34"/>
  <c r="A213" i="34"/>
  <c r="A214" i="34"/>
  <c r="A215" i="34"/>
  <c r="A216" i="34"/>
  <c r="A217" i="34"/>
  <c r="A218" i="34"/>
  <c r="A219" i="34"/>
  <c r="A220" i="34"/>
  <c r="A221" i="34"/>
  <c r="A222" i="34"/>
  <c r="A223" i="34"/>
  <c r="A224" i="34"/>
  <c r="A225" i="34"/>
  <c r="A226" i="34"/>
  <c r="A227" i="34"/>
  <c r="A228" i="34"/>
  <c r="A229" i="34"/>
  <c r="A230" i="34"/>
  <c r="A210" i="34"/>
  <c r="A211" i="34"/>
  <c r="A212" i="34"/>
  <c r="A190" i="34"/>
  <c r="A191" i="34"/>
  <c r="A192" i="34"/>
  <c r="A193" i="34"/>
  <c r="A194" i="34"/>
  <c r="A195" i="34"/>
  <c r="A196" i="34"/>
  <c r="A197" i="34"/>
  <c r="A198" i="34"/>
  <c r="A199" i="34"/>
  <c r="A200" i="34"/>
  <c r="A201" i="34"/>
  <c r="A202" i="34"/>
  <c r="A203" i="34"/>
  <c r="A204" i="34"/>
  <c r="A205" i="34"/>
  <c r="A206" i="34"/>
  <c r="A207" i="34"/>
  <c r="A208" i="34"/>
  <c r="A209" i="34"/>
  <c r="A172" i="34"/>
  <c r="A173" i="34"/>
  <c r="A174" i="34"/>
  <c r="A175" i="34"/>
  <c r="A176" i="34"/>
  <c r="A177" i="34"/>
  <c r="A178" i="34"/>
  <c r="A179" i="34"/>
  <c r="A180" i="34"/>
  <c r="A181" i="34"/>
  <c r="A182" i="34"/>
  <c r="A183" i="34"/>
  <c r="A184" i="34"/>
  <c r="A185" i="34"/>
  <c r="A186" i="34"/>
  <c r="A187" i="34"/>
  <c r="A188" i="34"/>
  <c r="A189" i="34"/>
  <c r="A171" i="34"/>
  <c r="L157" i="34"/>
  <c r="L158" i="34"/>
  <c r="L159" i="34"/>
  <c r="L160" i="34"/>
  <c r="L161" i="34"/>
  <c r="L162" i="34"/>
  <c r="L163" i="34"/>
  <c r="L164" i="34"/>
  <c r="L165" i="34"/>
  <c r="L166" i="34"/>
  <c r="L167" i="34"/>
  <c r="L156" i="34"/>
  <c r="L54" i="34"/>
  <c r="L85" i="34"/>
  <c r="L86" i="34"/>
  <c r="L80" i="34"/>
  <c r="L78" i="34"/>
  <c r="L79" i="34"/>
  <c r="L146" i="34"/>
  <c r="L76" i="34"/>
  <c r="L69" i="34"/>
  <c r="L67" i="34"/>
  <c r="L68" i="34"/>
  <c r="L135" i="34" s="1"/>
  <c r="L63" i="34"/>
  <c r="L130" i="34"/>
  <c r="L61" i="34"/>
  <c r="L52" i="34"/>
  <c r="L47" i="34"/>
  <c r="L115" i="34"/>
  <c r="L38" i="34"/>
  <c r="L109" i="34" s="1"/>
  <c r="L35" i="34"/>
  <c r="L106" i="34"/>
  <c r="H94" i="34"/>
  <c r="AW94" i="34" s="1"/>
  <c r="D151" i="34"/>
  <c r="D147" i="34"/>
  <c r="E147" i="34"/>
  <c r="D136" i="34"/>
  <c r="E136" i="34" s="1"/>
  <c r="D130" i="34"/>
  <c r="E130" i="34"/>
  <c r="D121" i="34"/>
  <c r="D115" i="34"/>
  <c r="E115" i="34"/>
  <c r="D111" i="34"/>
  <c r="E36" i="34"/>
  <c r="E37" i="34"/>
  <c r="E39" i="34"/>
  <c r="E40" i="34"/>
  <c r="E41" i="34"/>
  <c r="E42" i="34"/>
  <c r="E44" i="34"/>
  <c r="E45" i="34"/>
  <c r="E46" i="34"/>
  <c r="E48" i="34"/>
  <c r="E49" i="34"/>
  <c r="E50" i="34"/>
  <c r="E51" i="34"/>
  <c r="E52" i="34"/>
  <c r="E53" i="34"/>
  <c r="E55" i="34"/>
  <c r="E56" i="34"/>
  <c r="E57" i="34"/>
  <c r="E58" i="34"/>
  <c r="E59" i="34"/>
  <c r="E60" i="34"/>
  <c r="E61" i="34"/>
  <c r="E62" i="34"/>
  <c r="E64" i="34"/>
  <c r="E65" i="34"/>
  <c r="E66" i="34"/>
  <c r="E67" i="34"/>
  <c r="E68" i="34"/>
  <c r="E70" i="34"/>
  <c r="E71" i="34"/>
  <c r="E72" i="34"/>
  <c r="E73" i="34"/>
  <c r="E74" i="34"/>
  <c r="E75" i="34"/>
  <c r="E76" i="34"/>
  <c r="E77" i="34"/>
  <c r="E78" i="34"/>
  <c r="E79" i="34"/>
  <c r="E81" i="34"/>
  <c r="E82" i="34"/>
  <c r="E83" i="34"/>
  <c r="E84" i="34"/>
  <c r="E86" i="34"/>
  <c r="E87" i="34"/>
  <c r="E88" i="34"/>
  <c r="E89" i="34"/>
  <c r="E91" i="34"/>
  <c r="E92" i="34"/>
  <c r="E93" i="34"/>
  <c r="E94" i="34"/>
  <c r="E95" i="34"/>
  <c r="E96" i="34"/>
  <c r="E97" i="34"/>
  <c r="E98" i="34"/>
  <c r="E99" i="34"/>
  <c r="E100" i="34"/>
  <c r="E102" i="34"/>
  <c r="D85" i="34"/>
  <c r="E85" i="34"/>
  <c r="D80" i="34"/>
  <c r="E80" i="34"/>
  <c r="D69" i="34"/>
  <c r="E69" i="34"/>
  <c r="D63" i="34"/>
  <c r="E63" i="34"/>
  <c r="D54" i="34"/>
  <c r="E54" i="34"/>
  <c r="D47" i="34"/>
  <c r="E47" i="34"/>
  <c r="D43" i="34"/>
  <c r="E43" i="34"/>
  <c r="D38" i="34"/>
  <c r="F40" i="39"/>
  <c r="C40" i="39"/>
  <c r="C37" i="39"/>
  <c r="F12" i="39"/>
  <c r="F13" i="39"/>
  <c r="C12" i="39"/>
  <c r="C13" i="39"/>
  <c r="G11" i="39"/>
  <c r="H11" i="39"/>
  <c r="G10" i="39"/>
  <c r="H10" i="39"/>
  <c r="G9" i="39"/>
  <c r="H9" i="39"/>
  <c r="D9" i="39"/>
  <c r="E9" i="39"/>
  <c r="G8" i="39"/>
  <c r="H8" i="39"/>
  <c r="D8" i="39"/>
  <c r="E8" i="39"/>
  <c r="G7" i="39"/>
  <c r="H7" i="39"/>
  <c r="D7" i="39"/>
  <c r="E7" i="39"/>
  <c r="H167" i="34"/>
  <c r="AW167" i="34"/>
  <c r="BA167" i="34" s="1"/>
  <c r="H166" i="34"/>
  <c r="AW166" i="34"/>
  <c r="H165" i="34"/>
  <c r="AW165" i="34" s="1"/>
  <c r="H164" i="34"/>
  <c r="AW164" i="34"/>
  <c r="H163" i="34"/>
  <c r="AW163" i="34" s="1"/>
  <c r="H162" i="34"/>
  <c r="AW162" i="34"/>
  <c r="H161" i="34"/>
  <c r="AW161" i="34" s="1"/>
  <c r="H160" i="34"/>
  <c r="AW160" i="34"/>
  <c r="H159" i="34"/>
  <c r="AW159" i="34" s="1"/>
  <c r="H158" i="34"/>
  <c r="AW158" i="34"/>
  <c r="H157" i="34"/>
  <c r="AW157" i="34" s="1"/>
  <c r="H156" i="34"/>
  <c r="AW156" i="34"/>
  <c r="H155" i="34"/>
  <c r="AW155" i="34" s="1"/>
  <c r="H154" i="34"/>
  <c r="AW154" i="34"/>
  <c r="H153" i="34"/>
  <c r="AW153" i="34" s="1"/>
  <c r="H152" i="34"/>
  <c r="AW152" i="34"/>
  <c r="H151" i="34"/>
  <c r="AW151" i="34" s="1"/>
  <c r="H150" i="34"/>
  <c r="H149" i="34"/>
  <c r="AW149" i="34"/>
  <c r="H148" i="34"/>
  <c r="AW148" i="34"/>
  <c r="H147" i="34"/>
  <c r="AW147" i="34"/>
  <c r="H146" i="34"/>
  <c r="AW146" i="34"/>
  <c r="BA146" i="34"/>
  <c r="H145" i="34"/>
  <c r="AW145" i="34" s="1"/>
  <c r="H144" i="34"/>
  <c r="H143" i="34"/>
  <c r="AW143" i="34" s="1"/>
  <c r="BA143" i="34" s="1"/>
  <c r="H142" i="34"/>
  <c r="AW142" i="34"/>
  <c r="H141" i="34"/>
  <c r="AW141" i="34" s="1"/>
  <c r="H140" i="34"/>
  <c r="AW140" i="34"/>
  <c r="H139" i="34"/>
  <c r="AW139" i="34" s="1"/>
  <c r="H138" i="34"/>
  <c r="AW138" i="34"/>
  <c r="H137" i="34"/>
  <c r="AW137" i="34" s="1"/>
  <c r="H136" i="34"/>
  <c r="AW136" i="34"/>
  <c r="H135" i="34"/>
  <c r="H134" i="34"/>
  <c r="AW134" i="34"/>
  <c r="H133" i="34"/>
  <c r="H132" i="34"/>
  <c r="AW132" i="34" s="1"/>
  <c r="H131" i="34"/>
  <c r="AW131" i="34"/>
  <c r="H130" i="34"/>
  <c r="H129" i="34"/>
  <c r="H128" i="34"/>
  <c r="AW128" i="34"/>
  <c r="H127" i="34"/>
  <c r="AW127" i="34" s="1"/>
  <c r="H126" i="34"/>
  <c r="H125" i="34"/>
  <c r="AW125" i="34"/>
  <c r="H124" i="34"/>
  <c r="H123" i="34"/>
  <c r="AW123" i="34"/>
  <c r="H122" i="34"/>
  <c r="AW122" i="34" s="1"/>
  <c r="H121" i="34"/>
  <c r="AW121" i="34"/>
  <c r="H120" i="34"/>
  <c r="AW120" i="34" s="1"/>
  <c r="BA120" i="34" s="1"/>
  <c r="H119" i="34"/>
  <c r="H118" i="34"/>
  <c r="H117" i="34"/>
  <c r="AW117" i="34"/>
  <c r="BA117" i="34"/>
  <c r="H116" i="34"/>
  <c r="AW116" i="34" s="1"/>
  <c r="BA116" i="34" s="1"/>
  <c r="H115" i="34"/>
  <c r="H114" i="34"/>
  <c r="AW114" i="34" s="1"/>
  <c r="H113" i="34"/>
  <c r="AW113" i="34"/>
  <c r="H112" i="34"/>
  <c r="AW112" i="34" s="1"/>
  <c r="H111" i="34"/>
  <c r="H110" i="34"/>
  <c r="AW110" i="34" s="1"/>
  <c r="H109" i="34"/>
  <c r="H108" i="34"/>
  <c r="AW108" i="34"/>
  <c r="H107" i="34"/>
  <c r="AW107" i="34" s="1"/>
  <c r="H106" i="34"/>
  <c r="AW106" i="34"/>
  <c r="B167" i="34"/>
  <c r="B155" i="34"/>
  <c r="B150" i="34"/>
  <c r="B147" i="34"/>
  <c r="B146" i="34"/>
  <c r="B145" i="34"/>
  <c r="B144" i="34"/>
  <c r="B143" i="34"/>
  <c r="B142" i="34"/>
  <c r="B141" i="34"/>
  <c r="B136" i="34"/>
  <c r="B135" i="34"/>
  <c r="B134" i="34"/>
  <c r="B130" i="34"/>
  <c r="B129" i="34"/>
  <c r="B128" i="34"/>
  <c r="B127" i="34"/>
  <c r="B126" i="34"/>
  <c r="B125" i="34"/>
  <c r="I125" i="34"/>
  <c r="J125" i="34"/>
  <c r="B124" i="34"/>
  <c r="B121" i="34"/>
  <c r="B120" i="34"/>
  <c r="I120" i="34"/>
  <c r="J120" i="34" s="1"/>
  <c r="B118" i="34"/>
  <c r="B115" i="34"/>
  <c r="B111" i="34"/>
  <c r="B109" i="34"/>
  <c r="A163" i="34"/>
  <c r="A164" i="34"/>
  <c r="A165" i="34"/>
  <c r="A166" i="34"/>
  <c r="A167" i="34"/>
  <c r="A107" i="34"/>
  <c r="A108" i="34"/>
  <c r="A109" i="34"/>
  <c r="A110" i="34"/>
  <c r="A111" i="34"/>
  <c r="A112" i="34"/>
  <c r="A113" i="34"/>
  <c r="A114" i="34"/>
  <c r="A115" i="34"/>
  <c r="A116" i="34"/>
  <c r="A117" i="34"/>
  <c r="A118" i="34"/>
  <c r="A119" i="34"/>
  <c r="A120" i="34"/>
  <c r="A121" i="34"/>
  <c r="A122" i="34"/>
  <c r="A123" i="34"/>
  <c r="A124" i="34"/>
  <c r="A125" i="34"/>
  <c r="A126" i="34"/>
  <c r="A127" i="34"/>
  <c r="A128" i="34"/>
  <c r="A129" i="34"/>
  <c r="A130" i="34"/>
  <c r="A131" i="34"/>
  <c r="A132" i="34"/>
  <c r="A133" i="34"/>
  <c r="A134" i="34"/>
  <c r="A135" i="34"/>
  <c r="A136" i="34"/>
  <c r="A137" i="34"/>
  <c r="A138" i="34"/>
  <c r="A139" i="34"/>
  <c r="A140" i="34"/>
  <c r="A141" i="34"/>
  <c r="A142" i="34"/>
  <c r="A143" i="34"/>
  <c r="A144" i="34"/>
  <c r="A145" i="34"/>
  <c r="A146" i="34"/>
  <c r="A147" i="34"/>
  <c r="A148" i="34"/>
  <c r="A149" i="34"/>
  <c r="A150" i="34"/>
  <c r="A151" i="34"/>
  <c r="A152" i="34"/>
  <c r="A153" i="34"/>
  <c r="A154" i="34"/>
  <c r="A155" i="34"/>
  <c r="A156" i="34"/>
  <c r="A157" i="34"/>
  <c r="A158" i="34"/>
  <c r="A159" i="34"/>
  <c r="A160" i="34"/>
  <c r="A161" i="34"/>
  <c r="A162" i="34"/>
  <c r="A106" i="34"/>
  <c r="H102" i="34"/>
  <c r="H101" i="34"/>
  <c r="AW101" i="34"/>
  <c r="H100" i="34"/>
  <c r="AW100" i="34" s="1"/>
  <c r="H99" i="34"/>
  <c r="AW99" i="34"/>
  <c r="H98" i="34"/>
  <c r="AW98" i="34" s="1"/>
  <c r="H97" i="34"/>
  <c r="AW97" i="34"/>
  <c r="H96" i="34"/>
  <c r="AW96" i="34" s="1"/>
  <c r="BA96" i="34" s="1"/>
  <c r="H95" i="34"/>
  <c r="AW95" i="34"/>
  <c r="H93" i="34"/>
  <c r="AW93" i="34" s="1"/>
  <c r="H92" i="34"/>
  <c r="AW92" i="34"/>
  <c r="H91" i="34"/>
  <c r="AW91" i="34" s="1"/>
  <c r="H90" i="34"/>
  <c r="AW90" i="34"/>
  <c r="H89" i="34"/>
  <c r="AW89" i="34" s="1"/>
  <c r="H88" i="34"/>
  <c r="AW88" i="34"/>
  <c r="H87" i="34"/>
  <c r="AW87" i="34" s="1"/>
  <c r="H86" i="34"/>
  <c r="AW86" i="34"/>
  <c r="H85" i="34"/>
  <c r="AW85" i="34" s="1"/>
  <c r="H84" i="34"/>
  <c r="AW84" i="34"/>
  <c r="H83" i="34"/>
  <c r="AW83" i="34" s="1"/>
  <c r="H82" i="34"/>
  <c r="AW82" i="34"/>
  <c r="H81" i="34"/>
  <c r="AW81" i="34" s="1"/>
  <c r="H80" i="34"/>
  <c r="AW80" i="34"/>
  <c r="H79" i="34"/>
  <c r="H78" i="34"/>
  <c r="AW78" i="34"/>
  <c r="H77" i="34"/>
  <c r="AW77" i="34" s="1"/>
  <c r="BA77" i="34" s="1"/>
  <c r="H76" i="34"/>
  <c r="H75" i="34"/>
  <c r="H74" i="34"/>
  <c r="H73" i="34"/>
  <c r="AW73" i="34"/>
  <c r="H72" i="34"/>
  <c r="AW72" i="34"/>
  <c r="H71" i="34"/>
  <c r="AW71" i="34"/>
  <c r="H70" i="34"/>
  <c r="AW70" i="34"/>
  <c r="H69" i="34"/>
  <c r="AW69" i="34"/>
  <c r="H68" i="34"/>
  <c r="AW68" i="34"/>
  <c r="H67" i="34"/>
  <c r="AW67" i="34"/>
  <c r="H66" i="34"/>
  <c r="AW66" i="34"/>
  <c r="H65" i="34"/>
  <c r="AW65" i="34"/>
  <c r="H64" i="34"/>
  <c r="AW64" i="34"/>
  <c r="H63" i="34"/>
  <c r="AW63" i="34"/>
  <c r="H62" i="34"/>
  <c r="AW62" i="34"/>
  <c r="H61" i="34"/>
  <c r="AW61" i="34"/>
  <c r="H60" i="34"/>
  <c r="AW60" i="34"/>
  <c r="H59" i="34"/>
  <c r="H58" i="34"/>
  <c r="H57" i="34"/>
  <c r="H56" i="34"/>
  <c r="AW56" i="34" s="1"/>
  <c r="H55" i="34"/>
  <c r="AW55" i="34"/>
  <c r="H54" i="34"/>
  <c r="AW54" i="34" s="1"/>
  <c r="H53" i="34"/>
  <c r="H52" i="34"/>
  <c r="AW52" i="34"/>
  <c r="BA52" i="34" s="1"/>
  <c r="H51" i="34"/>
  <c r="AW51" i="34"/>
  <c r="BA51" i="34" s="1"/>
  <c r="H50" i="34"/>
  <c r="AW50" i="34"/>
  <c r="BA50" i="34"/>
  <c r="H49" i="34"/>
  <c r="H48" i="34"/>
  <c r="H47" i="34"/>
  <c r="H46" i="34"/>
  <c r="AW46" i="34" s="1"/>
  <c r="H45" i="34"/>
  <c r="AW45" i="34"/>
  <c r="H44" i="34"/>
  <c r="AW44" i="34" s="1"/>
  <c r="H43" i="34"/>
  <c r="AW43" i="34"/>
  <c r="H42" i="34"/>
  <c r="AW42" i="34" s="1"/>
  <c r="H41" i="34"/>
  <c r="H40" i="34"/>
  <c r="AW40" i="34"/>
  <c r="H39" i="34"/>
  <c r="AW39" i="34" s="1"/>
  <c r="H38" i="34"/>
  <c r="AW38" i="34"/>
  <c r="H37" i="34"/>
  <c r="AW37" i="34" s="1"/>
  <c r="H36" i="34"/>
  <c r="AW36" i="34"/>
  <c r="H35" i="34"/>
  <c r="AW35" i="34" s="1"/>
  <c r="B41" i="34"/>
  <c r="B42" i="34"/>
  <c r="B45" i="34"/>
  <c r="B46" i="34"/>
  <c r="B47" i="34"/>
  <c r="B49" i="34"/>
  <c r="B50" i="34"/>
  <c r="B51" i="34"/>
  <c r="B53" i="34"/>
  <c r="B58" i="34"/>
  <c r="B59" i="34"/>
  <c r="B60" i="34"/>
  <c r="B61" i="34"/>
  <c r="B62" i="34"/>
  <c r="B67" i="34"/>
  <c r="B68" i="34"/>
  <c r="B74" i="34"/>
  <c r="B75" i="34"/>
  <c r="B76" i="34"/>
  <c r="B77" i="34"/>
  <c r="B79" i="34"/>
  <c r="B102" i="34"/>
  <c r="A102" i="34"/>
  <c r="A94" i="34"/>
  <c r="A95" i="34"/>
  <c r="A96" i="34"/>
  <c r="A97" i="34"/>
  <c r="A98" i="34"/>
  <c r="A99" i="34"/>
  <c r="A100" i="34"/>
  <c r="A101" i="34"/>
  <c r="A93" i="34"/>
  <c r="A49" i="34"/>
  <c r="A50" i="34"/>
  <c r="A51" i="34"/>
  <c r="A52" i="34"/>
  <c r="A53" i="34"/>
  <c r="A54" i="34"/>
  <c r="A55" i="34"/>
  <c r="A56" i="34"/>
  <c r="A57" i="34"/>
  <c r="A58" i="34"/>
  <c r="A59" i="34"/>
  <c r="A60" i="34"/>
  <c r="A61" i="34"/>
  <c r="A62" i="34"/>
  <c r="A63" i="34"/>
  <c r="A64" i="34"/>
  <c r="A65" i="34"/>
  <c r="A66" i="34"/>
  <c r="A67" i="34"/>
  <c r="A68" i="34"/>
  <c r="A69" i="34"/>
  <c r="A70" i="34"/>
  <c r="A71" i="34"/>
  <c r="A72" i="34"/>
  <c r="A73" i="34"/>
  <c r="A74" i="34"/>
  <c r="A75" i="34"/>
  <c r="A76" i="34"/>
  <c r="A77" i="34"/>
  <c r="A78" i="34"/>
  <c r="A79" i="34"/>
  <c r="A80" i="34"/>
  <c r="A81" i="34"/>
  <c r="A82" i="34"/>
  <c r="A83" i="34"/>
  <c r="A84" i="34"/>
  <c r="A85" i="34"/>
  <c r="A86" i="34"/>
  <c r="A87" i="34"/>
  <c r="A88" i="34"/>
  <c r="A89" i="34"/>
  <c r="A90" i="34"/>
  <c r="A91" i="34"/>
  <c r="A92" i="34"/>
  <c r="A36" i="34"/>
  <c r="A37" i="34"/>
  <c r="A38" i="34"/>
  <c r="A39" i="34"/>
  <c r="A40" i="34"/>
  <c r="A41" i="34"/>
  <c r="A42" i="34"/>
  <c r="A43" i="34"/>
  <c r="A44" i="34"/>
  <c r="A45" i="34"/>
  <c r="A46" i="34"/>
  <c r="A47" i="34"/>
  <c r="A48" i="34"/>
  <c r="A35" i="34"/>
  <c r="H31" i="34"/>
  <c r="AW31" i="34" s="1"/>
  <c r="H30" i="34"/>
  <c r="AW30" i="34"/>
  <c r="H29" i="34"/>
  <c r="AW29" i="34" s="1"/>
  <c r="H28" i="34"/>
  <c r="AW28" i="34"/>
  <c r="H27" i="34"/>
  <c r="AW27" i="34" s="1"/>
  <c r="H26" i="34"/>
  <c r="H25" i="34"/>
  <c r="AW25" i="34" s="1"/>
  <c r="H24" i="34"/>
  <c r="AW24" i="34"/>
  <c r="H23" i="34"/>
  <c r="AW23" i="34" s="1"/>
  <c r="H22" i="34"/>
  <c r="AW22" i="34"/>
  <c r="H21" i="34"/>
  <c r="AW21" i="34" s="1"/>
  <c r="BA21" i="34" s="1"/>
  <c r="H20" i="34"/>
  <c r="H19" i="34"/>
  <c r="AW19" i="34"/>
  <c r="BA19" i="34" s="1"/>
  <c r="H18" i="34"/>
  <c r="AW18" i="34"/>
  <c r="BA18" i="34"/>
  <c r="H17" i="34"/>
  <c r="AW17" i="34"/>
  <c r="H16" i="34"/>
  <c r="AW16" i="34"/>
  <c r="H15" i="34"/>
  <c r="AW15" i="34"/>
  <c r="H14" i="34"/>
  <c r="AW14" i="34"/>
  <c r="H13" i="34"/>
  <c r="AW13" i="34"/>
  <c r="H12" i="34"/>
  <c r="AW12" i="34"/>
  <c r="D22" i="34"/>
  <c r="E22" i="34"/>
  <c r="B28" i="34"/>
  <c r="I28" i="34"/>
  <c r="J28" i="34" s="1"/>
  <c r="B26" i="34"/>
  <c r="B21" i="34"/>
  <c r="B20" i="34"/>
  <c r="E19" i="34"/>
  <c r="E20" i="34"/>
  <c r="E21" i="34"/>
  <c r="A11" i="38"/>
  <c r="A26" i="34"/>
  <c r="A19" i="34"/>
  <c r="A20" i="34"/>
  <c r="A21" i="34"/>
  <c r="N43" i="37"/>
  <c r="AH4" i="38"/>
  <c r="I90" i="17"/>
  <c r="I91" i="17"/>
  <c r="I92" i="17"/>
  <c r="I93" i="17"/>
  <c r="I79" i="17"/>
  <c r="I80" i="17"/>
  <c r="I81" i="17"/>
  <c r="I83" i="17"/>
  <c r="I84" i="17"/>
  <c r="I85" i="17"/>
  <c r="I86" i="17"/>
  <c r="I87" i="17"/>
  <c r="I88" i="17"/>
  <c r="I89" i="17"/>
  <c r="I39" i="17"/>
  <c r="I40" i="17"/>
  <c r="I43" i="17"/>
  <c r="I45" i="17"/>
  <c r="I46" i="17"/>
  <c r="I49" i="17"/>
  <c r="I51" i="17"/>
  <c r="I52" i="17"/>
  <c r="I55" i="17"/>
  <c r="I57" i="17"/>
  <c r="I58" i="17"/>
  <c r="I61" i="17"/>
  <c r="I63" i="17"/>
  <c r="I64" i="17"/>
  <c r="I67" i="17"/>
  <c r="I69" i="17"/>
  <c r="I70" i="17"/>
  <c r="I73" i="17"/>
  <c r="I75" i="17"/>
  <c r="I76" i="17"/>
  <c r="I15" i="17"/>
  <c r="I16" i="17"/>
  <c r="I19" i="17"/>
  <c r="I21" i="17"/>
  <c r="I22" i="17"/>
  <c r="I25" i="17"/>
  <c r="I27" i="17"/>
  <c r="I28" i="17"/>
  <c r="I31" i="17"/>
  <c r="I33" i="17"/>
  <c r="I34" i="17"/>
  <c r="I37" i="17"/>
  <c r="B10" i="23"/>
  <c r="B185" i="34"/>
  <c r="F61" i="29"/>
  <c r="F57" i="29"/>
  <c r="I235" i="9"/>
  <c r="I235" i="8"/>
  <c r="D30" i="4"/>
  <c r="B51" i="16"/>
  <c r="G51" i="16" s="1"/>
  <c r="G80" i="21"/>
  <c r="F103" i="21"/>
  <c r="B14" i="23" s="1"/>
  <c r="G93" i="21"/>
  <c r="H93" i="21"/>
  <c r="H134" i="21"/>
  <c r="I93" i="21"/>
  <c r="I134" i="21" s="1"/>
  <c r="I159" i="21" s="1"/>
  <c r="J93" i="21"/>
  <c r="K93" i="21"/>
  <c r="L93" i="21"/>
  <c r="L134" i="21"/>
  <c r="L159" i="21"/>
  <c r="M93" i="21"/>
  <c r="M134" i="21" s="1"/>
  <c r="M159" i="21" s="1"/>
  <c r="N93" i="21"/>
  <c r="O93" i="21"/>
  <c r="O134" i="21" s="1"/>
  <c r="O159" i="21" s="1"/>
  <c r="P93" i="21"/>
  <c r="P134" i="21" s="1"/>
  <c r="P159" i="21" s="1"/>
  <c r="Q93" i="21"/>
  <c r="Q134" i="21"/>
  <c r="G94" i="21"/>
  <c r="H94" i="21"/>
  <c r="I94" i="21"/>
  <c r="J94" i="21"/>
  <c r="K94" i="21"/>
  <c r="L94" i="21"/>
  <c r="M94" i="21"/>
  <c r="N94" i="21"/>
  <c r="O94" i="21"/>
  <c r="P94" i="21"/>
  <c r="Q94" i="21"/>
  <c r="G83" i="21"/>
  <c r="H83" i="21"/>
  <c r="I83" i="21"/>
  <c r="J83" i="21"/>
  <c r="K83" i="21"/>
  <c r="L83" i="21"/>
  <c r="M83" i="21"/>
  <c r="N83" i="21"/>
  <c r="O83" i="21"/>
  <c r="P83" i="21"/>
  <c r="Q83" i="21"/>
  <c r="F83" i="21"/>
  <c r="F94" i="21"/>
  <c r="F93" i="21"/>
  <c r="F81" i="21"/>
  <c r="F90" i="21"/>
  <c r="F89" i="21"/>
  <c r="B238" i="34"/>
  <c r="G238" i="34" s="1"/>
  <c r="E80" i="17"/>
  <c r="B96" i="34"/>
  <c r="B161" i="34"/>
  <c r="I161" i="34" s="1"/>
  <c r="J161" i="34" s="1"/>
  <c r="B157" i="34"/>
  <c r="C21" i="17"/>
  <c r="B179" i="34"/>
  <c r="B173" i="34"/>
  <c r="E56" i="17"/>
  <c r="C85" i="15"/>
  <c r="E85" i="15" s="1"/>
  <c r="H85" i="15" s="1"/>
  <c r="B35" i="16"/>
  <c r="G35" i="16" s="1"/>
  <c r="B36" i="16"/>
  <c r="B37" i="16"/>
  <c r="F37" i="16"/>
  <c r="B38" i="16"/>
  <c r="F38" i="16" s="1"/>
  <c r="B39" i="16"/>
  <c r="B40" i="16"/>
  <c r="G40" i="16"/>
  <c r="B41" i="16"/>
  <c r="G41" i="16"/>
  <c r="B42" i="16"/>
  <c r="C42" i="16"/>
  <c r="D42" i="16" s="1"/>
  <c r="E42" i="16" s="1"/>
  <c r="B43" i="16"/>
  <c r="B44" i="16"/>
  <c r="B45" i="16"/>
  <c r="F45" i="16"/>
  <c r="B46" i="16"/>
  <c r="B47" i="16"/>
  <c r="B48" i="16"/>
  <c r="B49" i="16"/>
  <c r="B50" i="16"/>
  <c r="B52" i="16"/>
  <c r="B53" i="16"/>
  <c r="B54" i="16"/>
  <c r="B55" i="16"/>
  <c r="F55" i="16"/>
  <c r="B56" i="16"/>
  <c r="B57" i="16"/>
  <c r="F57" i="16"/>
  <c r="B58" i="16"/>
  <c r="B59" i="16"/>
  <c r="B60" i="16"/>
  <c r="B61" i="16"/>
  <c r="B62" i="16"/>
  <c r="B63" i="16"/>
  <c r="F63" i="16"/>
  <c r="B64" i="16"/>
  <c r="B16" i="16"/>
  <c r="G16" i="16" s="1"/>
  <c r="B17" i="16"/>
  <c r="B18" i="16"/>
  <c r="B19" i="16"/>
  <c r="F19" i="16" s="1"/>
  <c r="B20" i="16"/>
  <c r="G20" i="16"/>
  <c r="B21" i="16"/>
  <c r="F21" i="16" s="1"/>
  <c r="B22" i="16"/>
  <c r="G22" i="16"/>
  <c r="B23" i="16"/>
  <c r="F23" i="16" s="1"/>
  <c r="B24" i="16"/>
  <c r="B25" i="16"/>
  <c r="G25" i="16"/>
  <c r="B26" i="16"/>
  <c r="B27" i="16"/>
  <c r="F27" i="16"/>
  <c r="B28" i="16"/>
  <c r="F28" i="16" s="1"/>
  <c r="B29" i="16"/>
  <c r="B30" i="16"/>
  <c r="G30" i="16" s="1"/>
  <c r="B31" i="16"/>
  <c r="G31" i="16"/>
  <c r="B32" i="16"/>
  <c r="F32" i="16" s="1"/>
  <c r="B33" i="16"/>
  <c r="B34" i="16"/>
  <c r="B15" i="16"/>
  <c r="F15" i="16" s="1"/>
  <c r="C49" i="15"/>
  <c r="I233" i="9"/>
  <c r="I234" i="9"/>
  <c r="M50" i="21"/>
  <c r="P8" i="33"/>
  <c r="P9" i="33"/>
  <c r="P10" i="33"/>
  <c r="L9" i="36" s="1"/>
  <c r="L10" i="36" s="1"/>
  <c r="P11" i="33"/>
  <c r="L9" i="38"/>
  <c r="L10" i="38"/>
  <c r="P13" i="33"/>
  <c r="P14" i="33"/>
  <c r="P15" i="33"/>
  <c r="P16" i="33"/>
  <c r="P17" i="33"/>
  <c r="P18" i="33"/>
  <c r="P19" i="33"/>
  <c r="P20" i="33"/>
  <c r="P21" i="33"/>
  <c r="P34" i="33"/>
  <c r="P35" i="33"/>
  <c r="P36" i="33"/>
  <c r="P37" i="33"/>
  <c r="P38" i="33"/>
  <c r="P41" i="33"/>
  <c r="P42" i="33"/>
  <c r="P43" i="33"/>
  <c r="P44" i="33"/>
  <c r="P45" i="33"/>
  <c r="P46" i="33"/>
  <c r="P47" i="33"/>
  <c r="P48" i="33"/>
  <c r="P49" i="33"/>
  <c r="P50" i="33"/>
  <c r="P51" i="33"/>
  <c r="P52" i="33"/>
  <c r="P53" i="33"/>
  <c r="P54" i="33"/>
  <c r="P55" i="33"/>
  <c r="P56" i="33"/>
  <c r="P57" i="33"/>
  <c r="P58" i="33"/>
  <c r="P61" i="33"/>
  <c r="P62" i="33"/>
  <c r="P63" i="33"/>
  <c r="P64" i="33"/>
  <c r="P65" i="33"/>
  <c r="P66" i="33"/>
  <c r="P67" i="33"/>
  <c r="P68" i="33"/>
  <c r="P69" i="33"/>
  <c r="P70" i="33"/>
  <c r="P71" i="33"/>
  <c r="P72" i="33"/>
  <c r="P73" i="33"/>
  <c r="P74" i="33"/>
  <c r="P75" i="33"/>
  <c r="P76" i="33"/>
  <c r="P79" i="33"/>
  <c r="P80" i="33"/>
  <c r="P81" i="33"/>
  <c r="P82" i="33"/>
  <c r="P85" i="33"/>
  <c r="P86" i="33"/>
  <c r="P87" i="33"/>
  <c r="P88" i="33"/>
  <c r="P89" i="33"/>
  <c r="P92" i="33"/>
  <c r="P93" i="33"/>
  <c r="P94" i="33"/>
  <c r="P95" i="33"/>
  <c r="P96" i="33"/>
  <c r="P97" i="33"/>
  <c r="P8" i="32"/>
  <c r="P9" i="32"/>
  <c r="P10" i="32"/>
  <c r="P11" i="32"/>
  <c r="P12" i="32"/>
  <c r="P13" i="32"/>
  <c r="P14" i="32"/>
  <c r="P15" i="32"/>
  <c r="P16" i="32"/>
  <c r="P17" i="32"/>
  <c r="P18" i="32"/>
  <c r="P19" i="32"/>
  <c r="P20" i="32"/>
  <c r="P21" i="32"/>
  <c r="P22" i="32"/>
  <c r="P23" i="32"/>
  <c r="P25" i="32"/>
  <c r="P26" i="32"/>
  <c r="P27" i="32"/>
  <c r="P28" i="32"/>
  <c r="P29" i="32"/>
  <c r="P30" i="32"/>
  <c r="P31" i="32"/>
  <c r="P32" i="32"/>
  <c r="P33" i="32"/>
  <c r="P34" i="32"/>
  <c r="P35" i="32"/>
  <c r="P36" i="32"/>
  <c r="P37" i="32"/>
  <c r="P38" i="32"/>
  <c r="P41" i="32"/>
  <c r="P42" i="32"/>
  <c r="P43" i="32"/>
  <c r="P44" i="32"/>
  <c r="P45" i="32"/>
  <c r="P48" i="32"/>
  <c r="P49" i="32"/>
  <c r="P50" i="32"/>
  <c r="P51" i="32"/>
  <c r="P52" i="32"/>
  <c r="P53" i="32"/>
  <c r="P54" i="32"/>
  <c r="P55" i="32"/>
  <c r="P56" i="32"/>
  <c r="P57" i="32"/>
  <c r="P58" i="32"/>
  <c r="P59" i="32"/>
  <c r="P60" i="32"/>
  <c r="P61" i="32"/>
  <c r="P62" i="32"/>
  <c r="P63" i="32"/>
  <c r="P64" i="32"/>
  <c r="P65" i="32"/>
  <c r="P68" i="32"/>
  <c r="P69" i="32"/>
  <c r="P70" i="32"/>
  <c r="P71" i="32"/>
  <c r="P72" i="32"/>
  <c r="P73" i="32"/>
  <c r="P74" i="32"/>
  <c r="P75" i="32"/>
  <c r="P76" i="32"/>
  <c r="P77" i="32"/>
  <c r="P78" i="32"/>
  <c r="P79" i="32"/>
  <c r="P80" i="32"/>
  <c r="P81" i="32"/>
  <c r="P82" i="32"/>
  <c r="P83" i="32"/>
  <c r="P86" i="32"/>
  <c r="P87" i="32"/>
  <c r="P88" i="32"/>
  <c r="P89" i="32"/>
  <c r="P92" i="32"/>
  <c r="P93" i="32"/>
  <c r="P94" i="32"/>
  <c r="P95" i="32"/>
  <c r="P96" i="32"/>
  <c r="P99" i="32"/>
  <c r="P100" i="32"/>
  <c r="P101" i="32"/>
  <c r="P102" i="32"/>
  <c r="P103" i="32"/>
  <c r="P104" i="32"/>
  <c r="P8" i="31"/>
  <c r="P9" i="31"/>
  <c r="P10" i="31"/>
  <c r="P11" i="31"/>
  <c r="P12" i="31"/>
  <c r="P13" i="31"/>
  <c r="P14" i="31"/>
  <c r="P15" i="31"/>
  <c r="P16" i="31"/>
  <c r="P17" i="31"/>
  <c r="P18" i="31"/>
  <c r="P19" i="31"/>
  <c r="P20" i="31"/>
  <c r="P21" i="31"/>
  <c r="P22" i="31"/>
  <c r="P24" i="31"/>
  <c r="P25" i="31"/>
  <c r="P26" i="31"/>
  <c r="P27" i="31"/>
  <c r="P28" i="31"/>
  <c r="P29" i="31"/>
  <c r="P30" i="31"/>
  <c r="P31" i="31"/>
  <c r="P32" i="31"/>
  <c r="P35" i="31"/>
  <c r="P36" i="31"/>
  <c r="P37" i="31"/>
  <c r="P38" i="31"/>
  <c r="P39" i="31"/>
  <c r="P40" i="31"/>
  <c r="P41" i="31"/>
  <c r="P42" i="31"/>
  <c r="P43" i="31"/>
  <c r="P44" i="31"/>
  <c r="P45" i="31"/>
  <c r="P48" i="31"/>
  <c r="P49" i="31"/>
  <c r="P50" i="31"/>
  <c r="P51" i="31"/>
  <c r="P52" i="31"/>
  <c r="P53" i="31"/>
  <c r="P54" i="31"/>
  <c r="P55" i="31"/>
  <c r="P56" i="31"/>
  <c r="P57" i="31"/>
  <c r="P58" i="31"/>
  <c r="P59" i="31"/>
  <c r="P60" i="31"/>
  <c r="P61" i="31"/>
  <c r="P62" i="31"/>
  <c r="P63" i="31"/>
  <c r="P64" i="31"/>
  <c r="P65" i="31"/>
  <c r="P67" i="31"/>
  <c r="P68" i="31"/>
  <c r="P69" i="31"/>
  <c r="P70" i="31"/>
  <c r="P71" i="31"/>
  <c r="P72" i="31"/>
  <c r="P73" i="31"/>
  <c r="P74" i="31"/>
  <c r="P75" i="31"/>
  <c r="P76" i="31"/>
  <c r="P77" i="31"/>
  <c r="P78" i="31"/>
  <c r="P79" i="31"/>
  <c r="P80" i="31"/>
  <c r="P81" i="31"/>
  <c r="P82" i="31"/>
  <c r="P85" i="31"/>
  <c r="P86" i="31"/>
  <c r="P87" i="31"/>
  <c r="P88" i="31"/>
  <c r="P91" i="31"/>
  <c r="P92" i="31"/>
  <c r="P93" i="31"/>
  <c r="P94" i="31"/>
  <c r="P95" i="31"/>
  <c r="P98" i="31"/>
  <c r="P99" i="31"/>
  <c r="P100" i="31"/>
  <c r="P101" i="31"/>
  <c r="P102" i="31"/>
  <c r="P103" i="31"/>
  <c r="I3" i="26"/>
  <c r="I7" i="26" s="1"/>
  <c r="K3" i="26"/>
  <c r="K5" i="26"/>
  <c r="L3" i="26"/>
  <c r="H19" i="26"/>
  <c r="I21" i="26"/>
  <c r="E22" i="26"/>
  <c r="G42" i="26"/>
  <c r="H44" i="26"/>
  <c r="A1" i="24"/>
  <c r="B4" i="23"/>
  <c r="B3" i="23"/>
  <c r="C10" i="23"/>
  <c r="D10" i="23"/>
  <c r="E10" i="23"/>
  <c r="F10" i="23"/>
  <c r="G10" i="23"/>
  <c r="H10" i="23"/>
  <c r="I10" i="23"/>
  <c r="J10" i="23"/>
  <c r="K10" i="23"/>
  <c r="L10" i="23"/>
  <c r="M10" i="23"/>
  <c r="B11" i="23"/>
  <c r="C11" i="23"/>
  <c r="D11" i="23"/>
  <c r="E11" i="23"/>
  <c r="F11" i="23"/>
  <c r="G11" i="23"/>
  <c r="H11" i="23"/>
  <c r="I11" i="23"/>
  <c r="J11" i="23"/>
  <c r="K11" i="23"/>
  <c r="L11" i="23"/>
  <c r="M11" i="23"/>
  <c r="A1" i="22"/>
  <c r="B5" i="22"/>
  <c r="B4" i="22"/>
  <c r="A1" i="21"/>
  <c r="G7" i="21"/>
  <c r="C4" i="23"/>
  <c r="C3" i="23"/>
  <c r="G12" i="21"/>
  <c r="H12" i="21"/>
  <c r="I12" i="21"/>
  <c r="J12" i="21"/>
  <c r="K12" i="21"/>
  <c r="L12" i="21"/>
  <c r="M12" i="21"/>
  <c r="N12" i="21"/>
  <c r="O12" i="21"/>
  <c r="P12" i="21"/>
  <c r="Q12" i="21"/>
  <c r="F16" i="21"/>
  <c r="F17" i="21"/>
  <c r="G16" i="21"/>
  <c r="H16" i="21"/>
  <c r="I16" i="21"/>
  <c r="J16" i="21"/>
  <c r="K16" i="21"/>
  <c r="L16" i="21"/>
  <c r="M16" i="21"/>
  <c r="N16" i="21"/>
  <c r="O16" i="21"/>
  <c r="P16" i="21"/>
  <c r="Q16" i="21"/>
  <c r="R82" i="21"/>
  <c r="R84" i="21"/>
  <c r="A1" i="18"/>
  <c r="O9" i="18"/>
  <c r="O12" i="18"/>
  <c r="O27" i="18"/>
  <c r="C14" i="17"/>
  <c r="I14" i="17"/>
  <c r="M14" i="17"/>
  <c r="E14" i="17"/>
  <c r="C17" i="17"/>
  <c r="I17" i="17"/>
  <c r="E17" i="17"/>
  <c r="C18" i="17"/>
  <c r="I18" i="17"/>
  <c r="E18" i="17"/>
  <c r="C19" i="17"/>
  <c r="E19" i="17"/>
  <c r="C20" i="17"/>
  <c r="I20" i="17"/>
  <c r="M20" i="17"/>
  <c r="E20" i="17"/>
  <c r="H179" i="34"/>
  <c r="AW179" i="34"/>
  <c r="C23" i="17"/>
  <c r="I23" i="17" s="1"/>
  <c r="E23" i="17"/>
  <c r="C24" i="17"/>
  <c r="I24" i="17" s="1"/>
  <c r="E24" i="17"/>
  <c r="H183" i="34"/>
  <c r="H185" i="34"/>
  <c r="AW185" i="34" s="1"/>
  <c r="H186" i="34"/>
  <c r="AW186" i="34"/>
  <c r="C29" i="17"/>
  <c r="I29" i="17" s="1"/>
  <c r="E29" i="17"/>
  <c r="C30" i="17"/>
  <c r="I30" i="17"/>
  <c r="E30" i="17"/>
  <c r="C31" i="17"/>
  <c r="H189" i="34"/>
  <c r="E31" i="17"/>
  <c r="C32" i="17"/>
  <c r="I32" i="17" s="1"/>
  <c r="M32" i="17" s="1"/>
  <c r="E32" i="17"/>
  <c r="C33" i="17"/>
  <c r="H191" i="34"/>
  <c r="I191" i="34"/>
  <c r="J191" i="34"/>
  <c r="E33" i="17"/>
  <c r="C34" i="17"/>
  <c r="E34" i="17"/>
  <c r="C35" i="17"/>
  <c r="I35" i="17"/>
  <c r="E35" i="17"/>
  <c r="C36" i="17"/>
  <c r="I36" i="17"/>
  <c r="E36" i="17"/>
  <c r="H195" i="34"/>
  <c r="H197" i="34"/>
  <c r="AW197" i="34"/>
  <c r="H198" i="34"/>
  <c r="AW198" i="34" s="1"/>
  <c r="C41" i="17"/>
  <c r="I41" i="17"/>
  <c r="E41" i="17"/>
  <c r="C42" i="17"/>
  <c r="I42" i="17"/>
  <c r="E42" i="17"/>
  <c r="H201" i="34"/>
  <c r="AW201" i="34" s="1"/>
  <c r="H203" i="34"/>
  <c r="AW203" i="34"/>
  <c r="H204" i="34"/>
  <c r="AW204" i="34" s="1"/>
  <c r="C47" i="17"/>
  <c r="I47" i="17"/>
  <c r="E47" i="17"/>
  <c r="C48" i="17"/>
  <c r="I48" i="17"/>
  <c r="E48" i="17"/>
  <c r="H207" i="34"/>
  <c r="AW207" i="34" s="1"/>
  <c r="H210" i="34"/>
  <c r="AW210" i="34"/>
  <c r="C53" i="17"/>
  <c r="I53" i="17" s="1"/>
  <c r="E53" i="17"/>
  <c r="C54" i="17"/>
  <c r="I54" i="17"/>
  <c r="E54" i="17"/>
  <c r="H213" i="34"/>
  <c r="AW213" i="34"/>
  <c r="C56" i="17"/>
  <c r="I56" i="17" s="1"/>
  <c r="M56" i="17" s="1"/>
  <c r="C57" i="17"/>
  <c r="H215" i="34"/>
  <c r="E57" i="17"/>
  <c r="C58" i="17"/>
  <c r="E58" i="17"/>
  <c r="C59" i="17"/>
  <c r="I59" i="17" s="1"/>
  <c r="E59" i="17"/>
  <c r="C60" i="17"/>
  <c r="I60" i="17"/>
  <c r="E60" i="17"/>
  <c r="H219" i="34"/>
  <c r="AW219" i="34"/>
  <c r="C62" i="17"/>
  <c r="I62" i="17" s="1"/>
  <c r="M62" i="17" s="1"/>
  <c r="E62" i="17"/>
  <c r="H221" i="34"/>
  <c r="AW221" i="34" s="1"/>
  <c r="H222" i="34"/>
  <c r="AW222" i="34"/>
  <c r="C65" i="17"/>
  <c r="I65" i="17" s="1"/>
  <c r="E65" i="17"/>
  <c r="C66" i="17"/>
  <c r="I66" i="17"/>
  <c r="E66" i="17"/>
  <c r="C67" i="17"/>
  <c r="H225" i="34"/>
  <c r="C68" i="17"/>
  <c r="I68" i="17" s="1"/>
  <c r="M68" i="17" s="1"/>
  <c r="E68" i="17"/>
  <c r="C69" i="17"/>
  <c r="H227" i="34"/>
  <c r="E69" i="17"/>
  <c r="C70" i="17"/>
  <c r="E70" i="17"/>
  <c r="C71" i="17"/>
  <c r="I71" i="17"/>
  <c r="E71" i="17"/>
  <c r="C72" i="17"/>
  <c r="I72" i="17" s="1"/>
  <c r="E72" i="17"/>
  <c r="C73" i="17"/>
  <c r="H231" i="34"/>
  <c r="C74" i="17"/>
  <c r="I74" i="17"/>
  <c r="M74" i="17"/>
  <c r="E74" i="17"/>
  <c r="C75" i="17"/>
  <c r="H233" i="34"/>
  <c r="AW233" i="34"/>
  <c r="E75" i="17"/>
  <c r="C76" i="17"/>
  <c r="H234" i="34"/>
  <c r="AW234" i="34"/>
  <c r="C77" i="17"/>
  <c r="I77" i="17" s="1"/>
  <c r="E77" i="17"/>
  <c r="C78" i="17"/>
  <c r="I78" i="17"/>
  <c r="E78" i="17"/>
  <c r="E86" i="17"/>
  <c r="E88" i="17"/>
  <c r="E89" i="17"/>
  <c r="E90" i="17"/>
  <c r="E91" i="17"/>
  <c r="E92" i="17"/>
  <c r="J10" i="15"/>
  <c r="J11" i="15"/>
  <c r="C15" i="15"/>
  <c r="E15" i="15"/>
  <c r="H15" i="15"/>
  <c r="C16" i="15"/>
  <c r="K16" i="15"/>
  <c r="C19" i="15"/>
  <c r="C20" i="15"/>
  <c r="C21" i="15"/>
  <c r="K21" i="15"/>
  <c r="C23" i="15"/>
  <c r="C24" i="15"/>
  <c r="C25" i="15"/>
  <c r="C27" i="15"/>
  <c r="C32" i="15"/>
  <c r="C33" i="15"/>
  <c r="E33" i="15" s="1"/>
  <c r="H33" i="15" s="1"/>
  <c r="C34" i="15"/>
  <c r="C35" i="15"/>
  <c r="C36" i="15"/>
  <c r="K36" i="15"/>
  <c r="C41" i="15"/>
  <c r="C42" i="15"/>
  <c r="E42" i="15" s="1"/>
  <c r="H42" i="15" s="1"/>
  <c r="C48" i="15"/>
  <c r="C50" i="15"/>
  <c r="C51" i="15"/>
  <c r="E51" i="15"/>
  <c r="H51" i="15"/>
  <c r="C53" i="15"/>
  <c r="J83" i="15"/>
  <c r="J84" i="15"/>
  <c r="C87" i="15"/>
  <c r="C91" i="15"/>
  <c r="C94" i="15"/>
  <c r="K94" i="15"/>
  <c r="C96" i="15"/>
  <c r="C97" i="15"/>
  <c r="C100" i="15"/>
  <c r="C101" i="15"/>
  <c r="C102" i="15"/>
  <c r="K102" i="15"/>
  <c r="C103" i="15"/>
  <c r="C104" i="15"/>
  <c r="C105" i="15"/>
  <c r="E105" i="15"/>
  <c r="H105" i="15" s="1"/>
  <c r="C106" i="15"/>
  <c r="E106" i="15"/>
  <c r="H106" i="15"/>
  <c r="C110" i="15"/>
  <c r="C111" i="15"/>
  <c r="K111" i="15"/>
  <c r="C112" i="15"/>
  <c r="C117" i="15"/>
  <c r="E117" i="15"/>
  <c r="H117" i="15"/>
  <c r="C118" i="15"/>
  <c r="E118" i="15" s="1"/>
  <c r="H118" i="15" s="1"/>
  <c r="C119" i="15"/>
  <c r="C120" i="15"/>
  <c r="K120" i="15" s="1"/>
  <c r="C121" i="15"/>
  <c r="K121" i="15"/>
  <c r="C122" i="15"/>
  <c r="C123" i="15"/>
  <c r="C126" i="15"/>
  <c r="E126" i="15"/>
  <c r="H126" i="15"/>
  <c r="C131" i="15"/>
  <c r="E131" i="15"/>
  <c r="H131" i="15"/>
  <c r="E133" i="15"/>
  <c r="H133" i="15" s="1"/>
  <c r="E137" i="15"/>
  <c r="H137" i="15" s="1"/>
  <c r="E144" i="15"/>
  <c r="H144" i="15" s="1"/>
  <c r="H146" i="15"/>
  <c r="H147" i="15"/>
  <c r="E21" i="14"/>
  <c r="H21" i="14" s="1"/>
  <c r="E23" i="14"/>
  <c r="H23" i="14"/>
  <c r="E24" i="14"/>
  <c r="H24" i="14" s="1"/>
  <c r="E34" i="14"/>
  <c r="H34" i="14"/>
  <c r="E36" i="14"/>
  <c r="H36" i="14" s="1"/>
  <c r="E41" i="14"/>
  <c r="C73" i="14"/>
  <c r="D73" i="14"/>
  <c r="D33" i="5" s="1"/>
  <c r="T6" i="38"/>
  <c r="T5" i="38"/>
  <c r="X6" i="38"/>
  <c r="X5" i="38" s="1"/>
  <c r="AA6" i="38"/>
  <c r="AA5" i="38"/>
  <c r="AE6" i="38"/>
  <c r="AE5" i="38" s="1"/>
  <c r="AH6" i="38"/>
  <c r="AH5" i="38"/>
  <c r="AI6" i="38"/>
  <c r="AI5" i="38" s="1"/>
  <c r="A9" i="38"/>
  <c r="E9" i="38"/>
  <c r="H9" i="38"/>
  <c r="AW9" i="38" s="1"/>
  <c r="X12" i="38"/>
  <c r="AA12" i="38"/>
  <c r="AE12" i="38"/>
  <c r="AH12" i="38"/>
  <c r="AI12" i="38"/>
  <c r="C13" i="37"/>
  <c r="U22" i="37"/>
  <c r="V22" i="37" s="1"/>
  <c r="P28" i="37"/>
  <c r="U33" i="37"/>
  <c r="V33" i="37"/>
  <c r="E35" i="37"/>
  <c r="U35" i="37"/>
  <c r="V35" i="37"/>
  <c r="O43" i="37"/>
  <c r="AI4" i="38" s="1"/>
  <c r="G6" i="36"/>
  <c r="G5" i="36"/>
  <c r="T6" i="36"/>
  <c r="T5" i="36" s="1"/>
  <c r="X6" i="36"/>
  <c r="X5" i="36" s="1"/>
  <c r="AA6" i="36"/>
  <c r="AA5" i="36" s="1"/>
  <c r="AE6" i="36"/>
  <c r="AE5" i="36"/>
  <c r="AH6" i="36"/>
  <c r="AH5" i="36" s="1"/>
  <c r="AI6" i="36"/>
  <c r="AI5" i="36"/>
  <c r="A9" i="36"/>
  <c r="E9" i="36"/>
  <c r="X11" i="36"/>
  <c r="AA11" i="36"/>
  <c r="AE11" i="36"/>
  <c r="AH11" i="36"/>
  <c r="AI11" i="36"/>
  <c r="C13" i="35"/>
  <c r="U22" i="35"/>
  <c r="V22" i="35" s="1"/>
  <c r="P28" i="35"/>
  <c r="P43" i="35"/>
  <c r="AK4" i="36"/>
  <c r="U33" i="35"/>
  <c r="V33" i="35"/>
  <c r="E35" i="35"/>
  <c r="U35" i="35"/>
  <c r="V35" i="35" s="1"/>
  <c r="N43" i="35"/>
  <c r="AH4" i="36" s="1"/>
  <c r="O43" i="35"/>
  <c r="AI4" i="36" s="1"/>
  <c r="A12" i="34"/>
  <c r="E12" i="34"/>
  <c r="A13" i="34"/>
  <c r="E13" i="34"/>
  <c r="A14" i="34"/>
  <c r="E14" i="34"/>
  <c r="A15" i="34"/>
  <c r="E15" i="34"/>
  <c r="A16" i="34"/>
  <c r="E16" i="34"/>
  <c r="A17" i="34"/>
  <c r="E17" i="34"/>
  <c r="A18" i="34"/>
  <c r="E18" i="34"/>
  <c r="A22" i="34"/>
  <c r="A23" i="34"/>
  <c r="E23" i="34"/>
  <c r="A24" i="34"/>
  <c r="E24" i="34"/>
  <c r="A25" i="34"/>
  <c r="E25" i="34"/>
  <c r="A27" i="34"/>
  <c r="A28" i="34"/>
  <c r="A29" i="34"/>
  <c r="A30" i="34"/>
  <c r="A31" i="34"/>
  <c r="X32" i="34"/>
  <c r="AA32" i="34"/>
  <c r="AE32" i="34"/>
  <c r="AF32" i="34"/>
  <c r="AH32" i="34"/>
  <c r="AI32" i="34"/>
  <c r="E35" i="34"/>
  <c r="E106" i="34"/>
  <c r="E107" i="34"/>
  <c r="E108" i="34"/>
  <c r="D109" i="34"/>
  <c r="E109" i="34"/>
  <c r="E110" i="34"/>
  <c r="E112" i="34"/>
  <c r="E113" i="34"/>
  <c r="E114" i="34"/>
  <c r="E116" i="34"/>
  <c r="E117" i="34"/>
  <c r="E118" i="34"/>
  <c r="E119" i="34"/>
  <c r="E120" i="34"/>
  <c r="E122" i="34"/>
  <c r="E123" i="34"/>
  <c r="E124" i="34"/>
  <c r="E125" i="34"/>
  <c r="E126" i="34"/>
  <c r="E127" i="34"/>
  <c r="E128" i="34"/>
  <c r="E129" i="34"/>
  <c r="E131" i="34"/>
  <c r="E132" i="34"/>
  <c r="E133" i="34"/>
  <c r="E134" i="34"/>
  <c r="E135" i="34"/>
  <c r="E137" i="34"/>
  <c r="E138" i="34"/>
  <c r="E139" i="34"/>
  <c r="E140" i="34"/>
  <c r="E141" i="34"/>
  <c r="E142" i="34"/>
  <c r="E143" i="34"/>
  <c r="E144" i="34"/>
  <c r="E145" i="34"/>
  <c r="E146" i="34"/>
  <c r="E148" i="34"/>
  <c r="E149" i="34"/>
  <c r="E150" i="34"/>
  <c r="E152" i="34"/>
  <c r="E153" i="34"/>
  <c r="E154" i="34"/>
  <c r="E155" i="34"/>
  <c r="E156" i="34"/>
  <c r="E157" i="34"/>
  <c r="E158" i="34"/>
  <c r="E159" i="34"/>
  <c r="R252" i="34"/>
  <c r="S252" i="34"/>
  <c r="Z252" i="34"/>
  <c r="AF252" i="34"/>
  <c r="AG252" i="34"/>
  <c r="AL252" i="34"/>
  <c r="C13" i="11"/>
  <c r="U22" i="11"/>
  <c r="V22" i="11"/>
  <c r="P28" i="11"/>
  <c r="P43" i="11" s="1"/>
  <c r="AK4" i="34"/>
  <c r="E35" i="11"/>
  <c r="U35" i="11"/>
  <c r="V35" i="11" s="1"/>
  <c r="B3" i="10"/>
  <c r="B6" i="10"/>
  <c r="L11" i="10"/>
  <c r="H11" i="8" s="1"/>
  <c r="I11" i="8"/>
  <c r="L12" i="10"/>
  <c r="H12" i="8"/>
  <c r="I12" i="8" s="1"/>
  <c r="L13" i="10"/>
  <c r="H13" i="8"/>
  <c r="I13" i="8" s="1"/>
  <c r="L14" i="10"/>
  <c r="H14" i="8"/>
  <c r="L17" i="10"/>
  <c r="H17" i="8" s="1"/>
  <c r="I17" i="8" s="1"/>
  <c r="K17" i="8" s="1"/>
  <c r="D12" i="29" s="1"/>
  <c r="X12" i="29" s="1"/>
  <c r="AF12" i="29" s="1"/>
  <c r="L18" i="10"/>
  <c r="H18" i="8"/>
  <c r="I18" i="8" s="1"/>
  <c r="K18" i="8" s="1"/>
  <c r="D13" i="29" s="1"/>
  <c r="X13" i="29" s="1"/>
  <c r="AF13" i="29" s="1"/>
  <c r="C20" i="10"/>
  <c r="D20" i="10"/>
  <c r="E20" i="10"/>
  <c r="F20" i="10"/>
  <c r="G20" i="10"/>
  <c r="H20" i="10"/>
  <c r="I20" i="10"/>
  <c r="J20" i="10"/>
  <c r="K20" i="10"/>
  <c r="L22" i="10"/>
  <c r="H22" i="8" s="1"/>
  <c r="L23" i="10"/>
  <c r="H23" i="8" s="1"/>
  <c r="I23" i="8" s="1"/>
  <c r="C24" i="10"/>
  <c r="D24" i="10"/>
  <c r="E24" i="10"/>
  <c r="F24" i="10"/>
  <c r="G24" i="10"/>
  <c r="H24" i="10"/>
  <c r="I24" i="10"/>
  <c r="J24" i="10"/>
  <c r="J32" i="10" s="1"/>
  <c r="K24" i="10"/>
  <c r="L27" i="10"/>
  <c r="H27" i="8"/>
  <c r="L28" i="10"/>
  <c r="H28" i="8" s="1"/>
  <c r="L29" i="10"/>
  <c r="H29" i="8" s="1"/>
  <c r="I29" i="8" s="1"/>
  <c r="L30" i="10"/>
  <c r="H30" i="8"/>
  <c r="I30" i="8" s="1"/>
  <c r="K30" i="8" s="1"/>
  <c r="L31" i="10"/>
  <c r="H31" i="8"/>
  <c r="C32" i="10"/>
  <c r="D32" i="10"/>
  <c r="E32" i="10"/>
  <c r="E34" i="10"/>
  <c r="F32" i="10"/>
  <c r="F34" i="10"/>
  <c r="G32" i="10"/>
  <c r="H32" i="10"/>
  <c r="K32" i="10"/>
  <c r="L38" i="10"/>
  <c r="C53" i="10"/>
  <c r="D53" i="10"/>
  <c r="F53" i="10"/>
  <c r="G53" i="10"/>
  <c r="H53" i="10"/>
  <c r="I53" i="10"/>
  <c r="J53" i="10"/>
  <c r="K53" i="10"/>
  <c r="L55" i="10"/>
  <c r="L57" i="10"/>
  <c r="L58" i="10"/>
  <c r="L59" i="10"/>
  <c r="C70" i="10"/>
  <c r="D70" i="10"/>
  <c r="F70" i="10"/>
  <c r="G70" i="10"/>
  <c r="H70" i="10"/>
  <c r="I70" i="10"/>
  <c r="J70" i="10"/>
  <c r="K70" i="10"/>
  <c r="L71" i="10"/>
  <c r="L74" i="10"/>
  <c r="L76" i="10"/>
  <c r="L77" i="10"/>
  <c r="L86" i="10"/>
  <c r="L89" i="10"/>
  <c r="L90" i="10"/>
  <c r="L91" i="10"/>
  <c r="L92" i="10"/>
  <c r="L93" i="10"/>
  <c r="L94" i="10"/>
  <c r="L101" i="10"/>
  <c r="H101" i="8" s="1"/>
  <c r="I101" i="8" s="1"/>
  <c r="L112" i="10"/>
  <c r="H112" i="8" s="1"/>
  <c r="I112" i="8" s="1"/>
  <c r="C113" i="10"/>
  <c r="D113" i="10"/>
  <c r="E113" i="10"/>
  <c r="F113" i="10"/>
  <c r="G113" i="10"/>
  <c r="I113" i="10"/>
  <c r="J113" i="10"/>
  <c r="K113" i="10"/>
  <c r="L115" i="10"/>
  <c r="H115" i="8"/>
  <c r="L131" i="10"/>
  <c r="H131" i="8"/>
  <c r="L132" i="10"/>
  <c r="H132" i="8"/>
  <c r="L133" i="10"/>
  <c r="H133" i="8"/>
  <c r="L134" i="10"/>
  <c r="H134" i="8"/>
  <c r="L135" i="10"/>
  <c r="H135" i="8"/>
  <c r="L136" i="10"/>
  <c r="H136" i="8"/>
  <c r="I136" i="8" s="1"/>
  <c r="L137" i="10"/>
  <c r="L138" i="10"/>
  <c r="H138" i="8"/>
  <c r="I138" i="8" s="1"/>
  <c r="L139" i="10"/>
  <c r="H139" i="8" s="1"/>
  <c r="I139" i="8" s="1"/>
  <c r="L140" i="10"/>
  <c r="L142" i="10"/>
  <c r="H142" i="8" s="1"/>
  <c r="L145" i="10"/>
  <c r="H145" i="8" s="1"/>
  <c r="L147" i="10"/>
  <c r="H147" i="8" s="1"/>
  <c r="I147" i="8" s="1"/>
  <c r="L148" i="10"/>
  <c r="H148" i="8"/>
  <c r="I148" i="8" s="1"/>
  <c r="L149" i="10"/>
  <c r="L150" i="10"/>
  <c r="H150" i="8"/>
  <c r="I150" i="8" s="1"/>
  <c r="L151" i="10"/>
  <c r="H151" i="8" s="1"/>
  <c r="I151" i="8" s="1"/>
  <c r="L152" i="10"/>
  <c r="H152" i="8"/>
  <c r="I152" i="8" s="1"/>
  <c r="L153" i="10"/>
  <c r="H153" i="8" s="1"/>
  <c r="I153" i="8" s="1"/>
  <c r="L154" i="10"/>
  <c r="H154" i="8"/>
  <c r="I154" i="8" s="1"/>
  <c r="L154" i="8" s="1"/>
  <c r="L155" i="10"/>
  <c r="H155" i="8"/>
  <c r="I155" i="8" s="1"/>
  <c r="L156" i="10"/>
  <c r="H156" i="8" s="1"/>
  <c r="I156" i="8" s="1"/>
  <c r="L157" i="10"/>
  <c r="H157" i="8"/>
  <c r="I157" i="8" s="1"/>
  <c r="D158" i="10"/>
  <c r="E158" i="10"/>
  <c r="F158" i="10"/>
  <c r="G158" i="10"/>
  <c r="H158" i="10"/>
  <c r="I158" i="10"/>
  <c r="J158" i="10"/>
  <c r="K158" i="10"/>
  <c r="L160" i="10"/>
  <c r="H35" i="48" s="1"/>
  <c r="L161" i="10"/>
  <c r="H161" i="8" s="1"/>
  <c r="L162" i="10"/>
  <c r="H162" i="8" s="1"/>
  <c r="L164" i="10"/>
  <c r="H164" i="8" s="1"/>
  <c r="H38" i="48" s="1"/>
  <c r="L165" i="10"/>
  <c r="H165" i="8"/>
  <c r="I165" i="8" s="1"/>
  <c r="L166" i="10"/>
  <c r="H166" i="8" s="1"/>
  <c r="I166" i="8" s="1"/>
  <c r="L167" i="10"/>
  <c r="H167" i="8"/>
  <c r="I167" i="8" s="1"/>
  <c r="L168" i="10"/>
  <c r="H168" i="8" s="1"/>
  <c r="I168" i="8" s="1"/>
  <c r="C169" i="10"/>
  <c r="D169" i="10"/>
  <c r="E169" i="10"/>
  <c r="F169" i="10"/>
  <c r="H169" i="10"/>
  <c r="I169" i="10"/>
  <c r="J169" i="10"/>
  <c r="K169" i="10"/>
  <c r="L171" i="10"/>
  <c r="H171" i="8"/>
  <c r="L172" i="10"/>
  <c r="H172" i="8"/>
  <c r="I172" i="8" s="1"/>
  <c r="L173" i="10"/>
  <c r="H173" i="8" s="1"/>
  <c r="I173" i="8" s="1"/>
  <c r="L174" i="10"/>
  <c r="H174" i="8"/>
  <c r="I174" i="8" s="1"/>
  <c r="L175" i="10"/>
  <c r="H175" i="8" s="1"/>
  <c r="I175" i="8" s="1"/>
  <c r="L176" i="10"/>
  <c r="H176" i="8"/>
  <c r="I176" i="8" s="1"/>
  <c r="L181" i="10"/>
  <c r="H181" i="8" s="1"/>
  <c r="C182" i="10"/>
  <c r="D182" i="10"/>
  <c r="E182" i="10"/>
  <c r="F182" i="10"/>
  <c r="G182" i="10"/>
  <c r="H182" i="10"/>
  <c r="I182" i="10"/>
  <c r="J182" i="10"/>
  <c r="K182" i="10"/>
  <c r="L186" i="10"/>
  <c r="L187" i="10"/>
  <c r="L188" i="10"/>
  <c r="C195" i="10"/>
  <c r="C197" i="10" s="1"/>
  <c r="D195" i="10"/>
  <c r="E195" i="10"/>
  <c r="F195" i="10"/>
  <c r="F197" i="10" s="1"/>
  <c r="G195" i="10"/>
  <c r="G197" i="10" s="1"/>
  <c r="H195" i="10"/>
  <c r="H197" i="10" s="1"/>
  <c r="I195" i="10"/>
  <c r="I197" i="10" s="1"/>
  <c r="J195" i="10"/>
  <c r="J197" i="10" s="1"/>
  <c r="K195" i="10"/>
  <c r="K197" i="10" s="1"/>
  <c r="L203" i="10"/>
  <c r="H203" i="8" s="1"/>
  <c r="H52" i="48" s="1"/>
  <c r="L204" i="10"/>
  <c r="H204" i="8"/>
  <c r="L205" i="10"/>
  <c r="H205" i="8"/>
  <c r="L207" i="10"/>
  <c r="H56" i="48"/>
  <c r="L208" i="10"/>
  <c r="H208" i="8"/>
  <c r="L209" i="10"/>
  <c r="H209" i="8"/>
  <c r="L210" i="10"/>
  <c r="H210" i="8"/>
  <c r="H59" i="48" s="1"/>
  <c r="L216" i="10"/>
  <c r="H65" i="48"/>
  <c r="C217" i="10"/>
  <c r="D217" i="10"/>
  <c r="F217" i="10"/>
  <c r="G217" i="10"/>
  <c r="H217" i="10"/>
  <c r="I217" i="10"/>
  <c r="J217" i="10"/>
  <c r="K217" i="10"/>
  <c r="L219" i="10"/>
  <c r="H219" i="8" s="1"/>
  <c r="I219" i="8" s="1"/>
  <c r="L220" i="10"/>
  <c r="H220" i="8"/>
  <c r="I220" i="8" s="1"/>
  <c r="L221" i="10"/>
  <c r="H221" i="8" s="1"/>
  <c r="I221" i="8" s="1"/>
  <c r="L222" i="10"/>
  <c r="H222" i="8"/>
  <c r="I222" i="8" s="1"/>
  <c r="C229" i="10"/>
  <c r="D229" i="10"/>
  <c r="E229" i="10"/>
  <c r="F229" i="10"/>
  <c r="G229" i="10"/>
  <c r="H229" i="10"/>
  <c r="I229" i="10"/>
  <c r="J229" i="10"/>
  <c r="K229" i="10"/>
  <c r="L243" i="10"/>
  <c r="L246" i="10"/>
  <c r="H246" i="8" s="1"/>
  <c r="I246" i="8" s="1"/>
  <c r="L247" i="10"/>
  <c r="H247" i="8"/>
  <c r="I247" i="8" s="1"/>
  <c r="L248" i="10"/>
  <c r="H248" i="8" s="1"/>
  <c r="L249" i="10"/>
  <c r="H82" i="48" s="1"/>
  <c r="L250" i="10"/>
  <c r="L251" i="10"/>
  <c r="H251" i="8"/>
  <c r="I251" i="8" s="1"/>
  <c r="L252" i="10"/>
  <c r="H252" i="8" s="1"/>
  <c r="I252" i="8" s="1"/>
  <c r="L253" i="10"/>
  <c r="H253" i="8"/>
  <c r="I253" i="8" s="1"/>
  <c r="C286" i="10"/>
  <c r="C288" i="10" s="1"/>
  <c r="D286" i="10"/>
  <c r="E286" i="10"/>
  <c r="F286" i="10"/>
  <c r="F288" i="10" s="1"/>
  <c r="G286" i="10"/>
  <c r="G288" i="10" s="1"/>
  <c r="H286" i="10"/>
  <c r="H288" i="10" s="1"/>
  <c r="I286" i="10"/>
  <c r="J286" i="10"/>
  <c r="J288" i="10"/>
  <c r="K286" i="10"/>
  <c r="K288" i="10"/>
  <c r="B2" i="9"/>
  <c r="B7" i="9"/>
  <c r="I13" i="9"/>
  <c r="I14" i="9"/>
  <c r="I16" i="9"/>
  <c r="I17" i="9"/>
  <c r="I18" i="9"/>
  <c r="D20" i="9"/>
  <c r="E20" i="9"/>
  <c r="F20" i="9"/>
  <c r="G20" i="9"/>
  <c r="H20" i="9"/>
  <c r="C24" i="9"/>
  <c r="E24" i="9"/>
  <c r="F24" i="9"/>
  <c r="G24" i="9"/>
  <c r="I29" i="9"/>
  <c r="C32" i="9"/>
  <c r="D32" i="9"/>
  <c r="E32" i="9"/>
  <c r="F32" i="9"/>
  <c r="G32" i="9"/>
  <c r="I38" i="9"/>
  <c r="I39" i="9"/>
  <c r="I52" i="9"/>
  <c r="C53" i="9"/>
  <c r="E53" i="9"/>
  <c r="F53" i="9"/>
  <c r="G53" i="9"/>
  <c r="G72" i="9"/>
  <c r="H53" i="9"/>
  <c r="I55" i="9"/>
  <c r="I56" i="9"/>
  <c r="I57" i="9"/>
  <c r="I69" i="9"/>
  <c r="C70" i="9"/>
  <c r="E70" i="9"/>
  <c r="F70" i="9"/>
  <c r="G70" i="9"/>
  <c r="H70" i="9"/>
  <c r="I74" i="9"/>
  <c r="I75" i="9"/>
  <c r="I75" i="8"/>
  <c r="I76" i="9"/>
  <c r="I77" i="9"/>
  <c r="I83" i="9"/>
  <c r="I84" i="9"/>
  <c r="I85" i="9"/>
  <c r="I86" i="9"/>
  <c r="I89" i="9"/>
  <c r="I90" i="9"/>
  <c r="I91" i="9"/>
  <c r="I92" i="9"/>
  <c r="I93" i="9"/>
  <c r="I94" i="9"/>
  <c r="I94" i="8"/>
  <c r="I97" i="9"/>
  <c r="I98" i="9"/>
  <c r="I100" i="9"/>
  <c r="G14" i="48"/>
  <c r="I101" i="9"/>
  <c r="I102" i="9"/>
  <c r="I112" i="9"/>
  <c r="C113" i="9"/>
  <c r="D113" i="9"/>
  <c r="E113" i="9"/>
  <c r="F113" i="9"/>
  <c r="G113" i="9"/>
  <c r="H113" i="9"/>
  <c r="I115" i="9"/>
  <c r="I126" i="9"/>
  <c r="I127" i="9"/>
  <c r="I128" i="9"/>
  <c r="C129" i="9"/>
  <c r="D129" i="9"/>
  <c r="E129" i="9"/>
  <c r="F129" i="9"/>
  <c r="G129" i="9"/>
  <c r="H129" i="9"/>
  <c r="I131" i="9"/>
  <c r="I132" i="9"/>
  <c r="I133" i="9"/>
  <c r="I134" i="9"/>
  <c r="I135" i="9"/>
  <c r="I136" i="9"/>
  <c r="I137" i="9"/>
  <c r="G23" i="48"/>
  <c r="I138" i="9"/>
  <c r="I139" i="9"/>
  <c r="I140" i="9"/>
  <c r="G26" i="48"/>
  <c r="I141" i="9"/>
  <c r="I142" i="9"/>
  <c r="C143" i="9"/>
  <c r="D143" i="9"/>
  <c r="E143" i="9"/>
  <c r="F143" i="9"/>
  <c r="G143" i="9"/>
  <c r="H143" i="9"/>
  <c r="I145" i="9"/>
  <c r="I146" i="9"/>
  <c r="I147" i="9"/>
  <c r="I148" i="9"/>
  <c r="I150" i="9"/>
  <c r="I151" i="9"/>
  <c r="I152" i="9"/>
  <c r="I153" i="9"/>
  <c r="I154" i="9"/>
  <c r="I155" i="9"/>
  <c r="I156" i="9"/>
  <c r="I157" i="9"/>
  <c r="C158" i="9"/>
  <c r="D158" i="9"/>
  <c r="E158" i="9"/>
  <c r="G158" i="9"/>
  <c r="H158" i="9"/>
  <c r="I160" i="9"/>
  <c r="G35" i="48"/>
  <c r="I161" i="9"/>
  <c r="I162" i="9"/>
  <c r="I163" i="9"/>
  <c r="I164" i="9"/>
  <c r="I165" i="9"/>
  <c r="I166" i="9"/>
  <c r="I167" i="9"/>
  <c r="I168" i="9"/>
  <c r="C169" i="9"/>
  <c r="D169" i="9"/>
  <c r="E169" i="9"/>
  <c r="F169" i="9"/>
  <c r="G169" i="9"/>
  <c r="H169" i="9"/>
  <c r="I171" i="9"/>
  <c r="I172" i="9"/>
  <c r="I173" i="9"/>
  <c r="I174" i="9"/>
  <c r="I175" i="9"/>
  <c r="I176" i="9"/>
  <c r="C182" i="9"/>
  <c r="D182" i="9"/>
  <c r="E182" i="9"/>
  <c r="F182" i="9"/>
  <c r="G182" i="9"/>
  <c r="H182" i="9"/>
  <c r="I186" i="9"/>
  <c r="G42" i="48"/>
  <c r="I187" i="9"/>
  <c r="G43" i="48"/>
  <c r="I188" i="9"/>
  <c r="I194" i="9"/>
  <c r="C195" i="9"/>
  <c r="C197" i="9"/>
  <c r="D195" i="9"/>
  <c r="D197" i="9"/>
  <c r="E195" i="9"/>
  <c r="F195" i="9"/>
  <c r="F197" i="9" s="1"/>
  <c r="G195" i="9"/>
  <c r="G197" i="9" s="1"/>
  <c r="H195" i="9"/>
  <c r="H197" i="9" s="1"/>
  <c r="I206" i="9"/>
  <c r="G55" i="48"/>
  <c r="I207" i="9"/>
  <c r="C217" i="9"/>
  <c r="C231" i="9"/>
  <c r="E217" i="9"/>
  <c r="F217" i="9"/>
  <c r="G217" i="9"/>
  <c r="H217" i="9"/>
  <c r="C229" i="9"/>
  <c r="E229" i="9"/>
  <c r="E231" i="9" s="1"/>
  <c r="F229" i="9"/>
  <c r="G229" i="9"/>
  <c r="H229" i="9"/>
  <c r="I243" i="9"/>
  <c r="C244" i="9"/>
  <c r="D244" i="9"/>
  <c r="E244" i="9"/>
  <c r="G244" i="9"/>
  <c r="H244" i="9"/>
  <c r="I246" i="9"/>
  <c r="I247" i="9"/>
  <c r="I248" i="9"/>
  <c r="I249" i="9"/>
  <c r="I250" i="9"/>
  <c r="I251" i="9"/>
  <c r="I252" i="9"/>
  <c r="I253" i="9"/>
  <c r="C286" i="9"/>
  <c r="E286" i="9"/>
  <c r="G286" i="9"/>
  <c r="H286" i="9"/>
  <c r="B2" i="8"/>
  <c r="B7" i="8"/>
  <c r="V11" i="8"/>
  <c r="W11" i="8"/>
  <c r="V12" i="8"/>
  <c r="W12" i="8"/>
  <c r="X12" i="8"/>
  <c r="V13" i="8"/>
  <c r="W13" i="8"/>
  <c r="X14" i="8"/>
  <c r="U15" i="8"/>
  <c r="U16" i="8"/>
  <c r="Q17" i="8"/>
  <c r="V17" i="8"/>
  <c r="W17" i="8"/>
  <c r="X17" i="8"/>
  <c r="Q18" i="8"/>
  <c r="Y18" i="8"/>
  <c r="V18" i="8"/>
  <c r="W18" i="8"/>
  <c r="X18" i="8"/>
  <c r="I19" i="8"/>
  <c r="U19" i="8"/>
  <c r="U21" i="8"/>
  <c r="Q23" i="8"/>
  <c r="V23" i="8"/>
  <c r="W23" i="8"/>
  <c r="X23" i="8"/>
  <c r="U25" i="8"/>
  <c r="V26" i="8"/>
  <c r="X26" i="8"/>
  <c r="Y26" i="8"/>
  <c r="O27" i="8"/>
  <c r="V27" i="8"/>
  <c r="X27" i="8"/>
  <c r="Y27" i="8"/>
  <c r="U28" i="8"/>
  <c r="U30" i="8"/>
  <c r="V30" i="8"/>
  <c r="W30" i="8"/>
  <c r="X30" i="8"/>
  <c r="Y30" i="8"/>
  <c r="U31" i="8"/>
  <c r="V31" i="8"/>
  <c r="W31" i="8"/>
  <c r="X31" i="8"/>
  <c r="Y31" i="8"/>
  <c r="U33" i="8"/>
  <c r="U36" i="8"/>
  <c r="U37" i="8"/>
  <c r="U38" i="8"/>
  <c r="U54" i="8"/>
  <c r="U71" i="8"/>
  <c r="U73" i="8"/>
  <c r="U88" i="8"/>
  <c r="U99" i="8"/>
  <c r="U114" i="8"/>
  <c r="U130" i="8"/>
  <c r="U144" i="8"/>
  <c r="U159" i="8"/>
  <c r="U170" i="8"/>
  <c r="U183" i="8"/>
  <c r="U185" i="8"/>
  <c r="W193" i="8"/>
  <c r="V194" i="8"/>
  <c r="W194" i="8"/>
  <c r="X194" i="8"/>
  <c r="U196" i="8"/>
  <c r="V196" i="8"/>
  <c r="W196" i="8"/>
  <c r="X196" i="8"/>
  <c r="Y196" i="8"/>
  <c r="U198" i="8"/>
  <c r="V198" i="8"/>
  <c r="W198" i="8"/>
  <c r="X198" i="8"/>
  <c r="Y198" i="8"/>
  <c r="U200" i="8"/>
  <c r="U202" i="8"/>
  <c r="U218" i="8"/>
  <c r="U230" i="8"/>
  <c r="U232" i="8"/>
  <c r="U287" i="8"/>
  <c r="I289" i="8"/>
  <c r="I291" i="8"/>
  <c r="K291" i="8"/>
  <c r="U292" i="8"/>
  <c r="V292" i="8"/>
  <c r="W292" i="8"/>
  <c r="X292" i="8"/>
  <c r="Y292" i="8"/>
  <c r="U294" i="8"/>
  <c r="U295" i="8"/>
  <c r="B1" i="6"/>
  <c r="V5" i="6"/>
  <c r="V6" i="6"/>
  <c r="V7" i="6"/>
  <c r="V8" i="6"/>
  <c r="V11" i="6"/>
  <c r="V12" i="6"/>
  <c r="V13" i="6"/>
  <c r="V14" i="6"/>
  <c r="V17" i="6"/>
  <c r="H18" i="6"/>
  <c r="V18" i="6"/>
  <c r="H19" i="6"/>
  <c r="V19" i="6"/>
  <c r="H20" i="6"/>
  <c r="V20" i="6"/>
  <c r="V23" i="6"/>
  <c r="V24" i="6"/>
  <c r="V25" i="6"/>
  <c r="V26" i="6"/>
  <c r="V29" i="6"/>
  <c r="V30" i="6"/>
  <c r="V31" i="6"/>
  <c r="V32" i="6"/>
  <c r="V35" i="6"/>
  <c r="V36" i="6"/>
  <c r="V37" i="6"/>
  <c r="V38" i="6"/>
  <c r="V41" i="6"/>
  <c r="V42" i="6"/>
  <c r="V43" i="6"/>
  <c r="V44" i="6"/>
  <c r="V47" i="6"/>
  <c r="V48" i="6"/>
  <c r="V49" i="6"/>
  <c r="V50" i="6"/>
  <c r="V53" i="6"/>
  <c r="V54" i="6"/>
  <c r="V55" i="6"/>
  <c r="V56" i="6"/>
  <c r="B1" i="5"/>
  <c r="V5" i="5"/>
  <c r="V6" i="5"/>
  <c r="V7" i="5"/>
  <c r="V8" i="5"/>
  <c r="V11" i="5"/>
  <c r="V12" i="5"/>
  <c r="V13" i="5"/>
  <c r="V14" i="5"/>
  <c r="V17" i="5"/>
  <c r="H18" i="5"/>
  <c r="V18" i="5"/>
  <c r="H19" i="5"/>
  <c r="V19" i="5"/>
  <c r="H20" i="5"/>
  <c r="V20" i="5"/>
  <c r="V23" i="5"/>
  <c r="V24" i="5"/>
  <c r="V25" i="5"/>
  <c r="V26" i="5"/>
  <c r="V29" i="5"/>
  <c r="V30" i="5"/>
  <c r="V31" i="5"/>
  <c r="V32" i="5"/>
  <c r="V35" i="5"/>
  <c r="V36" i="5"/>
  <c r="V37" i="5"/>
  <c r="V38" i="5"/>
  <c r="V41" i="5"/>
  <c r="V42" i="5"/>
  <c r="V43" i="5"/>
  <c r="V44" i="5"/>
  <c r="V47" i="5"/>
  <c r="V48" i="5"/>
  <c r="V49" i="5"/>
  <c r="V50" i="5"/>
  <c r="V53" i="5"/>
  <c r="V54" i="5"/>
  <c r="V55" i="5"/>
  <c r="V56" i="5"/>
  <c r="B1" i="4"/>
  <c r="V5" i="4"/>
  <c r="V6" i="4"/>
  <c r="V7" i="4"/>
  <c r="V8" i="4"/>
  <c r="V11" i="4"/>
  <c r="V12" i="4"/>
  <c r="V13" i="4"/>
  <c r="V14" i="4"/>
  <c r="V17" i="4"/>
  <c r="H18" i="4"/>
  <c r="V18" i="4"/>
  <c r="H19" i="4"/>
  <c r="V19" i="4"/>
  <c r="H20" i="4"/>
  <c r="V20" i="4"/>
  <c r="V23" i="4"/>
  <c r="V24" i="4"/>
  <c r="V25" i="4"/>
  <c r="V26" i="4"/>
  <c r="V29" i="4"/>
  <c r="V30" i="4"/>
  <c r="V31" i="4"/>
  <c r="V32" i="4"/>
  <c r="V35" i="4"/>
  <c r="V36" i="4"/>
  <c r="V37" i="4"/>
  <c r="V38" i="4"/>
  <c r="V41" i="4"/>
  <c r="V42" i="4"/>
  <c r="V43" i="4"/>
  <c r="V44" i="4"/>
  <c r="V47" i="4"/>
  <c r="V48" i="4"/>
  <c r="V49" i="4"/>
  <c r="V50" i="4"/>
  <c r="V53" i="4"/>
  <c r="V54" i="4"/>
  <c r="V55" i="4"/>
  <c r="V56" i="4"/>
  <c r="B1" i="3"/>
  <c r="V5" i="3"/>
  <c r="V6" i="3"/>
  <c r="V7" i="3"/>
  <c r="V8" i="3"/>
  <c r="V11" i="3"/>
  <c r="V12" i="3"/>
  <c r="V13" i="3"/>
  <c r="V14" i="3"/>
  <c r="V17" i="3"/>
  <c r="H18" i="3"/>
  <c r="V18" i="3"/>
  <c r="H19" i="3"/>
  <c r="V19" i="3"/>
  <c r="H20" i="3"/>
  <c r="V20" i="3"/>
  <c r="V23" i="3"/>
  <c r="V24" i="3"/>
  <c r="V25" i="3"/>
  <c r="V26" i="3"/>
  <c r="V29" i="3"/>
  <c r="V30" i="3"/>
  <c r="V31" i="3"/>
  <c r="V32" i="3"/>
  <c r="V35" i="3"/>
  <c r="V36" i="3"/>
  <c r="V37" i="3"/>
  <c r="V38" i="3"/>
  <c r="V41" i="3"/>
  <c r="V42" i="3"/>
  <c r="V43" i="3"/>
  <c r="V44" i="3"/>
  <c r="V47" i="3"/>
  <c r="V48" i="3"/>
  <c r="V49" i="3"/>
  <c r="V50" i="3"/>
  <c r="V53" i="3"/>
  <c r="V54" i="3"/>
  <c r="V55" i="3"/>
  <c r="V56" i="3"/>
  <c r="B1" i="2"/>
  <c r="B3" i="2"/>
  <c r="B3" i="3"/>
  <c r="B3" i="4" s="1"/>
  <c r="B3" i="5" s="1"/>
  <c r="B3" i="6" s="1"/>
  <c r="Z5" i="2"/>
  <c r="Z6" i="2"/>
  <c r="Z7" i="2"/>
  <c r="Z8" i="2"/>
  <c r="Z11" i="2"/>
  <c r="Z12" i="2"/>
  <c r="Z13" i="2"/>
  <c r="Z14" i="2"/>
  <c r="Z17" i="2"/>
  <c r="Z18" i="2"/>
  <c r="Z19" i="2"/>
  <c r="Z20" i="2"/>
  <c r="E21" i="2"/>
  <c r="E21" i="6" s="1"/>
  <c r="Z23" i="2"/>
  <c r="Z24" i="2"/>
  <c r="Z25" i="2"/>
  <c r="Z26" i="2"/>
  <c r="Z29" i="2"/>
  <c r="Z30" i="2"/>
  <c r="Z31" i="2"/>
  <c r="Z32" i="2"/>
  <c r="Z35" i="2"/>
  <c r="Z36" i="2"/>
  <c r="Z37" i="2"/>
  <c r="Z38" i="2"/>
  <c r="Z41" i="2"/>
  <c r="Z42" i="2"/>
  <c r="Z43" i="2"/>
  <c r="Z44" i="2"/>
  <c r="Z47" i="2"/>
  <c r="Z48" i="2"/>
  <c r="Z49" i="2"/>
  <c r="Z50" i="2"/>
  <c r="Z53" i="2"/>
  <c r="Z54" i="2"/>
  <c r="Z55" i="2"/>
  <c r="Z56" i="2"/>
  <c r="B13" i="1"/>
  <c r="B21" i="1" s="1"/>
  <c r="B32" i="1"/>
  <c r="B37" i="1" s="1"/>
  <c r="C12" i="29"/>
  <c r="W12" i="29" s="1"/>
  <c r="AE12" i="29" s="1"/>
  <c r="C13" i="29"/>
  <c r="W13" i="29"/>
  <c r="AE13" i="29" s="1"/>
  <c r="C14" i="29"/>
  <c r="W14" i="29" s="1"/>
  <c r="AE14" i="29" s="1"/>
  <c r="N15" i="29"/>
  <c r="Q15" i="29"/>
  <c r="Q71" i="29" s="1"/>
  <c r="S15" i="29"/>
  <c r="W21" i="29"/>
  <c r="AE21" i="29"/>
  <c r="C22" i="29"/>
  <c r="W22" i="29"/>
  <c r="N23" i="29"/>
  <c r="Q23" i="29"/>
  <c r="S23" i="29"/>
  <c r="N31" i="29"/>
  <c r="N45" i="29" s="1"/>
  <c r="Q31" i="29"/>
  <c r="Q45" i="29" s="1"/>
  <c r="S31" i="29"/>
  <c r="S45" i="29" s="1"/>
  <c r="C48" i="29"/>
  <c r="W48" i="29" s="1"/>
  <c r="AE48" i="29" s="1"/>
  <c r="D48" i="29"/>
  <c r="X48" i="29"/>
  <c r="AF48" i="29" s="1"/>
  <c r="N49" i="29"/>
  <c r="Q49" i="29"/>
  <c r="S49" i="29"/>
  <c r="L57" i="29"/>
  <c r="N57" i="29"/>
  <c r="Q57" i="29"/>
  <c r="S57" i="29"/>
  <c r="T57" i="29"/>
  <c r="N61" i="29"/>
  <c r="Q61" i="29"/>
  <c r="S61" i="29"/>
  <c r="E27" i="17"/>
  <c r="E15" i="17"/>
  <c r="C27" i="17"/>
  <c r="E39" i="17"/>
  <c r="B197" i="34"/>
  <c r="E21" i="17"/>
  <c r="Q252" i="34"/>
  <c r="U33" i="11"/>
  <c r="V33" i="11" s="1"/>
  <c r="C39" i="17"/>
  <c r="C15" i="17"/>
  <c r="C90" i="15"/>
  <c r="B114" i="34"/>
  <c r="I114" i="34"/>
  <c r="J114" i="34" s="1"/>
  <c r="B171" i="34"/>
  <c r="E13" i="17"/>
  <c r="C13" i="17"/>
  <c r="B88" i="34"/>
  <c r="I88" i="34"/>
  <c r="J88" i="34" s="1"/>
  <c r="C62" i="15"/>
  <c r="K62" i="15" s="1"/>
  <c r="B116" i="34"/>
  <c r="I116" i="34" s="1"/>
  <c r="J116" i="34" s="1"/>
  <c r="C92" i="15"/>
  <c r="B48" i="34"/>
  <c r="I48" i="34" s="1"/>
  <c r="J48" i="34" s="1"/>
  <c r="C22" i="15"/>
  <c r="E22" i="15"/>
  <c r="H22" i="15" s="1"/>
  <c r="B107" i="34"/>
  <c r="I107" i="34" s="1"/>
  <c r="J107" i="34" s="1"/>
  <c r="C83" i="15"/>
  <c r="H44" i="17"/>
  <c r="B202" i="34"/>
  <c r="I202" i="34"/>
  <c r="J202" i="34" s="1"/>
  <c r="C44" i="17"/>
  <c r="I44" i="17" s="1"/>
  <c r="M44" i="17" s="1"/>
  <c r="E44" i="17"/>
  <c r="C52" i="15"/>
  <c r="B78" i="34"/>
  <c r="I78" i="34"/>
  <c r="B84" i="34"/>
  <c r="I84" i="34"/>
  <c r="J84" i="34" s="1"/>
  <c r="C58" i="15"/>
  <c r="E58" i="15" s="1"/>
  <c r="H58" i="15" s="1"/>
  <c r="B52" i="34"/>
  <c r="C26" i="15"/>
  <c r="C130" i="15"/>
  <c r="E130" i="15"/>
  <c r="H130" i="15" s="1"/>
  <c r="B154" i="34"/>
  <c r="C57" i="15"/>
  <c r="E57" i="15"/>
  <c r="H57" i="15" s="1"/>
  <c r="B83" i="34"/>
  <c r="B174" i="34"/>
  <c r="I174" i="34"/>
  <c r="J174" i="34" s="1"/>
  <c r="E16" i="17"/>
  <c r="C16" i="17"/>
  <c r="B90" i="34"/>
  <c r="C64" i="15"/>
  <c r="K64" i="15"/>
  <c r="B89" i="34"/>
  <c r="C63" i="15"/>
  <c r="K63" i="15" s="1"/>
  <c r="E55" i="17"/>
  <c r="B213" i="34"/>
  <c r="C55" i="17"/>
  <c r="C95" i="15"/>
  <c r="B119" i="34"/>
  <c r="I119" i="34" s="1"/>
  <c r="J119" i="34" s="1"/>
  <c r="B180" i="34"/>
  <c r="I180" i="34"/>
  <c r="J180" i="34" s="1"/>
  <c r="E22" i="17"/>
  <c r="C22" i="17"/>
  <c r="B219" i="34"/>
  <c r="C61" i="17"/>
  <c r="B133" i="34"/>
  <c r="C109" i="15"/>
  <c r="B57" i="34"/>
  <c r="C31" i="15"/>
  <c r="E31" i="15"/>
  <c r="H31" i="15" s="1"/>
  <c r="C12" i="15"/>
  <c r="K12" i="15" s="1"/>
  <c r="B38" i="34"/>
  <c r="B140" i="34"/>
  <c r="C116" i="15"/>
  <c r="E116" i="15" s="1"/>
  <c r="H116" i="15"/>
  <c r="B73" i="34"/>
  <c r="C47" i="15"/>
  <c r="K47" i="15" s="1"/>
  <c r="B117" i="34"/>
  <c r="C93" i="15"/>
  <c r="K93" i="15"/>
  <c r="H26" i="17"/>
  <c r="E26" i="17"/>
  <c r="B184" i="34"/>
  <c r="C26" i="17"/>
  <c r="I26" i="17" s="1"/>
  <c r="M26" i="17"/>
  <c r="E70" i="15"/>
  <c r="H70" i="15"/>
  <c r="B183" i="34"/>
  <c r="E25" i="17"/>
  <c r="C25" i="17"/>
  <c r="P50" i="21"/>
  <c r="B19" i="34"/>
  <c r="I19" i="34"/>
  <c r="J19" i="34" s="1"/>
  <c r="E22" i="14"/>
  <c r="H22" i="14" s="1"/>
  <c r="B18" i="34"/>
  <c r="I18" i="34" s="1"/>
  <c r="J18" i="34" s="1"/>
  <c r="E61" i="17"/>
  <c r="E76" i="17"/>
  <c r="E73" i="17"/>
  <c r="E67" i="17"/>
  <c r="H177" i="34"/>
  <c r="AW177" i="34"/>
  <c r="H209" i="34"/>
  <c r="AW209" i="34"/>
  <c r="H216" i="34"/>
  <c r="AW216" i="34"/>
  <c r="C20" i="29"/>
  <c r="W20" i="29"/>
  <c r="AE20" i="29" s="1"/>
  <c r="O26" i="8"/>
  <c r="W26" i="8" s="1"/>
  <c r="I260" i="9"/>
  <c r="D286" i="9"/>
  <c r="D288" i="9"/>
  <c r="M37" i="37"/>
  <c r="U37" i="37"/>
  <c r="M37" i="35"/>
  <c r="M43" i="35"/>
  <c r="AG4" i="36" s="1"/>
  <c r="O37" i="11"/>
  <c r="O43" i="11" s="1"/>
  <c r="AI4" i="34"/>
  <c r="J36" i="35"/>
  <c r="U36" i="35"/>
  <c r="J36" i="11"/>
  <c r="J36" i="37"/>
  <c r="U36" i="37" s="1"/>
  <c r="K36" i="11"/>
  <c r="J50" i="21"/>
  <c r="K60" i="21"/>
  <c r="B15" i="34"/>
  <c r="I15" i="34"/>
  <c r="J15" i="34" s="1"/>
  <c r="I24" i="21"/>
  <c r="E30" i="14"/>
  <c r="H30" i="14"/>
  <c r="I72" i="14"/>
  <c r="I223" i="9"/>
  <c r="K18" i="24"/>
  <c r="B18" i="22"/>
  <c r="F97" i="21" s="1"/>
  <c r="H11" i="7"/>
  <c r="L5" i="8"/>
  <c r="N5" i="8"/>
  <c r="N244" i="8" s="1"/>
  <c r="V244" i="8"/>
  <c r="O5" i="8"/>
  <c r="O244" i="8"/>
  <c r="W244" i="8" s="1"/>
  <c r="L185" i="34"/>
  <c r="L186" i="34" s="1"/>
  <c r="L187" i="34" s="1"/>
  <c r="L188" i="34" s="1"/>
  <c r="H50" i="21"/>
  <c r="P5" i="8"/>
  <c r="Q5" i="8"/>
  <c r="E95" i="48"/>
  <c r="I95" i="48"/>
  <c r="H279" i="8" s="1"/>
  <c r="I279" i="8" s="1"/>
  <c r="C51" i="17"/>
  <c r="J34" i="51"/>
  <c r="J36" i="51"/>
  <c r="J38" i="51"/>
  <c r="I97" i="51"/>
  <c r="K7" i="51"/>
  <c r="G84" i="51"/>
  <c r="H67" i="21"/>
  <c r="D31" i="5"/>
  <c r="E17" i="48"/>
  <c r="E32" i="48"/>
  <c r="E83" i="48"/>
  <c r="J83" i="48" s="1"/>
  <c r="H254" i="8" s="1"/>
  <c r="I254" i="8" s="1"/>
  <c r="B41" i="25"/>
  <c r="F2" i="18"/>
  <c r="G2" i="18"/>
  <c r="H2" i="18" s="1"/>
  <c r="I2" i="18" s="1"/>
  <c r="J2" i="18" s="1"/>
  <c r="K2" i="18" s="1"/>
  <c r="L2" i="18" s="1"/>
  <c r="M2" i="18" s="1"/>
  <c r="N2" i="18" s="1"/>
  <c r="C113" i="8"/>
  <c r="AW229" i="34"/>
  <c r="BA229" i="34"/>
  <c r="F22" i="16"/>
  <c r="H22" i="16"/>
  <c r="K10" i="24"/>
  <c r="J10" i="24"/>
  <c r="D9" i="40"/>
  <c r="E49" i="48"/>
  <c r="E59" i="48"/>
  <c r="E89" i="48"/>
  <c r="A5" i="25"/>
  <c r="C129" i="8"/>
  <c r="E53" i="48"/>
  <c r="E73" i="48"/>
  <c r="E91" i="48"/>
  <c r="E93" i="48"/>
  <c r="L12" i="34"/>
  <c r="G47" i="16"/>
  <c r="C36" i="52"/>
  <c r="G35" i="53"/>
  <c r="L3" i="55"/>
  <c r="D157" i="55"/>
  <c r="E87" i="48"/>
  <c r="H113" i="10"/>
  <c r="B66" i="34"/>
  <c r="I33" i="51"/>
  <c r="AW241" i="34"/>
  <c r="G64" i="16"/>
  <c r="C38" i="16"/>
  <c r="D38" i="16"/>
  <c r="E38" i="16" s="1"/>
  <c r="G49" i="53"/>
  <c r="G23" i="53"/>
  <c r="G40" i="53"/>
  <c r="G12" i="53"/>
  <c r="G24" i="53"/>
  <c r="F36" i="16"/>
  <c r="C15" i="52"/>
  <c r="C9" i="52"/>
  <c r="AW227" i="34"/>
  <c r="Q23" i="34"/>
  <c r="D23" i="9"/>
  <c r="AW26" i="34"/>
  <c r="E52" i="48"/>
  <c r="E56" i="48"/>
  <c r="E61" i="48"/>
  <c r="D216" i="9"/>
  <c r="I216" i="9"/>
  <c r="G65" i="48"/>
  <c r="C10" i="52"/>
  <c r="C11" i="52"/>
  <c r="C16" i="52"/>
  <c r="C21" i="52"/>
  <c r="C27" i="52"/>
  <c r="C32" i="52"/>
  <c r="C37" i="52"/>
  <c r="C43" i="52"/>
  <c r="C12" i="52"/>
  <c r="C17" i="52"/>
  <c r="C23" i="52"/>
  <c r="C28" i="52"/>
  <c r="C33" i="52"/>
  <c r="C39" i="52"/>
  <c r="C6" i="52"/>
  <c r="C8" i="52"/>
  <c r="C13" i="52"/>
  <c r="C19" i="52"/>
  <c r="C24" i="52"/>
  <c r="C29" i="52"/>
  <c r="C35" i="52"/>
  <c r="C40" i="52"/>
  <c r="C7" i="52"/>
  <c r="C25" i="52"/>
  <c r="C41" i="52"/>
  <c r="C20" i="52"/>
  <c r="G27" i="53"/>
  <c r="G48" i="53"/>
  <c r="G36" i="50"/>
  <c r="G21" i="53"/>
  <c r="G37" i="53"/>
  <c r="I87" i="8"/>
  <c r="I65" i="51"/>
  <c r="M73" i="51"/>
  <c r="C231" i="8"/>
  <c r="G6" i="50"/>
  <c r="J42" i="51"/>
  <c r="C42" i="52"/>
  <c r="C38" i="52"/>
  <c r="C34" i="52"/>
  <c r="C30" i="52"/>
  <c r="C26" i="52"/>
  <c r="C22" i="52"/>
  <c r="C18" i="52"/>
  <c r="C14" i="52"/>
  <c r="Q128" i="34"/>
  <c r="G14" i="50"/>
  <c r="M63" i="51"/>
  <c r="Q10" i="54"/>
  <c r="R10" i="54" s="1"/>
  <c r="S10" i="54"/>
  <c r="Q9" i="54"/>
  <c r="R9" i="54"/>
  <c r="S9" i="54" s="1"/>
  <c r="Q8" i="54"/>
  <c r="I15" i="55"/>
  <c r="I30" i="55"/>
  <c r="D197" i="10"/>
  <c r="F29" i="16"/>
  <c r="C54" i="16"/>
  <c r="D54" i="16"/>
  <c r="AW48" i="34"/>
  <c r="BA48" i="34"/>
  <c r="AW76" i="34"/>
  <c r="BA76" i="34"/>
  <c r="AW144" i="34"/>
  <c r="BA144" i="34"/>
  <c r="L64" i="34"/>
  <c r="L131" i="34"/>
  <c r="Q143" i="34"/>
  <c r="K85" i="15"/>
  <c r="G7" i="53"/>
  <c r="G60" i="16"/>
  <c r="H81" i="48"/>
  <c r="AW202" i="34"/>
  <c r="D58" i="9"/>
  <c r="I58" i="9"/>
  <c r="K8" i="24"/>
  <c r="N32" i="60"/>
  <c r="E94" i="60"/>
  <c r="I66" i="21"/>
  <c r="P35" i="21"/>
  <c r="C5" i="22"/>
  <c r="C4" i="22" s="1"/>
  <c r="C18" i="16"/>
  <c r="D18" i="16" s="1"/>
  <c r="E18" i="16"/>
  <c r="AW246" i="34"/>
  <c r="BA246" i="34"/>
  <c r="AW173" i="34"/>
  <c r="L215" i="34"/>
  <c r="L216" i="34" s="1"/>
  <c r="L217" i="34" s="1"/>
  <c r="L218" i="34" s="1"/>
  <c r="G36" i="60"/>
  <c r="G37" i="60"/>
  <c r="G39" i="60"/>
  <c r="K39" i="60" s="1"/>
  <c r="G41" i="60"/>
  <c r="G43" i="60"/>
  <c r="K43" i="60" s="1"/>
  <c r="G44" i="60"/>
  <c r="G45" i="60"/>
  <c r="I36" i="60"/>
  <c r="I37" i="60"/>
  <c r="I38" i="60"/>
  <c r="I39" i="60"/>
  <c r="I41" i="60"/>
  <c r="I43" i="60"/>
  <c r="I45" i="60"/>
  <c r="I44" i="60"/>
  <c r="I40" i="60"/>
  <c r="G42" i="60"/>
  <c r="G38" i="60"/>
  <c r="I42" i="60"/>
  <c r="G40" i="60"/>
  <c r="E34" i="9"/>
  <c r="I61" i="34"/>
  <c r="J61" i="34" s="1"/>
  <c r="I141" i="34"/>
  <c r="J141" i="34" s="1"/>
  <c r="I147" i="34"/>
  <c r="J147" i="34" s="1"/>
  <c r="J14" i="22"/>
  <c r="G21" i="50"/>
  <c r="G31" i="50"/>
  <c r="C111" i="51"/>
  <c r="C112" i="51"/>
  <c r="C157" i="55"/>
  <c r="F94" i="60"/>
  <c r="H94" i="60"/>
  <c r="C19" i="61"/>
  <c r="C20" i="61"/>
  <c r="E12" i="15"/>
  <c r="H12" i="15" s="1"/>
  <c r="E63" i="15"/>
  <c r="H63" i="15" s="1"/>
  <c r="U28" i="11"/>
  <c r="V28" i="11"/>
  <c r="E122" i="15"/>
  <c r="H122" i="15"/>
  <c r="K122" i="15"/>
  <c r="K97" i="15"/>
  <c r="E97" i="15"/>
  <c r="H97" i="15"/>
  <c r="K33" i="15"/>
  <c r="AW225" i="34"/>
  <c r="C32" i="16"/>
  <c r="D32" i="16"/>
  <c r="E32" i="16" s="1"/>
  <c r="G90" i="21"/>
  <c r="G81" i="21"/>
  <c r="G103" i="21"/>
  <c r="C14" i="23" s="1"/>
  <c r="C15" i="23" s="1"/>
  <c r="AW244" i="34"/>
  <c r="BA244" i="34"/>
  <c r="I244" i="34"/>
  <c r="J244" i="34"/>
  <c r="Q48" i="34"/>
  <c r="Q49" i="34"/>
  <c r="Q115" i="34"/>
  <c r="D208" i="9"/>
  <c r="H84" i="48"/>
  <c r="K15" i="24"/>
  <c r="F14" i="40"/>
  <c r="D15" i="40"/>
  <c r="K17" i="24"/>
  <c r="K20" i="24"/>
  <c r="J20" i="24" s="1"/>
  <c r="D25" i="40"/>
  <c r="F54" i="21"/>
  <c r="N54" i="21"/>
  <c r="O65" i="21"/>
  <c r="O60" i="21"/>
  <c r="L50" i="21"/>
  <c r="L51" i="21"/>
  <c r="D7" i="26"/>
  <c r="E13" i="26"/>
  <c r="F14" i="26"/>
  <c r="I14" i="26"/>
  <c r="P97" i="43"/>
  <c r="P89" i="43"/>
  <c r="P67" i="43"/>
  <c r="P65" i="43"/>
  <c r="P43" i="43"/>
  <c r="P33" i="43"/>
  <c r="P7" i="43"/>
  <c r="N4" i="26"/>
  <c r="P6" i="43"/>
  <c r="C127" i="10"/>
  <c r="F141" i="10"/>
  <c r="Q10" i="38"/>
  <c r="E16" i="14"/>
  <c r="H16" i="14"/>
  <c r="C16" i="14"/>
  <c r="B23" i="34"/>
  <c r="H26" i="14"/>
  <c r="F237" i="9"/>
  <c r="F244" i="9" s="1"/>
  <c r="I244" i="9"/>
  <c r="C30" i="15"/>
  <c r="E38" i="14"/>
  <c r="H38" i="14" s="1"/>
  <c r="G7" i="50"/>
  <c r="E45" i="50"/>
  <c r="G13" i="50"/>
  <c r="G16" i="50"/>
  <c r="G17" i="50"/>
  <c r="G19" i="50"/>
  <c r="J48" i="50"/>
  <c r="J50" i="50" s="1"/>
  <c r="G33" i="50"/>
  <c r="K48" i="50"/>
  <c r="K50" i="50"/>
  <c r="G40" i="50"/>
  <c r="I40" i="51"/>
  <c r="J40" i="51"/>
  <c r="I66" i="51"/>
  <c r="M66" i="51"/>
  <c r="I75" i="51"/>
  <c r="M75" i="51"/>
  <c r="D5" i="56"/>
  <c r="G46" i="60"/>
  <c r="K45" i="60"/>
  <c r="G36" i="48"/>
  <c r="AW119" i="34"/>
  <c r="BA119" i="34" s="1"/>
  <c r="D210" i="9"/>
  <c r="I210" i="9" s="1"/>
  <c r="G59" i="48"/>
  <c r="M66" i="21"/>
  <c r="L206" i="10"/>
  <c r="P61" i="21"/>
  <c r="H80" i="21"/>
  <c r="H81" i="21" s="1"/>
  <c r="L48" i="34"/>
  <c r="L116" i="34" s="1"/>
  <c r="G89" i="21"/>
  <c r="G129" i="21" s="1"/>
  <c r="I62" i="51"/>
  <c r="H55" i="51"/>
  <c r="H56" i="51" s="1"/>
  <c r="M70" i="51"/>
  <c r="M68" i="51"/>
  <c r="I71" i="51"/>
  <c r="J13" i="26"/>
  <c r="E94" i="15"/>
  <c r="H94" i="15" s="1"/>
  <c r="O35" i="21"/>
  <c r="B208" i="34"/>
  <c r="M64" i="51"/>
  <c r="J39" i="51"/>
  <c r="I62" i="34"/>
  <c r="J62" i="34" s="1"/>
  <c r="I72" i="51"/>
  <c r="E62" i="15"/>
  <c r="H62" i="15"/>
  <c r="J6" i="56"/>
  <c r="K16" i="24"/>
  <c r="J16" i="24" s="1"/>
  <c r="I35" i="21"/>
  <c r="N97" i="21"/>
  <c r="G240" i="34"/>
  <c r="A41" i="25"/>
  <c r="B42" i="25"/>
  <c r="E60" i="48"/>
  <c r="E36" i="48"/>
  <c r="C50" i="16"/>
  <c r="D50" i="16"/>
  <c r="E50" i="16" s="1"/>
  <c r="E81" i="48"/>
  <c r="K21" i="24"/>
  <c r="J21" i="24"/>
  <c r="D13" i="40"/>
  <c r="G37" i="16"/>
  <c r="H37" i="16" s="1"/>
  <c r="Q81" i="34"/>
  <c r="B14" i="22"/>
  <c r="F123" i="21"/>
  <c r="C26" i="14"/>
  <c r="E87" i="10"/>
  <c r="L87" i="10" s="1"/>
  <c r="B13" i="34"/>
  <c r="I13" i="34" s="1"/>
  <c r="J13" i="34" s="1"/>
  <c r="J6" i="26"/>
  <c r="E14" i="26"/>
  <c r="G4" i="26"/>
  <c r="G14" i="26"/>
  <c r="F9" i="26"/>
  <c r="D14" i="40"/>
  <c r="E47" i="15"/>
  <c r="H47" i="15"/>
  <c r="K116" i="15"/>
  <c r="J78" i="34"/>
  <c r="Y17" i="8"/>
  <c r="U17" i="8"/>
  <c r="G82" i="48"/>
  <c r="G81" i="48"/>
  <c r="G56" i="48"/>
  <c r="U28" i="35"/>
  <c r="V28" i="35" s="1"/>
  <c r="E112" i="15"/>
  <c r="H112" i="15" s="1"/>
  <c r="K112" i="15"/>
  <c r="AW195" i="34"/>
  <c r="AW183" i="34"/>
  <c r="G27" i="16"/>
  <c r="H27" i="16"/>
  <c r="C27" i="16"/>
  <c r="D27" i="16"/>
  <c r="E27" i="16" s="1"/>
  <c r="C25" i="16"/>
  <c r="D25" i="16" s="1"/>
  <c r="E25" i="16"/>
  <c r="F25" i="16"/>
  <c r="H25" i="16"/>
  <c r="G21" i="16"/>
  <c r="H21" i="16"/>
  <c r="G19" i="16"/>
  <c r="G58" i="16"/>
  <c r="F40" i="16"/>
  <c r="H40" i="16"/>
  <c r="E111" i="34"/>
  <c r="L143" i="34"/>
  <c r="L77" i="34"/>
  <c r="L144" i="34"/>
  <c r="I211" i="34"/>
  <c r="J211" i="34"/>
  <c r="I220" i="34"/>
  <c r="J220" i="34"/>
  <c r="AW245" i="34"/>
  <c r="L179" i="34"/>
  <c r="L180" i="34" s="1"/>
  <c r="L181" i="34"/>
  <c r="L182" i="34" s="1"/>
  <c r="L191" i="34"/>
  <c r="L192" i="34" s="1"/>
  <c r="L193" i="34"/>
  <c r="L194" i="34" s="1"/>
  <c r="L174" i="34"/>
  <c r="L175" i="34" s="1"/>
  <c r="L176" i="34"/>
  <c r="Q22" i="34"/>
  <c r="Q12" i="34"/>
  <c r="Q19" i="34"/>
  <c r="D59" i="9"/>
  <c r="I59" i="9" s="1"/>
  <c r="K9" i="24"/>
  <c r="P60" i="21"/>
  <c r="J24" i="21"/>
  <c r="I50" i="21"/>
  <c r="I51" i="21"/>
  <c r="D13" i="22"/>
  <c r="D18" i="22"/>
  <c r="H97" i="21" s="1"/>
  <c r="C18" i="22"/>
  <c r="B61" i="14"/>
  <c r="C61" i="14"/>
  <c r="C63" i="14"/>
  <c r="E15" i="48"/>
  <c r="E43" i="48"/>
  <c r="E84" i="48"/>
  <c r="E98" i="48"/>
  <c r="L19" i="34"/>
  <c r="L22" i="34"/>
  <c r="B72" i="34"/>
  <c r="I72" i="34" s="1"/>
  <c r="J72" i="34" s="1"/>
  <c r="C46" i="15"/>
  <c r="E46" i="15"/>
  <c r="H46" i="15" s="1"/>
  <c r="C288" i="8"/>
  <c r="I31" i="51"/>
  <c r="G55" i="51"/>
  <c r="G56" i="51" s="1"/>
  <c r="C100" i="51"/>
  <c r="D101" i="51"/>
  <c r="D5" i="49" s="1"/>
  <c r="E153" i="55"/>
  <c r="E156" i="55"/>
  <c r="E158" i="55"/>
  <c r="E132" i="55" s="1"/>
  <c r="E6" i="55" s="1"/>
  <c r="C153" i="55"/>
  <c r="C156" i="55"/>
  <c r="C158" i="55"/>
  <c r="C132" i="55" s="1"/>
  <c r="C6" i="55" s="1"/>
  <c r="C5" i="55" s="1"/>
  <c r="C6" i="56"/>
  <c r="C153" i="56"/>
  <c r="C156" i="56" s="1"/>
  <c r="E153" i="56"/>
  <c r="E156" i="56" s="1"/>
  <c r="E158" i="56"/>
  <c r="E132" i="56"/>
  <c r="M92" i="60"/>
  <c r="D61" i="61"/>
  <c r="D63" i="61"/>
  <c r="E63" i="61"/>
  <c r="H63" i="61" s="1"/>
  <c r="E69" i="61"/>
  <c r="H69" i="61"/>
  <c r="C69" i="61"/>
  <c r="E71" i="61"/>
  <c r="H71" i="61" s="1"/>
  <c r="C71" i="61"/>
  <c r="M61" i="21"/>
  <c r="I123" i="21"/>
  <c r="I154" i="21" s="1"/>
  <c r="J54" i="21"/>
  <c r="K54" i="21"/>
  <c r="L65" i="21"/>
  <c r="L35" i="21"/>
  <c r="H60" i="21"/>
  <c r="F30" i="21"/>
  <c r="F31" i="21"/>
  <c r="P24" i="21"/>
  <c r="L30" i="21"/>
  <c r="L31" i="21"/>
  <c r="L24" i="21"/>
  <c r="J30" i="21"/>
  <c r="H30" i="21"/>
  <c r="H31" i="21"/>
  <c r="H24" i="21"/>
  <c r="H122" i="21" s="1"/>
  <c r="C20" i="14"/>
  <c r="B17" i="34"/>
  <c r="I17" i="34"/>
  <c r="J17" i="34" s="1"/>
  <c r="E20" i="14"/>
  <c r="H20" i="14"/>
  <c r="B10" i="36"/>
  <c r="I10" i="36" s="1"/>
  <c r="J10" i="36"/>
  <c r="B31" i="14"/>
  <c r="C31" i="14"/>
  <c r="E32" i="14"/>
  <c r="H32" i="14"/>
  <c r="B62" i="14"/>
  <c r="B100" i="34"/>
  <c r="I100" i="34" s="1"/>
  <c r="E74" i="15"/>
  <c r="H74" i="15"/>
  <c r="B159" i="34"/>
  <c r="I159" i="34" s="1"/>
  <c r="J159" i="34"/>
  <c r="E135" i="15"/>
  <c r="H135" i="15"/>
  <c r="B163" i="34"/>
  <c r="I163" i="34"/>
  <c r="J163" i="34" s="1"/>
  <c r="O123" i="21"/>
  <c r="O154" i="21" s="1"/>
  <c r="O61" i="21"/>
  <c r="O62" i="21"/>
  <c r="L49" i="34"/>
  <c r="L50" i="34" s="1"/>
  <c r="F143" i="10"/>
  <c r="G52" i="48"/>
  <c r="I237" i="9"/>
  <c r="Q116" i="34"/>
  <c r="I241" i="34"/>
  <c r="J241" i="34"/>
  <c r="I59" i="8"/>
  <c r="B122" i="34"/>
  <c r="I122" i="34"/>
  <c r="J122" i="34"/>
  <c r="C98" i="15"/>
  <c r="E98" i="15" s="1"/>
  <c r="H98" i="15" s="1"/>
  <c r="E69" i="15"/>
  <c r="H69" i="15"/>
  <c r="B95" i="34"/>
  <c r="I95" i="34"/>
  <c r="J95" i="34"/>
  <c r="I44" i="21"/>
  <c r="I55" i="21" s="1"/>
  <c r="B37" i="34"/>
  <c r="C11" i="15"/>
  <c r="B86" i="34"/>
  <c r="I86" i="34" s="1"/>
  <c r="J86" i="34"/>
  <c r="C60" i="15"/>
  <c r="K60" i="15" s="1"/>
  <c r="J8" i="23"/>
  <c r="N48" i="21"/>
  <c r="E65" i="15"/>
  <c r="H65" i="15" s="1"/>
  <c r="B91" i="34"/>
  <c r="I91" i="34"/>
  <c r="J91" i="34"/>
  <c r="B164" i="34"/>
  <c r="I164" i="34" s="1"/>
  <c r="J164" i="34"/>
  <c r="C49" i="17"/>
  <c r="E136" i="15"/>
  <c r="H136" i="15" s="1"/>
  <c r="B160" i="34"/>
  <c r="B242" i="34"/>
  <c r="E84" i="17"/>
  <c r="F15" i="29"/>
  <c r="C124" i="15"/>
  <c r="B148" i="34"/>
  <c r="C57" i="16"/>
  <c r="D57" i="16" s="1"/>
  <c r="E57" i="16"/>
  <c r="N42" i="21"/>
  <c r="N43" i="21"/>
  <c r="J22" i="22"/>
  <c r="B63" i="34"/>
  <c r="I63" i="34" s="1"/>
  <c r="J63" i="34" s="1"/>
  <c r="B251" i="34"/>
  <c r="E93" i="17"/>
  <c r="O42" i="21"/>
  <c r="C89" i="15"/>
  <c r="C14" i="15"/>
  <c r="E14" i="15" s="1"/>
  <c r="H14" i="15"/>
  <c r="C114" i="15"/>
  <c r="E114" i="15" s="1"/>
  <c r="H114" i="15" s="1"/>
  <c r="B138" i="34"/>
  <c r="E142" i="15"/>
  <c r="H142" i="15"/>
  <c r="B166" i="34"/>
  <c r="I166" i="34"/>
  <c r="J166" i="34"/>
  <c r="E85" i="17"/>
  <c r="B153" i="34"/>
  <c r="I153" i="34"/>
  <c r="J153" i="34"/>
  <c r="C129" i="15"/>
  <c r="E129" i="15" s="1"/>
  <c r="E28" i="17"/>
  <c r="C28" i="17"/>
  <c r="H8" i="22"/>
  <c r="B162" i="34"/>
  <c r="I162" i="34"/>
  <c r="J162" i="34"/>
  <c r="E138" i="15"/>
  <c r="H138" i="15" s="1"/>
  <c r="C13" i="15"/>
  <c r="K13" i="15" s="1"/>
  <c r="C29" i="15"/>
  <c r="B55" i="34"/>
  <c r="C43" i="15"/>
  <c r="B69" i="34"/>
  <c r="I69" i="34"/>
  <c r="J69" i="34" s="1"/>
  <c r="B110" i="34"/>
  <c r="E51" i="17"/>
  <c r="F48" i="21"/>
  <c r="M8" i="22"/>
  <c r="E67" i="15"/>
  <c r="H67" i="15"/>
  <c r="B93" i="34"/>
  <c r="I93" i="34" s="1"/>
  <c r="J93" i="34"/>
  <c r="E141" i="15"/>
  <c r="H141" i="15"/>
  <c r="B165" i="34"/>
  <c r="I165" i="34"/>
  <c r="J165" i="34"/>
  <c r="B137" i="34"/>
  <c r="I137" i="34" s="1"/>
  <c r="J137" i="34" s="1"/>
  <c r="B36" i="34"/>
  <c r="C10" i="15"/>
  <c r="E10" i="15" s="1"/>
  <c r="H10" i="15"/>
  <c r="J48" i="21"/>
  <c r="J71" i="21"/>
  <c r="J72" i="21" s="1"/>
  <c r="F8" i="23"/>
  <c r="E26" i="61"/>
  <c r="H26" i="61" s="1"/>
  <c r="C26" i="61"/>
  <c r="B106" i="34"/>
  <c r="I106" i="34"/>
  <c r="J106" i="34" s="1"/>
  <c r="H23" i="18"/>
  <c r="H28" i="18"/>
  <c r="G48" i="21"/>
  <c r="F44" i="21"/>
  <c r="F41" i="21" s="1"/>
  <c r="B8" i="22"/>
  <c r="B221" i="34"/>
  <c r="O48" i="21"/>
  <c r="E27" i="61"/>
  <c r="H27" i="61"/>
  <c r="C27" i="61"/>
  <c r="B196" i="34"/>
  <c r="I196" i="34" s="1"/>
  <c r="J196" i="34" s="1"/>
  <c r="E38" i="17"/>
  <c r="C25" i="61"/>
  <c r="E52" i="17"/>
  <c r="C52" i="17"/>
  <c r="B94" i="17"/>
  <c r="B210" i="34"/>
  <c r="J23" i="18"/>
  <c r="J28" i="18"/>
  <c r="O44" i="21"/>
  <c r="O41" i="21"/>
  <c r="J67" i="21"/>
  <c r="B101" i="34"/>
  <c r="I101" i="34"/>
  <c r="J101" i="34"/>
  <c r="E75" i="15"/>
  <c r="H75" i="15"/>
  <c r="C45" i="15"/>
  <c r="E45" i="15"/>
  <c r="H45" i="15" s="1"/>
  <c r="B71" i="34"/>
  <c r="C56" i="15"/>
  <c r="E56" i="15"/>
  <c r="H56" i="15" s="1"/>
  <c r="B82" i="34"/>
  <c r="I82" i="34"/>
  <c r="J82" i="34" s="1"/>
  <c r="C22" i="16"/>
  <c r="D22" i="16"/>
  <c r="E22" i="16"/>
  <c r="B113" i="34"/>
  <c r="I113" i="34" s="1"/>
  <c r="J113" i="34"/>
  <c r="H48" i="21"/>
  <c r="D8" i="23"/>
  <c r="O6" i="18"/>
  <c r="O18" i="18"/>
  <c r="E81" i="17"/>
  <c r="F71" i="21"/>
  <c r="F72" i="21" s="1"/>
  <c r="N123" i="21"/>
  <c r="N154" i="21"/>
  <c r="N61" i="21"/>
  <c r="J61" i="21"/>
  <c r="J123" i="21"/>
  <c r="J154" i="21"/>
  <c r="N28" i="21"/>
  <c r="N124" i="21" s="1"/>
  <c r="N30" i="21"/>
  <c r="J28" i="21"/>
  <c r="J124" i="21"/>
  <c r="F65" i="21"/>
  <c r="F35" i="21"/>
  <c r="N39" i="21"/>
  <c r="Q66" i="21"/>
  <c r="Q39" i="21"/>
  <c r="L39" i="10"/>
  <c r="E53" i="10"/>
  <c r="L146" i="10"/>
  <c r="C158" i="10"/>
  <c r="L158" i="10"/>
  <c r="E244" i="10"/>
  <c r="B14" i="34"/>
  <c r="I14" i="34" s="1"/>
  <c r="J14" i="34"/>
  <c r="E19" i="14"/>
  <c r="H19" i="14" s="1"/>
  <c r="B16" i="34"/>
  <c r="C19" i="14"/>
  <c r="E25" i="14"/>
  <c r="H25" i="14" s="1"/>
  <c r="C25" i="14"/>
  <c r="C71" i="14"/>
  <c r="X14" i="29"/>
  <c r="AF14" i="29" s="1"/>
  <c r="T15" i="29"/>
  <c r="H50" i="17"/>
  <c r="C50" i="17"/>
  <c r="I50" i="17" s="1"/>
  <c r="I94" i="17" s="1"/>
  <c r="C34" i="6" s="1"/>
  <c r="E40" i="17"/>
  <c r="B198" i="34"/>
  <c r="I198" i="34"/>
  <c r="J198" i="34" s="1"/>
  <c r="L48" i="21"/>
  <c r="H8" i="23"/>
  <c r="J8" i="22"/>
  <c r="B245" i="34"/>
  <c r="E87" i="17"/>
  <c r="C28" i="61"/>
  <c r="B62" i="61"/>
  <c r="C62" i="61" s="1"/>
  <c r="E32" i="61"/>
  <c r="H32" i="61"/>
  <c r="H57" i="29"/>
  <c r="E66" i="15"/>
  <c r="H66" i="15" s="1"/>
  <c r="B92" i="34"/>
  <c r="I92" i="34"/>
  <c r="J92" i="34"/>
  <c r="E73" i="15"/>
  <c r="H73" i="15"/>
  <c r="B99" i="34"/>
  <c r="I99" i="34"/>
  <c r="J99" i="34" s="1"/>
  <c r="F129" i="21"/>
  <c r="F158" i="21"/>
  <c r="Q28" i="21"/>
  <c r="Q124" i="21" s="1"/>
  <c r="H31" i="29"/>
  <c r="H45" i="29" s="1"/>
  <c r="H51" i="29" s="1"/>
  <c r="C23" i="18"/>
  <c r="C28" i="18"/>
  <c r="J10" i="60"/>
  <c r="J30" i="60"/>
  <c r="G30" i="48"/>
  <c r="I234" i="34"/>
  <c r="J234" i="34" s="1"/>
  <c r="I127" i="34"/>
  <c r="J127" i="34" s="1"/>
  <c r="I227" i="34"/>
  <c r="J227" i="34"/>
  <c r="E101" i="48"/>
  <c r="L7" i="25"/>
  <c r="L34" i="25"/>
  <c r="F13" i="40"/>
  <c r="E11" i="48"/>
  <c r="D45" i="50"/>
  <c r="C45" i="50"/>
  <c r="H48" i="50"/>
  <c r="H50" i="50" s="1"/>
  <c r="M50" i="50" s="1"/>
  <c r="Q17" i="21"/>
  <c r="I42" i="8"/>
  <c r="P5" i="43"/>
  <c r="H23" i="29"/>
  <c r="X21" i="29"/>
  <c r="AF21" i="29"/>
  <c r="M13" i="18"/>
  <c r="G20" i="50"/>
  <c r="K58" i="50"/>
  <c r="K60" i="50"/>
  <c r="H58" i="50"/>
  <c r="M58" i="50" s="1"/>
  <c r="G29" i="50"/>
  <c r="G43" i="50"/>
  <c r="M35" i="21"/>
  <c r="C62" i="16"/>
  <c r="D62" i="16"/>
  <c r="E62" i="16" s="1"/>
  <c r="T31" i="29"/>
  <c r="T45" i="29" s="1"/>
  <c r="T51" i="29"/>
  <c r="F23" i="29"/>
  <c r="E23" i="18"/>
  <c r="G23" i="18"/>
  <c r="M14" i="22"/>
  <c r="I22" i="22"/>
  <c r="D80" i="48"/>
  <c r="G34" i="50"/>
  <c r="J4" i="60"/>
  <c r="I46" i="60"/>
  <c r="L45" i="60" s="1"/>
  <c r="G85" i="48"/>
  <c r="K11" i="24"/>
  <c r="K22" i="24"/>
  <c r="J22" i="24" s="1"/>
  <c r="D27" i="40"/>
  <c r="D28" i="40"/>
  <c r="I149" i="9"/>
  <c r="F158" i="9"/>
  <c r="G61" i="21"/>
  <c r="G123" i="21"/>
  <c r="G154" i="21" s="1"/>
  <c r="Q24" i="21"/>
  <c r="M30" i="21"/>
  <c r="M31" i="21"/>
  <c r="E76" i="48"/>
  <c r="I19" i="22"/>
  <c r="I24" i="22" s="1"/>
  <c r="J34" i="10"/>
  <c r="G36" i="16"/>
  <c r="C36" i="16"/>
  <c r="D36" i="16" s="1"/>
  <c r="E36" i="16" s="1"/>
  <c r="I228" i="34"/>
  <c r="J228" i="34"/>
  <c r="AW238" i="34"/>
  <c r="BA238" i="34"/>
  <c r="I238" i="34"/>
  <c r="J238" i="34"/>
  <c r="I95" i="8"/>
  <c r="E25" i="48"/>
  <c r="E27" i="48"/>
  <c r="E37" i="48"/>
  <c r="E40" i="48"/>
  <c r="E50" i="48"/>
  <c r="I283" i="8"/>
  <c r="C13" i="18"/>
  <c r="K13" i="18"/>
  <c r="N23" i="18"/>
  <c r="N28" i="18"/>
  <c r="K9" i="51"/>
  <c r="D56" i="51"/>
  <c r="M74" i="51"/>
  <c r="I74" i="51"/>
  <c r="G28" i="53"/>
  <c r="G44" i="53"/>
  <c r="G30" i="53"/>
  <c r="G15" i="53"/>
  <c r="G47" i="53"/>
  <c r="G34" i="53"/>
  <c r="G19" i="53"/>
  <c r="G46" i="53"/>
  <c r="G31" i="53"/>
  <c r="G18" i="53"/>
  <c r="G42" i="53"/>
  <c r="G11" i="53"/>
  <c r="G22" i="53"/>
  <c r="G32" i="53"/>
  <c r="G43" i="53"/>
  <c r="G9" i="53"/>
  <c r="G17" i="53"/>
  <c r="G25" i="53"/>
  <c r="G33" i="53"/>
  <c r="G41" i="53"/>
  <c r="E130" i="56"/>
  <c r="E4" i="56"/>
  <c r="L8" i="25"/>
  <c r="B45" i="50"/>
  <c r="G18" i="50"/>
  <c r="I58" i="50"/>
  <c r="G30" i="50"/>
  <c r="L48" i="50"/>
  <c r="I48" i="50"/>
  <c r="I50" i="50" s="1"/>
  <c r="G41" i="50"/>
  <c r="K35" i="21"/>
  <c r="H123" i="21"/>
  <c r="H154" i="21" s="1"/>
  <c r="B24" i="34"/>
  <c r="I24" i="34" s="1"/>
  <c r="J24" i="34" s="1"/>
  <c r="E27" i="14"/>
  <c r="H27" i="14"/>
  <c r="C27" i="14"/>
  <c r="N41" i="21"/>
  <c r="C63" i="61"/>
  <c r="B61" i="61"/>
  <c r="C61" i="61" s="1"/>
  <c r="K123" i="21"/>
  <c r="K154" i="21" s="1"/>
  <c r="K61" i="21"/>
  <c r="Q30" i="21"/>
  <c r="Q31" i="21" s="1"/>
  <c r="Q54" i="21"/>
  <c r="O28" i="21"/>
  <c r="O124" i="21"/>
  <c r="K28" i="21"/>
  <c r="K124" i="21" s="1"/>
  <c r="G28" i="21"/>
  <c r="G124" i="21"/>
  <c r="E15" i="14"/>
  <c r="H15" i="14" s="1"/>
  <c r="B12" i="34"/>
  <c r="I12" i="34"/>
  <c r="J12" i="34"/>
  <c r="C15" i="14"/>
  <c r="U194" i="8"/>
  <c r="Y194" i="8"/>
  <c r="V193" i="8"/>
  <c r="X193" i="8"/>
  <c r="I163" i="8"/>
  <c r="L163" i="8"/>
  <c r="Y193" i="8"/>
  <c r="U193" i="8"/>
  <c r="K42" i="21"/>
  <c r="K67" i="21"/>
  <c r="K68" i="21"/>
  <c r="G22" i="22"/>
  <c r="B29" i="61"/>
  <c r="E29" i="61"/>
  <c r="E30" i="61"/>
  <c r="H30" i="61" s="1"/>
  <c r="B70" i="61"/>
  <c r="C70" i="61" s="1"/>
  <c r="C128" i="15"/>
  <c r="K128" i="15" s="1"/>
  <c r="C61" i="16"/>
  <c r="D61" i="16"/>
  <c r="E61" i="16" s="1"/>
  <c r="B152" i="34"/>
  <c r="L22" i="22"/>
  <c r="P44" i="21"/>
  <c r="E35" i="14"/>
  <c r="H35" i="14" s="1"/>
  <c r="B27" i="34"/>
  <c r="I27" i="34"/>
  <c r="J27" i="34"/>
  <c r="B237" i="34"/>
  <c r="E79" i="17"/>
  <c r="K15" i="56"/>
  <c r="K30" i="56"/>
  <c r="J15" i="56"/>
  <c r="J31" i="29"/>
  <c r="J45" i="29"/>
  <c r="J51" i="29" s="1"/>
  <c r="H38" i="17"/>
  <c r="H94" i="17" s="1"/>
  <c r="C38" i="17"/>
  <c r="I38" i="17"/>
  <c r="M22" i="22"/>
  <c r="L55" i="21"/>
  <c r="Q44" i="21"/>
  <c r="Q45" i="21"/>
  <c r="Q46" i="21" s="1"/>
  <c r="G100" i="48"/>
  <c r="I43" i="8"/>
  <c r="D43" i="35"/>
  <c r="X4" i="36" s="1"/>
  <c r="U24" i="35"/>
  <c r="V24" i="35"/>
  <c r="V177" i="63"/>
  <c r="V178" i="63" s="1"/>
  <c r="I43" i="48" s="1"/>
  <c r="H187" i="8" s="1"/>
  <c r="I187" i="8" s="1"/>
  <c r="L8" i="26"/>
  <c r="I186" i="34"/>
  <c r="J186" i="34"/>
  <c r="V162" i="63"/>
  <c r="V20" i="63"/>
  <c r="V149" i="63"/>
  <c r="V126" i="63"/>
  <c r="I176" i="34"/>
  <c r="J176" i="34"/>
  <c r="I205" i="34"/>
  <c r="J205" i="34"/>
  <c r="G17" i="21"/>
  <c r="L20" i="25"/>
  <c r="H54" i="21"/>
  <c r="L39" i="21"/>
  <c r="G6" i="26"/>
  <c r="P90" i="43"/>
  <c r="P84" i="43"/>
  <c r="P62" i="43"/>
  <c r="P57" i="43"/>
  <c r="P56" i="43"/>
  <c r="P30" i="43"/>
  <c r="P28" i="43"/>
  <c r="P23" i="43"/>
  <c r="P21" i="43"/>
  <c r="I30" i="34"/>
  <c r="J30" i="34"/>
  <c r="G26" i="50"/>
  <c r="L77" i="51"/>
  <c r="I111" i="51"/>
  <c r="I14" i="22"/>
  <c r="G25" i="50"/>
  <c r="G38" i="50"/>
  <c r="I26" i="8"/>
  <c r="K26" i="8"/>
  <c r="D20" i="29"/>
  <c r="X20" i="29"/>
  <c r="AF20" i="29" s="1"/>
  <c r="H55" i="48"/>
  <c r="G57" i="48"/>
  <c r="I72" i="10"/>
  <c r="I184" i="10" s="1"/>
  <c r="I199" i="10" s="1"/>
  <c r="K106" i="15"/>
  <c r="K87" i="15"/>
  <c r="E87" i="15"/>
  <c r="H87" i="15" s="1"/>
  <c r="E32" i="15"/>
  <c r="H32" i="15"/>
  <c r="K32" i="15"/>
  <c r="K11" i="26"/>
  <c r="G42" i="16"/>
  <c r="G38" i="16"/>
  <c r="H38" i="16"/>
  <c r="I38" i="16" s="1"/>
  <c r="L38" i="16" s="1"/>
  <c r="I199" i="34"/>
  <c r="J199" i="34"/>
  <c r="AW223" i="34"/>
  <c r="I223" i="34"/>
  <c r="J223" i="34"/>
  <c r="Q37" i="34"/>
  <c r="Q108" i="34" s="1"/>
  <c r="H262" i="8"/>
  <c r="H85" i="48"/>
  <c r="K13" i="24"/>
  <c r="D12" i="40"/>
  <c r="L45" i="21"/>
  <c r="J11" i="26"/>
  <c r="J5" i="26"/>
  <c r="I69" i="8"/>
  <c r="M69" i="51"/>
  <c r="I69" i="51"/>
  <c r="K110" i="15"/>
  <c r="E110" i="15"/>
  <c r="H110" i="15"/>
  <c r="E23" i="15"/>
  <c r="H23" i="15"/>
  <c r="K23" i="15"/>
  <c r="AW189" i="34"/>
  <c r="G29" i="16"/>
  <c r="C29" i="16"/>
  <c r="D29" i="16" s="1"/>
  <c r="E29" i="16" s="1"/>
  <c r="G28" i="16"/>
  <c r="F26" i="16"/>
  <c r="C23" i="16"/>
  <c r="G23" i="16"/>
  <c r="H23" i="16"/>
  <c r="G54" i="16"/>
  <c r="H54" i="16" s="1"/>
  <c r="F54" i="16"/>
  <c r="C37" i="16"/>
  <c r="D37" i="16"/>
  <c r="AW20" i="34"/>
  <c r="BA20" i="34"/>
  <c r="AW124" i="34"/>
  <c r="L39" i="34"/>
  <c r="L43" i="34"/>
  <c r="L44" i="34"/>
  <c r="L112" i="34"/>
  <c r="L119" i="34"/>
  <c r="L53" i="34"/>
  <c r="L120" i="34"/>
  <c r="L70" i="34"/>
  <c r="L137" i="34"/>
  <c r="L136" i="34"/>
  <c r="L147" i="34"/>
  <c r="L81" i="34"/>
  <c r="L82" i="34"/>
  <c r="I187" i="34"/>
  <c r="J187" i="34"/>
  <c r="AW180" i="34"/>
  <c r="Q109" i="34"/>
  <c r="Q39" i="34"/>
  <c r="Q40" i="34"/>
  <c r="Q41" i="34"/>
  <c r="Q42" i="34"/>
  <c r="Q53" i="34"/>
  <c r="Q120" i="34"/>
  <c r="E19" i="4"/>
  <c r="L25" i="34"/>
  <c r="F9" i="40"/>
  <c r="I30" i="21"/>
  <c r="I31" i="21"/>
  <c r="H19" i="22"/>
  <c r="H24" i="22" s="1"/>
  <c r="H23" i="22" s="1"/>
  <c r="L98" i="21" s="1"/>
  <c r="M67" i="51"/>
  <c r="I67" i="51"/>
  <c r="B10" i="38"/>
  <c r="I10" i="38"/>
  <c r="J10" i="38"/>
  <c r="E70" i="10"/>
  <c r="L70" i="10"/>
  <c r="D8" i="26"/>
  <c r="G8" i="26"/>
  <c r="E12" i="26"/>
  <c r="F8" i="26"/>
  <c r="J32" i="51"/>
  <c r="I67" i="8"/>
  <c r="L111" i="34"/>
  <c r="K57" i="15"/>
  <c r="E197" i="9"/>
  <c r="E53" i="15"/>
  <c r="H53" i="15" s="1"/>
  <c r="K53" i="15"/>
  <c r="E41" i="15"/>
  <c r="H41" i="15"/>
  <c r="K41" i="15"/>
  <c r="L9" i="26"/>
  <c r="L12" i="26"/>
  <c r="L11" i="26"/>
  <c r="L5" i="26"/>
  <c r="L7" i="26"/>
  <c r="L13" i="26"/>
  <c r="I9" i="26"/>
  <c r="C33" i="16"/>
  <c r="D33" i="16"/>
  <c r="E33" i="16"/>
  <c r="G63" i="16"/>
  <c r="H63" i="16" s="1"/>
  <c r="C63" i="16"/>
  <c r="D63" i="16"/>
  <c r="E63" i="16"/>
  <c r="C44" i="16"/>
  <c r="D44" i="16"/>
  <c r="AW232" i="34"/>
  <c r="Q86" i="34"/>
  <c r="Q152" i="34" s="1"/>
  <c r="Q151" i="34"/>
  <c r="L177" i="34"/>
  <c r="L178" i="34"/>
  <c r="L172" i="34"/>
  <c r="L183" i="34"/>
  <c r="L184" i="34"/>
  <c r="I57" i="8"/>
  <c r="E123" i="15"/>
  <c r="H123" i="15"/>
  <c r="K123" i="15"/>
  <c r="K103" i="15"/>
  <c r="E103" i="15"/>
  <c r="H103" i="15"/>
  <c r="K24" i="15"/>
  <c r="E24" i="15"/>
  <c r="H24" i="15" s="1"/>
  <c r="AW47" i="34"/>
  <c r="I47" i="34"/>
  <c r="J47" i="34"/>
  <c r="AW53" i="34"/>
  <c r="BA53" i="34"/>
  <c r="I53" i="34"/>
  <c r="J53" i="34"/>
  <c r="AW109" i="34"/>
  <c r="AW118" i="34"/>
  <c r="BA118" i="34"/>
  <c r="I134" i="34"/>
  <c r="J134" i="34" s="1"/>
  <c r="L128" i="34"/>
  <c r="L62" i="34"/>
  <c r="L129" i="34"/>
  <c r="L121" i="34"/>
  <c r="L55" i="34"/>
  <c r="L122" i="34"/>
  <c r="I216" i="34"/>
  <c r="J216" i="34" s="1"/>
  <c r="K90" i="15"/>
  <c r="E90" i="15"/>
  <c r="H90" i="15"/>
  <c r="Q63" i="29"/>
  <c r="F72" i="9"/>
  <c r="F184" i="9"/>
  <c r="F199" i="9"/>
  <c r="J72" i="10"/>
  <c r="H72" i="10"/>
  <c r="H184" i="10"/>
  <c r="H199" i="10"/>
  <c r="E91" i="15"/>
  <c r="H91" i="15"/>
  <c r="K91" i="15"/>
  <c r="AW172" i="34"/>
  <c r="I18" i="24"/>
  <c r="J18" i="24"/>
  <c r="F17" i="40"/>
  <c r="F28" i="21"/>
  <c r="F124" i="21" s="1"/>
  <c r="F61" i="21"/>
  <c r="F39" i="21"/>
  <c r="F135" i="21"/>
  <c r="G65" i="21"/>
  <c r="G35" i="21"/>
  <c r="G130" i="21"/>
  <c r="G131" i="21" s="1"/>
  <c r="E55" i="48"/>
  <c r="E71" i="48"/>
  <c r="G71" i="48" s="1"/>
  <c r="D222" i="9"/>
  <c r="I222" i="9"/>
  <c r="E86" i="48"/>
  <c r="F134" i="21"/>
  <c r="F159" i="21"/>
  <c r="I103" i="8"/>
  <c r="I123" i="8"/>
  <c r="E23" i="48"/>
  <c r="E48" i="48"/>
  <c r="B64" i="34"/>
  <c r="I64" i="34" s="1"/>
  <c r="J64" i="34" s="1"/>
  <c r="C38" i="15"/>
  <c r="C64" i="17"/>
  <c r="B222" i="34"/>
  <c r="I222" i="34" s="1"/>
  <c r="J222" i="34" s="1"/>
  <c r="G23" i="50"/>
  <c r="G42" i="50"/>
  <c r="G44" i="50"/>
  <c r="J35" i="51"/>
  <c r="C55" i="51"/>
  <c r="I37" i="51"/>
  <c r="J37" i="51"/>
  <c r="I41" i="51"/>
  <c r="J41" i="51"/>
  <c r="G36" i="53"/>
  <c r="G8" i="53"/>
  <c r="G26" i="53"/>
  <c r="G39" i="53"/>
  <c r="G10" i="53"/>
  <c r="G14" i="53"/>
  <c r="G16" i="53"/>
  <c r="G38" i="53"/>
  <c r="G13" i="53"/>
  <c r="G29" i="53"/>
  <c r="G45" i="53"/>
  <c r="G20" i="53"/>
  <c r="C157" i="56"/>
  <c r="I167" i="63"/>
  <c r="AB167" i="63"/>
  <c r="N167" i="63"/>
  <c r="N165" i="63"/>
  <c r="M169" i="63"/>
  <c r="S161" i="63"/>
  <c r="M161" i="63"/>
  <c r="I145" i="63"/>
  <c r="AB145" i="63" s="1"/>
  <c r="N145" i="63"/>
  <c r="N143" i="63"/>
  <c r="M147" i="63"/>
  <c r="I108" i="63"/>
  <c r="AB108" i="63"/>
  <c r="N108" i="63"/>
  <c r="N105" i="63"/>
  <c r="I51" i="63"/>
  <c r="AB51" i="63"/>
  <c r="N51" i="63"/>
  <c r="N46" i="63"/>
  <c r="N45" i="63"/>
  <c r="N43" i="63"/>
  <c r="N41" i="63"/>
  <c r="N37" i="63"/>
  <c r="M51" i="21"/>
  <c r="G15" i="16"/>
  <c r="C16" i="16"/>
  <c r="D16" i="16" s="1"/>
  <c r="F16" i="16"/>
  <c r="H16" i="16"/>
  <c r="C55" i="16"/>
  <c r="D55" i="16" s="1"/>
  <c r="E55" i="16" s="1"/>
  <c r="G55" i="16"/>
  <c r="H55" i="16"/>
  <c r="G53" i="16"/>
  <c r="C53" i="16"/>
  <c r="D53" i="16"/>
  <c r="E53" i="16"/>
  <c r="F53" i="16"/>
  <c r="I21" i="34"/>
  <c r="J21" i="34"/>
  <c r="AW58" i="34"/>
  <c r="I58" i="34"/>
  <c r="J58" i="34" s="1"/>
  <c r="L145" i="34"/>
  <c r="I181" i="34"/>
  <c r="J181" i="34" s="1"/>
  <c r="I217" i="34"/>
  <c r="J217" i="34"/>
  <c r="I233" i="34"/>
  <c r="J233" i="34" s="1"/>
  <c r="I50" i="8"/>
  <c r="F10" i="40"/>
  <c r="F15" i="40"/>
  <c r="L54" i="21"/>
  <c r="L28" i="21"/>
  <c r="L124" i="21"/>
  <c r="H39" i="21"/>
  <c r="J35" i="21"/>
  <c r="Q51" i="21"/>
  <c r="J8" i="26"/>
  <c r="J9" i="26"/>
  <c r="D11" i="26"/>
  <c r="D9" i="26"/>
  <c r="F5" i="26"/>
  <c r="G10" i="26"/>
  <c r="E5" i="26"/>
  <c r="F12" i="26"/>
  <c r="D10" i="26"/>
  <c r="F7" i="26"/>
  <c r="E7" i="26"/>
  <c r="D5" i="26"/>
  <c r="G11" i="26"/>
  <c r="F10" i="26"/>
  <c r="G7" i="26"/>
  <c r="F4" i="26"/>
  <c r="P106" i="43"/>
  <c r="N9" i="26"/>
  <c r="P105" i="43"/>
  <c r="P104" i="43"/>
  <c r="P103" i="43"/>
  <c r="N8" i="26"/>
  <c r="P100" i="43"/>
  <c r="P98" i="43"/>
  <c r="P95" i="43"/>
  <c r="P93" i="43"/>
  <c r="N14" i="26" s="1"/>
  <c r="P92" i="43"/>
  <c r="P91" i="43"/>
  <c r="P88" i="43"/>
  <c r="P87" i="43"/>
  <c r="P85" i="43"/>
  <c r="P83" i="43"/>
  <c r="P80" i="43"/>
  <c r="P78" i="43"/>
  <c r="P76" i="43"/>
  <c r="N7" i="26"/>
  <c r="P74" i="43"/>
  <c r="P73" i="43"/>
  <c r="P71" i="43"/>
  <c r="P68" i="43"/>
  <c r="P66" i="43"/>
  <c r="P64" i="43"/>
  <c r="P63" i="43"/>
  <c r="P60" i="43"/>
  <c r="P59" i="43"/>
  <c r="P54" i="43"/>
  <c r="P53" i="43"/>
  <c r="N11" i="26"/>
  <c r="P51" i="43"/>
  <c r="P48" i="43"/>
  <c r="P47" i="43"/>
  <c r="P44" i="43"/>
  <c r="P42" i="43"/>
  <c r="P40" i="43"/>
  <c r="P38" i="43"/>
  <c r="P36" i="43"/>
  <c r="N10" i="26"/>
  <c r="I18" i="26" s="1"/>
  <c r="P34" i="43"/>
  <c r="P32" i="43"/>
  <c r="P29" i="43"/>
  <c r="P26" i="43"/>
  <c r="P24" i="43"/>
  <c r="P20" i="43"/>
  <c r="P18" i="43"/>
  <c r="P15" i="43"/>
  <c r="P14" i="43"/>
  <c r="N5" i="26"/>
  <c r="P10" i="43"/>
  <c r="P8" i="43"/>
  <c r="L98" i="10"/>
  <c r="H98" i="8"/>
  <c r="I98" i="8"/>
  <c r="E18" i="14"/>
  <c r="H18" i="14" s="1"/>
  <c r="C18" i="14"/>
  <c r="Q11" i="36"/>
  <c r="Q6" i="36"/>
  <c r="Q5" i="36" s="1"/>
  <c r="I14" i="38"/>
  <c r="J14" i="38"/>
  <c r="E14" i="48"/>
  <c r="I107" i="8"/>
  <c r="E47" i="48"/>
  <c r="E54" i="48"/>
  <c r="I240" i="8"/>
  <c r="E94" i="48"/>
  <c r="I94" i="48"/>
  <c r="H278" i="8"/>
  <c r="I278" i="8" s="1"/>
  <c r="G5" i="50"/>
  <c r="G10" i="50"/>
  <c r="G15" i="50"/>
  <c r="G32" i="50"/>
  <c r="H111" i="51"/>
  <c r="I138" i="63"/>
  <c r="AB138" i="63"/>
  <c r="N138" i="63"/>
  <c r="N136" i="63"/>
  <c r="M140" i="63"/>
  <c r="I122" i="63"/>
  <c r="AB122" i="63" s="1"/>
  <c r="N122" i="63"/>
  <c r="N118" i="63"/>
  <c r="I117" i="63"/>
  <c r="AB117" i="63" s="1"/>
  <c r="N117" i="63"/>
  <c r="I115" i="63"/>
  <c r="AB115" i="63"/>
  <c r="N115" i="63"/>
  <c r="I113" i="63"/>
  <c r="AB113" i="63"/>
  <c r="N113" i="63"/>
  <c r="I111" i="63"/>
  <c r="AB111" i="63" s="1"/>
  <c r="N111" i="63"/>
  <c r="N109" i="63"/>
  <c r="I104" i="63"/>
  <c r="AB104" i="63" s="1"/>
  <c r="N104" i="63"/>
  <c r="I94" i="63"/>
  <c r="AB94" i="63" s="1"/>
  <c r="N94" i="63"/>
  <c r="I87" i="63"/>
  <c r="AB87" i="63"/>
  <c r="N87" i="63"/>
  <c r="N75" i="63"/>
  <c r="N69" i="63"/>
  <c r="N65" i="63"/>
  <c r="N61" i="63"/>
  <c r="N57" i="63"/>
  <c r="P167" i="63"/>
  <c r="X167" i="63"/>
  <c r="Y167" i="63" s="1"/>
  <c r="S169" i="63"/>
  <c r="I106" i="63"/>
  <c r="AB106" i="63"/>
  <c r="N106" i="63"/>
  <c r="I85" i="63"/>
  <c r="AB85" i="63"/>
  <c r="N85" i="63"/>
  <c r="N82" i="63"/>
  <c r="I78" i="63"/>
  <c r="AB78" i="63"/>
  <c r="N78" i="63"/>
  <c r="H14" i="64"/>
  <c r="BA14" i="38"/>
  <c r="E143" i="10"/>
  <c r="L143" i="10"/>
  <c r="BA232" i="34"/>
  <c r="D205" i="9"/>
  <c r="I205" i="9"/>
  <c r="V181" i="63"/>
  <c r="B46" i="64" s="1"/>
  <c r="BA47" i="34"/>
  <c r="P60" i="64"/>
  <c r="Q60" i="64"/>
  <c r="R60" i="64" s="1"/>
  <c r="P57" i="64"/>
  <c r="Q57" i="64"/>
  <c r="R57" i="64"/>
  <c r="P61" i="64"/>
  <c r="Q61" i="64" s="1"/>
  <c r="R61" i="64" s="1"/>
  <c r="P58" i="64"/>
  <c r="Q58" i="64" s="1"/>
  <c r="R58" i="64" s="1"/>
  <c r="B21" i="64"/>
  <c r="B41" i="64"/>
  <c r="G41" i="64" s="1"/>
  <c r="B18" i="64"/>
  <c r="B19" i="64"/>
  <c r="B20" i="64"/>
  <c r="I20" i="64" s="1"/>
  <c r="B27" i="64"/>
  <c r="C20" i="64"/>
  <c r="J20" i="64"/>
  <c r="C21" i="64"/>
  <c r="J21" i="64" s="1"/>
  <c r="P59" i="64"/>
  <c r="Q59" i="64"/>
  <c r="R59" i="64" s="1"/>
  <c r="B25" i="64"/>
  <c r="C14" i="64"/>
  <c r="C19" i="64"/>
  <c r="J19" i="64" s="1"/>
  <c r="C7" i="64"/>
  <c r="J7" i="64"/>
  <c r="G86" i="64"/>
  <c r="C8" i="64"/>
  <c r="J8" i="64"/>
  <c r="C25" i="64"/>
  <c r="C18" i="64"/>
  <c r="C27" i="64"/>
  <c r="E28" i="18"/>
  <c r="B80" i="34"/>
  <c r="I80" i="34"/>
  <c r="J80" i="34" s="1"/>
  <c r="C54" i="15"/>
  <c r="K48" i="21"/>
  <c r="H31" i="18"/>
  <c r="G8" i="23"/>
  <c r="B158" i="34"/>
  <c r="I158" i="34"/>
  <c r="J158" i="34"/>
  <c r="E134" i="15"/>
  <c r="H134" i="15"/>
  <c r="K34" i="64"/>
  <c r="K37" i="64"/>
  <c r="B151" i="34"/>
  <c r="C127" i="15"/>
  <c r="E127" i="15"/>
  <c r="H127" i="15"/>
  <c r="B97" i="17"/>
  <c r="E49" i="17"/>
  <c r="B207" i="34"/>
  <c r="I207" i="34"/>
  <c r="J207" i="34" s="1"/>
  <c r="K23" i="18"/>
  <c r="K28" i="18"/>
  <c r="C115" i="15"/>
  <c r="B139" i="34"/>
  <c r="I139" i="34" s="1"/>
  <c r="J139" i="34" s="1"/>
  <c r="G42" i="21"/>
  <c r="C22" i="22"/>
  <c r="E71" i="15"/>
  <c r="H71" i="15"/>
  <c r="B97" i="34"/>
  <c r="I97" i="34" s="1"/>
  <c r="J97" i="34" s="1"/>
  <c r="C59" i="15"/>
  <c r="E59" i="15"/>
  <c r="H59" i="15" s="1"/>
  <c r="B85" i="34"/>
  <c r="I85" i="34"/>
  <c r="J85" i="34"/>
  <c r="E46" i="17"/>
  <c r="C46" i="17"/>
  <c r="B204" i="34"/>
  <c r="I204" i="34"/>
  <c r="J204" i="34" s="1"/>
  <c r="E73" i="64"/>
  <c r="C31" i="18"/>
  <c r="C35" i="18"/>
  <c r="F146" i="21"/>
  <c r="M139" i="21"/>
  <c r="M160" i="21"/>
  <c r="M67" i="21"/>
  <c r="M68" i="21" s="1"/>
  <c r="K14" i="15"/>
  <c r="O67" i="21"/>
  <c r="O68" i="21"/>
  <c r="C84" i="15"/>
  <c r="B108" i="34"/>
  <c r="I108" i="34"/>
  <c r="J108" i="34"/>
  <c r="F45" i="29"/>
  <c r="F51" i="29" s="1"/>
  <c r="E13" i="18"/>
  <c r="O5" i="18"/>
  <c r="O22" i="18"/>
  <c r="O45" i="18"/>
  <c r="J6" i="60"/>
  <c r="G13" i="60"/>
  <c r="J12" i="60" s="1"/>
  <c r="I23" i="18"/>
  <c r="I28" i="18"/>
  <c r="H7" i="64"/>
  <c r="L7" i="64" s="1"/>
  <c r="O17" i="22"/>
  <c r="M19" i="22"/>
  <c r="M24" i="22"/>
  <c r="M23" i="22" s="1"/>
  <c r="Q98" i="21" s="1"/>
  <c r="Q42" i="21"/>
  <c r="Q43" i="21"/>
  <c r="C37" i="17"/>
  <c r="B195" i="34"/>
  <c r="O17" i="18"/>
  <c r="D8" i="22"/>
  <c r="O9" i="22"/>
  <c r="J8" i="60"/>
  <c r="J25" i="60"/>
  <c r="F164" i="21"/>
  <c r="F165" i="21" s="1"/>
  <c r="D228" i="9"/>
  <c r="I228" i="9"/>
  <c r="I228" i="8"/>
  <c r="I43" i="9"/>
  <c r="D53" i="9"/>
  <c r="I203" i="8"/>
  <c r="I180" i="8"/>
  <c r="L180" i="8" s="1"/>
  <c r="I269" i="8"/>
  <c r="I193" i="8"/>
  <c r="K193" i="8"/>
  <c r="I41" i="8"/>
  <c r="I45" i="8"/>
  <c r="G54" i="48"/>
  <c r="I60" i="8"/>
  <c r="I258" i="8"/>
  <c r="G58" i="48"/>
  <c r="D219" i="9"/>
  <c r="I219" i="9"/>
  <c r="L178" i="8"/>
  <c r="K178" i="8" s="1"/>
  <c r="I270" i="8"/>
  <c r="I127" i="8"/>
  <c r="I92" i="8"/>
  <c r="I134" i="8"/>
  <c r="D43" i="37"/>
  <c r="X4" i="38"/>
  <c r="X2" i="38" s="1"/>
  <c r="U24" i="37"/>
  <c r="V24" i="37"/>
  <c r="I181" i="8"/>
  <c r="L181" i="8" s="1"/>
  <c r="I264" i="8"/>
  <c r="I194" i="8"/>
  <c r="K194" i="8"/>
  <c r="I142" i="8"/>
  <c r="I132" i="8"/>
  <c r="I115" i="8"/>
  <c r="I77" i="8"/>
  <c r="H24" i="8"/>
  <c r="I81" i="8"/>
  <c r="I96" i="8"/>
  <c r="I109" i="8"/>
  <c r="I121" i="8"/>
  <c r="I119" i="8"/>
  <c r="I237" i="8"/>
  <c r="I282" i="8"/>
  <c r="I280" i="8"/>
  <c r="I257" i="8"/>
  <c r="I68" i="8"/>
  <c r="I262" i="8"/>
  <c r="I248" i="8"/>
  <c r="I58" i="8"/>
  <c r="I135" i="8"/>
  <c r="I133" i="8"/>
  <c r="I85" i="8"/>
  <c r="I83" i="8"/>
  <c r="I14" i="8"/>
  <c r="I80" i="8"/>
  <c r="I63" i="8"/>
  <c r="I86" i="8"/>
  <c r="I90" i="8"/>
  <c r="D227" i="9"/>
  <c r="I227" i="9" s="1"/>
  <c r="I271" i="8"/>
  <c r="G38" i="48"/>
  <c r="I137" i="8"/>
  <c r="D213" i="9"/>
  <c r="I213" i="9" s="1"/>
  <c r="D214" i="9"/>
  <c r="I145" i="8"/>
  <c r="L145" i="8" s="1"/>
  <c r="I126" i="8"/>
  <c r="D204" i="9"/>
  <c r="I204" i="9" s="1"/>
  <c r="D224" i="9"/>
  <c r="I224" i="9" s="1"/>
  <c r="D211" i="9"/>
  <c r="I211" i="9"/>
  <c r="D225" i="9"/>
  <c r="I225" i="9" s="1"/>
  <c r="G74" i="48" s="1"/>
  <c r="J74" i="48" s="1"/>
  <c r="H225" i="8" s="1"/>
  <c r="I225" i="8" s="1"/>
  <c r="J206" i="8"/>
  <c r="I233" i="8"/>
  <c r="L233" i="8" s="1"/>
  <c r="I245" i="8"/>
  <c r="V186" i="63"/>
  <c r="I227" i="8"/>
  <c r="D215" i="9"/>
  <c r="I215" i="9" s="1"/>
  <c r="H70" i="8"/>
  <c r="L235" i="8"/>
  <c r="K235" i="8" s="1"/>
  <c r="I206" i="8"/>
  <c r="V170" i="63"/>
  <c r="I66" i="8"/>
  <c r="H243" i="8"/>
  <c r="H288" i="8" s="1"/>
  <c r="I74" i="8"/>
  <c r="I76" i="8"/>
  <c r="I216" i="8"/>
  <c r="I212" i="8"/>
  <c r="I223" i="8"/>
  <c r="I31" i="8"/>
  <c r="K31" i="8" s="1"/>
  <c r="D22" i="29" s="1"/>
  <c r="X22" i="29" s="1"/>
  <c r="AF22" i="29" s="1"/>
  <c r="I268" i="8"/>
  <c r="I250" i="8"/>
  <c r="I89" i="8"/>
  <c r="I55" i="8"/>
  <c r="I277" i="8"/>
  <c r="I46" i="8"/>
  <c r="I131" i="8"/>
  <c r="E97" i="48"/>
  <c r="I281" i="8"/>
  <c r="E82" i="15"/>
  <c r="H82" i="15"/>
  <c r="I243" i="34"/>
  <c r="J243" i="34" s="1"/>
  <c r="G243" i="34"/>
  <c r="G62" i="48"/>
  <c r="I213" i="8"/>
  <c r="I215" i="8"/>
  <c r="G64" i="48"/>
  <c r="G63" i="48"/>
  <c r="I214" i="8"/>
  <c r="G60" i="48"/>
  <c r="I22" i="8"/>
  <c r="I24" i="8" s="1"/>
  <c r="G53" i="48"/>
  <c r="I220" i="9"/>
  <c r="I203" i="9"/>
  <c r="I56" i="8"/>
  <c r="E64" i="17"/>
  <c r="B96" i="17"/>
  <c r="M23" i="18"/>
  <c r="M28" i="18"/>
  <c r="O19" i="18"/>
  <c r="I45" i="21"/>
  <c r="I46" i="21" s="1"/>
  <c r="C39" i="15"/>
  <c r="B65" i="34"/>
  <c r="I65" i="34" s="1"/>
  <c r="J65" i="34" s="1"/>
  <c r="E60" i="15"/>
  <c r="H60" i="15"/>
  <c r="K44" i="21"/>
  <c r="G8" i="22"/>
  <c r="O7" i="22"/>
  <c r="O8" i="22"/>
  <c r="I26" i="10"/>
  <c r="L8" i="22"/>
  <c r="H22" i="22"/>
  <c r="L42" i="21"/>
  <c r="P67" i="21"/>
  <c r="P68" i="21" s="1"/>
  <c r="B29" i="34"/>
  <c r="E37" i="14"/>
  <c r="H37" i="14" s="1"/>
  <c r="E16" i="61"/>
  <c r="H16" i="61"/>
  <c r="C16" i="61"/>
  <c r="I79" i="8"/>
  <c r="D79" i="9"/>
  <c r="D87" i="9"/>
  <c r="I87" i="9"/>
  <c r="C17" i="15"/>
  <c r="B43" i="34"/>
  <c r="I43" i="34"/>
  <c r="J43" i="34"/>
  <c r="C45" i="17"/>
  <c r="E45" i="17"/>
  <c r="B203" i="34"/>
  <c r="O7" i="18"/>
  <c r="H44" i="21"/>
  <c r="D22" i="22"/>
  <c r="E72" i="15"/>
  <c r="H72" i="15"/>
  <c r="B98" i="34"/>
  <c r="I98" i="34" s="1"/>
  <c r="J98" i="34" s="1"/>
  <c r="B156" i="34"/>
  <c r="I156" i="34" s="1"/>
  <c r="J156" i="34" s="1"/>
  <c r="E132" i="15"/>
  <c r="H132" i="15"/>
  <c r="D297" i="8"/>
  <c r="D296" i="8"/>
  <c r="L71" i="34"/>
  <c r="Q110" i="34"/>
  <c r="E61" i="61"/>
  <c r="H61" i="61" s="1"/>
  <c r="C60" i="14"/>
  <c r="L236" i="8"/>
  <c r="K236" i="8" s="1"/>
  <c r="J135" i="21"/>
  <c r="N51" i="21"/>
  <c r="D13" i="18"/>
  <c r="G13" i="18"/>
  <c r="C14" i="22"/>
  <c r="O10" i="18"/>
  <c r="O11" i="18"/>
  <c r="O11" i="54"/>
  <c r="J44" i="56"/>
  <c r="C40" i="16"/>
  <c r="D40" i="16"/>
  <c r="H15" i="29"/>
  <c r="H25" i="29" s="1"/>
  <c r="H53" i="29" s="1"/>
  <c r="J23" i="29"/>
  <c r="J57" i="29"/>
  <c r="J13" i="18"/>
  <c r="O40" i="18"/>
  <c r="L41" i="21"/>
  <c r="H21" i="64"/>
  <c r="K15" i="55"/>
  <c r="K30" i="55"/>
  <c r="J15" i="55"/>
  <c r="J30" i="55" s="1"/>
  <c r="I73" i="64"/>
  <c r="H8" i="64"/>
  <c r="L8" i="64"/>
  <c r="I8" i="64"/>
  <c r="H18" i="64"/>
  <c r="F38" i="64"/>
  <c r="F39" i="64"/>
  <c r="H20" i="64"/>
  <c r="F40" i="64"/>
  <c r="N157" i="63"/>
  <c r="I66" i="34"/>
  <c r="J66" i="34" s="1"/>
  <c r="B42" i="61"/>
  <c r="C40" i="64"/>
  <c r="H40" i="64"/>
  <c r="J40" i="64" s="1"/>
  <c r="E31" i="61"/>
  <c r="C31" i="61"/>
  <c r="C60" i="61"/>
  <c r="C65" i="61" s="1"/>
  <c r="C44" i="15"/>
  <c r="B77" i="15"/>
  <c r="B70" i="34"/>
  <c r="I70" i="34" s="1"/>
  <c r="J70" i="34" s="1"/>
  <c r="C55" i="15"/>
  <c r="B81" i="34"/>
  <c r="I81" i="34" s="1"/>
  <c r="J81" i="34" s="1"/>
  <c r="B87" i="34"/>
  <c r="I87" i="34"/>
  <c r="J87" i="34" s="1"/>
  <c r="C61" i="15"/>
  <c r="C88" i="15"/>
  <c r="E88" i="15"/>
  <c r="H88" i="15" s="1"/>
  <c r="C21" i="16"/>
  <c r="D21" i="16"/>
  <c r="E21" i="16"/>
  <c r="B112" i="34"/>
  <c r="I112" i="34" s="1"/>
  <c r="J112" i="34" s="1"/>
  <c r="O26" i="18"/>
  <c r="K18" i="15"/>
  <c r="E18" i="15"/>
  <c r="H18" i="15"/>
  <c r="B15" i="23"/>
  <c r="B17" i="23"/>
  <c r="D23" i="18"/>
  <c r="O20" i="18"/>
  <c r="G28" i="18"/>
  <c r="E31" i="18"/>
  <c r="I284" i="9"/>
  <c r="F286" i="9"/>
  <c r="I286" i="9"/>
  <c r="F8" i="22"/>
  <c r="J44" i="21"/>
  <c r="J55" i="21"/>
  <c r="I8" i="22"/>
  <c r="M44" i="21"/>
  <c r="M55" i="21" s="1"/>
  <c r="C17" i="61"/>
  <c r="E17" i="61"/>
  <c r="H17" i="61" s="1"/>
  <c r="I48" i="21"/>
  <c r="E8" i="23"/>
  <c r="M48" i="21"/>
  <c r="J31" i="18" s="1"/>
  <c r="I8" i="23"/>
  <c r="M8" i="23"/>
  <c r="Q48" i="21"/>
  <c r="I42" i="21"/>
  <c r="E22" i="22"/>
  <c r="E68" i="15"/>
  <c r="H68" i="15"/>
  <c r="B94" i="34"/>
  <c r="I94" i="34" s="1"/>
  <c r="J94" i="34" s="1"/>
  <c r="F22" i="22"/>
  <c r="C19" i="16"/>
  <c r="B145" i="15"/>
  <c r="B123" i="34"/>
  <c r="I123" i="34"/>
  <c r="J123" i="34"/>
  <c r="C99" i="15"/>
  <c r="I7" i="64"/>
  <c r="E90" i="64"/>
  <c r="E128" i="15"/>
  <c r="H128" i="15" s="1"/>
  <c r="AW59" i="34"/>
  <c r="L45" i="34"/>
  <c r="L46" i="34"/>
  <c r="L114" i="34" s="1"/>
  <c r="H14" i="21"/>
  <c r="H37" i="21"/>
  <c r="U23" i="8"/>
  <c r="Y23" i="8"/>
  <c r="H288" i="9"/>
  <c r="L18" i="22"/>
  <c r="L14" i="22"/>
  <c r="C17" i="14"/>
  <c r="E17" i="14"/>
  <c r="C28" i="14"/>
  <c r="E28" i="14"/>
  <c r="H28" i="14" s="1"/>
  <c r="C28" i="15"/>
  <c r="B54" i="34"/>
  <c r="I54" i="34"/>
  <c r="J54" i="34" s="1"/>
  <c r="E21" i="67"/>
  <c r="E40" i="67"/>
  <c r="D55" i="51"/>
  <c r="K16" i="51"/>
  <c r="K56" i="51" s="1"/>
  <c r="D111" i="51"/>
  <c r="D112" i="51"/>
  <c r="C114" i="51" s="1"/>
  <c r="D115" i="51" s="1"/>
  <c r="D21" i="49" s="1"/>
  <c r="E35" i="15"/>
  <c r="H35" i="15" s="1"/>
  <c r="K35" i="15"/>
  <c r="E27" i="15"/>
  <c r="H27" i="15"/>
  <c r="K27" i="15"/>
  <c r="F50" i="16"/>
  <c r="G50" i="16"/>
  <c r="H50" i="16" s="1"/>
  <c r="F46" i="16"/>
  <c r="G46" i="16"/>
  <c r="C46" i="16"/>
  <c r="D46" i="16"/>
  <c r="AW135" i="34"/>
  <c r="BA135" i="34" s="1"/>
  <c r="I135" i="34"/>
  <c r="J135" i="34"/>
  <c r="L227" i="34"/>
  <c r="L228" i="34" s="1"/>
  <c r="L229" i="34" s="1"/>
  <c r="L230" i="34" s="1"/>
  <c r="L222" i="34"/>
  <c r="L223" i="34" s="1"/>
  <c r="L224" i="34" s="1"/>
  <c r="Q65" i="21"/>
  <c r="Q35" i="21"/>
  <c r="G24" i="21"/>
  <c r="G122" i="21"/>
  <c r="G12" i="26"/>
  <c r="E10" i="26"/>
  <c r="E4" i="26"/>
  <c r="E11" i="26"/>
  <c r="D12" i="26"/>
  <c r="E6" i="26"/>
  <c r="E9" i="26"/>
  <c r="I4" i="26"/>
  <c r="J12" i="26"/>
  <c r="J14" i="26"/>
  <c r="L14" i="26"/>
  <c r="J10" i="26"/>
  <c r="I55" i="34"/>
  <c r="J55" i="34" s="1"/>
  <c r="K50" i="15"/>
  <c r="E50" i="15"/>
  <c r="H50" i="15"/>
  <c r="F62" i="16"/>
  <c r="G62" i="16"/>
  <c r="H62" i="16"/>
  <c r="I62" i="16"/>
  <c r="L62" i="16" s="1"/>
  <c r="F58" i="16"/>
  <c r="H58" i="16"/>
  <c r="C58" i="16"/>
  <c r="D58" i="16" s="1"/>
  <c r="E58" i="16" s="1"/>
  <c r="AW248" i="34"/>
  <c r="I248" i="34"/>
  <c r="J248" i="34" s="1"/>
  <c r="M28" i="21"/>
  <c r="M124" i="21"/>
  <c r="I54" i="21"/>
  <c r="I28" i="21"/>
  <c r="I124" i="21" s="1"/>
  <c r="O39" i="21"/>
  <c r="O135" i="21"/>
  <c r="O136" i="21" s="1"/>
  <c r="O54" i="21"/>
  <c r="N66" i="21"/>
  <c r="N134" i="21"/>
  <c r="Q87" i="34"/>
  <c r="Q153" i="34" s="1"/>
  <c r="AW178" i="34"/>
  <c r="BA178" i="34"/>
  <c r="I55" i="51"/>
  <c r="I5" i="50" s="1"/>
  <c r="H4" i="49" s="1"/>
  <c r="N6" i="23"/>
  <c r="F42" i="16"/>
  <c r="H42" i="16" s="1"/>
  <c r="I42" i="16" s="1"/>
  <c r="L42" i="16" s="1"/>
  <c r="O30" i="21"/>
  <c r="O31" i="21" s="1"/>
  <c r="Q41" i="21"/>
  <c r="K71" i="21"/>
  <c r="K72" i="21"/>
  <c r="H14" i="22"/>
  <c r="C28" i="16"/>
  <c r="D28" i="16"/>
  <c r="E28" i="16"/>
  <c r="K9" i="26"/>
  <c r="E21" i="15"/>
  <c r="H21" i="15"/>
  <c r="I235" i="34"/>
  <c r="J235" i="34" s="1"/>
  <c r="K58" i="15"/>
  <c r="L24" i="34"/>
  <c r="L36" i="34"/>
  <c r="L37" i="34" s="1"/>
  <c r="L108" i="34" s="1"/>
  <c r="K8" i="23"/>
  <c r="C62" i="14"/>
  <c r="E62" i="14"/>
  <c r="H62" i="14" s="1"/>
  <c r="B25" i="34"/>
  <c r="I25" i="34"/>
  <c r="J25" i="34" s="1"/>
  <c r="K39" i="21"/>
  <c r="K135" i="21"/>
  <c r="G32" i="16"/>
  <c r="Q64" i="34"/>
  <c r="H249" i="8"/>
  <c r="I249" i="8"/>
  <c r="I288" i="10"/>
  <c r="I45" i="34"/>
  <c r="J45" i="34" s="1"/>
  <c r="AW206" i="34"/>
  <c r="I206" i="34"/>
  <c r="J206" i="34" s="1"/>
  <c r="I13" i="24"/>
  <c r="F12" i="40"/>
  <c r="F16" i="40"/>
  <c r="I17" i="24"/>
  <c r="J17" i="24" s="1"/>
  <c r="F231" i="9"/>
  <c r="K34" i="10"/>
  <c r="I109" i="34"/>
  <c r="J109" i="34" s="1"/>
  <c r="I172" i="34"/>
  <c r="J172" i="34"/>
  <c r="R8" i="54"/>
  <c r="S8" i="54"/>
  <c r="K31" i="15"/>
  <c r="Q51" i="29"/>
  <c r="L173" i="8"/>
  <c r="K173" i="8"/>
  <c r="L168" i="8"/>
  <c r="K168" i="8" s="1"/>
  <c r="D72" i="10"/>
  <c r="D184" i="10"/>
  <c r="I79" i="34"/>
  <c r="J79" i="34" s="1"/>
  <c r="I142" i="34"/>
  <c r="J142" i="34"/>
  <c r="I146" i="34"/>
  <c r="J146" i="34" s="1"/>
  <c r="I150" i="34"/>
  <c r="J150" i="34"/>
  <c r="I249" i="34"/>
  <c r="J249" i="34" s="1"/>
  <c r="I160" i="34"/>
  <c r="J160" i="34"/>
  <c r="I213" i="34"/>
  <c r="J213" i="34" s="1"/>
  <c r="I171" i="34"/>
  <c r="J171" i="34"/>
  <c r="N25" i="29"/>
  <c r="I143" i="9"/>
  <c r="E72" i="9"/>
  <c r="E184" i="9"/>
  <c r="J231" i="10"/>
  <c r="J290" i="10" s="1"/>
  <c r="I231" i="10"/>
  <c r="I157" i="34"/>
  <c r="J157" i="34"/>
  <c r="K134" i="21"/>
  <c r="K159" i="21" s="1"/>
  <c r="I124" i="34"/>
  <c r="J124" i="34"/>
  <c r="I232" i="34"/>
  <c r="J232" i="34" s="1"/>
  <c r="AA37" i="39"/>
  <c r="L14" i="38"/>
  <c r="E32" i="67"/>
  <c r="F13" i="18"/>
  <c r="J33" i="51"/>
  <c r="N11" i="54"/>
  <c r="S147" i="63"/>
  <c r="N137" i="63"/>
  <c r="N119" i="63"/>
  <c r="N114" i="63"/>
  <c r="S19" i="63"/>
  <c r="F45" i="50"/>
  <c r="G9" i="50"/>
  <c r="G11" i="50"/>
  <c r="N56" i="63"/>
  <c r="D34" i="65"/>
  <c r="D35" i="65"/>
  <c r="L238" i="8"/>
  <c r="K238" i="8" s="1"/>
  <c r="C15" i="67"/>
  <c r="D15" i="67"/>
  <c r="O39" i="18"/>
  <c r="C34" i="8"/>
  <c r="D94" i="60"/>
  <c r="N166" i="63"/>
  <c r="N169" i="63"/>
  <c r="E29" i="65"/>
  <c r="E41" i="67"/>
  <c r="H46" i="67"/>
  <c r="I46" i="67"/>
  <c r="L46" i="67" s="1"/>
  <c r="H53" i="48"/>
  <c r="I204" i="8"/>
  <c r="G67" i="21"/>
  <c r="G68" i="21" s="1"/>
  <c r="E197" i="10"/>
  <c r="L195" i="10"/>
  <c r="G72" i="10"/>
  <c r="M43" i="21"/>
  <c r="K17" i="56"/>
  <c r="K49" i="21"/>
  <c r="C29" i="61"/>
  <c r="C68" i="61" s="1"/>
  <c r="I164" i="8"/>
  <c r="I210" i="8"/>
  <c r="I162" i="8"/>
  <c r="R34" i="21"/>
  <c r="D18" i="40"/>
  <c r="K131" i="15"/>
  <c r="F35" i="16"/>
  <c r="H35" i="16" s="1"/>
  <c r="Q106" i="34"/>
  <c r="H129" i="8"/>
  <c r="I152" i="34"/>
  <c r="J152" i="34" s="1"/>
  <c r="N48" i="50"/>
  <c r="C51" i="16"/>
  <c r="D51" i="16"/>
  <c r="K15" i="15"/>
  <c r="L71" i="21"/>
  <c r="L72" i="21"/>
  <c r="I31" i="18"/>
  <c r="N45" i="21"/>
  <c r="N46" i="21" s="1"/>
  <c r="I251" i="34"/>
  <c r="B9" i="34"/>
  <c r="G39" i="21"/>
  <c r="G135" i="21" s="1"/>
  <c r="AW79" i="34"/>
  <c r="G134" i="21"/>
  <c r="I185" i="34"/>
  <c r="J185" i="34" s="1"/>
  <c r="E83" i="15"/>
  <c r="H83" i="15"/>
  <c r="K83" i="15"/>
  <c r="N63" i="29"/>
  <c r="AW74" i="34"/>
  <c r="I74" i="34"/>
  <c r="J74" i="34" s="1"/>
  <c r="E19" i="5"/>
  <c r="E19" i="3"/>
  <c r="B43" i="25"/>
  <c r="A43" i="25" s="1"/>
  <c r="A42" i="25"/>
  <c r="H57" i="48"/>
  <c r="I208" i="8"/>
  <c r="G49" i="16"/>
  <c r="C49" i="16"/>
  <c r="D49" i="16" s="1"/>
  <c r="E49" i="16" s="1"/>
  <c r="F49" i="16"/>
  <c r="C39" i="16"/>
  <c r="D39" i="16" s="1"/>
  <c r="E39" i="16" s="1"/>
  <c r="G39" i="16"/>
  <c r="I173" i="34"/>
  <c r="J173" i="34" s="1"/>
  <c r="F63" i="29"/>
  <c r="I57" i="34"/>
  <c r="J57" i="34" s="1"/>
  <c r="AW57" i="34"/>
  <c r="E38" i="34"/>
  <c r="E103" i="34"/>
  <c r="D103" i="34"/>
  <c r="I239" i="34"/>
  <c r="J239" i="34"/>
  <c r="AW239" i="34"/>
  <c r="Q145" i="34"/>
  <c r="Q79" i="34"/>
  <c r="Q146" i="34"/>
  <c r="I15" i="24"/>
  <c r="E21" i="40"/>
  <c r="G60" i="21"/>
  <c r="G121" i="21"/>
  <c r="K30" i="21"/>
  <c r="K31" i="21" s="1"/>
  <c r="K24" i="21"/>
  <c r="R25" i="21"/>
  <c r="G30" i="21"/>
  <c r="G31" i="21" s="1"/>
  <c r="C8" i="23"/>
  <c r="C18" i="23"/>
  <c r="G104" i="21"/>
  <c r="G50" i="21"/>
  <c r="G49" i="21" s="1"/>
  <c r="I55" i="63"/>
  <c r="AB55" i="63"/>
  <c r="N55" i="63"/>
  <c r="L56" i="34"/>
  <c r="K72" i="10"/>
  <c r="K184" i="10" s="1"/>
  <c r="K199" i="10" s="1"/>
  <c r="P43" i="37"/>
  <c r="AK4" i="38" s="1"/>
  <c r="U28" i="37"/>
  <c r="V28" i="37"/>
  <c r="K100" i="15"/>
  <c r="E100" i="15"/>
  <c r="H100" i="15" s="1"/>
  <c r="C34" i="16"/>
  <c r="D34" i="16"/>
  <c r="G34" i="16"/>
  <c r="C30" i="16"/>
  <c r="D30" i="16"/>
  <c r="E30" i="16"/>
  <c r="F30" i="16"/>
  <c r="H30" i="16" s="1"/>
  <c r="C48" i="16"/>
  <c r="D48" i="16"/>
  <c r="E48" i="16" s="1"/>
  <c r="G48" i="16"/>
  <c r="F41" i="16"/>
  <c r="H41" i="16"/>
  <c r="C41" i="16"/>
  <c r="D41" i="16" s="1"/>
  <c r="E41" i="16" s="1"/>
  <c r="R83" i="21"/>
  <c r="R94" i="21"/>
  <c r="AW41" i="34"/>
  <c r="I41" i="34"/>
  <c r="J41" i="34"/>
  <c r="I236" i="34"/>
  <c r="J236" i="34" s="1"/>
  <c r="AW236" i="34"/>
  <c r="Q121" i="34"/>
  <c r="Q55" i="34"/>
  <c r="Q122" i="34" s="1"/>
  <c r="N11" i="63"/>
  <c r="N19" i="63"/>
  <c r="M19" i="63"/>
  <c r="AC25" i="63"/>
  <c r="AC26" i="63"/>
  <c r="AC33" i="63"/>
  <c r="AC37" i="63"/>
  <c r="AC38" i="63"/>
  <c r="AC42" i="63"/>
  <c r="AC46" i="63"/>
  <c r="AC52" i="63"/>
  <c r="AC81" i="63"/>
  <c r="AC82" i="63"/>
  <c r="AC94" i="63"/>
  <c r="AC103" i="63"/>
  <c r="AC107" i="63"/>
  <c r="AC111" i="63"/>
  <c r="AC112" i="63"/>
  <c r="AC117" i="63"/>
  <c r="AC118" i="63"/>
  <c r="AC135" i="63"/>
  <c r="AC136" i="63"/>
  <c r="AC138" i="63"/>
  <c r="AC144" i="63"/>
  <c r="AC155" i="63"/>
  <c r="AC157" i="63"/>
  <c r="AC158" i="63"/>
  <c r="AC165" i="63"/>
  <c r="O165" i="63" s="1"/>
  <c r="AC166" i="63"/>
  <c r="AC11" i="63"/>
  <c r="AC12" i="63"/>
  <c r="O12" i="63" s="1"/>
  <c r="AC13" i="63"/>
  <c r="O13" i="63"/>
  <c r="AC14" i="63"/>
  <c r="AC15" i="63"/>
  <c r="AC16" i="63"/>
  <c r="AC17" i="63"/>
  <c r="AC28" i="63"/>
  <c r="O28" i="63" s="1"/>
  <c r="V28" i="63" s="1"/>
  <c r="AC31" i="63"/>
  <c r="AC35" i="63"/>
  <c r="AC40" i="63"/>
  <c r="AC45" i="63"/>
  <c r="AC48" i="63"/>
  <c r="AC55" i="63"/>
  <c r="AC78" i="63"/>
  <c r="AC79" i="63"/>
  <c r="AC85" i="63"/>
  <c r="AC88" i="63"/>
  <c r="AC89" i="63"/>
  <c r="AC92" i="63"/>
  <c r="AC99" i="63"/>
  <c r="AC105" i="63"/>
  <c r="AC109" i="63"/>
  <c r="AC110" i="63"/>
  <c r="AC113" i="63"/>
  <c r="AC116" i="63"/>
  <c r="AC120" i="63"/>
  <c r="AC121" i="63"/>
  <c r="AC143" i="63"/>
  <c r="AC145" i="63"/>
  <c r="AC156" i="63"/>
  <c r="AC159" i="63"/>
  <c r="AC27" i="63"/>
  <c r="P27" i="63"/>
  <c r="X27" i="63" s="1"/>
  <c r="Y27" i="63" s="1"/>
  <c r="AC30" i="63"/>
  <c r="AC34" i="63"/>
  <c r="AC39" i="63"/>
  <c r="AC43" i="63"/>
  <c r="AC44" i="63"/>
  <c r="AC47" i="63"/>
  <c r="AC50" i="63"/>
  <c r="AC53" i="63"/>
  <c r="AC54" i="63"/>
  <c r="AC57" i="63"/>
  <c r="P57" i="63" s="1"/>
  <c r="AC58" i="63"/>
  <c r="AC60" i="63"/>
  <c r="AC63" i="63"/>
  <c r="AC65" i="63"/>
  <c r="AC66" i="63"/>
  <c r="AC67" i="63"/>
  <c r="AC68" i="63"/>
  <c r="AC71" i="63"/>
  <c r="AC73" i="63"/>
  <c r="O73" i="63"/>
  <c r="AC75" i="63"/>
  <c r="AC76" i="63"/>
  <c r="AC77" i="63"/>
  <c r="O77" i="63"/>
  <c r="AC83" i="63"/>
  <c r="AC84" i="63"/>
  <c r="AC87" i="63"/>
  <c r="AC91" i="63"/>
  <c r="AC95" i="63"/>
  <c r="AC96" i="63"/>
  <c r="AC98" i="63"/>
  <c r="AC100" i="63"/>
  <c r="AC104" i="63"/>
  <c r="AC108" i="63"/>
  <c r="AC115" i="63"/>
  <c r="AC119" i="63"/>
  <c r="AC167" i="63"/>
  <c r="O167" i="63" s="1"/>
  <c r="AC24" i="63"/>
  <c r="O24" i="63"/>
  <c r="T24" i="63"/>
  <c r="AC62" i="63"/>
  <c r="AC86" i="63"/>
  <c r="AC97" i="63"/>
  <c r="AC114" i="63"/>
  <c r="AC51" i="63"/>
  <c r="AC61" i="63"/>
  <c r="O61" i="63"/>
  <c r="AC72" i="63"/>
  <c r="AC101" i="63"/>
  <c r="AC122" i="63"/>
  <c r="AC137" i="63"/>
  <c r="AC29" i="63"/>
  <c r="AC49" i="63"/>
  <c r="AC56" i="63"/>
  <c r="AC59" i="63"/>
  <c r="AC64" i="63"/>
  <c r="AC70" i="63"/>
  <c r="AC80" i="63"/>
  <c r="AC90" i="63"/>
  <c r="AC69" i="63"/>
  <c r="P69" i="63" s="1"/>
  <c r="X69" i="63" s="1"/>
  <c r="Y69" i="63" s="1"/>
  <c r="AC74" i="63"/>
  <c r="AC32" i="63"/>
  <c r="AC36" i="63"/>
  <c r="AC41" i="63"/>
  <c r="P41" i="63"/>
  <c r="AC93" i="63"/>
  <c r="AC102" i="63"/>
  <c r="AC106" i="63"/>
  <c r="H30" i="48"/>
  <c r="I146" i="8"/>
  <c r="B68" i="61"/>
  <c r="B76" i="61"/>
  <c r="L20" i="64"/>
  <c r="M21" i="64"/>
  <c r="L117" i="34"/>
  <c r="I203" i="34"/>
  <c r="J203" i="34" s="1"/>
  <c r="I211" i="8"/>
  <c r="K98" i="15"/>
  <c r="H135" i="21"/>
  <c r="H136" i="21" s="1"/>
  <c r="C35" i="16"/>
  <c r="D35" i="16"/>
  <c r="F48" i="16"/>
  <c r="H48" i="16" s="1"/>
  <c r="M17" i="21"/>
  <c r="P14" i="21"/>
  <c r="P37" i="21"/>
  <c r="C52" i="16"/>
  <c r="D52" i="16" s="1"/>
  <c r="E52" i="16" s="1"/>
  <c r="L46" i="21"/>
  <c r="E111" i="15"/>
  <c r="H111" i="15" s="1"/>
  <c r="F51" i="16"/>
  <c r="H51" i="16"/>
  <c r="B8" i="23"/>
  <c r="F39" i="16"/>
  <c r="F34" i="16"/>
  <c r="H34" i="16"/>
  <c r="AH2" i="36"/>
  <c r="K48" i="15"/>
  <c r="E48" i="15"/>
  <c r="H48" i="15"/>
  <c r="E25" i="15"/>
  <c r="H25" i="15" s="1"/>
  <c r="K25" i="15"/>
  <c r="E20" i="15"/>
  <c r="H20" i="15" s="1"/>
  <c r="K20" i="15"/>
  <c r="R16" i="21"/>
  <c r="L17" i="21"/>
  <c r="F33" i="16"/>
  <c r="H33" i="16" s="1"/>
  <c r="I33" i="16" s="1"/>
  <c r="L33" i="16" s="1"/>
  <c r="G33" i="16"/>
  <c r="I38" i="34"/>
  <c r="J38" i="34"/>
  <c r="I49" i="34"/>
  <c r="J49" i="34" s="1"/>
  <c r="AW49" i="34"/>
  <c r="BA49" i="34"/>
  <c r="I143" i="34"/>
  <c r="J143" i="34" s="1"/>
  <c r="AW130" i="34"/>
  <c r="I130" i="34"/>
  <c r="J130" i="34"/>
  <c r="AW133" i="34"/>
  <c r="I133" i="34"/>
  <c r="J133" i="34"/>
  <c r="AW224" i="34"/>
  <c r="I224" i="34"/>
  <c r="J224" i="34" s="1"/>
  <c r="R15" i="21"/>
  <c r="N86" i="63"/>
  <c r="P86" i="63" s="1"/>
  <c r="M125" i="63"/>
  <c r="E72" i="10"/>
  <c r="H51" i="21"/>
  <c r="I140" i="34"/>
  <c r="J140" i="34" s="1"/>
  <c r="I52" i="34"/>
  <c r="J52" i="34"/>
  <c r="N51" i="29"/>
  <c r="N66" i="29" s="1"/>
  <c r="E288" i="9"/>
  <c r="E290" i="9"/>
  <c r="I197" i="9"/>
  <c r="L175" i="8"/>
  <c r="K175" i="8" s="1"/>
  <c r="G34" i="10"/>
  <c r="C34" i="10"/>
  <c r="F24" i="16"/>
  <c r="C24" i="16"/>
  <c r="D24" i="16"/>
  <c r="E24" i="16"/>
  <c r="I218" i="34"/>
  <c r="J218" i="34" s="1"/>
  <c r="B94" i="60"/>
  <c r="M91" i="60"/>
  <c r="D6" i="26"/>
  <c r="E8" i="26"/>
  <c r="D4" i="26"/>
  <c r="J7" i="26"/>
  <c r="E63" i="14"/>
  <c r="H63" i="14" s="1"/>
  <c r="E29" i="48"/>
  <c r="J111" i="51"/>
  <c r="L135" i="21"/>
  <c r="K62" i="21"/>
  <c r="I16" i="34"/>
  <c r="J16" i="34"/>
  <c r="F49" i="21"/>
  <c r="I148" i="34"/>
  <c r="J148" i="34"/>
  <c r="J100" i="34"/>
  <c r="G5" i="26"/>
  <c r="D13" i="26"/>
  <c r="D14" i="26"/>
  <c r="L4" i="26"/>
  <c r="G9" i="26"/>
  <c r="G13" i="26"/>
  <c r="L6" i="26"/>
  <c r="K105" i="15"/>
  <c r="K109" i="15"/>
  <c r="E109" i="15"/>
  <c r="H109" i="15"/>
  <c r="I89" i="34"/>
  <c r="J89" i="34" s="1"/>
  <c r="I154" i="34"/>
  <c r="J154" i="34"/>
  <c r="S71" i="29"/>
  <c r="S25" i="29"/>
  <c r="G184" i="9"/>
  <c r="G199" i="9"/>
  <c r="H72" i="9"/>
  <c r="H184" i="9" s="1"/>
  <c r="H199" i="9" s="1"/>
  <c r="C72" i="9"/>
  <c r="C184" i="9"/>
  <c r="G34" i="9"/>
  <c r="I12" i="26"/>
  <c r="G24" i="16"/>
  <c r="H24" i="16"/>
  <c r="F18" i="16"/>
  <c r="G18" i="16"/>
  <c r="F59" i="16"/>
  <c r="H59" i="16"/>
  <c r="G59" i="16"/>
  <c r="C59" i="16"/>
  <c r="D59" i="16"/>
  <c r="E59" i="16"/>
  <c r="AW115" i="34"/>
  <c r="BA115" i="34" s="1"/>
  <c r="I115" i="34"/>
  <c r="J115" i="34"/>
  <c r="AW126" i="34"/>
  <c r="I126" i="34"/>
  <c r="J126" i="34"/>
  <c r="AW150" i="34"/>
  <c r="I200" i="34"/>
  <c r="J200" i="34" s="1"/>
  <c r="I246" i="34"/>
  <c r="J246" i="34"/>
  <c r="K41" i="60"/>
  <c r="D70" i="9"/>
  <c r="I70" i="9"/>
  <c r="P51" i="21"/>
  <c r="I83" i="34"/>
  <c r="J83" i="34" s="1"/>
  <c r="B40" i="1"/>
  <c r="B41" i="1"/>
  <c r="I190" i="34"/>
  <c r="J190" i="34" s="1"/>
  <c r="I194" i="34"/>
  <c r="J194" i="34"/>
  <c r="I226" i="34"/>
  <c r="J226" i="34" s="1"/>
  <c r="G14" i="21"/>
  <c r="G37" i="21"/>
  <c r="L5" i="25"/>
  <c r="G12" i="50"/>
  <c r="S51" i="29"/>
  <c r="B34" i="1"/>
  <c r="I182" i="9"/>
  <c r="I189" i="34"/>
  <c r="J189" i="34" s="1"/>
  <c r="I96" i="34"/>
  <c r="J96" i="34"/>
  <c r="I68" i="34"/>
  <c r="J68" i="34" s="1"/>
  <c r="I60" i="34"/>
  <c r="J60" i="34"/>
  <c r="I51" i="34"/>
  <c r="J51" i="34" s="1"/>
  <c r="I46" i="34"/>
  <c r="J46" i="34"/>
  <c r="I118" i="34"/>
  <c r="J118" i="34" s="1"/>
  <c r="Q25" i="34"/>
  <c r="S140" i="63"/>
  <c r="I96" i="63"/>
  <c r="AB96" i="63" s="1"/>
  <c r="N96" i="63"/>
  <c r="N84" i="63"/>
  <c r="N54" i="63"/>
  <c r="I54" i="63"/>
  <c r="AB54" i="63" s="1"/>
  <c r="I48" i="63"/>
  <c r="AB48" i="63"/>
  <c r="N48" i="63"/>
  <c r="I33" i="64"/>
  <c r="L28" i="25"/>
  <c r="P39" i="21"/>
  <c r="P135" i="21" s="1"/>
  <c r="P136" i="21" s="1"/>
  <c r="I62" i="21"/>
  <c r="F13" i="26"/>
  <c r="F11" i="26"/>
  <c r="F6" i="26"/>
  <c r="P99" i="43"/>
  <c r="P96" i="43"/>
  <c r="P79" i="43"/>
  <c r="P75" i="43"/>
  <c r="P72" i="43"/>
  <c r="P55" i="43"/>
  <c r="P46" i="43"/>
  <c r="P41" i="43"/>
  <c r="P39" i="43"/>
  <c r="P31" i="43"/>
  <c r="P22" i="43"/>
  <c r="P12" i="43"/>
  <c r="P11" i="43"/>
  <c r="P9" i="43"/>
  <c r="O36" i="18"/>
  <c r="L58" i="50"/>
  <c r="J58" i="50"/>
  <c r="J60" i="50"/>
  <c r="G37" i="50"/>
  <c r="G39" i="50"/>
  <c r="N99" i="63"/>
  <c r="P99" i="63"/>
  <c r="X99" i="63" s="1"/>
  <c r="Y99" i="63" s="1"/>
  <c r="N88" i="63"/>
  <c r="P13" i="63"/>
  <c r="X13" i="63" s="1"/>
  <c r="Y13" i="63" s="1"/>
  <c r="O9" i="64"/>
  <c r="L15" i="65"/>
  <c r="L20" i="65"/>
  <c r="K29" i="65"/>
  <c r="L29" i="65"/>
  <c r="L6" i="25"/>
  <c r="L9" i="25"/>
  <c r="L10" i="25"/>
  <c r="L12" i="25"/>
  <c r="L19" i="25"/>
  <c r="L22" i="25"/>
  <c r="T61" i="29"/>
  <c r="T63" i="29"/>
  <c r="K22" i="22"/>
  <c r="O12" i="22"/>
  <c r="N123" i="63"/>
  <c r="P123" i="63"/>
  <c r="X123" i="63" s="1"/>
  <c r="Y123" i="63" s="1"/>
  <c r="N120" i="63"/>
  <c r="N101" i="63"/>
  <c r="O63" i="64"/>
  <c r="R173" i="10"/>
  <c r="R174" i="10"/>
  <c r="F26" i="40"/>
  <c r="M39" i="21"/>
  <c r="M135" i="21" s="1"/>
  <c r="M136" i="21" s="1"/>
  <c r="N24" i="21"/>
  <c r="J15" i="29"/>
  <c r="J25" i="29" s="1"/>
  <c r="J53" i="29" s="1"/>
  <c r="O61" i="29"/>
  <c r="G24" i="50"/>
  <c r="M56" i="51"/>
  <c r="G94" i="60"/>
  <c r="N95" i="63"/>
  <c r="O136" i="63"/>
  <c r="Q49" i="21"/>
  <c r="Q53" i="21"/>
  <c r="N31" i="18"/>
  <c r="Q71" i="21"/>
  <c r="Q72" i="21" s="1"/>
  <c r="I79" i="9"/>
  <c r="I121" i="34"/>
  <c r="J121" i="34" s="1"/>
  <c r="E121" i="34"/>
  <c r="E151" i="34"/>
  <c r="I151" i="34"/>
  <c r="J151" i="34" s="1"/>
  <c r="L152" i="34"/>
  <c r="L87" i="34"/>
  <c r="I182" i="34"/>
  <c r="J182" i="34" s="1"/>
  <c r="L138" i="34"/>
  <c r="L72" i="34"/>
  <c r="L151" i="8"/>
  <c r="K151" i="8" s="1"/>
  <c r="K88" i="15"/>
  <c r="M41" i="21"/>
  <c r="M45" i="21"/>
  <c r="M46" i="21" s="1"/>
  <c r="F288" i="9"/>
  <c r="X57" i="63"/>
  <c r="Y57" i="63" s="1"/>
  <c r="G51" i="53"/>
  <c r="AW247" i="34"/>
  <c r="I247" i="34"/>
  <c r="J247" i="34"/>
  <c r="L213" i="34"/>
  <c r="L214" i="34" s="1"/>
  <c r="L208" i="34"/>
  <c r="Q24" i="34"/>
  <c r="Q20" i="34"/>
  <c r="J14" i="21"/>
  <c r="J37" i="21" s="1"/>
  <c r="R13" i="21"/>
  <c r="R176" i="10"/>
  <c r="Q177" i="10"/>
  <c r="I28" i="9"/>
  <c r="H22" i="9"/>
  <c r="I8" i="24"/>
  <c r="J8" i="24" s="1"/>
  <c r="F7" i="40"/>
  <c r="D11" i="40"/>
  <c r="K12" i="24"/>
  <c r="F11" i="40"/>
  <c r="B20" i="24"/>
  <c r="B21" i="24"/>
  <c r="B22" i="24"/>
  <c r="A3" i="24"/>
  <c r="D28" i="18"/>
  <c r="K59" i="15"/>
  <c r="K23" i="8"/>
  <c r="H60" i="50"/>
  <c r="M60" i="50" s="1"/>
  <c r="E13" i="15"/>
  <c r="H13" i="15"/>
  <c r="I214" i="9"/>
  <c r="Q55" i="21"/>
  <c r="D19" i="22"/>
  <c r="D24" i="22" s="1"/>
  <c r="D23" i="22" s="1"/>
  <c r="H98" i="21" s="1"/>
  <c r="L83" i="34"/>
  <c r="L149" i="34"/>
  <c r="L40" i="34"/>
  <c r="L41" i="34"/>
  <c r="L42" i="34"/>
  <c r="L110" i="34"/>
  <c r="L3" i="56"/>
  <c r="E6" i="56"/>
  <c r="B9" i="36"/>
  <c r="B6" i="36" s="1"/>
  <c r="B5" i="36" s="1"/>
  <c r="B60" i="14"/>
  <c r="E31" i="14"/>
  <c r="F154" i="21"/>
  <c r="H89" i="21"/>
  <c r="H129" i="21"/>
  <c r="I80" i="21"/>
  <c r="J80" i="21" s="1"/>
  <c r="H90" i="21"/>
  <c r="H121" i="21"/>
  <c r="H153" i="21"/>
  <c r="H155" i="21"/>
  <c r="H103" i="21"/>
  <c r="E35" i="18" s="1"/>
  <c r="C129" i="10"/>
  <c r="C72" i="10"/>
  <c r="L53" i="10"/>
  <c r="L20" i="10"/>
  <c r="D34" i="10"/>
  <c r="H20" i="8"/>
  <c r="K101" i="15"/>
  <c r="E101" i="15"/>
  <c r="H101" i="15"/>
  <c r="K34" i="15"/>
  <c r="E34" i="15"/>
  <c r="H34" i="15" s="1"/>
  <c r="AW111" i="34"/>
  <c r="I111" i="34"/>
  <c r="J111" i="34" s="1"/>
  <c r="J26" i="60"/>
  <c r="D21" i="26"/>
  <c r="B40" i="14"/>
  <c r="E62" i="61"/>
  <c r="H62" i="61" s="1"/>
  <c r="F130" i="21"/>
  <c r="L136" i="21"/>
  <c r="J97" i="51"/>
  <c r="G100" i="51" s="1"/>
  <c r="G102" i="51" s="1"/>
  <c r="H58" i="48"/>
  <c r="I209" i="8"/>
  <c r="R93" i="21"/>
  <c r="H159" i="21"/>
  <c r="D229" i="9"/>
  <c r="I229" i="9"/>
  <c r="F136" i="21"/>
  <c r="P106" i="63"/>
  <c r="X106" i="63"/>
  <c r="Y106" i="63"/>
  <c r="L244" i="10"/>
  <c r="E124" i="15"/>
  <c r="H124" i="15" s="1"/>
  <c r="K124" i="15"/>
  <c r="G158" i="21"/>
  <c r="Q44" i="34"/>
  <c r="Q111" i="34"/>
  <c r="E21" i="26"/>
  <c r="I41" i="21"/>
  <c r="M48" i="50"/>
  <c r="O48" i="50" s="1"/>
  <c r="Q135" i="21"/>
  <c r="P54" i="21"/>
  <c r="I71" i="34"/>
  <c r="J71" i="34" s="1"/>
  <c r="K30" i="15"/>
  <c r="E30" i="15"/>
  <c r="H30" i="15" s="1"/>
  <c r="Q12" i="38"/>
  <c r="N71" i="29"/>
  <c r="W27" i="8"/>
  <c r="U27" i="8"/>
  <c r="I158" i="9"/>
  <c r="I129" i="9"/>
  <c r="D288" i="10"/>
  <c r="L286" i="10"/>
  <c r="F231" i="10"/>
  <c r="F290" i="10"/>
  <c r="L197" i="10"/>
  <c r="L182" i="10"/>
  <c r="L113" i="10"/>
  <c r="K19" i="15"/>
  <c r="E19" i="15"/>
  <c r="G26" i="16"/>
  <c r="H26" i="16" s="1"/>
  <c r="C26" i="16"/>
  <c r="D26" i="16"/>
  <c r="G61" i="16"/>
  <c r="F61" i="16"/>
  <c r="H61" i="16"/>
  <c r="I61" i="16"/>
  <c r="L61" i="16" s="1"/>
  <c r="G43" i="16"/>
  <c r="C43" i="16"/>
  <c r="D43" i="16"/>
  <c r="F43" i="16"/>
  <c r="H43" i="16" s="1"/>
  <c r="L61" i="21"/>
  <c r="L62" i="21"/>
  <c r="L123" i="21"/>
  <c r="L154" i="21" s="1"/>
  <c r="H28" i="21"/>
  <c r="H124" i="21"/>
  <c r="H61" i="21"/>
  <c r="H62" i="21" s="1"/>
  <c r="R27" i="21"/>
  <c r="R61" i="21"/>
  <c r="P28" i="21"/>
  <c r="P124" i="21" s="1"/>
  <c r="R29" i="21"/>
  <c r="P30" i="21"/>
  <c r="P31" i="21" s="1"/>
  <c r="J66" i="21"/>
  <c r="J68" i="21"/>
  <c r="J134" i="21"/>
  <c r="R38" i="21"/>
  <c r="F121" i="21"/>
  <c r="R23" i="21"/>
  <c r="F24" i="21"/>
  <c r="J62" i="21"/>
  <c r="J74" i="21"/>
  <c r="G62" i="21"/>
  <c r="I156" i="63"/>
  <c r="AB156" i="63"/>
  <c r="N156" i="63"/>
  <c r="N58" i="50"/>
  <c r="I60" i="50"/>
  <c r="C21" i="49" s="1"/>
  <c r="K45" i="15"/>
  <c r="K129" i="15"/>
  <c r="H129" i="15"/>
  <c r="K44" i="56"/>
  <c r="C5" i="56"/>
  <c r="K16" i="56" s="1"/>
  <c r="Q56" i="34"/>
  <c r="G111" i="51"/>
  <c r="H35" i="21"/>
  <c r="C290" i="8"/>
  <c r="C27" i="23"/>
  <c r="C29" i="23"/>
  <c r="C26" i="23"/>
  <c r="B29" i="23"/>
  <c r="N29" i="23" s="1"/>
  <c r="B26" i="23"/>
  <c r="B27" i="23"/>
  <c r="N27" i="23" s="1"/>
  <c r="K4" i="26"/>
  <c r="K6" i="26"/>
  <c r="K8" i="26"/>
  <c r="K14" i="26"/>
  <c r="K10" i="26"/>
  <c r="K7" i="26"/>
  <c r="O7" i="26" s="1"/>
  <c r="K13" i="26"/>
  <c r="AW75" i="34"/>
  <c r="I75" i="34"/>
  <c r="J75" i="34" s="1"/>
  <c r="I9" i="24"/>
  <c r="F8" i="40"/>
  <c r="C21" i="40"/>
  <c r="D10" i="40"/>
  <c r="F18" i="40"/>
  <c r="I19" i="24"/>
  <c r="J19" i="24"/>
  <c r="Q123" i="21"/>
  <c r="Q61" i="21"/>
  <c r="Q62" i="21" s="1"/>
  <c r="L141" i="10"/>
  <c r="H141" i="8"/>
  <c r="I141" i="8" s="1"/>
  <c r="F25" i="29"/>
  <c r="F53" i="29"/>
  <c r="J15" i="24"/>
  <c r="K26" i="15"/>
  <c r="E26" i="15"/>
  <c r="H26" i="15"/>
  <c r="E21" i="3"/>
  <c r="E21" i="5"/>
  <c r="AH2" i="38"/>
  <c r="F17" i="16"/>
  <c r="G17" i="16"/>
  <c r="I77" i="34"/>
  <c r="J77" i="34" s="1"/>
  <c r="AW102" i="34"/>
  <c r="I102" i="34"/>
  <c r="J102" i="34" s="1"/>
  <c r="AW193" i="34"/>
  <c r="BA193" i="34"/>
  <c r="I193" i="34"/>
  <c r="J193" i="34" s="1"/>
  <c r="L37" i="25"/>
  <c r="C28" i="40"/>
  <c r="F27" i="40"/>
  <c r="F28" i="40" s="1"/>
  <c r="M60" i="21"/>
  <c r="M62" i="21" s="1"/>
  <c r="M24" i="21"/>
  <c r="L10" i="26"/>
  <c r="J4" i="26"/>
  <c r="P12" i="63"/>
  <c r="X12" i="63"/>
  <c r="Y12" i="63" s="1"/>
  <c r="H68" i="21"/>
  <c r="D14" i="22"/>
  <c r="I138" i="34"/>
  <c r="J138" i="34" s="1"/>
  <c r="E21" i="4"/>
  <c r="E52" i="15"/>
  <c r="H52" i="15"/>
  <c r="K52" i="15"/>
  <c r="E104" i="15"/>
  <c r="H104" i="15" s="1"/>
  <c r="K104" i="15"/>
  <c r="C64" i="16"/>
  <c r="D64" i="16" s="1"/>
  <c r="E64" i="16" s="1"/>
  <c r="F64" i="16"/>
  <c r="H64" i="16"/>
  <c r="I64" i="16" s="1"/>
  <c r="L64" i="16" s="1"/>
  <c r="C60" i="16"/>
  <c r="D60" i="16"/>
  <c r="F60" i="16"/>
  <c r="H60" i="16" s="1"/>
  <c r="I67" i="34"/>
  <c r="J67" i="34" s="1"/>
  <c r="I177" i="34"/>
  <c r="J177" i="34" s="1"/>
  <c r="AW230" i="34"/>
  <c r="BA230" i="34"/>
  <c r="I230" i="34"/>
  <c r="J230" i="34" s="1"/>
  <c r="L220" i="34"/>
  <c r="L225" i="34"/>
  <c r="Q68" i="34"/>
  <c r="Q135" i="34" s="1"/>
  <c r="Q134" i="34"/>
  <c r="J14" i="24"/>
  <c r="E28" i="40"/>
  <c r="F25" i="40"/>
  <c r="M54" i="21"/>
  <c r="F47" i="16"/>
  <c r="H47" i="16" s="1"/>
  <c r="E217" i="10"/>
  <c r="L28" i="18"/>
  <c r="I116" i="63"/>
  <c r="AB116" i="63" s="1"/>
  <c r="N116" i="63"/>
  <c r="L239" i="8"/>
  <c r="K239" i="8" s="1"/>
  <c r="I144" i="63"/>
  <c r="AB144" i="63"/>
  <c r="N144" i="63"/>
  <c r="Q23" i="24"/>
  <c r="B70" i="14"/>
  <c r="E70" i="14"/>
  <c r="H70" i="14" s="1"/>
  <c r="B29" i="14"/>
  <c r="K8" i="22"/>
  <c r="K14" i="22"/>
  <c r="L242" i="8"/>
  <c r="K242" i="8" s="1"/>
  <c r="O57" i="29"/>
  <c r="O63" i="29"/>
  <c r="J31" i="51"/>
  <c r="J56" i="51" s="1"/>
  <c r="D153" i="55"/>
  <c r="D156" i="55"/>
  <c r="D158" i="55" s="1"/>
  <c r="D132" i="55" s="1"/>
  <c r="D6" i="55" s="1"/>
  <c r="D153" i="56"/>
  <c r="D156" i="56" s="1"/>
  <c r="D158" i="56" s="1"/>
  <c r="D132" i="56" s="1"/>
  <c r="N97" i="63"/>
  <c r="P73" i="63"/>
  <c r="N50" i="63"/>
  <c r="P24" i="63"/>
  <c r="O23" i="29"/>
  <c r="O25" i="29" s="1"/>
  <c r="I13" i="18"/>
  <c r="O24" i="18"/>
  <c r="O25" i="18"/>
  <c r="O33" i="18"/>
  <c r="O37" i="18"/>
  <c r="G8" i="50"/>
  <c r="G27" i="50"/>
  <c r="P165" i="63"/>
  <c r="I53" i="63"/>
  <c r="AB53" i="63"/>
  <c r="N53" i="63"/>
  <c r="O27" i="63"/>
  <c r="T27" i="63" s="1"/>
  <c r="O15" i="29"/>
  <c r="O34" i="18"/>
  <c r="E8" i="22"/>
  <c r="H53" i="8"/>
  <c r="H72" i="8" s="1"/>
  <c r="B60" i="61"/>
  <c r="B65" i="61"/>
  <c r="L234" i="8"/>
  <c r="K234" i="8" s="1"/>
  <c r="L241" i="8"/>
  <c r="K241" i="8" s="1"/>
  <c r="M8" i="64"/>
  <c r="H55" i="21"/>
  <c r="K43" i="21"/>
  <c r="K56" i="15"/>
  <c r="L61" i="29"/>
  <c r="L63" i="29"/>
  <c r="L66" i="29"/>
  <c r="C8" i="22"/>
  <c r="G44" i="21"/>
  <c r="C18" i="61"/>
  <c r="E18" i="61"/>
  <c r="C9" i="15"/>
  <c r="E9" i="15" s="1"/>
  <c r="H9" i="15"/>
  <c r="B35" i="34"/>
  <c r="I35" i="34"/>
  <c r="J35" i="34" s="1"/>
  <c r="C107" i="15"/>
  <c r="B131" i="34"/>
  <c r="L3" i="8"/>
  <c r="L118" i="8" s="1"/>
  <c r="C11" i="7"/>
  <c r="P48" i="21"/>
  <c r="P71" i="21"/>
  <c r="P72" i="21" s="1"/>
  <c r="L8" i="23"/>
  <c r="E15" i="61"/>
  <c r="C15" i="61"/>
  <c r="C42" i="61" s="1"/>
  <c r="F42" i="21"/>
  <c r="R42" i="21" s="1"/>
  <c r="B22" i="22"/>
  <c r="O22" i="22" s="1"/>
  <c r="B149" i="34"/>
  <c r="C125" i="15"/>
  <c r="K125" i="15" s="1"/>
  <c r="B31" i="34"/>
  <c r="E39" i="14"/>
  <c r="H39" i="14"/>
  <c r="K28" i="15"/>
  <c r="E28" i="15"/>
  <c r="H28" i="15"/>
  <c r="Q65" i="34"/>
  <c r="Q131" i="34"/>
  <c r="P97" i="21"/>
  <c r="P139" i="21"/>
  <c r="L19" i="22"/>
  <c r="L24" i="22" s="1"/>
  <c r="L23" i="22" s="1"/>
  <c r="P98" i="21" s="1"/>
  <c r="T61" i="63"/>
  <c r="V61" i="63"/>
  <c r="N69" i="29"/>
  <c r="P28" i="63"/>
  <c r="X28" i="63" s="1"/>
  <c r="Y28" i="63" s="1"/>
  <c r="Q28" i="63" s="1"/>
  <c r="E17" i="2"/>
  <c r="P37" i="63"/>
  <c r="O37" i="63"/>
  <c r="G51" i="21"/>
  <c r="T28" i="63"/>
  <c r="O157" i="63"/>
  <c r="V157" i="63"/>
  <c r="P157" i="63"/>
  <c r="X157" i="63"/>
  <c r="Y157" i="63"/>
  <c r="O57" i="63"/>
  <c r="B44" i="25"/>
  <c r="A44" i="25"/>
  <c r="O41" i="63"/>
  <c r="T41" i="63" s="1"/>
  <c r="O69" i="63"/>
  <c r="P61" i="63"/>
  <c r="O86" i="63"/>
  <c r="X86" i="63"/>
  <c r="Y86" i="63"/>
  <c r="P77" i="63"/>
  <c r="O65" i="63"/>
  <c r="P65" i="63"/>
  <c r="X65" i="63"/>
  <c r="Y65" i="63" s="1"/>
  <c r="L57" i="34"/>
  <c r="L124" i="34"/>
  <c r="L123" i="34"/>
  <c r="J251" i="34"/>
  <c r="K53" i="21"/>
  <c r="P50" i="63"/>
  <c r="O50" i="63"/>
  <c r="T50" i="63" s="1"/>
  <c r="V24" i="63"/>
  <c r="X73" i="63"/>
  <c r="Y73" i="63"/>
  <c r="F153" i="21"/>
  <c r="Q178" i="10"/>
  <c r="Q179" i="10"/>
  <c r="H81" i="64"/>
  <c r="H83" i="64" s="1"/>
  <c r="E81" i="64"/>
  <c r="F131" i="21"/>
  <c r="E40" i="14"/>
  <c r="E73" i="14" s="1"/>
  <c r="I17" i="56"/>
  <c r="I44" i="56"/>
  <c r="I32" i="56"/>
  <c r="E5" i="56"/>
  <c r="I16" i="56"/>
  <c r="I6" i="56"/>
  <c r="X165" i="63"/>
  <c r="Y165" i="63" s="1"/>
  <c r="M2" i="36"/>
  <c r="R66" i="21"/>
  <c r="R28" i="21"/>
  <c r="Q112" i="34"/>
  <c r="Q45" i="34"/>
  <c r="Q113" i="34" s="1"/>
  <c r="L153" i="34"/>
  <c r="L88" i="34"/>
  <c r="L89" i="34" s="1"/>
  <c r="Q123" i="34"/>
  <c r="Q57" i="34"/>
  <c r="Q58" i="34" s="1"/>
  <c r="L139" i="34"/>
  <c r="L73" i="34"/>
  <c r="L74" i="34"/>
  <c r="V27" i="63"/>
  <c r="B68" i="14"/>
  <c r="L217" i="10"/>
  <c r="E231" i="10"/>
  <c r="N60" i="50"/>
  <c r="J159" i="21"/>
  <c r="J136" i="21"/>
  <c r="I90" i="21"/>
  <c r="I130" i="21" s="1"/>
  <c r="I81" i="21"/>
  <c r="I121" i="21"/>
  <c r="I125" i="21" s="1"/>
  <c r="I113" i="21" s="1"/>
  <c r="I89" i="21"/>
  <c r="I129" i="21" s="1"/>
  <c r="I103" i="21"/>
  <c r="E14" i="23"/>
  <c r="E15" i="23"/>
  <c r="B65" i="14"/>
  <c r="C30" i="4"/>
  <c r="K62" i="50"/>
  <c r="K64" i="50" s="1"/>
  <c r="L150" i="34"/>
  <c r="L84" i="34"/>
  <c r="J12" i="24"/>
  <c r="K23" i="24"/>
  <c r="H24" i="9"/>
  <c r="H32" i="9" s="1"/>
  <c r="H34" i="9" s="1"/>
  <c r="H201" i="9" s="1"/>
  <c r="F290" i="9"/>
  <c r="F293" i="9" s="1"/>
  <c r="I149" i="34"/>
  <c r="J149" i="34"/>
  <c r="L69" i="8"/>
  <c r="K69" i="8" s="1"/>
  <c r="F46" i="64"/>
  <c r="H46" i="64"/>
  <c r="K46" i="64"/>
  <c r="L120" i="8"/>
  <c r="O120" i="8" s="1"/>
  <c r="L112" i="8"/>
  <c r="P112" i="8"/>
  <c r="X112" i="8" s="1"/>
  <c r="L41" i="8"/>
  <c r="P41" i="8"/>
  <c r="L58" i="8"/>
  <c r="K58" i="8" s="1"/>
  <c r="L150" i="8"/>
  <c r="P150" i="8"/>
  <c r="X150" i="8"/>
  <c r="L40" i="8"/>
  <c r="O40" i="8" s="1"/>
  <c r="L65" i="8"/>
  <c r="K65" i="8"/>
  <c r="L60" i="8"/>
  <c r="K60" i="8" s="1"/>
  <c r="L106" i="8"/>
  <c r="P106" i="8"/>
  <c r="X106" i="8" s="1"/>
  <c r="L109" i="8"/>
  <c r="N109" i="8"/>
  <c r="L110" i="8"/>
  <c r="O110" i="8" s="1"/>
  <c r="W110" i="8" s="1"/>
  <c r="L74" i="8"/>
  <c r="O74" i="8"/>
  <c r="L124" i="8"/>
  <c r="P124" i="8" s="1"/>
  <c r="L127" i="8"/>
  <c r="P127" i="8"/>
  <c r="X127" i="8" s="1"/>
  <c r="L51" i="8"/>
  <c r="O51" i="8"/>
  <c r="W51" i="8"/>
  <c r="L122" i="8"/>
  <c r="O122" i="8" s="1"/>
  <c r="W122" i="8" s="1"/>
  <c r="L111" i="8"/>
  <c r="O111" i="8" s="1"/>
  <c r="W111" i="8" s="1"/>
  <c r="L80" i="8"/>
  <c r="O80" i="8"/>
  <c r="L48" i="8"/>
  <c r="P48" i="8" s="1"/>
  <c r="X48" i="8" s="1"/>
  <c r="G45" i="21"/>
  <c r="G46" i="21" s="1"/>
  <c r="G43" i="21"/>
  <c r="I31" i="34"/>
  <c r="J31" i="34"/>
  <c r="B32" i="34"/>
  <c r="E107" i="15"/>
  <c r="H107" i="15"/>
  <c r="P49" i="21"/>
  <c r="H15" i="61"/>
  <c r="K9" i="15"/>
  <c r="T37" i="63"/>
  <c r="V37" i="63"/>
  <c r="B45" i="25"/>
  <c r="B46" i="25" s="1"/>
  <c r="T157" i="63"/>
  <c r="C199" i="9"/>
  <c r="X37" i="63"/>
  <c r="Y37" i="63"/>
  <c r="E17" i="5"/>
  <c r="E18" i="5" s="1"/>
  <c r="E17" i="6"/>
  <c r="E18" i="6"/>
  <c r="E18" i="2"/>
  <c r="E17" i="3"/>
  <c r="E18" i="3" s="1"/>
  <c r="E17" i="4"/>
  <c r="E18" i="4"/>
  <c r="X77" i="63"/>
  <c r="Y77" i="63" s="1"/>
  <c r="T69" i="63"/>
  <c r="V69" i="63"/>
  <c r="T86" i="63"/>
  <c r="V86" i="63"/>
  <c r="T65" i="63"/>
  <c r="V65" i="63"/>
  <c r="V41" i="63"/>
  <c r="X50" i="63"/>
  <c r="Y50" i="63"/>
  <c r="I153" i="21"/>
  <c r="I155" i="21" s="1"/>
  <c r="J81" i="21"/>
  <c r="J122" i="21"/>
  <c r="J103" i="21"/>
  <c r="F14" i="23" s="1"/>
  <c r="K80" i="21"/>
  <c r="K90" i="21" s="1"/>
  <c r="K130" i="21" s="1"/>
  <c r="K81" i="21"/>
  <c r="K122" i="21" s="1"/>
  <c r="J89" i="21"/>
  <c r="J129" i="21"/>
  <c r="J121" i="21"/>
  <c r="J153" i="21" s="1"/>
  <c r="J155" i="21" s="1"/>
  <c r="J90" i="21"/>
  <c r="J130" i="21"/>
  <c r="I122" i="21"/>
  <c r="L154" i="34"/>
  <c r="H40" i="14"/>
  <c r="H73" i="14" s="1"/>
  <c r="Q46" i="34"/>
  <c r="Q114" i="34"/>
  <c r="C32" i="4"/>
  <c r="E30" i="4"/>
  <c r="E32" i="4"/>
  <c r="I146" i="21"/>
  <c r="I164" i="21" s="1"/>
  <c r="I165" i="21" s="1"/>
  <c r="L140" i="34"/>
  <c r="Q124" i="34"/>
  <c r="H158" i="21"/>
  <c r="V50" i="63"/>
  <c r="P109" i="8"/>
  <c r="K150" i="8"/>
  <c r="O150" i="8"/>
  <c r="W150" i="8" s="1"/>
  <c r="N41" i="8"/>
  <c r="V41" i="8"/>
  <c r="P120" i="8"/>
  <c r="X120" i="8" s="1"/>
  <c r="K40" i="8"/>
  <c r="P40" i="8"/>
  <c r="X40" i="8" s="1"/>
  <c r="N51" i="8"/>
  <c r="N124" i="8"/>
  <c r="V124" i="8"/>
  <c r="A45" i="25"/>
  <c r="L80" i="21"/>
  <c r="E63" i="67"/>
  <c r="N25" i="16"/>
  <c r="H55" i="67"/>
  <c r="P116" i="63"/>
  <c r="O116" i="63"/>
  <c r="C25" i="49"/>
  <c r="C28" i="49"/>
  <c r="M64" i="50"/>
  <c r="Q180" i="10"/>
  <c r="Q181" i="10"/>
  <c r="Q182" i="10"/>
  <c r="Q183" i="10" s="1"/>
  <c r="Q184" i="10" s="1"/>
  <c r="Q185" i="10" s="1"/>
  <c r="G82" i="64"/>
  <c r="J82" i="64" s="1"/>
  <c r="P21" i="64"/>
  <c r="C5" i="49"/>
  <c r="N50" i="50"/>
  <c r="H29" i="61"/>
  <c r="H68" i="61"/>
  <c r="E68" i="61"/>
  <c r="E5" i="55"/>
  <c r="I16" i="55" s="1"/>
  <c r="I6" i="55"/>
  <c r="E16" i="16"/>
  <c r="L51" i="34"/>
  <c r="L118" i="34"/>
  <c r="K52" i="50"/>
  <c r="K54" i="50"/>
  <c r="E64" i="64"/>
  <c r="J64" i="64" s="1"/>
  <c r="G64" i="64"/>
  <c r="I64" i="64"/>
  <c r="H64" i="64"/>
  <c r="H66" i="64" s="1"/>
  <c r="O138" i="63"/>
  <c r="V138" i="63"/>
  <c r="K17" i="55"/>
  <c r="K32" i="55"/>
  <c r="K6" i="55"/>
  <c r="L113" i="34"/>
  <c r="I71" i="21"/>
  <c r="I72" i="21" s="1"/>
  <c r="I74" i="21" s="1"/>
  <c r="L18" i="64"/>
  <c r="K180" i="8"/>
  <c r="E13" i="22"/>
  <c r="E18" i="22" s="1"/>
  <c r="L157" i="8"/>
  <c r="C41" i="64"/>
  <c r="H41" i="64" s="1"/>
  <c r="J41" i="64" s="1"/>
  <c r="M41" i="64" s="1"/>
  <c r="L43" i="21"/>
  <c r="L140" i="21" s="1"/>
  <c r="F31" i="18"/>
  <c r="F35" i="18"/>
  <c r="I175" i="34"/>
  <c r="F51" i="21"/>
  <c r="I136" i="34"/>
  <c r="J45" i="21"/>
  <c r="J46" i="21"/>
  <c r="I22" i="34"/>
  <c r="I250" i="34"/>
  <c r="I9" i="34"/>
  <c r="Q17" i="34"/>
  <c r="Q18" i="34" s="1"/>
  <c r="M14" i="21"/>
  <c r="M37" i="21"/>
  <c r="L14" i="21"/>
  <c r="F62" i="21"/>
  <c r="N62" i="21"/>
  <c r="K51" i="21"/>
  <c r="O51" i="21"/>
  <c r="I39" i="34"/>
  <c r="J39" i="34" s="1"/>
  <c r="N110" i="63"/>
  <c r="N103" i="63"/>
  <c r="C125" i="66"/>
  <c r="K125" i="66" s="1"/>
  <c r="B145" i="66"/>
  <c r="C27" i="67"/>
  <c r="D27" i="67" s="1"/>
  <c r="E27" i="67" s="1"/>
  <c r="G27" i="67"/>
  <c r="F27" i="67"/>
  <c r="I102" i="63"/>
  <c r="AB102" i="63" s="1"/>
  <c r="N90" i="63"/>
  <c r="E61" i="66"/>
  <c r="H61" i="66" s="1"/>
  <c r="K61" i="66"/>
  <c r="K86" i="66"/>
  <c r="L25" i="65"/>
  <c r="L36" i="65" s="1"/>
  <c r="C45" i="66"/>
  <c r="E45" i="66" s="1"/>
  <c r="H45" i="66" s="1"/>
  <c r="B77" i="66"/>
  <c r="E12" i="66"/>
  <c r="H12" i="66" s="1"/>
  <c r="K12" i="66"/>
  <c r="G24" i="67"/>
  <c r="H24" i="67" s="1"/>
  <c r="N24" i="67" s="1"/>
  <c r="C24" i="67"/>
  <c r="D24" i="67"/>
  <c r="E24" i="67" s="1"/>
  <c r="G52" i="67"/>
  <c r="F52" i="67"/>
  <c r="C52" i="67"/>
  <c r="D52" i="67" s="1"/>
  <c r="F19" i="67"/>
  <c r="G19" i="67"/>
  <c r="F18" i="67"/>
  <c r="F23" i="67"/>
  <c r="K62" i="66"/>
  <c r="E62" i="66"/>
  <c r="H62" i="66"/>
  <c r="K64" i="66"/>
  <c r="E64" i="66"/>
  <c r="H64" i="66"/>
  <c r="K85" i="66"/>
  <c r="K122" i="66"/>
  <c r="F57" i="67"/>
  <c r="G57" i="67"/>
  <c r="C28" i="68"/>
  <c r="B96" i="68"/>
  <c r="E28" i="68"/>
  <c r="K120" i="66"/>
  <c r="E120" i="66"/>
  <c r="H120" i="66" s="1"/>
  <c r="G29" i="67"/>
  <c r="C46" i="68"/>
  <c r="C64" i="68"/>
  <c r="E64" i="68"/>
  <c r="C49" i="68"/>
  <c r="E49" i="68"/>
  <c r="C51" i="68"/>
  <c r="E51" i="68"/>
  <c r="L37" i="21"/>
  <c r="J22" i="34"/>
  <c r="K157" i="8"/>
  <c r="V116" i="63"/>
  <c r="T116" i="63"/>
  <c r="J136" i="34"/>
  <c r="F13" i="22"/>
  <c r="F14" i="22"/>
  <c r="E14" i="22"/>
  <c r="T138" i="63"/>
  <c r="P138" i="63"/>
  <c r="X138" i="63"/>
  <c r="Y138" i="63" s="1"/>
  <c r="X116" i="63"/>
  <c r="Y116" i="63"/>
  <c r="L32" i="65"/>
  <c r="J33" i="48"/>
  <c r="H149" i="8" s="1"/>
  <c r="J250" i="34"/>
  <c r="J9" i="34"/>
  <c r="E17" i="23"/>
  <c r="E18" i="23"/>
  <c r="I104" i="21" s="1"/>
  <c r="Q116" i="63"/>
  <c r="AE116" i="63" s="1"/>
  <c r="B29" i="64"/>
  <c r="O9" i="26"/>
  <c r="K16" i="55"/>
  <c r="G97" i="21"/>
  <c r="C19" i="22"/>
  <c r="C24" i="22"/>
  <c r="C23" i="22"/>
  <c r="G98" i="21" s="1"/>
  <c r="G140" i="21" s="1"/>
  <c r="D22" i="9"/>
  <c r="I23" i="9"/>
  <c r="I43" i="21"/>
  <c r="I67" i="21"/>
  <c r="I68" i="21"/>
  <c r="H21" i="26"/>
  <c r="B40" i="61"/>
  <c r="D31" i="18"/>
  <c r="D35" i="18"/>
  <c r="D41" i="18" s="1"/>
  <c r="D43" i="18" s="1"/>
  <c r="G71" i="21"/>
  <c r="G72" i="21"/>
  <c r="G74" i="21" s="1"/>
  <c r="G146" i="21"/>
  <c r="G164" i="21"/>
  <c r="G165" i="21"/>
  <c r="M2" i="34"/>
  <c r="R65" i="21"/>
  <c r="J15" i="60"/>
  <c r="G237" i="34"/>
  <c r="I237" i="34"/>
  <c r="J237" i="34" s="1"/>
  <c r="Q14" i="38"/>
  <c r="Q6" i="38"/>
  <c r="Q5" i="38" s="1"/>
  <c r="I208" i="9"/>
  <c r="D217" i="9"/>
  <c r="I217" i="9"/>
  <c r="Q159" i="21"/>
  <c r="Q136" i="21"/>
  <c r="J146" i="21"/>
  <c r="S53" i="29"/>
  <c r="F21" i="26"/>
  <c r="M20" i="64"/>
  <c r="P20" i="64"/>
  <c r="P45" i="63"/>
  <c r="X45" i="63" s="1"/>
  <c r="Y45" i="63" s="1"/>
  <c r="O45" i="63"/>
  <c r="K10" i="15"/>
  <c r="I243" i="8"/>
  <c r="L237" i="8"/>
  <c r="K237" i="8"/>
  <c r="J16" i="56"/>
  <c r="L16" i="56" s="1"/>
  <c r="N16" i="56" s="1"/>
  <c r="J30" i="56"/>
  <c r="J32" i="56"/>
  <c r="J17" i="56"/>
  <c r="L17" i="56"/>
  <c r="L19" i="56" s="1"/>
  <c r="N19" i="56" s="1"/>
  <c r="N21" i="56" s="1"/>
  <c r="E29" i="15"/>
  <c r="H29" i="15" s="1"/>
  <c r="K29" i="15"/>
  <c r="E89" i="15"/>
  <c r="H89" i="15"/>
  <c r="K89" i="15"/>
  <c r="B147" i="15"/>
  <c r="E51" i="48"/>
  <c r="H36" i="48"/>
  <c r="M43" i="37"/>
  <c r="AG4" i="38" s="1"/>
  <c r="T25" i="29"/>
  <c r="N135" i="21"/>
  <c r="N31" i="21"/>
  <c r="C15" i="16"/>
  <c r="D15" i="16"/>
  <c r="C31" i="16"/>
  <c r="D31" i="16" s="1"/>
  <c r="J31" i="21"/>
  <c r="H7" i="21"/>
  <c r="F31" i="16"/>
  <c r="H31" i="16" s="1"/>
  <c r="N147" i="63"/>
  <c r="C28" i="23"/>
  <c r="O58" i="50"/>
  <c r="Q56" i="21"/>
  <c r="Q18" i="21" s="1"/>
  <c r="Q19" i="21" s="1"/>
  <c r="B18" i="23"/>
  <c r="F104" i="21" s="1"/>
  <c r="F147" i="21" s="1"/>
  <c r="F148" i="21" s="1"/>
  <c r="F115" i="21" s="1"/>
  <c r="P55" i="63"/>
  <c r="X55" i="63" s="1"/>
  <c r="Y55" i="63" s="1"/>
  <c r="J13" i="24"/>
  <c r="K127" i="15"/>
  <c r="I145" i="34"/>
  <c r="J145" i="34"/>
  <c r="U36" i="11"/>
  <c r="Q25" i="29"/>
  <c r="Q53" i="29" s="1"/>
  <c r="Q140" i="21"/>
  <c r="H18" i="16"/>
  <c r="I18" i="16" s="1"/>
  <c r="L18" i="16" s="1"/>
  <c r="E199" i="9"/>
  <c r="D199" i="10"/>
  <c r="D201" i="10" s="1"/>
  <c r="G69" i="64"/>
  <c r="H43" i="21"/>
  <c r="H140" i="21"/>
  <c r="H49" i="21"/>
  <c r="H53" i="21" s="1"/>
  <c r="H56" i="21" s="1"/>
  <c r="H139" i="21"/>
  <c r="H141" i="21" s="1"/>
  <c r="H160" i="21"/>
  <c r="H161" i="21" s="1"/>
  <c r="I117" i="34"/>
  <c r="J117" i="34"/>
  <c r="H231" i="9"/>
  <c r="H290" i="9" s="1"/>
  <c r="I205" i="8"/>
  <c r="H54" i="48"/>
  <c r="F72" i="10"/>
  <c r="F184" i="10" s="1"/>
  <c r="I214" i="34"/>
  <c r="J214" i="34"/>
  <c r="I129" i="34"/>
  <c r="J129" i="34" s="1"/>
  <c r="L17" i="34"/>
  <c r="L18" i="34"/>
  <c r="P101" i="43"/>
  <c r="P77" i="43"/>
  <c r="I94" i="60"/>
  <c r="K94" i="60"/>
  <c r="P10" i="64"/>
  <c r="E128" i="66"/>
  <c r="H128" i="66"/>
  <c r="E59" i="66"/>
  <c r="H59" i="66" s="1"/>
  <c r="C54" i="67"/>
  <c r="D54" i="67"/>
  <c r="E54" i="67"/>
  <c r="G50" i="67"/>
  <c r="F33" i="67"/>
  <c r="F42" i="67"/>
  <c r="K84" i="66"/>
  <c r="E116" i="66"/>
  <c r="H116" i="66" s="1"/>
  <c r="K17" i="21"/>
  <c r="I76" i="34"/>
  <c r="J76" i="34" s="1"/>
  <c r="I128" i="34"/>
  <c r="J128" i="34"/>
  <c r="L21" i="25"/>
  <c r="N35" i="21"/>
  <c r="O24" i="21"/>
  <c r="N112" i="63"/>
  <c r="N102" i="63"/>
  <c r="N93" i="63"/>
  <c r="O10" i="64"/>
  <c r="K111" i="66"/>
  <c r="K21" i="66"/>
  <c r="C64" i="67"/>
  <c r="D64" i="67" s="1"/>
  <c r="E64" i="67" s="1"/>
  <c r="G54" i="67"/>
  <c r="E95" i="66"/>
  <c r="H95" i="66" s="1"/>
  <c r="C42" i="67"/>
  <c r="D42" i="67"/>
  <c r="E42" i="67" s="1"/>
  <c r="O49" i="21"/>
  <c r="O53" i="21"/>
  <c r="C288" i="9"/>
  <c r="C290" i="9" s="1"/>
  <c r="C293" i="9" s="1"/>
  <c r="G231" i="9"/>
  <c r="D34" i="9"/>
  <c r="I155" i="34"/>
  <c r="J155" i="34" s="1"/>
  <c r="I17" i="21"/>
  <c r="K14" i="21"/>
  <c r="K37" i="21" s="1"/>
  <c r="N14" i="21"/>
  <c r="N37" i="21"/>
  <c r="Q14" i="21"/>
  <c r="Q37" i="21" s="1"/>
  <c r="L14" i="25"/>
  <c r="P94" i="43"/>
  <c r="P58" i="43"/>
  <c r="N80" i="63"/>
  <c r="K25" i="66"/>
  <c r="F64" i="67"/>
  <c r="H64" i="67" s="1"/>
  <c r="F58" i="67"/>
  <c r="H58" i="67" s="1"/>
  <c r="I58" i="67" s="1"/>
  <c r="C50" i="68"/>
  <c r="I50" i="68" s="1"/>
  <c r="K90" i="66"/>
  <c r="E118" i="66"/>
  <c r="H118" i="66" s="1"/>
  <c r="L75" i="34"/>
  <c r="L142" i="34" s="1"/>
  <c r="L141" i="34"/>
  <c r="I131" i="34"/>
  <c r="J131" i="34"/>
  <c r="V57" i="63"/>
  <c r="T57" i="63"/>
  <c r="H130" i="21"/>
  <c r="H131" i="21"/>
  <c r="H143" i="21" s="1"/>
  <c r="H114" i="21" s="1"/>
  <c r="R35" i="21"/>
  <c r="R36" i="21" s="1"/>
  <c r="N48" i="8"/>
  <c r="J9" i="24"/>
  <c r="I23" i="24"/>
  <c r="O96" i="63"/>
  <c r="P96" i="63"/>
  <c r="X96" i="63"/>
  <c r="Y96" i="63" s="1"/>
  <c r="C46" i="18"/>
  <c r="C41" i="18"/>
  <c r="C43" i="18"/>
  <c r="K48" i="8"/>
  <c r="L58" i="34"/>
  <c r="Q154" i="21"/>
  <c r="R123" i="21"/>
  <c r="R154" i="21" s="1"/>
  <c r="P22" i="8" s="1"/>
  <c r="K112" i="8"/>
  <c r="O112" i="8"/>
  <c r="W112" i="8" s="1"/>
  <c r="Q132" i="34"/>
  <c r="Q66" i="34"/>
  <c r="Q133" i="34"/>
  <c r="F80" i="64"/>
  <c r="G81" i="64"/>
  <c r="G83" i="64" s="1"/>
  <c r="B21" i="49"/>
  <c r="F155" i="21"/>
  <c r="B11" i="36"/>
  <c r="R39" i="21"/>
  <c r="R40" i="21"/>
  <c r="M45" i="60"/>
  <c r="J27" i="60"/>
  <c r="J29" i="60" s="1"/>
  <c r="J31" i="60" s="1"/>
  <c r="H39" i="16"/>
  <c r="I39" i="16"/>
  <c r="L39" i="16" s="1"/>
  <c r="K12" i="60"/>
  <c r="K13" i="60" s="1"/>
  <c r="E66" i="48"/>
  <c r="K11" i="15"/>
  <c r="E11" i="15"/>
  <c r="H11" i="15" s="1"/>
  <c r="E69" i="14"/>
  <c r="H69" i="14" s="1"/>
  <c r="C69" i="14"/>
  <c r="H125" i="21"/>
  <c r="H113" i="21" s="1"/>
  <c r="I81" i="64"/>
  <c r="I9" i="36"/>
  <c r="O99" i="63"/>
  <c r="T99" i="63" s="1"/>
  <c r="C184" i="10"/>
  <c r="C199" i="10" s="1"/>
  <c r="C201" i="10" s="1"/>
  <c r="K136" i="21"/>
  <c r="I21" i="64"/>
  <c r="G65" i="64" s="1"/>
  <c r="J65" i="64" s="1"/>
  <c r="K15" i="60"/>
  <c r="K16" i="60"/>
  <c r="C29" i="64"/>
  <c r="B38" i="64"/>
  <c r="G38" i="64" s="1"/>
  <c r="I18" i="64"/>
  <c r="E127" i="10"/>
  <c r="J52" i="50"/>
  <c r="J54" i="50" s="1"/>
  <c r="K8" i="60"/>
  <c r="K9" i="60" s="1"/>
  <c r="K54" i="15"/>
  <c r="E54" i="15"/>
  <c r="H54" i="15"/>
  <c r="C39" i="64"/>
  <c r="H39" i="64"/>
  <c r="I39" i="64" s="1"/>
  <c r="M39" i="64" s="1"/>
  <c r="M19" i="64"/>
  <c r="P19" i="64"/>
  <c r="A6" i="25"/>
  <c r="B7" i="25"/>
  <c r="O97" i="21"/>
  <c r="O139" i="21"/>
  <c r="K19" i="22"/>
  <c r="K24" i="22"/>
  <c r="K23" i="22" s="1"/>
  <c r="O98" i="21" s="1"/>
  <c r="G114" i="51"/>
  <c r="G116" i="51"/>
  <c r="J62" i="50"/>
  <c r="J64" i="50"/>
  <c r="E20" i="26"/>
  <c r="E23" i="26"/>
  <c r="I290" i="10"/>
  <c r="I293" i="10"/>
  <c r="L21" i="64"/>
  <c r="K84" i="15"/>
  <c r="E84" i="15"/>
  <c r="H84" i="15"/>
  <c r="Q148" i="34"/>
  <c r="Q82" i="34"/>
  <c r="H29" i="16"/>
  <c r="M38" i="17"/>
  <c r="B19" i="22"/>
  <c r="B24" i="22"/>
  <c r="B23" i="22" s="1"/>
  <c r="F98" i="21" s="1"/>
  <c r="I210" i="34"/>
  <c r="J210" i="34"/>
  <c r="I36" i="34"/>
  <c r="J36" i="34"/>
  <c r="I110" i="34"/>
  <c r="L37" i="60"/>
  <c r="G57" i="16"/>
  <c r="H57" i="16"/>
  <c r="I57" i="16" s="1"/>
  <c r="L57" i="16" s="1"/>
  <c r="L65" i="34"/>
  <c r="E102" i="15"/>
  <c r="H102" i="15" s="1"/>
  <c r="C45" i="16"/>
  <c r="D45" i="16" s="1"/>
  <c r="E45" i="16" s="1"/>
  <c r="I73" i="34"/>
  <c r="J73" i="34"/>
  <c r="G231" i="10"/>
  <c r="G290" i="10"/>
  <c r="L229" i="10"/>
  <c r="H229" i="8"/>
  <c r="H231" i="8" s="1"/>
  <c r="H290" i="8"/>
  <c r="H231" i="10"/>
  <c r="H290" i="10"/>
  <c r="H293" i="10" s="1"/>
  <c r="I144" i="34"/>
  <c r="J144" i="34" s="1"/>
  <c r="I229" i="34"/>
  <c r="J229" i="34" s="1"/>
  <c r="P35" i="43"/>
  <c r="P27" i="43"/>
  <c r="P19" i="43"/>
  <c r="N6" i="26" s="1"/>
  <c r="P16" i="43"/>
  <c r="I83" i="63"/>
  <c r="AB83" i="63"/>
  <c r="N83" i="63"/>
  <c r="E9" i="66"/>
  <c r="H9" i="66" s="1"/>
  <c r="K9" i="66"/>
  <c r="E31" i="66"/>
  <c r="H31" i="66"/>
  <c r="K31" i="66"/>
  <c r="E41" i="66"/>
  <c r="H41" i="66"/>
  <c r="K41" i="66"/>
  <c r="E109" i="66"/>
  <c r="H109" i="66"/>
  <c r="K109" i="66"/>
  <c r="G56" i="67"/>
  <c r="F56" i="67"/>
  <c r="E78" i="48"/>
  <c r="K117" i="15"/>
  <c r="I209" i="34"/>
  <c r="J209" i="34" s="1"/>
  <c r="G139" i="21"/>
  <c r="G141" i="21" s="1"/>
  <c r="G45" i="16"/>
  <c r="E16" i="15"/>
  <c r="H16" i="15"/>
  <c r="K51" i="15"/>
  <c r="E121" i="15"/>
  <c r="H121" i="15" s="1"/>
  <c r="K42" i="15"/>
  <c r="H17" i="21"/>
  <c r="H18" i="21" s="1"/>
  <c r="H19" i="21" s="1"/>
  <c r="C20" i="16"/>
  <c r="D20" i="16"/>
  <c r="I59" i="34"/>
  <c r="J59" i="34" s="1"/>
  <c r="AW129" i="34"/>
  <c r="BA129" i="34"/>
  <c r="P61" i="43"/>
  <c r="P37" i="43"/>
  <c r="AA30" i="63"/>
  <c r="AA53" i="63"/>
  <c r="O53" i="63"/>
  <c r="AA92" i="63"/>
  <c r="AA94" i="63"/>
  <c r="AA104" i="63"/>
  <c r="O104" i="63"/>
  <c r="AA114" i="63"/>
  <c r="P114" i="63" s="1"/>
  <c r="AA14" i="63"/>
  <c r="P14" i="63"/>
  <c r="X14" i="63" s="1"/>
  <c r="Y14" i="63" s="1"/>
  <c r="AA15" i="63"/>
  <c r="P15" i="63"/>
  <c r="X15" i="63" s="1"/>
  <c r="Y15" i="63" s="1"/>
  <c r="AA29" i="63"/>
  <c r="P29" i="63"/>
  <c r="X29" i="63" s="1"/>
  <c r="AA34" i="63"/>
  <c r="AA38" i="63"/>
  <c r="AA42" i="63"/>
  <c r="O42" i="63" s="1"/>
  <c r="AA47" i="63"/>
  <c r="AA52" i="63"/>
  <c r="AA58" i="63"/>
  <c r="AA62" i="63"/>
  <c r="AA66" i="63"/>
  <c r="P66" i="63"/>
  <c r="AA70" i="63"/>
  <c r="AA74" i="63"/>
  <c r="O74" i="63"/>
  <c r="T74" i="63"/>
  <c r="AA79" i="63"/>
  <c r="AA88" i="63"/>
  <c r="AA145" i="63"/>
  <c r="AA121" i="63"/>
  <c r="AA113" i="63"/>
  <c r="P113" i="63" s="1"/>
  <c r="X113" i="63" s="1"/>
  <c r="Y113" i="63" s="1"/>
  <c r="AA105" i="63"/>
  <c r="O105" i="63" s="1"/>
  <c r="P105" i="63"/>
  <c r="AA97" i="63"/>
  <c r="O97" i="63"/>
  <c r="AA83" i="63"/>
  <c r="AA51" i="63"/>
  <c r="O51" i="63" s="1"/>
  <c r="AA102" i="63"/>
  <c r="AA112" i="63"/>
  <c r="AA120" i="63"/>
  <c r="AA122" i="63"/>
  <c r="O122" i="63"/>
  <c r="AA135" i="63"/>
  <c r="O135" i="63" s="1"/>
  <c r="AA137" i="63"/>
  <c r="P137" i="63"/>
  <c r="X137" i="63"/>
  <c r="Y137" i="63" s="1"/>
  <c r="AA155" i="63"/>
  <c r="AA158" i="63"/>
  <c r="AA166" i="63"/>
  <c r="AA16" i="63"/>
  <c r="O16" i="63" s="1"/>
  <c r="AA17" i="63"/>
  <c r="AA31" i="63"/>
  <c r="P31" i="63" s="1"/>
  <c r="X31" i="63" s="1"/>
  <c r="Y31" i="63" s="1"/>
  <c r="AA35" i="63"/>
  <c r="O35" i="63" s="1"/>
  <c r="AA39" i="63"/>
  <c r="O39" i="63"/>
  <c r="AA43" i="63"/>
  <c r="AA49" i="63"/>
  <c r="AA54" i="63"/>
  <c r="O54" i="63"/>
  <c r="AA59" i="63"/>
  <c r="O59" i="63" s="1"/>
  <c r="AA63" i="63"/>
  <c r="AA67" i="63"/>
  <c r="P67" i="63"/>
  <c r="AA71" i="63"/>
  <c r="O71" i="63" s="1"/>
  <c r="AA75" i="63"/>
  <c r="O75" i="63"/>
  <c r="AA82" i="63"/>
  <c r="O82" i="63" s="1"/>
  <c r="AA90" i="63"/>
  <c r="AA144" i="63"/>
  <c r="AA119" i="63"/>
  <c r="AA111" i="63"/>
  <c r="AA103" i="63"/>
  <c r="AA95" i="63"/>
  <c r="P95" i="63" s="1"/>
  <c r="X95" i="63" s="1"/>
  <c r="Y95" i="63" s="1"/>
  <c r="AA81" i="63"/>
  <c r="AA48" i="63"/>
  <c r="O48" i="63" s="1"/>
  <c r="AA78" i="63"/>
  <c r="AA89" i="63"/>
  <c r="O89" i="63" s="1"/>
  <c r="AA100" i="63"/>
  <c r="AA108" i="63"/>
  <c r="AA110" i="63"/>
  <c r="AA118" i="63"/>
  <c r="O118" i="63" s="1"/>
  <c r="AA156" i="63"/>
  <c r="P156" i="63"/>
  <c r="AA11" i="63"/>
  <c r="P11" i="63" s="1"/>
  <c r="AA25" i="63"/>
  <c r="AA32" i="63"/>
  <c r="AA36" i="63"/>
  <c r="P36" i="63" s="1"/>
  <c r="AA40" i="63"/>
  <c r="AA44" i="63"/>
  <c r="O44" i="63" s="1"/>
  <c r="AA46" i="63"/>
  <c r="AA56" i="63"/>
  <c r="O56" i="63"/>
  <c r="AA60" i="63"/>
  <c r="AA64" i="63"/>
  <c r="P64" i="63"/>
  <c r="X64" i="63"/>
  <c r="Y64" i="63" s="1"/>
  <c r="AA68" i="63"/>
  <c r="P68" i="63"/>
  <c r="X68" i="63"/>
  <c r="Y68" i="63" s="1"/>
  <c r="AA72" i="63"/>
  <c r="AA76" i="63"/>
  <c r="AA84" i="63"/>
  <c r="P84" i="63" s="1"/>
  <c r="X84" i="63" s="1"/>
  <c r="Y84" i="63" s="1"/>
  <c r="AA91" i="63"/>
  <c r="AA143" i="63"/>
  <c r="AA117" i="63"/>
  <c r="AA109" i="63"/>
  <c r="O109" i="63"/>
  <c r="AA101" i="63"/>
  <c r="AA93" i="63"/>
  <c r="AA80" i="63"/>
  <c r="E39" i="66"/>
  <c r="H39" i="66" s="1"/>
  <c r="K39" i="66"/>
  <c r="E54" i="66"/>
  <c r="H54" i="66"/>
  <c r="K54" i="66"/>
  <c r="K58" i="66"/>
  <c r="E58" i="66"/>
  <c r="H58" i="66"/>
  <c r="E102" i="66"/>
  <c r="H102" i="66" s="1"/>
  <c r="K102" i="66"/>
  <c r="E106" i="66"/>
  <c r="H106" i="66" s="1"/>
  <c r="K106" i="66"/>
  <c r="C49" i="67"/>
  <c r="D49" i="67"/>
  <c r="E49" i="67" s="1"/>
  <c r="F49" i="67"/>
  <c r="H49" i="67"/>
  <c r="I49" i="67"/>
  <c r="L49" i="67" s="1"/>
  <c r="F53" i="67"/>
  <c r="C53" i="67"/>
  <c r="D53" i="67"/>
  <c r="G53" i="67"/>
  <c r="E51" i="66"/>
  <c r="H51" i="66"/>
  <c r="K51" i="66"/>
  <c r="G20" i="67"/>
  <c r="F20" i="67"/>
  <c r="H20" i="67"/>
  <c r="C20" i="67"/>
  <c r="D20" i="67" s="1"/>
  <c r="E20" i="67" s="1"/>
  <c r="I23" i="22"/>
  <c r="M98" i="21"/>
  <c r="M140" i="21" s="1"/>
  <c r="M141" i="21" s="1"/>
  <c r="J11" i="24"/>
  <c r="J23" i="24"/>
  <c r="I221" i="34"/>
  <c r="J221" i="34" s="1"/>
  <c r="E64" i="15"/>
  <c r="H64" i="15"/>
  <c r="I23" i="34"/>
  <c r="J23" i="34" s="1"/>
  <c r="K130" i="15"/>
  <c r="F20" i="16"/>
  <c r="H20" i="16" s="1"/>
  <c r="I20" i="16" s="1"/>
  <c r="U26" i="8"/>
  <c r="K12" i="26"/>
  <c r="I183" i="34"/>
  <c r="J183" i="34" s="1"/>
  <c r="I219" i="34"/>
  <c r="J219" i="34"/>
  <c r="I90" i="34"/>
  <c r="J90" i="34" s="1"/>
  <c r="I197" i="34"/>
  <c r="J197" i="34"/>
  <c r="D231" i="10"/>
  <c r="D290" i="10" s="1"/>
  <c r="N17" i="21"/>
  <c r="I20" i="34"/>
  <c r="J20" i="34" s="1"/>
  <c r="I167" i="34"/>
  <c r="J167" i="34"/>
  <c r="P82" i="43"/>
  <c r="N7" i="23"/>
  <c r="N8" i="23" s="1"/>
  <c r="I98" i="63"/>
  <c r="AB98" i="63"/>
  <c r="N98" i="63"/>
  <c r="E107" i="66"/>
  <c r="H107" i="66"/>
  <c r="E47" i="66"/>
  <c r="H47" i="66" s="1"/>
  <c r="G33" i="67"/>
  <c r="H33" i="67"/>
  <c r="I33" i="67"/>
  <c r="L33" i="67" s="1"/>
  <c r="E11" i="66"/>
  <c r="H11" i="66"/>
  <c r="K11" i="66"/>
  <c r="E18" i="66"/>
  <c r="H18" i="66" s="1"/>
  <c r="K18" i="66"/>
  <c r="E22" i="66"/>
  <c r="H22" i="66" s="1"/>
  <c r="K22" i="66"/>
  <c r="E34" i="66"/>
  <c r="H34" i="66"/>
  <c r="K34" i="66"/>
  <c r="O31" i="29"/>
  <c r="O45" i="29"/>
  <c r="O51" i="29"/>
  <c r="C72" i="8"/>
  <c r="C184" i="8" s="1"/>
  <c r="C199" i="8" s="1"/>
  <c r="G22" i="50"/>
  <c r="G35" i="50"/>
  <c r="J94" i="60"/>
  <c r="K17" i="66"/>
  <c r="C59" i="67"/>
  <c r="D59" i="67" s="1"/>
  <c r="E59" i="67" s="1"/>
  <c r="G32" i="67"/>
  <c r="H32" i="67"/>
  <c r="I32" i="67" s="1"/>
  <c r="L32" i="67" s="1"/>
  <c r="G15" i="67"/>
  <c r="H15" i="67"/>
  <c r="I15" i="67" s="1"/>
  <c r="L15" i="67" s="1"/>
  <c r="K63" i="66"/>
  <c r="N121" i="63"/>
  <c r="O121" i="63"/>
  <c r="P9" i="64"/>
  <c r="K94" i="66"/>
  <c r="K33" i="66"/>
  <c r="K43" i="66"/>
  <c r="K124" i="66"/>
  <c r="G23" i="67"/>
  <c r="H23" i="67"/>
  <c r="I23" i="67"/>
  <c r="L23" i="67" s="1"/>
  <c r="F44" i="67"/>
  <c r="H44" i="67"/>
  <c r="I44" i="67"/>
  <c r="L44" i="67" s="1"/>
  <c r="F41" i="67"/>
  <c r="H41" i="67"/>
  <c r="I41" i="67"/>
  <c r="L41" i="67" s="1"/>
  <c r="Q50" i="63"/>
  <c r="E43" i="16"/>
  <c r="V77" i="63"/>
  <c r="Q77" i="63" s="1"/>
  <c r="T77" i="63"/>
  <c r="G163" i="10"/>
  <c r="L163" i="10"/>
  <c r="B147" i="66"/>
  <c r="Q86" i="63"/>
  <c r="AE86" i="63"/>
  <c r="G201" i="9"/>
  <c r="T167" i="63"/>
  <c r="V167" i="63"/>
  <c r="Q167" i="63"/>
  <c r="R167" i="63"/>
  <c r="T73" i="63"/>
  <c r="V73" i="63"/>
  <c r="Q73" i="63"/>
  <c r="L44" i="56"/>
  <c r="H284" i="8" s="1"/>
  <c r="I284" i="8" s="1"/>
  <c r="D21" i="40"/>
  <c r="K45" i="21"/>
  <c r="K46" i="21"/>
  <c r="L26" i="10"/>
  <c r="I32" i="10"/>
  <c r="F21" i="40"/>
  <c r="J43" i="21"/>
  <c r="J41" i="21"/>
  <c r="Q57" i="63"/>
  <c r="O67" i="63"/>
  <c r="N140" i="63"/>
  <c r="K17" i="15"/>
  <c r="E17" i="15"/>
  <c r="H17" i="15" s="1"/>
  <c r="I161" i="8"/>
  <c r="Q50" i="34"/>
  <c r="Q117" i="34"/>
  <c r="E61" i="15"/>
  <c r="H61" i="15"/>
  <c r="K61" i="15"/>
  <c r="Q139" i="21"/>
  <c r="Q67" i="21"/>
  <c r="Q68" i="21"/>
  <c r="Q74" i="21" s="1"/>
  <c r="E43" i="15"/>
  <c r="H43" i="15"/>
  <c r="K43" i="15"/>
  <c r="K95" i="15"/>
  <c r="E95" i="15"/>
  <c r="H95" i="15"/>
  <c r="G288" i="9"/>
  <c r="J51" i="21"/>
  <c r="J17" i="21"/>
  <c r="I11" i="26"/>
  <c r="I22" i="26"/>
  <c r="I5" i="26"/>
  <c r="O5" i="26" s="1"/>
  <c r="I13" i="26"/>
  <c r="I8" i="26"/>
  <c r="O8" i="26" s="1"/>
  <c r="I6" i="26"/>
  <c r="E49" i="15"/>
  <c r="H49" i="15"/>
  <c r="K49" i="15"/>
  <c r="G56" i="16"/>
  <c r="F56" i="16"/>
  <c r="G52" i="16"/>
  <c r="F52" i="16"/>
  <c r="H52" i="16" s="1"/>
  <c r="N52" i="16" s="1"/>
  <c r="G44" i="16"/>
  <c r="F44" i="16"/>
  <c r="F66" i="29"/>
  <c r="F69" i="29" s="1"/>
  <c r="F71" i="29" s="1"/>
  <c r="C76" i="61"/>
  <c r="H46" i="16"/>
  <c r="J49" i="21"/>
  <c r="J53" i="21"/>
  <c r="J56" i="21"/>
  <c r="F55" i="21"/>
  <c r="O87" i="63"/>
  <c r="V87" i="63"/>
  <c r="B5" i="49"/>
  <c r="N139" i="21"/>
  <c r="N160" i="21"/>
  <c r="N67" i="21"/>
  <c r="N68" i="21"/>
  <c r="I242" i="34"/>
  <c r="J242" i="34"/>
  <c r="G242" i="34"/>
  <c r="N49" i="21"/>
  <c r="N53" i="21" s="1"/>
  <c r="N56" i="21" s="1"/>
  <c r="N18" i="21" s="1"/>
  <c r="N19" i="21" s="1"/>
  <c r="K31" i="18"/>
  <c r="N71" i="21"/>
  <c r="N72" i="21"/>
  <c r="N74" i="21"/>
  <c r="I10" i="26"/>
  <c r="O10" i="26" s="1"/>
  <c r="K22" i="15"/>
  <c r="L156" i="8"/>
  <c r="K156" i="8" s="1"/>
  <c r="L179" i="8"/>
  <c r="K179" i="8"/>
  <c r="L167" i="8"/>
  <c r="K167" i="8" s="1"/>
  <c r="K96" i="15"/>
  <c r="E96" i="15"/>
  <c r="H96" i="15"/>
  <c r="AW215" i="34"/>
  <c r="I215" i="34"/>
  <c r="J215" i="34"/>
  <c r="T53" i="29"/>
  <c r="G245" i="34"/>
  <c r="I245" i="34"/>
  <c r="J245" i="34"/>
  <c r="K92" i="15"/>
  <c r="E92" i="15"/>
  <c r="H92" i="15" s="1"/>
  <c r="I171" i="8"/>
  <c r="I182" i="8"/>
  <c r="H182" i="8"/>
  <c r="L166" i="8"/>
  <c r="K166" i="8"/>
  <c r="L148" i="8"/>
  <c r="K148" i="8" s="1"/>
  <c r="AW231" i="34"/>
  <c r="I231" i="34"/>
  <c r="J231" i="34"/>
  <c r="P118" i="63"/>
  <c r="F45" i="21"/>
  <c r="F46" i="21"/>
  <c r="C65" i="14"/>
  <c r="I129" i="8"/>
  <c r="H71" i="21"/>
  <c r="H72" i="21"/>
  <c r="H74" i="21"/>
  <c r="E93" i="15"/>
  <c r="H93" i="15" s="1"/>
  <c r="K37" i="60"/>
  <c r="C56" i="16"/>
  <c r="U37" i="35"/>
  <c r="I113" i="9"/>
  <c r="L24" i="10"/>
  <c r="E119" i="15"/>
  <c r="H119" i="15" s="1"/>
  <c r="K119" i="15"/>
  <c r="AW191" i="34"/>
  <c r="R12" i="21"/>
  <c r="R17" i="21" s="1"/>
  <c r="I179" i="34"/>
  <c r="J179" i="34"/>
  <c r="R124" i="21"/>
  <c r="I50" i="16"/>
  <c r="L50" i="16" s="1"/>
  <c r="J184" i="10"/>
  <c r="J199" i="10"/>
  <c r="L148" i="34"/>
  <c r="K114" i="15"/>
  <c r="H63" i="29"/>
  <c r="H66" i="29"/>
  <c r="H69" i="29" s="1"/>
  <c r="H71" i="29" s="1"/>
  <c r="I37" i="34"/>
  <c r="J37" i="34"/>
  <c r="P62" i="21"/>
  <c r="P74" i="21" s="1"/>
  <c r="I169" i="9"/>
  <c r="F34" i="9"/>
  <c r="F201" i="9" s="1"/>
  <c r="C231" i="10"/>
  <c r="C290" i="10"/>
  <c r="H34" i="10"/>
  <c r="H201" i="10" s="1"/>
  <c r="M50" i="17"/>
  <c r="E288" i="10"/>
  <c r="L288" i="10"/>
  <c r="L165" i="8"/>
  <c r="K165" i="8" s="1"/>
  <c r="AI2" i="38"/>
  <c r="I42" i="34"/>
  <c r="J42" i="34" s="1"/>
  <c r="I14" i="21"/>
  <c r="I37" i="21"/>
  <c r="R172" i="10"/>
  <c r="E55" i="66"/>
  <c r="H55" i="66" s="1"/>
  <c r="K55" i="66"/>
  <c r="E89" i="66"/>
  <c r="H89" i="66" s="1"/>
  <c r="K89" i="66"/>
  <c r="E99" i="66"/>
  <c r="H99" i="66"/>
  <c r="K99" i="66"/>
  <c r="K114" i="66"/>
  <c r="E114" i="66"/>
  <c r="H114" i="66"/>
  <c r="K231" i="10"/>
  <c r="K290" i="10" s="1"/>
  <c r="K293" i="10" s="1"/>
  <c r="I26" i="34"/>
  <c r="I225" i="34"/>
  <c r="J225" i="34" s="1"/>
  <c r="C40" i="1"/>
  <c r="C41" i="1"/>
  <c r="F14" i="21"/>
  <c r="F37" i="21" s="1"/>
  <c r="E115" i="66"/>
  <c r="H115" i="66"/>
  <c r="K115" i="66"/>
  <c r="L15" i="25"/>
  <c r="P81" i="43"/>
  <c r="P52" i="43"/>
  <c r="P50" i="43"/>
  <c r="P25" i="43"/>
  <c r="P17" i="43"/>
  <c r="P13" i="43"/>
  <c r="E108" i="66"/>
  <c r="H108" i="66" s="1"/>
  <c r="K108" i="66"/>
  <c r="P70" i="43"/>
  <c r="K14" i="66"/>
  <c r="E14" i="66"/>
  <c r="H14" i="66"/>
  <c r="E28" i="66"/>
  <c r="H28" i="66" s="1"/>
  <c r="K28" i="66"/>
  <c r="E113" i="66"/>
  <c r="H113" i="66"/>
  <c r="K113" i="66"/>
  <c r="O8" i="18"/>
  <c r="O13" i="18"/>
  <c r="O14" i="18"/>
  <c r="L14" i="8" s="1"/>
  <c r="G28" i="50"/>
  <c r="H5" i="50"/>
  <c r="J5" i="50"/>
  <c r="C56" i="51"/>
  <c r="N158" i="63"/>
  <c r="P158" i="63"/>
  <c r="X158" i="63"/>
  <c r="Y158" i="63" s="1"/>
  <c r="N107" i="63"/>
  <c r="P107" i="63"/>
  <c r="X107" i="63"/>
  <c r="Y107" i="63" s="1"/>
  <c r="K10" i="66"/>
  <c r="E15" i="66"/>
  <c r="H15" i="66"/>
  <c r="P69" i="43"/>
  <c r="N12" i="26"/>
  <c r="P49" i="43"/>
  <c r="J61" i="29"/>
  <c r="J63" i="29" s="1"/>
  <c r="J66" i="29" s="1"/>
  <c r="J69" i="29" s="1"/>
  <c r="J71" i="29" s="1"/>
  <c r="O38" i="18"/>
  <c r="L56" i="51"/>
  <c r="K91" i="66"/>
  <c r="E50" i="68"/>
  <c r="P107" i="43"/>
  <c r="P102" i="43"/>
  <c r="P86" i="43"/>
  <c r="N13" i="26"/>
  <c r="P45" i="43"/>
  <c r="F23" i="18"/>
  <c r="C94" i="60"/>
  <c r="N100" i="63"/>
  <c r="P100" i="63" s="1"/>
  <c r="X100" i="63" s="1"/>
  <c r="Y100" i="63" s="1"/>
  <c r="N79" i="63"/>
  <c r="H73" i="64"/>
  <c r="K83" i="66"/>
  <c r="F40" i="67"/>
  <c r="C45" i="68"/>
  <c r="F18" i="22"/>
  <c r="G13" i="22"/>
  <c r="R86" i="63"/>
  <c r="X61" i="63"/>
  <c r="Y61" i="63" s="1"/>
  <c r="Q157" i="63"/>
  <c r="R157" i="63"/>
  <c r="Q32" i="34"/>
  <c r="Q6" i="34"/>
  <c r="C145" i="66"/>
  <c r="C147" i="66"/>
  <c r="E125" i="66"/>
  <c r="H125" i="66" s="1"/>
  <c r="G169" i="10"/>
  <c r="H18" i="61"/>
  <c r="J175" i="34"/>
  <c r="J164" i="21"/>
  <c r="J165" i="21" s="1"/>
  <c r="V48" i="8"/>
  <c r="I131" i="21"/>
  <c r="I158" i="21"/>
  <c r="O144" i="63"/>
  <c r="P144" i="63"/>
  <c r="R24" i="21"/>
  <c r="F53" i="21"/>
  <c r="F56" i="21" s="1"/>
  <c r="F18" i="21" s="1"/>
  <c r="F19" i="21" s="1"/>
  <c r="F122" i="21"/>
  <c r="R30" i="21"/>
  <c r="F15" i="23"/>
  <c r="F18" i="23"/>
  <c r="J104" i="21" s="1"/>
  <c r="J147" i="21" s="1"/>
  <c r="J148" i="21" s="1"/>
  <c r="F17" i="23"/>
  <c r="L90" i="21"/>
  <c r="L103" i="21"/>
  <c r="M80" i="21"/>
  <c r="L121" i="21"/>
  <c r="L89" i="21"/>
  <c r="L129" i="21"/>
  <c r="L81" i="21"/>
  <c r="X24" i="63"/>
  <c r="C9" i="49"/>
  <c r="C12" i="49"/>
  <c r="M54" i="50"/>
  <c r="H22" i="26"/>
  <c r="H19" i="15"/>
  <c r="J131" i="21"/>
  <c r="J158" i="21"/>
  <c r="O127" i="8"/>
  <c r="W127" i="8"/>
  <c r="K127" i="8"/>
  <c r="N127" i="8"/>
  <c r="Q27" i="63"/>
  <c r="T54" i="63"/>
  <c r="V54" i="63"/>
  <c r="K107" i="15"/>
  <c r="K89" i="21"/>
  <c r="K103" i="21"/>
  <c r="K121" i="21"/>
  <c r="L125" i="34"/>
  <c r="L59" i="34"/>
  <c r="Q37" i="63"/>
  <c r="AE37" i="63"/>
  <c r="K80" i="8"/>
  <c r="N80" i="8"/>
  <c r="N111" i="8"/>
  <c r="K111" i="8"/>
  <c r="P51" i="8"/>
  <c r="K51" i="8"/>
  <c r="N110" i="8"/>
  <c r="C31" i="5"/>
  <c r="B76" i="14"/>
  <c r="B9" i="38"/>
  <c r="E29" i="14"/>
  <c r="E42" i="14" s="1"/>
  <c r="E43" i="14" s="1"/>
  <c r="E46" i="14" s="1"/>
  <c r="C29" i="14"/>
  <c r="B42" i="14"/>
  <c r="N40" i="8"/>
  <c r="V99" i="63"/>
  <c r="Q99" i="63"/>
  <c r="O123" i="63"/>
  <c r="C32" i="5"/>
  <c r="C70" i="14"/>
  <c r="K74" i="21"/>
  <c r="O88" i="63"/>
  <c r="P88" i="63"/>
  <c r="G153" i="21"/>
  <c r="G155" i="21"/>
  <c r="G125" i="21"/>
  <c r="G113" i="21" s="1"/>
  <c r="I49" i="21"/>
  <c r="R48" i="21"/>
  <c r="K44" i="15"/>
  <c r="E44" i="15"/>
  <c r="H44" i="15"/>
  <c r="I53" i="8"/>
  <c r="I53" i="9"/>
  <c r="D72" i="9"/>
  <c r="L162" i="8"/>
  <c r="L226" i="34"/>
  <c r="L231" i="34"/>
  <c r="M7" i="64"/>
  <c r="T136" i="63"/>
  <c r="V136" i="63"/>
  <c r="P159" i="63"/>
  <c r="X159" i="63" s="1"/>
  <c r="Y159" i="63" s="1"/>
  <c r="O159" i="63"/>
  <c r="P26" i="63"/>
  <c r="O26" i="63"/>
  <c r="L164" i="8"/>
  <c r="C12" i="64"/>
  <c r="C16" i="64"/>
  <c r="N159" i="21"/>
  <c r="N136" i="21"/>
  <c r="E39" i="15"/>
  <c r="H39" i="15"/>
  <c r="K39" i="15"/>
  <c r="D231" i="9"/>
  <c r="D14" i="23"/>
  <c r="H146" i="21"/>
  <c r="P87" i="63"/>
  <c r="O4" i="26"/>
  <c r="O14" i="26"/>
  <c r="O91" i="63"/>
  <c r="P91" i="63"/>
  <c r="P44" i="63"/>
  <c r="P166" i="63"/>
  <c r="X166" i="63"/>
  <c r="O166" i="63"/>
  <c r="I217" i="8"/>
  <c r="G159" i="21"/>
  <c r="G136" i="21"/>
  <c r="G143" i="21" s="1"/>
  <c r="G114" i="21" s="1"/>
  <c r="L40" i="64"/>
  <c r="K40" i="64"/>
  <c r="I40" i="64"/>
  <c r="M40" i="64" s="1"/>
  <c r="H17" i="14"/>
  <c r="O113" i="63"/>
  <c r="H31" i="14"/>
  <c r="P115" i="63"/>
  <c r="O115" i="63"/>
  <c r="T165" i="63"/>
  <c r="V165" i="63"/>
  <c r="H31" i="61"/>
  <c r="H60" i="61"/>
  <c r="H65" i="61"/>
  <c r="G79" i="61"/>
  <c r="E60" i="61"/>
  <c r="E65" i="61"/>
  <c r="D65" i="61"/>
  <c r="H86" i="64"/>
  <c r="O85" i="63"/>
  <c r="P85" i="63"/>
  <c r="T87" i="63"/>
  <c r="I32" i="55"/>
  <c r="I17" i="55"/>
  <c r="I229" i="8"/>
  <c r="Q66" i="29"/>
  <c r="Q69" i="29"/>
  <c r="Q88" i="34"/>
  <c r="I70" i="8"/>
  <c r="I72" i="8"/>
  <c r="K233" i="8"/>
  <c r="K243" i="8" s="1"/>
  <c r="D59" i="29" s="1"/>
  <c r="X59" i="29" s="1"/>
  <c r="AF59" i="29" s="1"/>
  <c r="K154" i="8"/>
  <c r="O106" i="63"/>
  <c r="O145" i="63"/>
  <c r="L240" i="8"/>
  <c r="K240" i="8"/>
  <c r="K163" i="8"/>
  <c r="H36" i="16"/>
  <c r="I36" i="16" s="1"/>
  <c r="L36" i="16" s="1"/>
  <c r="L49" i="21"/>
  <c r="L53" i="21"/>
  <c r="L56" i="21" s="1"/>
  <c r="L18" i="21" s="1"/>
  <c r="L19" i="21" s="1"/>
  <c r="C158" i="56"/>
  <c r="C132" i="56" s="1"/>
  <c r="C17" i="23"/>
  <c r="AI2" i="36"/>
  <c r="R110" i="21"/>
  <c r="I195" i="9"/>
  <c r="I208" i="34"/>
  <c r="J208" i="34"/>
  <c r="U18" i="8"/>
  <c r="I184" i="34"/>
  <c r="P17" i="21"/>
  <c r="I212" i="34"/>
  <c r="J212" i="34"/>
  <c r="I240" i="34"/>
  <c r="J240" i="34"/>
  <c r="K126" i="15"/>
  <c r="L134" i="34"/>
  <c r="L151" i="34"/>
  <c r="K118" i="15"/>
  <c r="E120" i="15"/>
  <c r="H120" i="15"/>
  <c r="Q70" i="34"/>
  <c r="O17" i="21"/>
  <c r="N10" i="23"/>
  <c r="I50" i="34"/>
  <c r="G54" i="21"/>
  <c r="I135" i="21"/>
  <c r="E36" i="15"/>
  <c r="H36" i="15" s="1"/>
  <c r="O14" i="21"/>
  <c r="L16" i="25"/>
  <c r="E97" i="66"/>
  <c r="H97" i="66" s="1"/>
  <c r="K97" i="66"/>
  <c r="K104" i="66"/>
  <c r="E104" i="66"/>
  <c r="H104" i="66" s="1"/>
  <c r="C18" i="67"/>
  <c r="D18" i="67"/>
  <c r="E18" i="67"/>
  <c r="G18" i="67"/>
  <c r="H18" i="67"/>
  <c r="C29" i="67"/>
  <c r="D29" i="67"/>
  <c r="E29" i="67" s="1"/>
  <c r="F29" i="67"/>
  <c r="H29" i="67"/>
  <c r="C36" i="67"/>
  <c r="D36" i="67" s="1"/>
  <c r="F36" i="67"/>
  <c r="G36" i="67"/>
  <c r="H36" i="67"/>
  <c r="F38" i="67"/>
  <c r="G38" i="67"/>
  <c r="E6" i="69"/>
  <c r="G6" i="69" s="1"/>
  <c r="I6" i="69" s="1"/>
  <c r="G267" i="8" s="1"/>
  <c r="I267" i="8" s="1"/>
  <c r="I286" i="8" s="1"/>
  <c r="I288" i="8" s="1"/>
  <c r="K129" i="66"/>
  <c r="K57" i="66"/>
  <c r="E57" i="66"/>
  <c r="H57" i="66" s="1"/>
  <c r="H94" i="68"/>
  <c r="N52" i="63"/>
  <c r="N49" i="63"/>
  <c r="E100" i="66"/>
  <c r="H100" i="66"/>
  <c r="D61" i="14"/>
  <c r="E61" i="14" s="1"/>
  <c r="D71" i="14"/>
  <c r="E71" i="14" s="1"/>
  <c r="G45" i="67"/>
  <c r="C45" i="67"/>
  <c r="D45" i="67" s="1"/>
  <c r="E45" i="67" s="1"/>
  <c r="F45" i="67"/>
  <c r="H45" i="67"/>
  <c r="B97" i="68"/>
  <c r="E37" i="68"/>
  <c r="C37" i="68"/>
  <c r="B94" i="68"/>
  <c r="E40" i="68"/>
  <c r="C40" i="68"/>
  <c r="E98" i="66"/>
  <c r="H98" i="66"/>
  <c r="E83" i="66"/>
  <c r="E101" i="66"/>
  <c r="H101" i="66"/>
  <c r="F34" i="67"/>
  <c r="H34" i="67" s="1"/>
  <c r="G34" i="67"/>
  <c r="C34" i="67"/>
  <c r="D34" i="67"/>
  <c r="E34" i="67" s="1"/>
  <c r="F39" i="67"/>
  <c r="G39" i="67"/>
  <c r="C39" i="67"/>
  <c r="D39" i="67" s="1"/>
  <c r="E39" i="67" s="1"/>
  <c r="C63" i="68"/>
  <c r="E63" i="68"/>
  <c r="K53" i="66"/>
  <c r="K29" i="66"/>
  <c r="E29" i="66"/>
  <c r="G16" i="67"/>
  <c r="H16" i="67" s="1"/>
  <c r="C16" i="67"/>
  <c r="D16" i="67"/>
  <c r="E16" i="67"/>
  <c r="F22" i="67"/>
  <c r="H22" i="67" s="1"/>
  <c r="I22" i="67" s="1"/>
  <c r="L22" i="67" s="1"/>
  <c r="G22" i="67"/>
  <c r="C43" i="68"/>
  <c r="E43" i="68"/>
  <c r="B25" i="49"/>
  <c r="B28" i="49" s="1"/>
  <c r="L64" i="50"/>
  <c r="N64" i="50"/>
  <c r="O102" i="63"/>
  <c r="T102" i="63" s="1"/>
  <c r="P102" i="63"/>
  <c r="X102" i="63"/>
  <c r="Y102" i="63"/>
  <c r="V74" i="63"/>
  <c r="P82" i="63"/>
  <c r="X82" i="63"/>
  <c r="Y82" i="63"/>
  <c r="L72" i="10"/>
  <c r="O117" i="63"/>
  <c r="P117" i="63"/>
  <c r="O111" i="63"/>
  <c r="P111" i="63"/>
  <c r="X111" i="63" s="1"/>
  <c r="Y111" i="63" s="1"/>
  <c r="O63" i="63"/>
  <c r="V63" i="63" s="1"/>
  <c r="P63" i="63"/>
  <c r="X63" i="63" s="1"/>
  <c r="Y63" i="63" s="1"/>
  <c r="O21" i="64"/>
  <c r="B8" i="25"/>
  <c r="A7" i="25"/>
  <c r="R14" i="21"/>
  <c r="R37" i="21"/>
  <c r="P48" i="63"/>
  <c r="Q160" i="21"/>
  <c r="Q141" i="21"/>
  <c r="O11" i="63"/>
  <c r="O19" i="63" s="1"/>
  <c r="V45" i="63"/>
  <c r="T45" i="63"/>
  <c r="D24" i="9"/>
  <c r="I22" i="9"/>
  <c r="I24" i="9"/>
  <c r="I32" i="9" s="1"/>
  <c r="O114" i="63"/>
  <c r="J100" i="48"/>
  <c r="R31" i="21"/>
  <c r="D46" i="18"/>
  <c r="D22" i="26"/>
  <c r="P104" i="63"/>
  <c r="O29" i="63"/>
  <c r="P89" i="63"/>
  <c r="X89" i="63" s="1"/>
  <c r="Y89" i="63" s="1"/>
  <c r="E201" i="9"/>
  <c r="E293" i="9"/>
  <c r="B73" i="61"/>
  <c r="E40" i="61"/>
  <c r="M37" i="60"/>
  <c r="D4" i="23"/>
  <c r="D3" i="23"/>
  <c r="I7" i="21"/>
  <c r="D5" i="22"/>
  <c r="D4" i="22" s="1"/>
  <c r="P75" i="63"/>
  <c r="X75" i="63" s="1"/>
  <c r="Y75" i="63" s="1"/>
  <c r="P56" i="63"/>
  <c r="L46" i="56"/>
  <c r="G4" i="49"/>
  <c r="G45" i="50"/>
  <c r="P54" i="63"/>
  <c r="X54" i="63" s="1"/>
  <c r="Y54" i="63" s="1"/>
  <c r="V53" i="63"/>
  <c r="T53" i="63"/>
  <c r="P93" i="63"/>
  <c r="O93" i="63"/>
  <c r="P143" i="63"/>
  <c r="X143" i="63" s="1"/>
  <c r="Y143" i="63" s="1"/>
  <c r="O143" i="63"/>
  <c r="P72" i="63"/>
  <c r="X72" i="63" s="1"/>
  <c r="Y72" i="63" s="1"/>
  <c r="O72" i="63"/>
  <c r="P81" i="63"/>
  <c r="O81" i="63"/>
  <c r="P119" i="63"/>
  <c r="O119" i="63"/>
  <c r="V39" i="63"/>
  <c r="T39" i="63"/>
  <c r="O112" i="63"/>
  <c r="P112" i="63"/>
  <c r="X112" i="63" s="1"/>
  <c r="Y112" i="63" s="1"/>
  <c r="T97" i="63"/>
  <c r="V97" i="63"/>
  <c r="O70" i="63"/>
  <c r="P70" i="63"/>
  <c r="P34" i="63"/>
  <c r="O34" i="63"/>
  <c r="J110" i="34"/>
  <c r="O31" i="63"/>
  <c r="P122" i="63"/>
  <c r="X122" i="63" s="1"/>
  <c r="Y122" i="63" s="1"/>
  <c r="P59" i="63"/>
  <c r="X59" i="63"/>
  <c r="Y59" i="63" s="1"/>
  <c r="E129" i="10"/>
  <c r="L127" i="10"/>
  <c r="O156" i="63"/>
  <c r="V96" i="63"/>
  <c r="T96" i="63"/>
  <c r="J81" i="64"/>
  <c r="P53" i="63"/>
  <c r="X53" i="63" s="1"/>
  <c r="Y53" i="63" s="1"/>
  <c r="H53" i="67"/>
  <c r="N53" i="67"/>
  <c r="O101" i="63"/>
  <c r="P101" i="63"/>
  <c r="X101" i="63"/>
  <c r="Y101" i="63"/>
  <c r="O46" i="63"/>
  <c r="P46" i="63"/>
  <c r="X46" i="63" s="1"/>
  <c r="Y46" i="63" s="1"/>
  <c r="P32" i="63"/>
  <c r="O32" i="63"/>
  <c r="P47" i="63"/>
  <c r="X47" i="63"/>
  <c r="Y47" i="63" s="1"/>
  <c r="O47" i="63"/>
  <c r="T104" i="63"/>
  <c r="V104" i="63"/>
  <c r="P30" i="63"/>
  <c r="O30" i="63"/>
  <c r="H56" i="67"/>
  <c r="L66" i="34"/>
  <c r="L133" i="34" s="1"/>
  <c r="L132" i="34"/>
  <c r="N29" i="16"/>
  <c r="I29" i="16"/>
  <c r="L29" i="16" s="1"/>
  <c r="P74" i="63"/>
  <c r="X74" i="63" s="1"/>
  <c r="Y74" i="63" s="1"/>
  <c r="O95" i="63"/>
  <c r="I62" i="64"/>
  <c r="I66" i="64" s="1"/>
  <c r="E62" i="64"/>
  <c r="O18" i="64"/>
  <c r="O14" i="63"/>
  <c r="O64" i="63"/>
  <c r="E80" i="48"/>
  <c r="O15" i="63"/>
  <c r="O68" i="63"/>
  <c r="P97" i="63"/>
  <c r="X97" i="63"/>
  <c r="Y97" i="63" s="1"/>
  <c r="O13" i="26"/>
  <c r="O25" i="63"/>
  <c r="P25" i="63"/>
  <c r="X25" i="63" s="1"/>
  <c r="Y25" i="63" s="1"/>
  <c r="P110" i="63"/>
  <c r="X110" i="63"/>
  <c r="Y110" i="63" s="1"/>
  <c r="O110" i="63"/>
  <c r="P78" i="63"/>
  <c r="X78" i="63"/>
  <c r="Y78" i="63" s="1"/>
  <c r="O78" i="63"/>
  <c r="P103" i="63"/>
  <c r="X103" i="63"/>
  <c r="Y103" i="63" s="1"/>
  <c r="O103" i="63"/>
  <c r="O90" i="63"/>
  <c r="P90" i="63"/>
  <c r="O62" i="63"/>
  <c r="P62" i="63"/>
  <c r="X62" i="63" s="1"/>
  <c r="Y62" i="63" s="1"/>
  <c r="O94" i="63"/>
  <c r="P94" i="63"/>
  <c r="P42" i="63"/>
  <c r="X42" i="63" s="1"/>
  <c r="Y42" i="63" s="1"/>
  <c r="P39" i="63"/>
  <c r="D25" i="49"/>
  <c r="D28" i="49" s="1"/>
  <c r="G118" i="51"/>
  <c r="X104" i="63"/>
  <c r="Y104" i="63" s="1"/>
  <c r="O36" i="63"/>
  <c r="I6" i="36"/>
  <c r="I5" i="36"/>
  <c r="I11" i="36"/>
  <c r="J9" i="36"/>
  <c r="P51" i="63"/>
  <c r="G66" i="64"/>
  <c r="S35" i="21"/>
  <c r="S34" i="21"/>
  <c r="O84" i="63"/>
  <c r="P80" i="63"/>
  <c r="O80" i="63"/>
  <c r="T117" i="63"/>
  <c r="V117" i="63"/>
  <c r="P76" i="63"/>
  <c r="X76" i="63" s="1"/>
  <c r="Y76" i="63" s="1"/>
  <c r="O76" i="63"/>
  <c r="O60" i="63"/>
  <c r="V60" i="63" s="1"/>
  <c r="P60" i="63"/>
  <c r="P40" i="63"/>
  <c r="X40" i="63"/>
  <c r="Y40" i="63"/>
  <c r="O40" i="63"/>
  <c r="O108" i="63"/>
  <c r="P108" i="63"/>
  <c r="X108" i="63"/>
  <c r="Y108" i="63" s="1"/>
  <c r="P43" i="63"/>
  <c r="O43" i="63"/>
  <c r="O17" i="63"/>
  <c r="O155" i="63"/>
  <c r="P155" i="63"/>
  <c r="X155" i="63" s="1"/>
  <c r="P120" i="63"/>
  <c r="O120" i="63"/>
  <c r="P121" i="63"/>
  <c r="X121" i="63" s="1"/>
  <c r="Y121" i="63" s="1"/>
  <c r="O58" i="63"/>
  <c r="P58" i="63"/>
  <c r="O38" i="63"/>
  <c r="P38" i="63"/>
  <c r="X38" i="63"/>
  <c r="Y38" i="63"/>
  <c r="P92" i="63"/>
  <c r="O92" i="63"/>
  <c r="Q149" i="34"/>
  <c r="Q83" i="34"/>
  <c r="P16" i="63"/>
  <c r="X16" i="63" s="1"/>
  <c r="Y16" i="63" s="1"/>
  <c r="P35" i="63"/>
  <c r="X35" i="63" s="1"/>
  <c r="Y35" i="63" s="1"/>
  <c r="O137" i="63"/>
  <c r="L54" i="50"/>
  <c r="N54" i="50" s="1"/>
  <c r="B9" i="49"/>
  <c r="B12" i="49"/>
  <c r="P109" i="63"/>
  <c r="X109" i="63" s="1"/>
  <c r="Y109" i="63" s="1"/>
  <c r="F83" i="64"/>
  <c r="J80" i="64"/>
  <c r="K22" i="26"/>
  <c r="K18" i="26"/>
  <c r="I19" i="26"/>
  <c r="D19" i="26"/>
  <c r="F19" i="26" s="1"/>
  <c r="A8" i="25"/>
  <c r="B9" i="25"/>
  <c r="N161" i="63"/>
  <c r="Q51" i="34"/>
  <c r="Q118" i="34"/>
  <c r="O11" i="26"/>
  <c r="O158" i="63"/>
  <c r="I34" i="10"/>
  <c r="I201" i="10" s="1"/>
  <c r="L32" i="10"/>
  <c r="E290" i="10"/>
  <c r="C293" i="10"/>
  <c r="G8" i="34"/>
  <c r="O100" i="63"/>
  <c r="V67" i="63"/>
  <c r="T67" i="63"/>
  <c r="T84" i="63"/>
  <c r="V84" i="63"/>
  <c r="P79" i="63"/>
  <c r="O79" i="63"/>
  <c r="F28" i="18"/>
  <c r="O23" i="18"/>
  <c r="O28" i="18"/>
  <c r="O29" i="18" s="1"/>
  <c r="L13" i="8" s="1"/>
  <c r="G290" i="9"/>
  <c r="G293" i="9"/>
  <c r="I288" i="9"/>
  <c r="L161" i="8"/>
  <c r="K161" i="8"/>
  <c r="R57" i="63"/>
  <c r="AE57" i="63"/>
  <c r="AE50" i="63"/>
  <c r="R50" i="63"/>
  <c r="J26" i="34"/>
  <c r="D56" i="16"/>
  <c r="E56" i="16" s="1"/>
  <c r="X118" i="63"/>
  <c r="Y118" i="63"/>
  <c r="H44" i="16"/>
  <c r="H56" i="16"/>
  <c r="O107" i="63"/>
  <c r="V102" i="63"/>
  <c r="X26" i="63"/>
  <c r="Y26" i="63" s="1"/>
  <c r="L232" i="34"/>
  <c r="X56" i="63"/>
  <c r="Y56" i="63" s="1"/>
  <c r="X51" i="8"/>
  <c r="L60" i="34"/>
  <c r="L126" i="34"/>
  <c r="K129" i="21"/>
  <c r="V144" i="63"/>
  <c r="T144" i="63"/>
  <c r="T147" i="63" s="1"/>
  <c r="O52" i="63"/>
  <c r="P52" i="63"/>
  <c r="I136" i="21"/>
  <c r="R135" i="21"/>
  <c r="T145" i="63"/>
  <c r="P145" i="63"/>
  <c r="X145" i="63"/>
  <c r="V145" i="63"/>
  <c r="T106" i="63"/>
  <c r="V106" i="63"/>
  <c r="Q106" i="63"/>
  <c r="Q154" i="34"/>
  <c r="Q89" i="34"/>
  <c r="X85" i="63"/>
  <c r="Y85" i="63"/>
  <c r="V115" i="63"/>
  <c r="T115" i="63"/>
  <c r="V113" i="63"/>
  <c r="T113" i="63"/>
  <c r="V166" i="63"/>
  <c r="V169" i="63" s="1"/>
  <c r="O169" i="63"/>
  <c r="T166" i="63"/>
  <c r="T169" i="63"/>
  <c r="X44" i="63"/>
  <c r="Y44" i="63" s="1"/>
  <c r="X91" i="63"/>
  <c r="Y91" i="63"/>
  <c r="Q91" i="63" s="1"/>
  <c r="I72" i="9"/>
  <c r="D184" i="9"/>
  <c r="I147" i="21"/>
  <c r="I148" i="21"/>
  <c r="I115" i="21" s="1"/>
  <c r="I53" i="21"/>
  <c r="I56" i="21"/>
  <c r="I18" i="21"/>
  <c r="I19" i="21" s="1"/>
  <c r="X88" i="63"/>
  <c r="Y88" i="63"/>
  <c r="K162" i="8"/>
  <c r="V40" i="8"/>
  <c r="H29" i="14"/>
  <c r="H68" i="14" s="1"/>
  <c r="E68" i="14"/>
  <c r="E31" i="5"/>
  <c r="C34" i="5"/>
  <c r="K125" i="21"/>
  <c r="K113" i="21" s="1"/>
  <c r="K153" i="21"/>
  <c r="K155" i="21"/>
  <c r="M121" i="21"/>
  <c r="M81" i="21"/>
  <c r="M122" i="21"/>
  <c r="M125" i="21"/>
  <c r="M113" i="21" s="1"/>
  <c r="N80" i="21"/>
  <c r="M103" i="21"/>
  <c r="M90" i="21"/>
  <c r="M130" i="21" s="1"/>
  <c r="M89" i="21"/>
  <c r="M129" i="21"/>
  <c r="G184" i="10"/>
  <c r="L169" i="10"/>
  <c r="G18" i="22"/>
  <c r="G14" i="22"/>
  <c r="O14" i="22"/>
  <c r="O13" i="22"/>
  <c r="J50" i="34"/>
  <c r="X48" i="63"/>
  <c r="Y48" i="63"/>
  <c r="X87" i="63"/>
  <c r="Y87" i="63" s="1"/>
  <c r="Q87" i="63" s="1"/>
  <c r="D17" i="23"/>
  <c r="D15" i="23"/>
  <c r="D18" i="23" s="1"/>
  <c r="H104" i="21" s="1"/>
  <c r="H147" i="21" s="1"/>
  <c r="H148" i="21" s="1"/>
  <c r="H115" i="21" s="1"/>
  <c r="H116" i="21" s="1"/>
  <c r="H117" i="21" s="1"/>
  <c r="H118" i="21" s="1"/>
  <c r="T11" i="63"/>
  <c r="T123" i="63"/>
  <c r="V123" i="63"/>
  <c r="Q123" i="63" s="1"/>
  <c r="L130" i="21"/>
  <c r="H29" i="66"/>
  <c r="H83" i="66"/>
  <c r="Q137" i="34"/>
  <c r="Q71" i="34"/>
  <c r="X117" i="63"/>
  <c r="Y117" i="63"/>
  <c r="T85" i="63"/>
  <c r="V85" i="63"/>
  <c r="X115" i="63"/>
  <c r="Y115" i="63"/>
  <c r="T91" i="63"/>
  <c r="V91" i="63"/>
  <c r="P169" i="63"/>
  <c r="H164" i="21"/>
  <c r="H165" i="21" s="1"/>
  <c r="T26" i="63"/>
  <c r="V26" i="63"/>
  <c r="T88" i="63"/>
  <c r="V88" i="63"/>
  <c r="E32" i="5"/>
  <c r="AE99" i="63"/>
  <c r="R99" i="63"/>
  <c r="I9" i="38"/>
  <c r="R37" i="63"/>
  <c r="G14" i="23"/>
  <c r="G17" i="23"/>
  <c r="K146" i="21"/>
  <c r="K164" i="21" s="1"/>
  <c r="K165" i="21" s="1"/>
  <c r="H35" i="18"/>
  <c r="H46" i="18" s="1"/>
  <c r="Q40" i="8"/>
  <c r="Y40" i="8"/>
  <c r="L122" i="21"/>
  <c r="H14" i="23"/>
  <c r="H17" i="23"/>
  <c r="L146" i="21"/>
  <c r="L164" i="21" s="1"/>
  <c r="L165" i="21" s="1"/>
  <c r="I35" i="18"/>
  <c r="F125" i="21"/>
  <c r="F113" i="21" s="1"/>
  <c r="X144" i="63"/>
  <c r="F19" i="22"/>
  <c r="J97" i="21"/>
  <c r="J139" i="21"/>
  <c r="F22" i="26"/>
  <c r="O49" i="63"/>
  <c r="P49" i="63"/>
  <c r="N125" i="63"/>
  <c r="O37" i="21"/>
  <c r="J184" i="34"/>
  <c r="L243" i="8"/>
  <c r="Q165" i="63"/>
  <c r="R165" i="63" s="1"/>
  <c r="V114" i="63"/>
  <c r="T114" i="63"/>
  <c r="I231" i="8"/>
  <c r="I231" i="9"/>
  <c r="D290" i="9"/>
  <c r="K164" i="8"/>
  <c r="T159" i="63"/>
  <c r="V159" i="63"/>
  <c r="P136" i="63"/>
  <c r="X136" i="63" s="1"/>
  <c r="Y136" i="63" s="1"/>
  <c r="M4" i="34"/>
  <c r="R71" i="21"/>
  <c r="R72" i="21"/>
  <c r="C42" i="14"/>
  <c r="C68" i="14"/>
  <c r="C76" i="14" s="1"/>
  <c r="V80" i="8"/>
  <c r="AE27" i="63"/>
  <c r="R27" i="63"/>
  <c r="V127" i="8"/>
  <c r="H20" i="26"/>
  <c r="Y24" i="63"/>
  <c r="Q24" i="63" s="1"/>
  <c r="L125" i="21"/>
  <c r="L113" i="21" s="1"/>
  <c r="L153" i="21"/>
  <c r="L155" i="21"/>
  <c r="O147" i="63"/>
  <c r="T29" i="63"/>
  <c r="V29" i="63"/>
  <c r="T111" i="63"/>
  <c r="V111" i="63"/>
  <c r="V11" i="63"/>
  <c r="H40" i="61"/>
  <c r="H73" i="61" s="1"/>
  <c r="E42" i="61"/>
  <c r="E43" i="61" s="1"/>
  <c r="E46" i="61" s="1"/>
  <c r="E73" i="61"/>
  <c r="E5" i="22"/>
  <c r="E4" i="22" s="1"/>
  <c r="J7" i="21"/>
  <c r="E4" i="23"/>
  <c r="E3" i="23" s="1"/>
  <c r="D26" i="23"/>
  <c r="D27" i="23"/>
  <c r="D28" i="23" s="1"/>
  <c r="D29" i="23"/>
  <c r="X92" i="63"/>
  <c r="Y92" i="63" s="1"/>
  <c r="T155" i="63"/>
  <c r="T161" i="63" s="1"/>
  <c r="V155" i="63"/>
  <c r="V108" i="63"/>
  <c r="T108" i="63"/>
  <c r="J6" i="36"/>
  <c r="J5" i="36" s="1"/>
  <c r="J11" i="36"/>
  <c r="L129" i="10"/>
  <c r="E184" i="10"/>
  <c r="E199" i="10" s="1"/>
  <c r="E201" i="10" s="1"/>
  <c r="T34" i="63"/>
  <c r="V34" i="63"/>
  <c r="X58" i="63"/>
  <c r="Y58" i="63" s="1"/>
  <c r="T76" i="63"/>
  <c r="V76" i="63"/>
  <c r="X94" i="63"/>
  <c r="Y94" i="63" s="1"/>
  <c r="T78" i="63"/>
  <c r="V78" i="63"/>
  <c r="E66" i="64"/>
  <c r="X34" i="63"/>
  <c r="Y34" i="63" s="1"/>
  <c r="X81" i="63"/>
  <c r="Y81" i="63"/>
  <c r="P147" i="63"/>
  <c r="T137" i="63"/>
  <c r="V137" i="63"/>
  <c r="T58" i="63"/>
  <c r="V58" i="63"/>
  <c r="X120" i="63"/>
  <c r="Y120" i="63" s="1"/>
  <c r="V17" i="63"/>
  <c r="T17" i="63"/>
  <c r="P17" i="63" s="1"/>
  <c r="X17" i="63" s="1"/>
  <c r="Y17" i="63" s="1"/>
  <c r="X80" i="63"/>
  <c r="Y80" i="63" s="1"/>
  <c r="V94" i="63"/>
  <c r="T94" i="63"/>
  <c r="T90" i="63"/>
  <c r="V90" i="63"/>
  <c r="T25" i="63"/>
  <c r="V25" i="63"/>
  <c r="V68" i="63"/>
  <c r="T68" i="63"/>
  <c r="T64" i="63"/>
  <c r="V64" i="63"/>
  <c r="V30" i="63"/>
  <c r="T30" i="63"/>
  <c r="T47" i="63"/>
  <c r="V47" i="63"/>
  <c r="V32" i="63"/>
  <c r="T32" i="63"/>
  <c r="X70" i="63"/>
  <c r="Y70" i="63"/>
  <c r="V119" i="63"/>
  <c r="T119" i="63"/>
  <c r="V38" i="63"/>
  <c r="T38" i="63"/>
  <c r="X43" i="63"/>
  <c r="Y43" i="63" s="1"/>
  <c r="T60" i="63"/>
  <c r="T62" i="63"/>
  <c r="V62" i="63"/>
  <c r="T101" i="63"/>
  <c r="V101" i="63"/>
  <c r="V156" i="63"/>
  <c r="V161" i="63" s="1"/>
  <c r="T156" i="63"/>
  <c r="T81" i="63"/>
  <c r="V81" i="63"/>
  <c r="Q81" i="63" s="1"/>
  <c r="X93" i="63"/>
  <c r="Y93" i="63" s="1"/>
  <c r="Q150" i="34"/>
  <c r="Q84" i="34"/>
  <c r="T120" i="63"/>
  <c r="V120" i="63"/>
  <c r="V40" i="63"/>
  <c r="T40" i="63"/>
  <c r="T80" i="63"/>
  <c r="V80" i="63"/>
  <c r="X90" i="63"/>
  <c r="Y90" i="63"/>
  <c r="Q90" i="63" s="1"/>
  <c r="AE90" i="63" s="1"/>
  <c r="V46" i="63"/>
  <c r="T46" i="63"/>
  <c r="V31" i="63"/>
  <c r="T31" i="63"/>
  <c r="V143" i="63"/>
  <c r="T143" i="63"/>
  <c r="O161" i="63"/>
  <c r="T92" i="63"/>
  <c r="V92" i="63"/>
  <c r="T43" i="63"/>
  <c r="V43" i="63"/>
  <c r="X60" i="63"/>
  <c r="Y60" i="63" s="1"/>
  <c r="X51" i="63"/>
  <c r="Y51" i="63"/>
  <c r="T36" i="63"/>
  <c r="V36" i="63"/>
  <c r="X39" i="63"/>
  <c r="Y39" i="63"/>
  <c r="V103" i="63"/>
  <c r="T103" i="63"/>
  <c r="V110" i="63"/>
  <c r="T110" i="63"/>
  <c r="T15" i="63"/>
  <c r="V15" i="63"/>
  <c r="T14" i="63"/>
  <c r="V14" i="63"/>
  <c r="V95" i="63"/>
  <c r="T95" i="63"/>
  <c r="X30" i="63"/>
  <c r="Y30" i="63"/>
  <c r="X32" i="63"/>
  <c r="Y32" i="63" s="1"/>
  <c r="T70" i="63"/>
  <c r="V70" i="63"/>
  <c r="Q70" i="63" s="1"/>
  <c r="T112" i="63"/>
  <c r="V112" i="63"/>
  <c r="X119" i="63"/>
  <c r="Y119" i="63" s="1"/>
  <c r="Q119" i="63" s="1"/>
  <c r="T72" i="63"/>
  <c r="V72" i="63"/>
  <c r="V93" i="63"/>
  <c r="T93" i="63"/>
  <c r="T100" i="63"/>
  <c r="V100" i="63"/>
  <c r="V158" i="63"/>
  <c r="T158" i="63"/>
  <c r="B10" i="25"/>
  <c r="A10" i="25" s="1"/>
  <c r="A9" i="25"/>
  <c r="L26" i="26"/>
  <c r="V79" i="63"/>
  <c r="T79" i="63"/>
  <c r="X79" i="63"/>
  <c r="Y79" i="63" s="1"/>
  <c r="L34" i="10"/>
  <c r="T107" i="63"/>
  <c r="V107" i="63"/>
  <c r="H42" i="14"/>
  <c r="V49" i="63"/>
  <c r="T49" i="63"/>
  <c r="H41" i="18"/>
  <c r="H43" i="18"/>
  <c r="Q138" i="34"/>
  <c r="Q72" i="34"/>
  <c r="G199" i="10"/>
  <c r="J35" i="18"/>
  <c r="J41" i="18" s="1"/>
  <c r="J43" i="18" s="1"/>
  <c r="M146" i="21"/>
  <c r="I14" i="23"/>
  <c r="I17" i="23" s="1"/>
  <c r="AE106" i="63"/>
  <c r="R106" i="63"/>
  <c r="X52" i="63"/>
  <c r="Y52" i="63"/>
  <c r="L127" i="34"/>
  <c r="N81" i="21"/>
  <c r="O80" i="21"/>
  <c r="N89" i="21"/>
  <c r="N129" i="21"/>
  <c r="N90" i="21"/>
  <c r="N103" i="21"/>
  <c r="N121" i="21"/>
  <c r="N125" i="21" s="1"/>
  <c r="N113" i="21" s="1"/>
  <c r="V52" i="63"/>
  <c r="Q52" i="63" s="1"/>
  <c r="T52" i="63"/>
  <c r="J160" i="21"/>
  <c r="J161" i="21"/>
  <c r="J9" i="38"/>
  <c r="Q88" i="63"/>
  <c r="AE88" i="63" s="1"/>
  <c r="Q155" i="34"/>
  <c r="Q90" i="34"/>
  <c r="Q85" i="63"/>
  <c r="R85" i="63" s="1"/>
  <c r="K158" i="21"/>
  <c r="K131" i="21"/>
  <c r="C59" i="29"/>
  <c r="W59" i="29"/>
  <c r="AE59" i="29" s="1"/>
  <c r="X49" i="63"/>
  <c r="Y49" i="63"/>
  <c r="Q49" i="63" s="1"/>
  <c r="AE49" i="63" s="1"/>
  <c r="Y144" i="63"/>
  <c r="R144" i="63" s="1"/>
  <c r="I41" i="18"/>
  <c r="I43" i="18" s="1"/>
  <c r="I46" i="18"/>
  <c r="K97" i="21"/>
  <c r="K139" i="21" s="1"/>
  <c r="G19" i="22"/>
  <c r="G24" i="22"/>
  <c r="G23" i="22"/>
  <c r="K98" i="21" s="1"/>
  <c r="K140" i="21" s="1"/>
  <c r="M153" i="21"/>
  <c r="M155" i="21"/>
  <c r="D199" i="9"/>
  <c r="D293" i="9" s="1"/>
  <c r="I184" i="9"/>
  <c r="H42" i="61"/>
  <c r="F4" i="23"/>
  <c r="F3" i="23"/>
  <c r="F26" i="23" s="1"/>
  <c r="F29" i="23"/>
  <c r="K7" i="21"/>
  <c r="G4" i="23" s="1"/>
  <c r="G3" i="23" s="1"/>
  <c r="F5" i="22"/>
  <c r="F4" i="22"/>
  <c r="V147" i="63"/>
  <c r="M164" i="21"/>
  <c r="M165" i="21" s="1"/>
  <c r="R88" i="63"/>
  <c r="N153" i="21"/>
  <c r="N155" i="21"/>
  <c r="O81" i="21"/>
  <c r="O122" i="21" s="1"/>
  <c r="P80" i="21"/>
  <c r="P89" i="21" s="1"/>
  <c r="O121" i="21"/>
  <c r="O89" i="21"/>
  <c r="O129" i="21" s="1"/>
  <c r="O103" i="21"/>
  <c r="O90" i="21"/>
  <c r="K35" i="18"/>
  <c r="K46" i="18"/>
  <c r="N146" i="21"/>
  <c r="N164" i="21" s="1"/>
  <c r="N165" i="21" s="1"/>
  <c r="J14" i="23"/>
  <c r="J15" i="23" s="1"/>
  <c r="J18" i="23" s="1"/>
  <c r="N104" i="21" s="1"/>
  <c r="N147" i="21" s="1"/>
  <c r="N122" i="21"/>
  <c r="G293" i="10"/>
  <c r="G201" i="10"/>
  <c r="I199" i="9"/>
  <c r="Q144" i="63"/>
  <c r="N130" i="21"/>
  <c r="Q139" i="34"/>
  <c r="Q73" i="34"/>
  <c r="Q140" i="34"/>
  <c r="F27" i="23"/>
  <c r="G5" i="22"/>
  <c r="G4" i="22" s="1"/>
  <c r="L7" i="21"/>
  <c r="H5" i="22" s="1"/>
  <c r="H4" i="22" s="1"/>
  <c r="P81" i="21"/>
  <c r="P122" i="21" s="1"/>
  <c r="P103" i="21"/>
  <c r="L14" i="23" s="1"/>
  <c r="P121" i="21"/>
  <c r="P153" i="21" s="1"/>
  <c r="P155" i="21" s="1"/>
  <c r="Q80" i="21"/>
  <c r="Q121" i="21" s="1"/>
  <c r="O153" i="21"/>
  <c r="O155" i="21" s="1"/>
  <c r="K14" i="23"/>
  <c r="O146" i="21"/>
  <c r="O164" i="21" s="1"/>
  <c r="O165" i="21" s="1"/>
  <c r="Q74" i="34"/>
  <c r="Q141" i="34" s="1"/>
  <c r="H4" i="23"/>
  <c r="H3" i="23" s="1"/>
  <c r="Q89" i="21"/>
  <c r="Q103" i="21"/>
  <c r="N35" i="18" s="1"/>
  <c r="Q90" i="21"/>
  <c r="Q130" i="21" s="1"/>
  <c r="P125" i="21"/>
  <c r="P113" i="21" s="1"/>
  <c r="P146" i="21"/>
  <c r="R103" i="21"/>
  <c r="M14" i="23"/>
  <c r="M17" i="23" s="1"/>
  <c r="Q146" i="21"/>
  <c r="Q164" i="21" s="1"/>
  <c r="Q165" i="21" s="1"/>
  <c r="Q129" i="21"/>
  <c r="V109" i="8"/>
  <c r="L14" i="64"/>
  <c r="M14" i="64"/>
  <c r="I24" i="67"/>
  <c r="L24" i="67" s="1"/>
  <c r="P7" i="64"/>
  <c r="V111" i="8"/>
  <c r="E53" i="67"/>
  <c r="L58" i="67"/>
  <c r="N26" i="16"/>
  <c r="H69" i="64"/>
  <c r="D19" i="16"/>
  <c r="I19" i="16" s="1"/>
  <c r="H53" i="16"/>
  <c r="I14" i="64"/>
  <c r="H70" i="64" s="1"/>
  <c r="G25" i="64"/>
  <c r="G27" i="64" s="1"/>
  <c r="J14" i="64"/>
  <c r="G87" i="64"/>
  <c r="I90" i="64"/>
  <c r="L33" i="64"/>
  <c r="I34" i="64" s="1"/>
  <c r="V110" i="8"/>
  <c r="X41" i="8"/>
  <c r="H19" i="16"/>
  <c r="L19" i="16"/>
  <c r="H11" i="64"/>
  <c r="L11" i="64" s="1"/>
  <c r="O11" i="64" s="1"/>
  <c r="I11" i="64"/>
  <c r="J11" i="64"/>
  <c r="V51" i="8"/>
  <c r="Q51" i="8"/>
  <c r="W74" i="8"/>
  <c r="I37" i="64"/>
  <c r="I46" i="64"/>
  <c r="I22" i="16"/>
  <c r="L22" i="16"/>
  <c r="H15" i="16"/>
  <c r="I15" i="16" s="1"/>
  <c r="L15" i="16" s="1"/>
  <c r="H32" i="16"/>
  <c r="I32" i="16"/>
  <c r="L32" i="16" s="1"/>
  <c r="J32" i="2"/>
  <c r="J33" i="2"/>
  <c r="I35" i="2"/>
  <c r="H35" i="2"/>
  <c r="G35" i="2"/>
  <c r="J30" i="2"/>
  <c r="F35" i="2"/>
  <c r="J31" i="2"/>
  <c r="J35" i="2"/>
  <c r="E35" i="2"/>
  <c r="G73" i="64"/>
  <c r="J73" i="64"/>
  <c r="G90" i="64"/>
  <c r="J33" i="64"/>
  <c r="I56" i="67"/>
  <c r="L56" i="67"/>
  <c r="E56" i="67"/>
  <c r="P8" i="64"/>
  <c r="F86" i="64"/>
  <c r="I53" i="67"/>
  <c r="L53" i="67"/>
  <c r="W120" i="8"/>
  <c r="E26" i="16"/>
  <c r="I26" i="16"/>
  <c r="L26" i="16"/>
  <c r="E34" i="16"/>
  <c r="I34" i="16"/>
  <c r="L34" i="16"/>
  <c r="H42" i="67"/>
  <c r="I42" i="67" s="1"/>
  <c r="L42" i="67" s="1"/>
  <c r="W40" i="8"/>
  <c r="U40" i="8"/>
  <c r="F69" i="64"/>
  <c r="O8" i="64"/>
  <c r="D23" i="16"/>
  <c r="E23" i="16"/>
  <c r="I21" i="16"/>
  <c r="L21" i="16" s="1"/>
  <c r="D17" i="67"/>
  <c r="E17" i="67"/>
  <c r="H40" i="67"/>
  <c r="I40" i="67"/>
  <c r="L40" i="67" s="1"/>
  <c r="L20" i="16"/>
  <c r="E20" i="16"/>
  <c r="X109" i="8"/>
  <c r="O7" i="64"/>
  <c r="I44" i="16"/>
  <c r="L44" i="16" s="1"/>
  <c r="E44" i="16"/>
  <c r="I27" i="16"/>
  <c r="L27" i="16"/>
  <c r="N27" i="16"/>
  <c r="I41" i="16"/>
  <c r="L41" i="16"/>
  <c r="E48" i="67"/>
  <c r="Q127" i="8"/>
  <c r="Y127" i="8" s="1"/>
  <c r="E52" i="67"/>
  <c r="X124" i="8"/>
  <c r="E15" i="67"/>
  <c r="J58" i="64"/>
  <c r="J34" i="64"/>
  <c r="L37" i="64"/>
  <c r="K41" i="18"/>
  <c r="K43" i="18"/>
  <c r="I56" i="16"/>
  <c r="L56" i="16" s="1"/>
  <c r="J115" i="21"/>
  <c r="H38" i="67"/>
  <c r="I38" i="67" s="1"/>
  <c r="L38" i="67" s="1"/>
  <c r="E31" i="16"/>
  <c r="I31" i="16"/>
  <c r="L31" i="16" s="1"/>
  <c r="F46" i="18"/>
  <c r="F41" i="18"/>
  <c r="F43" i="18"/>
  <c r="N118" i="8"/>
  <c r="O124" i="8"/>
  <c r="G46" i="64"/>
  <c r="P110" i="8"/>
  <c r="N120" i="8"/>
  <c r="K109" i="8"/>
  <c r="R67" i="21"/>
  <c r="R68" i="21"/>
  <c r="E125" i="15"/>
  <c r="H125" i="15"/>
  <c r="L61" i="8"/>
  <c r="K61" i="8" s="1"/>
  <c r="L67" i="8"/>
  <c r="K67" i="8" s="1"/>
  <c r="L107" i="8"/>
  <c r="L77" i="8"/>
  <c r="F43" i="64"/>
  <c r="L103" i="8"/>
  <c r="L78" i="8"/>
  <c r="L119" i="8"/>
  <c r="L128" i="8"/>
  <c r="L63" i="8"/>
  <c r="K63" i="8" s="1"/>
  <c r="L125" i="8"/>
  <c r="N125" i="8"/>
  <c r="L117" i="8"/>
  <c r="P117" i="8" s="1"/>
  <c r="X117" i="8" s="1"/>
  <c r="L46" i="8"/>
  <c r="L52" i="8"/>
  <c r="L75" i="8"/>
  <c r="L177" i="8"/>
  <c r="K177" i="8" s="1"/>
  <c r="L108" i="8"/>
  <c r="K108" i="8"/>
  <c r="L66" i="8"/>
  <c r="K66" i="8" s="1"/>
  <c r="L64" i="8"/>
  <c r="K64" i="8"/>
  <c r="L146" i="8"/>
  <c r="L50" i="8"/>
  <c r="L85" i="8"/>
  <c r="K85" i="8"/>
  <c r="L42" i="8"/>
  <c r="N42" i="8" s="1"/>
  <c r="L104" i="8"/>
  <c r="L82" i="8"/>
  <c r="O82" i="8"/>
  <c r="W82" i="8" s="1"/>
  <c r="L147" i="8"/>
  <c r="L68" i="8"/>
  <c r="K68" i="8"/>
  <c r="L105" i="8"/>
  <c r="L116" i="8"/>
  <c r="L43" i="8"/>
  <c r="L126" i="8"/>
  <c r="L76" i="8"/>
  <c r="L47" i="8"/>
  <c r="N47" i="8"/>
  <c r="L39" i="8"/>
  <c r="P39" i="8" s="1"/>
  <c r="G41" i="21"/>
  <c r="G55" i="21"/>
  <c r="H41" i="21"/>
  <c r="H45" i="21"/>
  <c r="H46" i="21" s="1"/>
  <c r="K55" i="21"/>
  <c r="K56" i="21"/>
  <c r="K18" i="21"/>
  <c r="K19" i="21" s="1"/>
  <c r="K41" i="21"/>
  <c r="E37" i="16"/>
  <c r="I37" i="16"/>
  <c r="L37" i="16" s="1"/>
  <c r="K45" i="66"/>
  <c r="O106" i="8"/>
  <c r="K120" i="8"/>
  <c r="F43" i="21"/>
  <c r="F139" i="21"/>
  <c r="F160" i="21"/>
  <c r="F161" i="21" s="1"/>
  <c r="F167" i="21" s="1"/>
  <c r="I43" i="16"/>
  <c r="L43" i="16" s="1"/>
  <c r="E99" i="15"/>
  <c r="H99" i="15"/>
  <c r="K99" i="15"/>
  <c r="P122" i="8"/>
  <c r="K122" i="8"/>
  <c r="P53" i="21"/>
  <c r="M31" i="18"/>
  <c r="M35" i="18" s="1"/>
  <c r="E55" i="15"/>
  <c r="H55" i="15"/>
  <c r="K55" i="15"/>
  <c r="I29" i="34"/>
  <c r="B6" i="34"/>
  <c r="K106" i="8"/>
  <c r="N122" i="8"/>
  <c r="K41" i="8"/>
  <c r="O41" i="8"/>
  <c r="Q41" i="8" s="1"/>
  <c r="Y41" i="8" s="1"/>
  <c r="N26" i="23"/>
  <c r="N28" i="23" s="1"/>
  <c r="B28" i="23"/>
  <c r="E46" i="18"/>
  <c r="E41" i="18"/>
  <c r="E43" i="18" s="1"/>
  <c r="O45" i="21"/>
  <c r="O46" i="21"/>
  <c r="I55" i="16"/>
  <c r="L55" i="16" s="1"/>
  <c r="O71" i="21"/>
  <c r="O72" i="21"/>
  <c r="O74" i="21" s="1"/>
  <c r="L31" i="18"/>
  <c r="L35" i="18"/>
  <c r="L41" i="18"/>
  <c r="L43" i="18" s="1"/>
  <c r="O43" i="21"/>
  <c r="O140" i="21"/>
  <c r="I25" i="16"/>
  <c r="L25" i="16" s="1"/>
  <c r="L39" i="60"/>
  <c r="M39" i="60"/>
  <c r="H45" i="16"/>
  <c r="I45" i="16" s="1"/>
  <c r="L45" i="16" s="1"/>
  <c r="E70" i="61"/>
  <c r="I195" i="34"/>
  <c r="K46" i="15"/>
  <c r="H28" i="16"/>
  <c r="K13" i="66"/>
  <c r="E13" i="66"/>
  <c r="H13" i="66" s="1"/>
  <c r="K88" i="66"/>
  <c r="E88" i="66"/>
  <c r="H88" i="66"/>
  <c r="H54" i="67"/>
  <c r="I54" i="67" s="1"/>
  <c r="L54" i="67" s="1"/>
  <c r="B132" i="34"/>
  <c r="B168" i="34" s="1"/>
  <c r="I132" i="34"/>
  <c r="J132" i="34" s="1"/>
  <c r="J168" i="34" s="1"/>
  <c r="C113" i="15"/>
  <c r="B44" i="34"/>
  <c r="I21" i="67"/>
  <c r="L21" i="67"/>
  <c r="M38" i="68"/>
  <c r="K44" i="66"/>
  <c r="E44" i="66"/>
  <c r="H44" i="66"/>
  <c r="C108" i="15"/>
  <c r="E108" i="15" s="1"/>
  <c r="H108" i="15" s="1"/>
  <c r="C86" i="15"/>
  <c r="C17" i="16"/>
  <c r="I60" i="67"/>
  <c r="L60" i="67"/>
  <c r="K60" i="66"/>
  <c r="E60" i="66"/>
  <c r="H60" i="66" s="1"/>
  <c r="K82" i="66"/>
  <c r="E82" i="66"/>
  <c r="C47" i="16"/>
  <c r="D47" i="16" s="1"/>
  <c r="K37" i="66"/>
  <c r="E37" i="66"/>
  <c r="H37" i="66" s="1"/>
  <c r="K46" i="66"/>
  <c r="E46" i="66"/>
  <c r="H46" i="66" s="1"/>
  <c r="K40" i="66"/>
  <c r="E56" i="66"/>
  <c r="H56" i="66"/>
  <c r="W106" i="8"/>
  <c r="K126" i="8"/>
  <c r="O125" i="8"/>
  <c r="W125" i="8"/>
  <c r="K125" i="8"/>
  <c r="O78" i="8"/>
  <c r="W78" i="8"/>
  <c r="P78" i="8"/>
  <c r="X78" i="8" s="1"/>
  <c r="N78" i="8"/>
  <c r="V78" i="8"/>
  <c r="K78" i="8"/>
  <c r="P107" i="8"/>
  <c r="X107" i="8" s="1"/>
  <c r="N107" i="8"/>
  <c r="V107" i="8"/>
  <c r="O107" i="8"/>
  <c r="W107" i="8" s="1"/>
  <c r="K107" i="8"/>
  <c r="V118" i="8"/>
  <c r="N28" i="16"/>
  <c r="P43" i="8"/>
  <c r="X43" i="8"/>
  <c r="K43" i="8"/>
  <c r="O43" i="8"/>
  <c r="W43" i="8"/>
  <c r="N43" i="8"/>
  <c r="Q43" i="8" s="1"/>
  <c r="Y43" i="8" s="1"/>
  <c r="N85" i="8"/>
  <c r="P85" i="8"/>
  <c r="X85" i="8"/>
  <c r="O85" i="8"/>
  <c r="W85" i="8" s="1"/>
  <c r="O52" i="8"/>
  <c r="K52" i="8"/>
  <c r="P52" i="8"/>
  <c r="Q52" i="8" s="1"/>
  <c r="N52" i="8"/>
  <c r="V52" i="8"/>
  <c r="O103" i="8"/>
  <c r="K103" i="8"/>
  <c r="H82" i="66"/>
  <c r="D17" i="16"/>
  <c r="E17" i="16" s="1"/>
  <c r="W41" i="8"/>
  <c r="V122" i="8"/>
  <c r="I6" i="34"/>
  <c r="P47" i="8"/>
  <c r="X47" i="8"/>
  <c r="O47" i="8"/>
  <c r="W47" i="8" s="1"/>
  <c r="K47" i="8"/>
  <c r="K116" i="8"/>
  <c r="K82" i="8"/>
  <c r="N82" i="8"/>
  <c r="V82" i="8" s="1"/>
  <c r="N50" i="8"/>
  <c r="V50" i="8"/>
  <c r="O108" i="8"/>
  <c r="W108" i="8" s="1"/>
  <c r="O46" i="8"/>
  <c r="W46" i="8"/>
  <c r="N128" i="8"/>
  <c r="V128" i="8" s="1"/>
  <c r="O128" i="8"/>
  <c r="W128" i="8" s="1"/>
  <c r="K113" i="15"/>
  <c r="E113" i="15"/>
  <c r="H113" i="15"/>
  <c r="K105" i="8"/>
  <c r="N104" i="8"/>
  <c r="V104" i="8"/>
  <c r="N146" i="8"/>
  <c r="O146" i="8"/>
  <c r="W146" i="8" s="1"/>
  <c r="P146" i="8"/>
  <c r="X146" i="8"/>
  <c r="K146" i="8"/>
  <c r="O117" i="8"/>
  <c r="W117" i="8" s="1"/>
  <c r="K117" i="8"/>
  <c r="O119" i="8"/>
  <c r="W119" i="8" s="1"/>
  <c r="P119" i="8"/>
  <c r="X119" i="8" s="1"/>
  <c r="K77" i="8"/>
  <c r="W124" i="8"/>
  <c r="W103" i="8"/>
  <c r="U41" i="8"/>
  <c r="I168" i="34"/>
  <c r="F87" i="64"/>
  <c r="P82" i="8"/>
  <c r="X82" i="8" s="1"/>
  <c r="O12" i="64"/>
  <c r="L12" i="64"/>
  <c r="N53" i="16"/>
  <c r="I53" i="16"/>
  <c r="L53" i="16"/>
  <c r="E87" i="64"/>
  <c r="I87" i="64"/>
  <c r="H87" i="64"/>
  <c r="J87" i="64"/>
  <c r="I34" i="67"/>
  <c r="N148" i="21"/>
  <c r="N115" i="21" s="1"/>
  <c r="F24" i="22"/>
  <c r="G15" i="23"/>
  <c r="G18" i="23" s="1"/>
  <c r="K104" i="21" s="1"/>
  <c r="H15" i="23"/>
  <c r="H18" i="23"/>
  <c r="L104" i="21" s="1"/>
  <c r="L147" i="21" s="1"/>
  <c r="L148" i="21" s="1"/>
  <c r="L115" i="21" s="1"/>
  <c r="K118" i="8"/>
  <c r="P118" i="8"/>
  <c r="X118" i="8" s="1"/>
  <c r="O118" i="8"/>
  <c r="W118" i="8" s="1"/>
  <c r="J62" i="64"/>
  <c r="W80" i="8"/>
  <c r="S45" i="21"/>
  <c r="M2" i="38"/>
  <c r="K110" i="8"/>
  <c r="P80" i="8"/>
  <c r="X80" i="8" s="1"/>
  <c r="N106" i="8"/>
  <c r="N74" i="8"/>
  <c r="F67" i="21"/>
  <c r="F68" i="21" s="1"/>
  <c r="F74" i="21" s="1"/>
  <c r="L62" i="8"/>
  <c r="L55" i="8"/>
  <c r="K55" i="8" s="1"/>
  <c r="L49" i="8"/>
  <c r="L87" i="8"/>
  <c r="N87" i="8" s="1"/>
  <c r="L44" i="8"/>
  <c r="L57" i="8"/>
  <c r="K57" i="8" s="1"/>
  <c r="L86" i="8"/>
  <c r="K86" i="8" s="1"/>
  <c r="K74" i="8"/>
  <c r="L81" i="8"/>
  <c r="O109" i="8"/>
  <c r="L84" i="8"/>
  <c r="K84" i="8" s="1"/>
  <c r="F42" i="64"/>
  <c r="L192" i="8"/>
  <c r="L121" i="8"/>
  <c r="O121" i="8" s="1"/>
  <c r="L123" i="8"/>
  <c r="K123" i="8" s="1"/>
  <c r="P160" i="21"/>
  <c r="O20" i="64"/>
  <c r="I30" i="16"/>
  <c r="L30" i="16" s="1"/>
  <c r="T66" i="29"/>
  <c r="T69" i="29" s="1"/>
  <c r="T71" i="29" s="1"/>
  <c r="O48" i="8"/>
  <c r="W48" i="8"/>
  <c r="N112" i="8"/>
  <c r="V112" i="8"/>
  <c r="L139" i="21"/>
  <c r="L160" i="21" s="1"/>
  <c r="L67" i="21"/>
  <c r="L68" i="21" s="1"/>
  <c r="L74" i="21" s="1"/>
  <c r="E115" i="15"/>
  <c r="K115" i="15"/>
  <c r="B39" i="64"/>
  <c r="L19" i="64"/>
  <c r="L23" i="64" s="1"/>
  <c r="I19" i="64"/>
  <c r="I23" i="64" s="1"/>
  <c r="E38" i="15"/>
  <c r="H38" i="15"/>
  <c r="K38" i="15"/>
  <c r="K124" i="8"/>
  <c r="P111" i="8"/>
  <c r="N150" i="8"/>
  <c r="V150" i="8" s="1"/>
  <c r="L45" i="8"/>
  <c r="L56" i="8"/>
  <c r="L102" i="8"/>
  <c r="O102" i="8" s="1"/>
  <c r="L101" i="8"/>
  <c r="P101" i="8" s="1"/>
  <c r="L59" i="8"/>
  <c r="K59" i="8" s="1"/>
  <c r="L79" i="8"/>
  <c r="L83" i="8"/>
  <c r="O83" i="8" s="1"/>
  <c r="L115" i="8"/>
  <c r="O115" i="8"/>
  <c r="W115" i="8" s="1"/>
  <c r="H17" i="16"/>
  <c r="M49" i="21"/>
  <c r="M53" i="21"/>
  <c r="M56" i="21" s="1"/>
  <c r="M18" i="21" s="1"/>
  <c r="M19" i="21" s="1"/>
  <c r="M71" i="21"/>
  <c r="M72" i="21" s="1"/>
  <c r="M74" i="21" s="1"/>
  <c r="C38" i="64"/>
  <c r="H38" i="64" s="1"/>
  <c r="J18" i="64"/>
  <c r="M18" i="64"/>
  <c r="M23" i="64" s="1"/>
  <c r="C23" i="64"/>
  <c r="P41" i="21"/>
  <c r="P55" i="21"/>
  <c r="P56" i="21" s="1"/>
  <c r="P18" i="21" s="1"/>
  <c r="P19" i="21" s="1"/>
  <c r="P45" i="21"/>
  <c r="P46" i="21" s="1"/>
  <c r="P43" i="21"/>
  <c r="P140" i="21" s="1"/>
  <c r="P141" i="21" s="1"/>
  <c r="O55" i="21"/>
  <c r="O56" i="21" s="1"/>
  <c r="O18" i="21" s="1"/>
  <c r="O19" i="21" s="1"/>
  <c r="G31" i="18"/>
  <c r="G35" i="18" s="1"/>
  <c r="E83" i="17"/>
  <c r="L41" i="60"/>
  <c r="M41" i="60" s="1"/>
  <c r="E124" i="66"/>
  <c r="H124" i="66" s="1"/>
  <c r="K30" i="66"/>
  <c r="E30" i="66"/>
  <c r="H30" i="66"/>
  <c r="E63" i="17"/>
  <c r="I35" i="67"/>
  <c r="L35" i="67" s="1"/>
  <c r="L43" i="60"/>
  <c r="M43" i="60" s="1"/>
  <c r="E43" i="17"/>
  <c r="E94" i="17" s="1"/>
  <c r="C43" i="17"/>
  <c r="B201" i="34"/>
  <c r="B8" i="34" s="1"/>
  <c r="B5" i="34" s="1"/>
  <c r="E86" i="66"/>
  <c r="H86" i="66" s="1"/>
  <c r="E52" i="68"/>
  <c r="E94" i="68"/>
  <c r="E132" i="66"/>
  <c r="H132" i="66" s="1"/>
  <c r="L8" i="70"/>
  <c r="M8" i="70"/>
  <c r="J8" i="70"/>
  <c r="E138" i="66"/>
  <c r="H138" i="66" s="1"/>
  <c r="E135" i="66"/>
  <c r="H135" i="66" s="1"/>
  <c r="P115" i="8"/>
  <c r="X115" i="8" s="1"/>
  <c r="K115" i="8"/>
  <c r="N115" i="8"/>
  <c r="V115" i="8" s="1"/>
  <c r="X111" i="8"/>
  <c r="Q111" i="8"/>
  <c r="Y111" i="8" s="1"/>
  <c r="L141" i="21"/>
  <c r="N192" i="8"/>
  <c r="V192" i="8" s="1"/>
  <c r="N81" i="8"/>
  <c r="V81" i="8"/>
  <c r="O44" i="8"/>
  <c r="K44" i="8"/>
  <c r="P44" i="8"/>
  <c r="N44" i="8"/>
  <c r="V44" i="8" s="1"/>
  <c r="K62" i="8"/>
  <c r="Q80" i="8"/>
  <c r="Y80" i="8" s="1"/>
  <c r="Q118" i="8"/>
  <c r="Y118" i="8" s="1"/>
  <c r="K83" i="8"/>
  <c r="R49" i="21"/>
  <c r="K56" i="8"/>
  <c r="F63" i="64"/>
  <c r="F66" i="64" s="1"/>
  <c r="F74" i="64" s="1"/>
  <c r="H115" i="15"/>
  <c r="Q112" i="8"/>
  <c r="Y112" i="8" s="1"/>
  <c r="L34" i="67"/>
  <c r="Q82" i="8"/>
  <c r="Y82" i="8" s="1"/>
  <c r="N101" i="8"/>
  <c r="V101" i="8" s="1"/>
  <c r="K101" i="8"/>
  <c r="O101" i="8"/>
  <c r="W101" i="8" s="1"/>
  <c r="W109" i="8"/>
  <c r="V106" i="8"/>
  <c r="J23" i="64"/>
  <c r="O19" i="64"/>
  <c r="O23" i="64" s="1"/>
  <c r="P56" i="64" s="1"/>
  <c r="Q48" i="8"/>
  <c r="Y48" i="8" s="1"/>
  <c r="U48" i="8"/>
  <c r="P123" i="8"/>
  <c r="X123" i="8" s="1"/>
  <c r="O123" i="8"/>
  <c r="W123" i="8" s="1"/>
  <c r="O86" i="8"/>
  <c r="W86" i="8" s="1"/>
  <c r="N86" i="8"/>
  <c r="V86" i="8" s="1"/>
  <c r="O49" i="8"/>
  <c r="W49" i="8" s="1"/>
  <c r="V74" i="8"/>
  <c r="F23" i="22"/>
  <c r="J98" i="21" s="1"/>
  <c r="J140" i="21" s="1"/>
  <c r="J141" i="21" s="1"/>
  <c r="J143" i="21" s="1"/>
  <c r="J114" i="21" s="1"/>
  <c r="Q150" i="8"/>
  <c r="Y150" i="8" s="1"/>
  <c r="G39" i="64"/>
  <c r="Y52" i="8"/>
  <c r="U112" i="8"/>
  <c r="X44" i="8"/>
  <c r="J63" i="64"/>
  <c r="U80" i="8"/>
  <c r="U82" i="8"/>
  <c r="W44" i="8"/>
  <c r="C17" i="37"/>
  <c r="Q107" i="8"/>
  <c r="U107" i="8" s="1"/>
  <c r="P77" i="8"/>
  <c r="X77" i="8" s="1"/>
  <c r="N76" i="8"/>
  <c r="V76" i="8"/>
  <c r="E149" i="66"/>
  <c r="B103" i="34"/>
  <c r="P125" i="8"/>
  <c r="I70" i="64"/>
  <c r="G70" i="64"/>
  <c r="I23" i="16"/>
  <c r="L23" i="16" s="1"/>
  <c r="P164" i="21"/>
  <c r="P165" i="21" s="1"/>
  <c r="J46" i="18"/>
  <c r="I45" i="67"/>
  <c r="L45" i="67"/>
  <c r="O66" i="29"/>
  <c r="O69" i="29" s="1"/>
  <c r="O71" i="29" s="1"/>
  <c r="O53" i="29"/>
  <c r="I20" i="67"/>
  <c r="L20" i="67" s="1"/>
  <c r="E47" i="61"/>
  <c r="E48" i="61"/>
  <c r="E52" i="61" s="1"/>
  <c r="E53" i="61" s="1"/>
  <c r="E47" i="14"/>
  <c r="E48" i="14"/>
  <c r="E52" i="14" s="1"/>
  <c r="E53" i="14" s="1"/>
  <c r="K2" i="34" s="1"/>
  <c r="I290" i="8"/>
  <c r="H57" i="67"/>
  <c r="I57" i="67" s="1"/>
  <c r="L57" i="67" s="1"/>
  <c r="I48" i="16"/>
  <c r="L48" i="16" s="1"/>
  <c r="E51" i="16"/>
  <c r="I51" i="16"/>
  <c r="L51" i="16"/>
  <c r="G252" i="34"/>
  <c r="I59" i="16"/>
  <c r="L59" i="16" s="1"/>
  <c r="P74" i="8"/>
  <c r="X74" i="8" s="1"/>
  <c r="W291" i="8"/>
  <c r="Q291" i="8"/>
  <c r="K40" i="15"/>
  <c r="E40" i="15"/>
  <c r="E77" i="15" s="1"/>
  <c r="E78" i="15" s="1"/>
  <c r="K37" i="15"/>
  <c r="E37" i="15"/>
  <c r="L15" i="29"/>
  <c r="L69" i="29" s="1"/>
  <c r="L71" i="29" s="1"/>
  <c r="E38" i="66"/>
  <c r="H38" i="66" s="1"/>
  <c r="I63" i="67"/>
  <c r="L63" i="67"/>
  <c r="Y291" i="8"/>
  <c r="U291" i="8"/>
  <c r="Y107" i="8"/>
  <c r="X125" i="8"/>
  <c r="H37" i="15"/>
  <c r="C15" i="70"/>
  <c r="J15" i="70" s="1"/>
  <c r="C6" i="70"/>
  <c r="E6" i="70" s="1"/>
  <c r="C9" i="70"/>
  <c r="C17" i="70" s="1"/>
  <c r="E15" i="70"/>
  <c r="G15" i="70"/>
  <c r="L15" i="70" s="1"/>
  <c r="M15" i="70" s="1"/>
  <c r="E13" i="70"/>
  <c r="G13" i="70" s="1"/>
  <c r="L13" i="70" s="1"/>
  <c r="M13" i="70" s="1"/>
  <c r="E5" i="70"/>
  <c r="G5" i="70" s="1"/>
  <c r="E11" i="70"/>
  <c r="G11" i="70" s="1"/>
  <c r="L11" i="70" s="1"/>
  <c r="M11" i="70" s="1"/>
  <c r="J11" i="70"/>
  <c r="J13" i="70"/>
  <c r="J7" i="70"/>
  <c r="J5" i="70"/>
  <c r="I16" i="67"/>
  <c r="L16" i="67"/>
  <c r="I29" i="67"/>
  <c r="L29" i="67" s="1"/>
  <c r="N29" i="67"/>
  <c r="E60" i="16"/>
  <c r="I60" i="16"/>
  <c r="L60" i="16" s="1"/>
  <c r="E40" i="16"/>
  <c r="I40" i="16"/>
  <c r="L40" i="16" s="1"/>
  <c r="E25" i="67"/>
  <c r="I25" i="67"/>
  <c r="L25" i="67"/>
  <c r="E36" i="67"/>
  <c r="I36" i="67"/>
  <c r="L36" i="67" s="1"/>
  <c r="I24" i="16"/>
  <c r="L24" i="16" s="1"/>
  <c r="N24" i="16"/>
  <c r="E35" i="16"/>
  <c r="I35" i="16"/>
  <c r="L35" i="16" s="1"/>
  <c r="I58" i="16"/>
  <c r="L58" i="16" s="1"/>
  <c r="E46" i="16"/>
  <c r="I46" i="16"/>
  <c r="L46" i="16"/>
  <c r="E54" i="16"/>
  <c r="I54" i="16"/>
  <c r="L54" i="16" s="1"/>
  <c r="E26" i="67"/>
  <c r="I28" i="16"/>
  <c r="L28" i="16"/>
  <c r="I18" i="67"/>
  <c r="L18" i="67" s="1"/>
  <c r="I52" i="16"/>
  <c r="L52" i="16"/>
  <c r="I55" i="67"/>
  <c r="L55" i="67" s="1"/>
  <c r="Q78" i="8"/>
  <c r="U127" i="8"/>
  <c r="H39" i="67"/>
  <c r="I39" i="67" s="1"/>
  <c r="L39" i="67" s="1"/>
  <c r="H19" i="67"/>
  <c r="I19" i="67" s="1"/>
  <c r="L19" i="67" s="1"/>
  <c r="H52" i="67"/>
  <c r="H27" i="67"/>
  <c r="H49" i="16"/>
  <c r="I49" i="16" s="1"/>
  <c r="L49" i="16" s="1"/>
  <c r="Q44" i="8"/>
  <c r="K79" i="8"/>
  <c r="O79" i="8"/>
  <c r="W79" i="8" s="1"/>
  <c r="P79" i="8"/>
  <c r="X79" i="8"/>
  <c r="N79" i="8"/>
  <c r="N102" i="8"/>
  <c r="O192" i="8"/>
  <c r="W192" i="8"/>
  <c r="K192" i="8"/>
  <c r="N84" i="8"/>
  <c r="O84" i="8"/>
  <c r="W84" i="8"/>
  <c r="P84" i="8"/>
  <c r="X84" i="8" s="1"/>
  <c r="O81" i="8"/>
  <c r="W81" i="8"/>
  <c r="P87" i="8"/>
  <c r="X87" i="8" s="1"/>
  <c r="O87" i="8"/>
  <c r="W87" i="8"/>
  <c r="K87" i="8"/>
  <c r="J66" i="64"/>
  <c r="V146" i="8"/>
  <c r="X39" i="8"/>
  <c r="E86" i="15"/>
  <c r="K86" i="15"/>
  <c r="J195" i="34"/>
  <c r="K39" i="8"/>
  <c r="O39" i="8"/>
  <c r="L53" i="8"/>
  <c r="O126" i="8"/>
  <c r="N126" i="8"/>
  <c r="P126" i="8"/>
  <c r="X126" i="8" s="1"/>
  <c r="O116" i="8"/>
  <c r="N116" i="8"/>
  <c r="O42" i="8"/>
  <c r="P42" i="8"/>
  <c r="K42" i="8"/>
  <c r="K50" i="8"/>
  <c r="N75" i="8"/>
  <c r="K75" i="8"/>
  <c r="P75" i="8"/>
  <c r="X75" i="8" s="1"/>
  <c r="O75" i="8"/>
  <c r="W75" i="8" s="1"/>
  <c r="P46" i="8"/>
  <c r="X46" i="8" s="1"/>
  <c r="N46" i="8"/>
  <c r="V125" i="8"/>
  <c r="Q125" i="8"/>
  <c r="Q120" i="8"/>
  <c r="Y120" i="8"/>
  <c r="V120" i="8"/>
  <c r="J27" i="64"/>
  <c r="I27" i="64"/>
  <c r="J12" i="64"/>
  <c r="J16" i="64" s="1"/>
  <c r="J30" i="64" s="1"/>
  <c r="E86" i="64"/>
  <c r="F70" i="64"/>
  <c r="E70" i="64"/>
  <c r="J70" i="64"/>
  <c r="P14" i="64"/>
  <c r="L15" i="23"/>
  <c r="L18" i="23" s="1"/>
  <c r="P104" i="21" s="1"/>
  <c r="P147" i="21" s="1"/>
  <c r="P148" i="21" s="1"/>
  <c r="P115" i="21" s="1"/>
  <c r="L17" i="23"/>
  <c r="H26" i="23"/>
  <c r="H29" i="23"/>
  <c r="R146" i="21"/>
  <c r="K160" i="21"/>
  <c r="K141" i="21"/>
  <c r="K143" i="21"/>
  <c r="K114" i="21" s="1"/>
  <c r="N131" i="21"/>
  <c r="N158" i="21"/>
  <c r="N161" i="21" s="1"/>
  <c r="N167" i="21" s="1"/>
  <c r="Q79" i="63"/>
  <c r="R79" i="63" s="1"/>
  <c r="AE119" i="63"/>
  <c r="R119" i="63"/>
  <c r="Q30" i="63"/>
  <c r="AE30" i="63" s="1"/>
  <c r="R30" i="63"/>
  <c r="Q43" i="63"/>
  <c r="R43" i="63" s="1"/>
  <c r="Q120" i="63"/>
  <c r="AE120" i="63" s="1"/>
  <c r="Q115" i="63"/>
  <c r="R115" i="63" s="1"/>
  <c r="R87" i="63"/>
  <c r="AE87" i="63"/>
  <c r="K13" i="8"/>
  <c r="D8" i="29" s="1"/>
  <c r="X8" i="29" s="1"/>
  <c r="AF8" i="29" s="1"/>
  <c r="E149" i="15"/>
  <c r="C8" i="29"/>
  <c r="W8" i="29" s="1"/>
  <c r="Y155" i="63"/>
  <c r="Q40" i="63"/>
  <c r="AE40" i="63" s="1"/>
  <c r="Q62" i="63"/>
  <c r="AE62" i="63" s="1"/>
  <c r="Q103" i="63"/>
  <c r="AE103" i="63" s="1"/>
  <c r="Q78" i="63"/>
  <c r="AE78" i="63" s="1"/>
  <c r="Q110" i="63"/>
  <c r="AE110" i="63" s="1"/>
  <c r="Q74" i="63"/>
  <c r="AE74" i="63" s="1"/>
  <c r="Q47" i="63"/>
  <c r="AE47" i="63"/>
  <c r="Q101" i="63"/>
  <c r="R101" i="63" s="1"/>
  <c r="Q53" i="63"/>
  <c r="AE53" i="63" s="1"/>
  <c r="Q72" i="63"/>
  <c r="AE72" i="63" s="1"/>
  <c r="Q111" i="63"/>
  <c r="R111" i="63" s="1"/>
  <c r="Q102" i="63"/>
  <c r="AE102" i="63" s="1"/>
  <c r="X169" i="63"/>
  <c r="Y166" i="63"/>
  <c r="C30" i="64"/>
  <c r="L158" i="21"/>
  <c r="L161" i="21" s="1"/>
  <c r="L167" i="21" s="1"/>
  <c r="L131" i="21"/>
  <c r="L143" i="21"/>
  <c r="L114" i="21" s="1"/>
  <c r="L116" i="21" s="1"/>
  <c r="L117" i="21" s="1"/>
  <c r="L118" i="21" s="1"/>
  <c r="Q100" i="63"/>
  <c r="R100" i="63" s="1"/>
  <c r="Q107" i="63"/>
  <c r="AE107" i="63" s="1"/>
  <c r="Q158" i="63"/>
  <c r="R158" i="63"/>
  <c r="J201" i="10"/>
  <c r="J293" i="10"/>
  <c r="T121" i="63"/>
  <c r="V121" i="63"/>
  <c r="C201" i="8"/>
  <c r="C293" i="8"/>
  <c r="P98" i="63"/>
  <c r="O98" i="63"/>
  <c r="T56" i="63"/>
  <c r="V56" i="63"/>
  <c r="Q56" i="63" s="1"/>
  <c r="P19" i="63"/>
  <c r="X11" i="63"/>
  <c r="T118" i="63"/>
  <c r="V118" i="63"/>
  <c r="Q118" i="63"/>
  <c r="V82" i="63"/>
  <c r="T82" i="63"/>
  <c r="T71" i="63"/>
  <c r="P71" i="63"/>
  <c r="V71" i="63"/>
  <c r="V16" i="63"/>
  <c r="T16" i="63"/>
  <c r="Q137" i="63"/>
  <c r="R137" i="63" s="1"/>
  <c r="T135" i="63"/>
  <c r="V135" i="63"/>
  <c r="V140" i="63"/>
  <c r="V148" i="63" s="1"/>
  <c r="O140" i="63"/>
  <c r="Y29" i="63"/>
  <c r="Q15" i="63"/>
  <c r="R15" i="63" s="1"/>
  <c r="Q14" i="63"/>
  <c r="R14" i="63" s="1"/>
  <c r="O83" i="63"/>
  <c r="P83" i="63"/>
  <c r="D18" i="26"/>
  <c r="O6" i="26"/>
  <c r="N16" i="26"/>
  <c r="H18" i="26"/>
  <c r="O160" i="21"/>
  <c r="O141" i="21"/>
  <c r="M31" i="60"/>
  <c r="N31" i="60"/>
  <c r="J26" i="48" s="1"/>
  <c r="H140" i="8" s="1"/>
  <c r="Q96" i="63"/>
  <c r="R96" i="63" s="1"/>
  <c r="F199" i="10"/>
  <c r="L184" i="10"/>
  <c r="E15" i="16"/>
  <c r="R138" i="63"/>
  <c r="Q138" i="63"/>
  <c r="P116" i="8"/>
  <c r="Q79" i="8"/>
  <c r="Y79" i="8" s="1"/>
  <c r="L70" i="8"/>
  <c r="I17" i="16"/>
  <c r="L17" i="16" s="1"/>
  <c r="R50" i="21"/>
  <c r="R53" i="21"/>
  <c r="K81" i="8"/>
  <c r="P81" i="8"/>
  <c r="X81" i="8" s="1"/>
  <c r="P192" i="8"/>
  <c r="X192" i="8"/>
  <c r="P102" i="8"/>
  <c r="X102" i="8" s="1"/>
  <c r="K102" i="8"/>
  <c r="L129" i="8"/>
  <c r="H97" i="68"/>
  <c r="E95" i="68"/>
  <c r="E104" i="68" s="1"/>
  <c r="I79" i="64"/>
  <c r="I83" i="64"/>
  <c r="E79" i="64"/>
  <c r="P83" i="8"/>
  <c r="X83" i="8" s="1"/>
  <c r="N83" i="8"/>
  <c r="Q83" i="8" s="1"/>
  <c r="Y83" i="8" s="1"/>
  <c r="K45" i="8"/>
  <c r="N45" i="8"/>
  <c r="O45" i="8"/>
  <c r="W45" i="8" s="1"/>
  <c r="P45" i="8"/>
  <c r="X45" i="8"/>
  <c r="P49" i="8"/>
  <c r="X49" i="8" s="1"/>
  <c r="K49" i="8"/>
  <c r="N49" i="8"/>
  <c r="U120" i="8"/>
  <c r="Q47" i="8"/>
  <c r="Y47" i="8" s="1"/>
  <c r="C145" i="15"/>
  <c r="C147" i="15" s="1"/>
  <c r="K46" i="8"/>
  <c r="Q46" i="8"/>
  <c r="Y46" i="8"/>
  <c r="N108" i="8"/>
  <c r="P50" i="8"/>
  <c r="X50" i="8" s="1"/>
  <c r="O50" i="8"/>
  <c r="W50" i="8" s="1"/>
  <c r="L46" i="18"/>
  <c r="W52" i="8"/>
  <c r="U52" i="8"/>
  <c r="N39" i="8"/>
  <c r="C65" i="16"/>
  <c r="B7" i="34"/>
  <c r="I44" i="34"/>
  <c r="J29" i="34"/>
  <c r="I32" i="34"/>
  <c r="X122" i="8"/>
  <c r="Q122" i="8"/>
  <c r="F140" i="21"/>
  <c r="R43" i="21"/>
  <c r="Q106" i="8"/>
  <c r="Y106" i="8" s="1"/>
  <c r="V47" i="8"/>
  <c r="U47" i="8"/>
  <c r="O76" i="8"/>
  <c r="W76" i="8" s="1"/>
  <c r="P76" i="8"/>
  <c r="X76" i="8"/>
  <c r="K76" i="8"/>
  <c r="N105" i="8"/>
  <c r="O105" i="8"/>
  <c r="W105" i="8"/>
  <c r="P105" i="8"/>
  <c r="X105" i="8" s="1"/>
  <c r="K147" i="8"/>
  <c r="P104" i="8"/>
  <c r="X104" i="8" s="1"/>
  <c r="O104" i="8"/>
  <c r="K104" i="8"/>
  <c r="N119" i="8"/>
  <c r="K119" i="8"/>
  <c r="P103" i="8"/>
  <c r="X103" i="8" s="1"/>
  <c r="N103" i="8"/>
  <c r="O77" i="8"/>
  <c r="W77" i="8" s="1"/>
  <c r="N77" i="8"/>
  <c r="V77" i="8"/>
  <c r="X110" i="8"/>
  <c r="Q110" i="8"/>
  <c r="Q124" i="8"/>
  <c r="Y124" i="8"/>
  <c r="U124" i="8"/>
  <c r="I86" i="64"/>
  <c r="J46" i="64"/>
  <c r="J37" i="64"/>
  <c r="M37" i="64" s="1"/>
  <c r="H25" i="64"/>
  <c r="J25" i="64"/>
  <c r="I25" i="64"/>
  <c r="O14" i="64"/>
  <c r="O16" i="64"/>
  <c r="L16" i="64"/>
  <c r="M15" i="23"/>
  <c r="M18" i="23" s="1"/>
  <c r="Q104" i="21" s="1"/>
  <c r="Q147" i="21" s="1"/>
  <c r="Q148" i="21" s="1"/>
  <c r="Q115" i="21" s="1"/>
  <c r="N46" i="18"/>
  <c r="N41" i="18"/>
  <c r="N43" i="18" s="1"/>
  <c r="H27" i="23"/>
  <c r="H28" i="23"/>
  <c r="Q75" i="34"/>
  <c r="Q153" i="21"/>
  <c r="Q155" i="21" s="1"/>
  <c r="R121" i="21"/>
  <c r="K15" i="23"/>
  <c r="K18" i="23"/>
  <c r="O104" i="21" s="1"/>
  <c r="O147" i="21" s="1"/>
  <c r="O148" i="21" s="1"/>
  <c r="O115" i="21" s="1"/>
  <c r="K17" i="23"/>
  <c r="P129" i="21"/>
  <c r="R89" i="21"/>
  <c r="R49" i="63"/>
  <c r="AE52" i="63"/>
  <c r="R52" i="63"/>
  <c r="F28" i="23"/>
  <c r="K161" i="21"/>
  <c r="K167" i="21" s="1"/>
  <c r="R32" i="63"/>
  <c r="Q32" i="63"/>
  <c r="AE32" i="63"/>
  <c r="R39" i="63"/>
  <c r="Q39" i="63"/>
  <c r="AE39" i="63" s="1"/>
  <c r="Q93" i="63"/>
  <c r="AE93" i="63" s="1"/>
  <c r="V163" i="63"/>
  <c r="I44" i="48" s="1"/>
  <c r="H188" i="8" s="1"/>
  <c r="I188" i="8" s="1"/>
  <c r="L188" i="8" s="1"/>
  <c r="N188" i="8" s="1"/>
  <c r="B42" i="64"/>
  <c r="G42" i="64" s="1"/>
  <c r="R17" i="63"/>
  <c r="Q17" i="63"/>
  <c r="Q113" i="63"/>
  <c r="AE113" i="63" s="1"/>
  <c r="R117" i="63"/>
  <c r="Q117" i="63"/>
  <c r="AE117" i="63" s="1"/>
  <c r="M158" i="21"/>
  <c r="M161" i="21"/>
  <c r="M167" i="21" s="1"/>
  <c r="M131" i="21"/>
  <c r="M143" i="21" s="1"/>
  <c r="M114" i="21" s="1"/>
  <c r="Y145" i="63"/>
  <c r="X147" i="63"/>
  <c r="Q26" i="63"/>
  <c r="AE26" i="63"/>
  <c r="R26" i="63"/>
  <c r="Q16" i="63"/>
  <c r="R16" i="63"/>
  <c r="Q38" i="63"/>
  <c r="AE38" i="63" s="1"/>
  <c r="Q121" i="63"/>
  <c r="AE121" i="63"/>
  <c r="R121" i="63"/>
  <c r="Q108" i="63"/>
  <c r="AE108" i="63" s="1"/>
  <c r="R108" i="63"/>
  <c r="Q76" i="63"/>
  <c r="R76" i="63" s="1"/>
  <c r="Q104" i="63"/>
  <c r="AE104" i="63" s="1"/>
  <c r="Q25" i="63"/>
  <c r="Q97" i="63"/>
  <c r="AE97" i="63"/>
  <c r="R97" i="63"/>
  <c r="Q46" i="63"/>
  <c r="AE46" i="63" s="1"/>
  <c r="Q112" i="63"/>
  <c r="AE112" i="63" s="1"/>
  <c r="Q143" i="63"/>
  <c r="R143" i="63" s="1"/>
  <c r="Q54" i="63"/>
  <c r="AE54" i="63" s="1"/>
  <c r="Q63" i="63"/>
  <c r="AE63" i="63"/>
  <c r="R63" i="63"/>
  <c r="D30" i="49"/>
  <c r="D31" i="49" s="1"/>
  <c r="R159" i="63"/>
  <c r="Q159" i="63"/>
  <c r="I20" i="26"/>
  <c r="O12" i="26"/>
  <c r="D20" i="26"/>
  <c r="I4" i="49"/>
  <c r="I14" i="48" s="1"/>
  <c r="M5" i="50"/>
  <c r="C9" i="29"/>
  <c r="W9" i="29" s="1"/>
  <c r="K14" i="8"/>
  <c r="D9" i="29" s="1"/>
  <c r="X9" i="29" s="1"/>
  <c r="AF9" i="29" s="1"/>
  <c r="J18" i="21"/>
  <c r="J19" i="21" s="1"/>
  <c r="AE73" i="63"/>
  <c r="R73" i="63"/>
  <c r="R77" i="63"/>
  <c r="AE77" i="63"/>
  <c r="T109" i="63"/>
  <c r="V109" i="63"/>
  <c r="Q109" i="63" s="1"/>
  <c r="Q84" i="63"/>
  <c r="AE84" i="63"/>
  <c r="Q68" i="63"/>
  <c r="AE68" i="63" s="1"/>
  <c r="Q64" i="63"/>
  <c r="AE64" i="63"/>
  <c r="X36" i="63"/>
  <c r="Y36" i="63" s="1"/>
  <c r="Q36" i="63" s="1"/>
  <c r="AE36" i="63" s="1"/>
  <c r="X156" i="63"/>
  <c r="Y156" i="63" s="1"/>
  <c r="P161" i="63"/>
  <c r="T48" i="63"/>
  <c r="V48" i="63"/>
  <c r="Q48" i="63" s="1"/>
  <c r="R95" i="63"/>
  <c r="Q95" i="63"/>
  <c r="AE95" i="63" s="1"/>
  <c r="V75" i="63"/>
  <c r="Q75" i="63" s="1"/>
  <c r="T75" i="63"/>
  <c r="X67" i="63"/>
  <c r="Y67" i="63"/>
  <c r="Q31" i="63"/>
  <c r="AE31" i="63" s="1"/>
  <c r="T122" i="63"/>
  <c r="V122" i="63"/>
  <c r="Q122" i="63" s="1"/>
  <c r="X105" i="63"/>
  <c r="Y105" i="63" s="1"/>
  <c r="X66" i="63"/>
  <c r="Y66" i="63" s="1"/>
  <c r="S38" i="21"/>
  <c r="S39" i="21"/>
  <c r="R54" i="21"/>
  <c r="X22" i="8"/>
  <c r="P24" i="8"/>
  <c r="M50" i="68"/>
  <c r="I94" i="68"/>
  <c r="I64" i="67"/>
  <c r="L64" i="67" s="1"/>
  <c r="H293" i="9"/>
  <c r="I293" i="9" s="1"/>
  <c r="I290" i="9"/>
  <c r="Q45" i="63"/>
  <c r="AE45" i="63" s="1"/>
  <c r="I149" i="8"/>
  <c r="H33" i="48"/>
  <c r="H158" i="8"/>
  <c r="R28" i="63"/>
  <c r="AE28" i="63"/>
  <c r="X41" i="63"/>
  <c r="Y41" i="63" s="1"/>
  <c r="Q69" i="63"/>
  <c r="AE69" i="63" s="1"/>
  <c r="V13" i="63"/>
  <c r="Q13" i="63" s="1"/>
  <c r="R13" i="63" s="1"/>
  <c r="T13" i="63"/>
  <c r="J17" i="23"/>
  <c r="E293" i="10"/>
  <c r="O66" i="63"/>
  <c r="V66" i="63" s="1"/>
  <c r="D130" i="63" s="1"/>
  <c r="R116" i="63"/>
  <c r="J32" i="55"/>
  <c r="L32" i="55"/>
  <c r="L34" i="55" s="1"/>
  <c r="J6" i="55"/>
  <c r="L6" i="55" s="1"/>
  <c r="L8" i="55" s="1"/>
  <c r="D5" i="55"/>
  <c r="J16" i="55" s="1"/>
  <c r="L16" i="55" s="1"/>
  <c r="N16" i="55" s="1"/>
  <c r="J17" i="55"/>
  <c r="L17" i="55" s="1"/>
  <c r="L19" i="55" s="1"/>
  <c r="N19" i="55" s="1"/>
  <c r="G104" i="51"/>
  <c r="D9" i="49"/>
  <c r="D12" i="49"/>
  <c r="D14" i="49" s="1"/>
  <c r="D15" i="49" s="1"/>
  <c r="V12" i="63"/>
  <c r="V19" i="63"/>
  <c r="T12" i="63"/>
  <c r="T19" i="63" s="1"/>
  <c r="G147" i="21"/>
  <c r="G53" i="21"/>
  <c r="G56" i="21" s="1"/>
  <c r="G18" i="21" s="1"/>
  <c r="J125" i="21"/>
  <c r="J113" i="21"/>
  <c r="J116" i="21" s="1"/>
  <c r="J117" i="21" s="1"/>
  <c r="J118" i="21" s="1"/>
  <c r="L107" i="34"/>
  <c r="I16" i="16"/>
  <c r="I63" i="16"/>
  <c r="L63" i="16" s="1"/>
  <c r="L176" i="8"/>
  <c r="K176" i="8" s="1"/>
  <c r="K172" i="8"/>
  <c r="L172" i="8"/>
  <c r="L153" i="8"/>
  <c r="K153" i="8"/>
  <c r="K152" i="8"/>
  <c r="L152" i="8"/>
  <c r="I20" i="8"/>
  <c r="L155" i="8"/>
  <c r="K155" i="8" s="1"/>
  <c r="H32" i="8"/>
  <c r="H34" i="8" s="1"/>
  <c r="I27" i="8"/>
  <c r="I32" i="8" s="1"/>
  <c r="I34" i="8" s="1"/>
  <c r="J19" i="22"/>
  <c r="J24" i="22" s="1"/>
  <c r="C28" i="67"/>
  <c r="G28" i="67"/>
  <c r="F28" i="67"/>
  <c r="H28" i="67" s="1"/>
  <c r="C50" i="67"/>
  <c r="D50" i="67" s="1"/>
  <c r="E50" i="67" s="1"/>
  <c r="F50" i="67"/>
  <c r="H50" i="67" s="1"/>
  <c r="I50" i="67" s="1"/>
  <c r="L50" i="67" s="1"/>
  <c r="H17" i="67"/>
  <c r="I27" i="67"/>
  <c r="L27" i="67" s="1"/>
  <c r="N27" i="67"/>
  <c r="Q77" i="8"/>
  <c r="Y77" i="8"/>
  <c r="U106" i="8"/>
  <c r="P53" i="8"/>
  <c r="Q126" i="8"/>
  <c r="Y126" i="8" s="1"/>
  <c r="N52" i="67"/>
  <c r="I52" i="67"/>
  <c r="L52" i="67" s="1"/>
  <c r="Y78" i="8"/>
  <c r="U78" i="8"/>
  <c r="X53" i="8"/>
  <c r="I17" i="67"/>
  <c r="H21" i="2"/>
  <c r="G148" i="21"/>
  <c r="G115" i="21" s="1"/>
  <c r="G116" i="21" s="1"/>
  <c r="G117" i="21" s="1"/>
  <c r="G118" i="21" s="1"/>
  <c r="T66" i="63"/>
  <c r="R69" i="63"/>
  <c r="Q12" i="63"/>
  <c r="R12" i="63" s="1"/>
  <c r="R45" i="63"/>
  <c r="X24" i="8"/>
  <c r="R31" i="63"/>
  <c r="R64" i="63"/>
  <c r="R68" i="63"/>
  <c r="R84" i="63"/>
  <c r="O5" i="50"/>
  <c r="L4" i="49"/>
  <c r="K21" i="26"/>
  <c r="K20" i="26"/>
  <c r="R112" i="63"/>
  <c r="R46" i="63"/>
  <c r="R25" i="63"/>
  <c r="AE25" i="63"/>
  <c r="R38" i="63"/>
  <c r="R113" i="63"/>
  <c r="R93" i="63"/>
  <c r="R153" i="21"/>
  <c r="R155" i="21"/>
  <c r="F71" i="64"/>
  <c r="H71" i="64"/>
  <c r="G71" i="64"/>
  <c r="I71" i="64"/>
  <c r="E71" i="64"/>
  <c r="I29" i="64"/>
  <c r="L25" i="64"/>
  <c r="H27" i="64"/>
  <c r="M25" i="64"/>
  <c r="U77" i="8"/>
  <c r="W104" i="8"/>
  <c r="Q104" i="8"/>
  <c r="Q76" i="8"/>
  <c r="F141" i="21"/>
  <c r="F143" i="21"/>
  <c r="F114" i="21" s="1"/>
  <c r="F116" i="21" s="1"/>
  <c r="F117" i="21" s="1"/>
  <c r="F118" i="21" s="1"/>
  <c r="J44" i="34"/>
  <c r="V83" i="8"/>
  <c r="E83" i="64"/>
  <c r="J79" i="64"/>
  <c r="J83" i="64" s="1"/>
  <c r="C35" i="29"/>
  <c r="W35" i="29" s="1"/>
  <c r="AE35" i="29" s="1"/>
  <c r="S49" i="21"/>
  <c r="R51" i="21"/>
  <c r="S48" i="21"/>
  <c r="C30" i="29"/>
  <c r="W30" i="29"/>
  <c r="AE30" i="29" s="1"/>
  <c r="X116" i="8"/>
  <c r="J21" i="26"/>
  <c r="J18" i="26"/>
  <c r="J22" i="26"/>
  <c r="J20" i="26"/>
  <c r="J19" i="26"/>
  <c r="X83" i="63"/>
  <c r="Y83" i="63"/>
  <c r="P135" i="63"/>
  <c r="T140" i="63"/>
  <c r="X71" i="63"/>
  <c r="Y71" i="63"/>
  <c r="T98" i="63"/>
  <c r="V98" i="63"/>
  <c r="C297" i="8"/>
  <c r="C296" i="8"/>
  <c r="Y169" i="63"/>
  <c r="Q166" i="63"/>
  <c r="R166" i="63" s="1"/>
  <c r="R169" i="63" s="1"/>
  <c r="C45" i="64" s="1"/>
  <c r="Q155" i="63"/>
  <c r="R164" i="21"/>
  <c r="R165" i="21" s="1"/>
  <c r="F89" i="64"/>
  <c r="G89" i="64"/>
  <c r="H89" i="64"/>
  <c r="I89" i="64"/>
  <c r="E89" i="64"/>
  <c r="J89" i="64" s="1"/>
  <c r="Q75" i="8"/>
  <c r="Y75" i="8" s="1"/>
  <c r="V75" i="8"/>
  <c r="U75" i="8"/>
  <c r="Q42" i="8"/>
  <c r="U42" i="8" s="1"/>
  <c r="V116" i="8"/>
  <c r="Q116" i="8"/>
  <c r="V126" i="8"/>
  <c r="L72" i="8"/>
  <c r="C29" i="29"/>
  <c r="K53" i="8"/>
  <c r="V84" i="8"/>
  <c r="Q84" i="8"/>
  <c r="V79" i="8"/>
  <c r="U79" i="8"/>
  <c r="D28" i="67"/>
  <c r="B43" i="64"/>
  <c r="G43" i="64" s="1"/>
  <c r="V21" i="63"/>
  <c r="I45" i="48" s="1"/>
  <c r="H189" i="8" s="1"/>
  <c r="I189" i="8" s="1"/>
  <c r="L149" i="8"/>
  <c r="I158" i="8"/>
  <c r="K149" i="8"/>
  <c r="Q67" i="63"/>
  <c r="AE67" i="63" s="1"/>
  <c r="Q145" i="63"/>
  <c r="Q147" i="63" s="1"/>
  <c r="Y147" i="63"/>
  <c r="P158" i="21"/>
  <c r="P161" i="21" s="1"/>
  <c r="P167" i="21" s="1"/>
  <c r="Q142" i="34"/>
  <c r="P55" i="64"/>
  <c r="G88" i="64"/>
  <c r="I88" i="64"/>
  <c r="H88" i="64"/>
  <c r="E88" i="64"/>
  <c r="J29" i="64"/>
  <c r="F88" i="64"/>
  <c r="P25" i="64"/>
  <c r="Y110" i="8"/>
  <c r="U110" i="8"/>
  <c r="V103" i="8"/>
  <c r="Q103" i="8"/>
  <c r="U103" i="8" s="1"/>
  <c r="C17" i="35"/>
  <c r="Q119" i="8"/>
  <c r="V119" i="8"/>
  <c r="V105" i="8"/>
  <c r="Q105" i="8"/>
  <c r="Y105" i="8"/>
  <c r="R44" i="21"/>
  <c r="Y122" i="8"/>
  <c r="U122" i="8"/>
  <c r="J6" i="34"/>
  <c r="J32" i="34"/>
  <c r="N53" i="8"/>
  <c r="V53" i="8" s="1"/>
  <c r="V39" i="8"/>
  <c r="Q39" i="8"/>
  <c r="V108" i="8"/>
  <c r="Q50" i="8"/>
  <c r="V49" i="8"/>
  <c r="Q49" i="8"/>
  <c r="Y49" i="8"/>
  <c r="V45" i="8"/>
  <c r="Q45" i="8"/>
  <c r="Y45" i="8" s="1"/>
  <c r="U39" i="8"/>
  <c r="F201" i="10"/>
  <c r="F293" i="10"/>
  <c r="L199" i="10"/>
  <c r="O31" i="60"/>
  <c r="F18" i="26"/>
  <c r="D23" i="26"/>
  <c r="T83" i="63"/>
  <c r="V83" i="63"/>
  <c r="Q29" i="63"/>
  <c r="AE118" i="63"/>
  <c r="R118" i="63"/>
  <c r="X19" i="63"/>
  <c r="Y11" i="63"/>
  <c r="X98" i="63"/>
  <c r="Y98" i="63"/>
  <c r="R129" i="21"/>
  <c r="R102" i="63"/>
  <c r="Q82" i="63"/>
  <c r="R72" i="63"/>
  <c r="R53" i="63"/>
  <c r="R47" i="63"/>
  <c r="R110" i="63"/>
  <c r="R78" i="63"/>
  <c r="R103" i="63"/>
  <c r="R62" i="63"/>
  <c r="R40" i="63"/>
  <c r="X161" i="63"/>
  <c r="J86" i="64"/>
  <c r="G16" i="64"/>
  <c r="F36" i="64" s="1"/>
  <c r="G72" i="64"/>
  <c r="F72" i="64"/>
  <c r="H72" i="64"/>
  <c r="I72" i="64"/>
  <c r="E72" i="64"/>
  <c r="Y125" i="8"/>
  <c r="U125" i="8"/>
  <c r="V46" i="8"/>
  <c r="U46" i="8"/>
  <c r="W116" i="8"/>
  <c r="W126" i="8"/>
  <c r="W39" i="8"/>
  <c r="O53" i="8"/>
  <c r="H86" i="15"/>
  <c r="H145" i="15" s="1"/>
  <c r="E145" i="15"/>
  <c r="E147" i="15" s="1"/>
  <c r="E148" i="15" s="1"/>
  <c r="E150" i="15" s="1"/>
  <c r="Q81" i="8"/>
  <c r="Q192" i="8"/>
  <c r="C39" i="35"/>
  <c r="V102" i="8"/>
  <c r="Y44" i="8"/>
  <c r="Q98" i="63"/>
  <c r="AE98" i="63" s="1"/>
  <c r="S42" i="21"/>
  <c r="R55" i="21"/>
  <c r="R56" i="21" s="1"/>
  <c r="R45" i="21"/>
  <c r="R46" i="21"/>
  <c r="R41" i="21"/>
  <c r="U119" i="8"/>
  <c r="Q55" i="64"/>
  <c r="O188" i="8"/>
  <c r="P188" i="8"/>
  <c r="X188" i="8" s="1"/>
  <c r="L189" i="8"/>
  <c r="K189" i="8" s="1"/>
  <c r="Y84" i="8"/>
  <c r="U84" i="8"/>
  <c r="X135" i="63"/>
  <c r="P140" i="63"/>
  <c r="Q83" i="63"/>
  <c r="AE83" i="63"/>
  <c r="R83" i="63"/>
  <c r="Y76" i="8"/>
  <c r="U76" i="8"/>
  <c r="Y104" i="8"/>
  <c r="U104" i="8"/>
  <c r="O25" i="64"/>
  <c r="J71" i="64"/>
  <c r="G74" i="64"/>
  <c r="AE48" i="63"/>
  <c r="R48" i="63"/>
  <c r="J23" i="22"/>
  <c r="N98" i="21"/>
  <c r="N140" i="21" s="1"/>
  <c r="N141" i="21" s="1"/>
  <c r="N143" i="21" s="1"/>
  <c r="N114" i="21" s="1"/>
  <c r="N116" i="21" s="1"/>
  <c r="N117" i="21" s="1"/>
  <c r="N118" i="21" s="1"/>
  <c r="U45" i="8"/>
  <c r="U105" i="8"/>
  <c r="H85" i="64"/>
  <c r="H91" i="64"/>
  <c r="G85" i="64"/>
  <c r="G91" i="64" s="1"/>
  <c r="F85" i="64"/>
  <c r="F91" i="64" s="1"/>
  <c r="R158" i="21"/>
  <c r="Y81" i="8"/>
  <c r="U81" i="8"/>
  <c r="W53" i="8"/>
  <c r="J72" i="64"/>
  <c r="E85" i="64"/>
  <c r="E91" i="64" s="1"/>
  <c r="F92" i="64" s="1"/>
  <c r="AE82" i="63"/>
  <c r="R82" i="63"/>
  <c r="Q11" i="63"/>
  <c r="Q19" i="63" s="1"/>
  <c r="Y19" i="63"/>
  <c r="U49" i="8"/>
  <c r="Y39" i="8"/>
  <c r="Q53" i="8"/>
  <c r="S43" i="21"/>
  <c r="Y103" i="8"/>
  <c r="J88" i="64"/>
  <c r="K188" i="8"/>
  <c r="R145" i="63"/>
  <c r="R147" i="63" s="1"/>
  <c r="R36" i="63"/>
  <c r="R67" i="63"/>
  <c r="P149" i="8"/>
  <c r="X149" i="8"/>
  <c r="O149" i="8"/>
  <c r="W149" i="8" s="1"/>
  <c r="N149" i="8"/>
  <c r="V149" i="8"/>
  <c r="L158" i="8"/>
  <c r="E28" i="67"/>
  <c r="D29" i="29"/>
  <c r="C31" i="29"/>
  <c r="W29" i="29"/>
  <c r="Y116" i="8"/>
  <c r="U116" i="8"/>
  <c r="R155" i="63"/>
  <c r="Q71" i="63"/>
  <c r="AE71" i="63" s="1"/>
  <c r="I85" i="64"/>
  <c r="I91" i="64"/>
  <c r="L27" i="64"/>
  <c r="O27" i="64" s="1"/>
  <c r="M27" i="64"/>
  <c r="H74" i="64"/>
  <c r="L30" i="64"/>
  <c r="Q5" i="50"/>
  <c r="P4" i="49" s="1"/>
  <c r="N4" i="49"/>
  <c r="H21" i="5"/>
  <c r="H23" i="5" s="1"/>
  <c r="H21" i="4"/>
  <c r="H23" i="4"/>
  <c r="H23" i="2"/>
  <c r="H21" i="3"/>
  <c r="H23" i="3" s="1"/>
  <c r="H21" i="6"/>
  <c r="H23" i="6" s="1"/>
  <c r="L17" i="67"/>
  <c r="W31" i="29"/>
  <c r="AE29" i="29"/>
  <c r="AE31" i="29" s="1"/>
  <c r="X29" i="29"/>
  <c r="Q149" i="8"/>
  <c r="Y149" i="8" s="1"/>
  <c r="Y53" i="8"/>
  <c r="L29" i="64"/>
  <c r="X140" i="63"/>
  <c r="Y135" i="63"/>
  <c r="Q188" i="8"/>
  <c r="V188" i="8"/>
  <c r="P27" i="64"/>
  <c r="C39" i="29"/>
  <c r="W39" i="29"/>
  <c r="AE39" i="29"/>
  <c r="U149" i="8"/>
  <c r="M29" i="64"/>
  <c r="N189" i="8"/>
  <c r="V189" i="8"/>
  <c r="P189" i="8"/>
  <c r="X189" i="8"/>
  <c r="O189" i="8"/>
  <c r="W189" i="8"/>
  <c r="U188" i="8"/>
  <c r="W188" i="8"/>
  <c r="R55" i="64"/>
  <c r="R98" i="63"/>
  <c r="U53" i="8"/>
  <c r="Q189" i="8"/>
  <c r="Y189" i="8"/>
  <c r="Y188" i="8"/>
  <c r="U189" i="8"/>
  <c r="P29" i="64"/>
  <c r="Q135" i="63"/>
  <c r="Y140" i="63"/>
  <c r="AF29" i="29"/>
  <c r="R135" i="63"/>
  <c r="D34" i="26"/>
  <c r="E30" i="26"/>
  <c r="G31" i="26"/>
  <c r="D30" i="26"/>
  <c r="D37" i="26"/>
  <c r="D36" i="26"/>
  <c r="G35" i="26"/>
  <c r="G33" i="26"/>
  <c r="D32" i="26"/>
  <c r="G37" i="26"/>
  <c r="E36" i="26"/>
  <c r="G28" i="26"/>
  <c r="G32" i="26"/>
  <c r="G36" i="26"/>
  <c r="E37" i="26"/>
  <c r="G30" i="26"/>
  <c r="D29" i="26"/>
  <c r="E34" i="26"/>
  <c r="E35" i="26"/>
  <c r="D38" i="26"/>
  <c r="G38" i="26"/>
  <c r="E29" i="26"/>
  <c r="D28" i="26"/>
  <c r="D33" i="26"/>
  <c r="G29" i="26"/>
  <c r="D31" i="26"/>
  <c r="E32" i="26"/>
  <c r="E28" i="26"/>
  <c r="G34" i="26"/>
  <c r="E33" i="26"/>
  <c r="D35" i="26"/>
  <c r="E31" i="26"/>
  <c r="H35" i="26" l="1"/>
  <c r="G45" i="26"/>
  <c r="G43" i="26" s="1"/>
  <c r="L32" i="26" s="1"/>
  <c r="D45" i="26"/>
  <c r="H31" i="26"/>
  <c r="D41" i="26"/>
  <c r="H33" i="26"/>
  <c r="H28" i="26"/>
  <c r="H38" i="26"/>
  <c r="H45" i="26"/>
  <c r="H43" i="26" s="1"/>
  <c r="H29" i="26"/>
  <c r="G41" i="26"/>
  <c r="D44" i="26"/>
  <c r="D42" i="26"/>
  <c r="H32" i="26"/>
  <c r="G44" i="26"/>
  <c r="H36" i="26"/>
  <c r="H37" i="26"/>
  <c r="H42" i="26"/>
  <c r="L30" i="26" s="1"/>
  <c r="H30" i="26"/>
  <c r="H34" i="26"/>
  <c r="H41" i="26"/>
  <c r="L29" i="26" s="1"/>
  <c r="B91" i="64"/>
  <c r="E155" i="15"/>
  <c r="E157" i="15" s="1"/>
  <c r="K3" i="34" s="1"/>
  <c r="E151" i="15"/>
  <c r="O29" i="64"/>
  <c r="O30" i="64"/>
  <c r="R11" i="63"/>
  <c r="R19" i="63" s="1"/>
  <c r="C43" i="64" s="1"/>
  <c r="H43" i="64" s="1"/>
  <c r="R122" i="63"/>
  <c r="AE122" i="63"/>
  <c r="Q156" i="63"/>
  <c r="Q161" i="63" s="1"/>
  <c r="Y161" i="63"/>
  <c r="H26" i="48"/>
  <c r="H143" i="8"/>
  <c r="I140" i="8"/>
  <c r="X101" i="8"/>
  <c r="Q101" i="8"/>
  <c r="V87" i="8"/>
  <c r="Q87" i="8"/>
  <c r="R71" i="63"/>
  <c r="Y119" i="8"/>
  <c r="C17" i="11"/>
  <c r="I28" i="67"/>
  <c r="L28" i="67" s="1"/>
  <c r="N28" i="67"/>
  <c r="G19" i="21"/>
  <c r="R18" i="21"/>
  <c r="R19" i="21" s="1"/>
  <c r="N21" i="55"/>
  <c r="Q41" i="63"/>
  <c r="AE41" i="63" s="1"/>
  <c r="R41" i="63"/>
  <c r="C25" i="34"/>
  <c r="C20" i="34"/>
  <c r="C30" i="34"/>
  <c r="K23" i="34"/>
  <c r="C23" i="34"/>
  <c r="K2" i="38"/>
  <c r="K16" i="34"/>
  <c r="K13" i="34"/>
  <c r="C15" i="34"/>
  <c r="C22" i="34"/>
  <c r="K21" i="34"/>
  <c r="C28" i="34"/>
  <c r="K27" i="34"/>
  <c r="C27" i="34"/>
  <c r="C18" i="34"/>
  <c r="K30" i="34"/>
  <c r="C19" i="34"/>
  <c r="C31" i="34"/>
  <c r="K22" i="34"/>
  <c r="K2" i="36"/>
  <c r="C21" i="34"/>
  <c r="K26" i="34"/>
  <c r="K14" i="34"/>
  <c r="K24" i="34"/>
  <c r="K19" i="34"/>
  <c r="C14" i="34"/>
  <c r="C26" i="34"/>
  <c r="C16" i="34"/>
  <c r="K25" i="34"/>
  <c r="K15" i="34"/>
  <c r="C17" i="34"/>
  <c r="K29" i="34"/>
  <c r="C29" i="34"/>
  <c r="C24" i="34"/>
  <c r="C13" i="34"/>
  <c r="C12" i="34"/>
  <c r="K17" i="34"/>
  <c r="K12" i="34"/>
  <c r="K28" i="34"/>
  <c r="K20" i="34"/>
  <c r="K18" i="34"/>
  <c r="K31" i="34"/>
  <c r="Q56" i="64"/>
  <c r="P63" i="64"/>
  <c r="G41" i="18"/>
  <c r="G43" i="18" s="1"/>
  <c r="G46" i="18"/>
  <c r="O35" i="18"/>
  <c r="W83" i="8"/>
  <c r="U83" i="8"/>
  <c r="Q102" i="8"/>
  <c r="C39" i="37"/>
  <c r="W102" i="8"/>
  <c r="R29" i="63"/>
  <c r="AE29" i="63"/>
  <c r="Q66" i="63"/>
  <c r="AE75" i="63"/>
  <c r="R75" i="63"/>
  <c r="D43" i="26"/>
  <c r="V150" i="63"/>
  <c r="I46" i="48" s="1"/>
  <c r="H190" i="8" s="1"/>
  <c r="I190" i="8" s="1"/>
  <c r="B44" i="64"/>
  <c r="AE56" i="63"/>
  <c r="R56" i="63"/>
  <c r="L5" i="70"/>
  <c r="G9" i="70"/>
  <c r="G17" i="70" s="1"/>
  <c r="I38" i="64"/>
  <c r="L38" i="64"/>
  <c r="W121" i="8"/>
  <c r="O129" i="8"/>
  <c r="W129" i="8" s="1"/>
  <c r="K70" i="8"/>
  <c r="K147" i="21"/>
  <c r="I47" i="16"/>
  <c r="L47" i="16" s="1"/>
  <c r="D65" i="16"/>
  <c r="E47" i="16"/>
  <c r="U192" i="8"/>
  <c r="Y192" i="8"/>
  <c r="F23" i="26"/>
  <c r="U50" i="8"/>
  <c r="Y50" i="8"/>
  <c r="R109" i="63"/>
  <c r="AE109" i="63"/>
  <c r="H100" i="8"/>
  <c r="J14" i="48"/>
  <c r="G6" i="70"/>
  <c r="L6" i="70" s="1"/>
  <c r="M6" i="70" s="1"/>
  <c r="H97" i="17"/>
  <c r="E95" i="17"/>
  <c r="E104" i="17" s="1"/>
  <c r="C7" i="13" s="1"/>
  <c r="M41" i="18"/>
  <c r="M43" i="18" s="1"/>
  <c r="M46" i="18"/>
  <c r="F20" i="26"/>
  <c r="L16" i="16"/>
  <c r="K27" i="8"/>
  <c r="R54" i="63"/>
  <c r="R104" i="63"/>
  <c r="AE76" i="63"/>
  <c r="AE96" i="63"/>
  <c r="R107" i="63"/>
  <c r="AE100" i="63"/>
  <c r="AE111" i="63"/>
  <c r="AE101" i="63"/>
  <c r="R74" i="63"/>
  <c r="R120" i="63"/>
  <c r="AE43" i="63"/>
  <c r="AE79" i="63"/>
  <c r="Q74" i="8"/>
  <c r="Q121" i="8"/>
  <c r="Y121" i="8" s="1"/>
  <c r="P86" i="8"/>
  <c r="X86" i="8" s="1"/>
  <c r="O31" i="18"/>
  <c r="U118" i="8"/>
  <c r="Q85" i="8"/>
  <c r="K108" i="15"/>
  <c r="Y51" i="8"/>
  <c r="U51" i="8"/>
  <c r="J167" i="21"/>
  <c r="Q60" i="63"/>
  <c r="AE60" i="63" s="1"/>
  <c r="Q92" i="63"/>
  <c r="AE92" i="63" s="1"/>
  <c r="E27" i="23"/>
  <c r="E28" i="23" s="1"/>
  <c r="E29" i="23"/>
  <c r="E26" i="23"/>
  <c r="H71" i="14"/>
  <c r="H76" i="14" s="1"/>
  <c r="E76" i="14"/>
  <c r="D76" i="14" s="1"/>
  <c r="D293" i="10"/>
  <c r="L293" i="10" s="1"/>
  <c r="L290" i="10"/>
  <c r="T44" i="63"/>
  <c r="V44" i="63"/>
  <c r="Q44" i="63" s="1"/>
  <c r="T89" i="63"/>
  <c r="V89" i="63"/>
  <c r="Q89" i="63" s="1"/>
  <c r="T35" i="63"/>
  <c r="V35" i="63"/>
  <c r="Q35" i="63" s="1"/>
  <c r="T51" i="63"/>
  <c r="V51" i="63"/>
  <c r="Q51" i="63" s="1"/>
  <c r="U126" i="8"/>
  <c r="Q169" i="63"/>
  <c r="AE115" i="63"/>
  <c r="J9" i="70"/>
  <c r="L25" i="29"/>
  <c r="L53" i="29" s="1"/>
  <c r="H40" i="15"/>
  <c r="H77" i="15" s="1"/>
  <c r="Q115" i="8"/>
  <c r="Q86" i="8"/>
  <c r="Y86" i="8" s="1"/>
  <c r="U111" i="8"/>
  <c r="U150" i="8"/>
  <c r="B252" i="34"/>
  <c r="P18" i="64"/>
  <c r="P23" i="64" s="1"/>
  <c r="I201" i="34"/>
  <c r="Q109" i="8"/>
  <c r="Y109" i="8" s="1"/>
  <c r="N121" i="8"/>
  <c r="P121" i="8"/>
  <c r="K121" i="8"/>
  <c r="K129" i="8" s="1"/>
  <c r="D35" i="29" s="1"/>
  <c r="X35" i="29" s="1"/>
  <c r="AF35" i="29" s="1"/>
  <c r="H70" i="61"/>
  <c r="H76" i="61" s="1"/>
  <c r="E76" i="61"/>
  <c r="D76" i="61" s="1"/>
  <c r="P128" i="8"/>
  <c r="X128" i="8" s="1"/>
  <c r="K128" i="8"/>
  <c r="G26" i="23"/>
  <c r="G27" i="23"/>
  <c r="G29" i="23"/>
  <c r="Q58" i="63"/>
  <c r="AE58" i="63" s="1"/>
  <c r="R58" i="63"/>
  <c r="AE91" i="63"/>
  <c r="R91" i="63"/>
  <c r="E60" i="14"/>
  <c r="E65" i="14" s="1"/>
  <c r="D65" i="14" s="1"/>
  <c r="H61" i="14"/>
  <c r="H60" i="14" s="1"/>
  <c r="H65" i="14" s="1"/>
  <c r="Q61" i="63"/>
  <c r="AE61" i="63" s="1"/>
  <c r="R61" i="63"/>
  <c r="V59" i="63"/>
  <c r="Q59" i="63" s="1"/>
  <c r="T59" i="63"/>
  <c r="V105" i="63"/>
  <c r="Q105" i="63" s="1"/>
  <c r="T105" i="63"/>
  <c r="V42" i="63"/>
  <c r="Q42" i="63" s="1"/>
  <c r="T42" i="63"/>
  <c r="V43" i="8"/>
  <c r="U43" i="8"/>
  <c r="Q158" i="21"/>
  <c r="Q161" i="21" s="1"/>
  <c r="Q167" i="21" s="1"/>
  <c r="Q131" i="21"/>
  <c r="Q143" i="21" s="1"/>
  <c r="Q114" i="21" s="1"/>
  <c r="O158" i="21"/>
  <c r="O161" i="21" s="1"/>
  <c r="O167" i="21" s="1"/>
  <c r="Q34" i="63"/>
  <c r="AE34" i="63" s="1"/>
  <c r="Q94" i="63"/>
  <c r="AE94" i="63" s="1"/>
  <c r="R94" i="63"/>
  <c r="Q136" i="63"/>
  <c r="Q140" i="63" s="1"/>
  <c r="R136" i="63"/>
  <c r="R140" i="63" s="1"/>
  <c r="R149" i="63" s="1"/>
  <c r="C44" i="64" s="1"/>
  <c r="X114" i="63"/>
  <c r="Y114" i="63" s="1"/>
  <c r="U44" i="8"/>
  <c r="J6" i="70"/>
  <c r="E7" i="70"/>
  <c r="G7" i="70" s="1"/>
  <c r="L7" i="70" s="1"/>
  <c r="M7" i="70" s="1"/>
  <c r="N123" i="8"/>
  <c r="X52" i="8"/>
  <c r="V85" i="8"/>
  <c r="Q146" i="8"/>
  <c r="J90" i="64"/>
  <c r="J91" i="64" s="1"/>
  <c r="E69" i="64"/>
  <c r="I69" i="64"/>
  <c r="I74" i="64" s="1"/>
  <c r="I12" i="64"/>
  <c r="I16" i="64" s="1"/>
  <c r="I30" i="64" s="1"/>
  <c r="O125" i="21"/>
  <c r="O113" i="21" s="1"/>
  <c r="R70" i="63"/>
  <c r="AE70" i="63"/>
  <c r="AE81" i="63"/>
  <c r="R81" i="63"/>
  <c r="Q80" i="63"/>
  <c r="AE80" i="63" s="1"/>
  <c r="R24" i="63"/>
  <c r="AE24" i="63"/>
  <c r="AE123" i="63"/>
  <c r="R123" i="63"/>
  <c r="V171" i="63"/>
  <c r="I47" i="48" s="1"/>
  <c r="H191" i="8" s="1"/>
  <c r="I191" i="8" s="1"/>
  <c r="B45" i="64"/>
  <c r="N117" i="8"/>
  <c r="M11" i="64"/>
  <c r="L46" i="64"/>
  <c r="M46" i="64" s="1"/>
  <c r="E19" i="16"/>
  <c r="E65" i="16" s="1"/>
  <c r="R80" i="21"/>
  <c r="Q81" i="21"/>
  <c r="P90" i="21"/>
  <c r="P130" i="21" s="1"/>
  <c r="P131" i="21" s="1"/>
  <c r="P143" i="21" s="1"/>
  <c r="P114" i="21" s="1"/>
  <c r="P116" i="21" s="1"/>
  <c r="P117" i="21" s="1"/>
  <c r="P118" i="21" s="1"/>
  <c r="I15" i="23"/>
  <c r="I18" i="23" s="1"/>
  <c r="M104" i="21" s="1"/>
  <c r="M147" i="21" s="1"/>
  <c r="M148" i="21" s="1"/>
  <c r="M115" i="21" s="1"/>
  <c r="M116" i="21" s="1"/>
  <c r="M117" i="21" s="1"/>
  <c r="M118" i="21" s="1"/>
  <c r="D201" i="9"/>
  <c r="B11" i="25"/>
  <c r="T63" i="63"/>
  <c r="E19" i="22"/>
  <c r="I97" i="21"/>
  <c r="I139" i="21" s="1"/>
  <c r="O130" i="21"/>
  <c r="O131" i="21" s="1"/>
  <c r="O143" i="21" s="1"/>
  <c r="O114" i="21" s="1"/>
  <c r="AE85" i="63"/>
  <c r="A46" i="25"/>
  <c r="B47" i="25"/>
  <c r="Q59" i="34"/>
  <c r="Q125" i="34"/>
  <c r="H167" i="21"/>
  <c r="Q65" i="63"/>
  <c r="AE65" i="63" s="1"/>
  <c r="R65" i="63"/>
  <c r="M7" i="21"/>
  <c r="R90" i="63"/>
  <c r="G160" i="21"/>
  <c r="G161" i="21" s="1"/>
  <c r="G167" i="21" s="1"/>
  <c r="L90" i="34"/>
  <c r="L155" i="34"/>
  <c r="L34" i="65"/>
  <c r="R134" i="21"/>
  <c r="B73" i="14"/>
  <c r="B11" i="38"/>
  <c r="N53" i="29"/>
  <c r="D34" i="6"/>
  <c r="P11" i="8"/>
  <c r="R60" i="21"/>
  <c r="R62" i="21" s="1"/>
  <c r="R74" i="21" s="1"/>
  <c r="M3" i="34"/>
  <c r="K201" i="10"/>
  <c r="L201" i="10" s="1"/>
  <c r="P33" i="63"/>
  <c r="O33" i="63"/>
  <c r="O55" i="63"/>
  <c r="B23" i="64"/>
  <c r="B30" i="64" s="1"/>
  <c r="K145" i="8"/>
  <c r="K158" i="8" s="1"/>
  <c r="D39" i="29" s="1"/>
  <c r="X39" i="29" s="1"/>
  <c r="AF39" i="29" s="1"/>
  <c r="K181" i="8"/>
  <c r="B40" i="64"/>
  <c r="G40" i="64" s="1"/>
  <c r="K6" i="56"/>
  <c r="L6" i="56" s="1"/>
  <c r="L8" i="56" s="1"/>
  <c r="K32" i="56"/>
  <c r="L32" i="56" s="1"/>
  <c r="L34" i="56" s="1"/>
  <c r="S63" i="29"/>
  <c r="S66" i="29" s="1"/>
  <c r="S69" i="29" s="1"/>
  <c r="X2" i="36"/>
  <c r="N11" i="23"/>
  <c r="N12" i="23" s="1"/>
  <c r="H160" i="8"/>
  <c r="I56" i="34"/>
  <c r="J56" i="34" s="1"/>
  <c r="K56" i="34" s="1"/>
  <c r="I40" i="34"/>
  <c r="K127" i="66"/>
  <c r="E127" i="66"/>
  <c r="H127" i="66" s="1"/>
  <c r="K20" i="66"/>
  <c r="C30" i="67"/>
  <c r="K110" i="66"/>
  <c r="K16" i="66"/>
  <c r="H47" i="67"/>
  <c r="G62" i="67"/>
  <c r="H62" i="67" s="1"/>
  <c r="F61" i="67"/>
  <c r="H61" i="67" s="1"/>
  <c r="E119" i="66"/>
  <c r="H119" i="66" s="1"/>
  <c r="F26" i="67"/>
  <c r="G26" i="67"/>
  <c r="F30" i="67"/>
  <c r="H30" i="67" s="1"/>
  <c r="G51" i="67"/>
  <c r="H51" i="67" s="1"/>
  <c r="C51" i="67"/>
  <c r="D51" i="67" s="1"/>
  <c r="P60" i="71"/>
  <c r="E48" i="66"/>
  <c r="H31" i="67"/>
  <c r="E117" i="66"/>
  <c r="K117" i="66"/>
  <c r="F43" i="67"/>
  <c r="H43" i="67" s="1"/>
  <c r="C43" i="67"/>
  <c r="D43" i="67" s="1"/>
  <c r="I48" i="67"/>
  <c r="L48" i="67" s="1"/>
  <c r="G59" i="67"/>
  <c r="F59" i="67"/>
  <c r="AE105" i="63" l="1"/>
  <c r="R105" i="63"/>
  <c r="C11" i="13"/>
  <c r="C5" i="13"/>
  <c r="G79" i="14"/>
  <c r="N14" i="8"/>
  <c r="AE44" i="63"/>
  <c r="R44" i="63"/>
  <c r="C33" i="6"/>
  <c r="A29" i="6"/>
  <c r="I51" i="67"/>
  <c r="L51" i="67" s="1"/>
  <c r="X33" i="63"/>
  <c r="P125" i="63"/>
  <c r="C33" i="5"/>
  <c r="Y146" i="8"/>
  <c r="U146" i="8"/>
  <c r="R35" i="63"/>
  <c r="AE35" i="63"/>
  <c r="D55" i="26"/>
  <c r="G22" i="26"/>
  <c r="F16" i="7" s="1"/>
  <c r="P4" i="8" s="1"/>
  <c r="G19" i="26"/>
  <c r="G21" i="26"/>
  <c r="F15" i="7" s="1"/>
  <c r="O4" i="8" s="1"/>
  <c r="R104" i="21"/>
  <c r="F29" i="34"/>
  <c r="N29" i="34"/>
  <c r="R29" i="34"/>
  <c r="S29" i="34" s="1"/>
  <c r="AX29" i="34"/>
  <c r="R19" i="34"/>
  <c r="S19" i="34" s="1"/>
  <c r="F19" i="34"/>
  <c r="N19" i="34"/>
  <c r="AX19" i="34"/>
  <c r="D30" i="67"/>
  <c r="C65" i="67"/>
  <c r="T55" i="63"/>
  <c r="V55" i="63"/>
  <c r="Q55" i="63" s="1"/>
  <c r="R139" i="21"/>
  <c r="I160" i="21"/>
  <c r="I161" i="21" s="1"/>
  <c r="I167" i="21" s="1"/>
  <c r="M12" i="64"/>
  <c r="M16" i="64" s="1"/>
  <c r="M30" i="64" s="1"/>
  <c r="P11" i="64"/>
  <c r="P12" i="64" s="1"/>
  <c r="P16" i="64" s="1"/>
  <c r="P30" i="64" s="1"/>
  <c r="X121" i="8"/>
  <c r="P129" i="8"/>
  <c r="X129" i="8" s="1"/>
  <c r="AE51" i="63"/>
  <c r="R51" i="63"/>
  <c r="AE89" i="63"/>
  <c r="R89" i="63"/>
  <c r="C13" i="13"/>
  <c r="O14" i="8"/>
  <c r="G84" i="14"/>
  <c r="Y74" i="8"/>
  <c r="U74" i="8"/>
  <c r="E9" i="70"/>
  <c r="E17" i="70" s="1"/>
  <c r="D30" i="29"/>
  <c r="K72" i="8"/>
  <c r="AE66" i="63"/>
  <c r="R66" i="63"/>
  <c r="L12" i="8"/>
  <c r="O41" i="18"/>
  <c r="P45" i="18"/>
  <c r="P46" i="18" s="1"/>
  <c r="R56" i="64"/>
  <c r="Q63" i="64"/>
  <c r="Q64" i="64" s="1"/>
  <c r="R13" i="34"/>
  <c r="S13" i="34" s="1"/>
  <c r="F13" i="34"/>
  <c r="AX13" i="34"/>
  <c r="N13" i="34"/>
  <c r="N17" i="34"/>
  <c r="AX17" i="34"/>
  <c r="F17" i="34"/>
  <c r="R17" i="34"/>
  <c r="S17" i="34" s="1"/>
  <c r="AX26" i="34"/>
  <c r="F26" i="34"/>
  <c r="N26" i="34"/>
  <c r="R26" i="34"/>
  <c r="S26" i="34" s="1"/>
  <c r="AX18" i="34"/>
  <c r="R18" i="34"/>
  <c r="S18" i="34" s="1"/>
  <c r="F18" i="34"/>
  <c r="N18" i="34"/>
  <c r="AX30" i="34"/>
  <c r="R30" i="34"/>
  <c r="S30" i="34" s="1"/>
  <c r="F30" i="34"/>
  <c r="N30" i="34"/>
  <c r="K17" i="11"/>
  <c r="J17" i="11" s="1"/>
  <c r="U17" i="11" s="1"/>
  <c r="V17" i="11" s="1"/>
  <c r="I143" i="8"/>
  <c r="C83" i="34"/>
  <c r="K66" i="34"/>
  <c r="C52" i="34"/>
  <c r="K63" i="34"/>
  <c r="K118" i="34"/>
  <c r="C86" i="34"/>
  <c r="C99" i="34"/>
  <c r="C166" i="34"/>
  <c r="C41" i="34"/>
  <c r="C54" i="34"/>
  <c r="K109" i="34"/>
  <c r="C37" i="34"/>
  <c r="K166" i="34"/>
  <c r="K135" i="34"/>
  <c r="C48" i="34"/>
  <c r="K46" i="34"/>
  <c r="C73" i="34"/>
  <c r="K141" i="34"/>
  <c r="K158" i="34"/>
  <c r="K87" i="34"/>
  <c r="C67" i="34"/>
  <c r="C72" i="34"/>
  <c r="C71" i="34"/>
  <c r="C51" i="34"/>
  <c r="K110" i="34"/>
  <c r="K85" i="34"/>
  <c r="K41" i="34"/>
  <c r="K106" i="34"/>
  <c r="K72" i="34"/>
  <c r="C124" i="34"/>
  <c r="C53" i="34"/>
  <c r="C65" i="34"/>
  <c r="K120" i="34"/>
  <c r="C118" i="34"/>
  <c r="C91" i="34"/>
  <c r="C60" i="34"/>
  <c r="K48" i="34"/>
  <c r="K81" i="34"/>
  <c r="C150" i="34"/>
  <c r="C90" i="34"/>
  <c r="C87" i="34"/>
  <c r="C39" i="34"/>
  <c r="K107" i="34"/>
  <c r="K99" i="34"/>
  <c r="C139" i="34"/>
  <c r="K54" i="34"/>
  <c r="C36" i="34"/>
  <c r="K136" i="34"/>
  <c r="C44" i="34"/>
  <c r="C131" i="34"/>
  <c r="K140" i="34"/>
  <c r="K122" i="34"/>
  <c r="K53" i="34"/>
  <c r="C98" i="34"/>
  <c r="C80" i="34"/>
  <c r="K102" i="34"/>
  <c r="K165" i="34"/>
  <c r="K112" i="34"/>
  <c r="C119" i="34"/>
  <c r="C47" i="34"/>
  <c r="K69" i="34"/>
  <c r="C106" i="34"/>
  <c r="C154" i="34"/>
  <c r="K83" i="34"/>
  <c r="K117" i="34"/>
  <c r="K134" i="34"/>
  <c r="C110" i="34"/>
  <c r="K162" i="34"/>
  <c r="K93" i="34"/>
  <c r="C144" i="34"/>
  <c r="C57" i="34"/>
  <c r="K160" i="34"/>
  <c r="C158" i="34"/>
  <c r="C147" i="34"/>
  <c r="K127" i="34"/>
  <c r="C148" i="34"/>
  <c r="K121" i="34"/>
  <c r="C96" i="34"/>
  <c r="K147" i="34"/>
  <c r="C38" i="34"/>
  <c r="K139" i="34"/>
  <c r="C62" i="34"/>
  <c r="K151" i="34"/>
  <c r="K108" i="34"/>
  <c r="K90" i="34"/>
  <c r="C163" i="34"/>
  <c r="C162" i="34"/>
  <c r="C112" i="34"/>
  <c r="K65" i="34"/>
  <c r="K57" i="34"/>
  <c r="K98" i="34"/>
  <c r="C134" i="34"/>
  <c r="K126" i="34"/>
  <c r="K84" i="34"/>
  <c r="C93" i="34"/>
  <c r="K119" i="34"/>
  <c r="C164" i="34"/>
  <c r="K152" i="34"/>
  <c r="C94" i="34"/>
  <c r="C101" i="34"/>
  <c r="K49" i="34"/>
  <c r="C142" i="34"/>
  <c r="K113" i="34"/>
  <c r="K42" i="34"/>
  <c r="K39" i="34"/>
  <c r="K51" i="34"/>
  <c r="C46" i="34"/>
  <c r="K37" i="34"/>
  <c r="C85" i="34"/>
  <c r="C89" i="34"/>
  <c r="K149" i="34"/>
  <c r="C75" i="34"/>
  <c r="K164" i="34"/>
  <c r="K133" i="34"/>
  <c r="K132" i="34"/>
  <c r="C58" i="34"/>
  <c r="K59" i="34"/>
  <c r="C145" i="34"/>
  <c r="C108" i="34"/>
  <c r="K92" i="34"/>
  <c r="K55" i="34"/>
  <c r="K156" i="34"/>
  <c r="C56" i="34"/>
  <c r="C50" i="34"/>
  <c r="C59" i="34"/>
  <c r="C115" i="34"/>
  <c r="K77" i="34"/>
  <c r="C136" i="34"/>
  <c r="K80" i="34"/>
  <c r="C160" i="34"/>
  <c r="C81" i="34"/>
  <c r="K95" i="34"/>
  <c r="K89" i="34"/>
  <c r="C109" i="34"/>
  <c r="C117" i="34"/>
  <c r="K36" i="34"/>
  <c r="K125" i="34"/>
  <c r="C153" i="34"/>
  <c r="C133" i="34"/>
  <c r="C140" i="34"/>
  <c r="K88" i="34"/>
  <c r="C137" i="34"/>
  <c r="C40" i="34"/>
  <c r="C100" i="34"/>
  <c r="K73" i="34"/>
  <c r="C43" i="34"/>
  <c r="C146" i="34"/>
  <c r="C111" i="34"/>
  <c r="K96" i="34"/>
  <c r="K94" i="34"/>
  <c r="K129" i="34"/>
  <c r="K138" i="34"/>
  <c r="C130" i="34"/>
  <c r="C123" i="34"/>
  <c r="C167" i="34"/>
  <c r="C120" i="34"/>
  <c r="K91" i="34"/>
  <c r="K153" i="34"/>
  <c r="K67" i="34"/>
  <c r="K76" i="34"/>
  <c r="K116" i="34"/>
  <c r="C76" i="34"/>
  <c r="K137" i="34"/>
  <c r="C49" i="34"/>
  <c r="C165" i="34"/>
  <c r="K86" i="34"/>
  <c r="K74" i="34"/>
  <c r="K163" i="34"/>
  <c r="C126" i="34"/>
  <c r="K150" i="34"/>
  <c r="K155" i="34"/>
  <c r="C68" i="34"/>
  <c r="C125" i="34"/>
  <c r="K35" i="34"/>
  <c r="K75" i="34"/>
  <c r="C78" i="34"/>
  <c r="C45" i="34"/>
  <c r="C132" i="34"/>
  <c r="K60" i="34"/>
  <c r="C35" i="34"/>
  <c r="K142" i="34"/>
  <c r="C161" i="34"/>
  <c r="K159" i="34"/>
  <c r="K45" i="34"/>
  <c r="K157" i="34"/>
  <c r="C156" i="34"/>
  <c r="C155" i="34"/>
  <c r="K68" i="34"/>
  <c r="C152" i="34"/>
  <c r="K148" i="34"/>
  <c r="C107" i="34"/>
  <c r="K61" i="34"/>
  <c r="K47" i="34"/>
  <c r="K44" i="34"/>
  <c r="K71" i="34"/>
  <c r="C61" i="34"/>
  <c r="C70" i="34"/>
  <c r="K154" i="34"/>
  <c r="C138" i="34"/>
  <c r="C42" i="34"/>
  <c r="C135" i="34"/>
  <c r="C143" i="34"/>
  <c r="K101" i="34"/>
  <c r="K124" i="34"/>
  <c r="K58" i="34"/>
  <c r="K78" i="34"/>
  <c r="C88" i="34"/>
  <c r="C122" i="34"/>
  <c r="K111" i="34"/>
  <c r="K70" i="34"/>
  <c r="C151" i="34"/>
  <c r="C149" i="34"/>
  <c r="C113" i="34"/>
  <c r="K97" i="34"/>
  <c r="C129" i="34"/>
  <c r="K100" i="34"/>
  <c r="K128" i="34"/>
  <c r="K52" i="34"/>
  <c r="C79" i="34"/>
  <c r="C55" i="34"/>
  <c r="C121" i="34"/>
  <c r="K64" i="34"/>
  <c r="C97" i="34"/>
  <c r="K144" i="34"/>
  <c r="K43" i="34"/>
  <c r="C114" i="34"/>
  <c r="K146" i="34"/>
  <c r="C63" i="34"/>
  <c r="C95" i="34"/>
  <c r="C128" i="34"/>
  <c r="C77" i="34"/>
  <c r="K114" i="34"/>
  <c r="C92" i="34"/>
  <c r="K79" i="34"/>
  <c r="C141" i="34"/>
  <c r="C159" i="34"/>
  <c r="K82" i="34"/>
  <c r="C157" i="34"/>
  <c r="C64" i="34"/>
  <c r="K131" i="34"/>
  <c r="K50" i="34"/>
  <c r="K143" i="34"/>
  <c r="K123" i="34"/>
  <c r="C127" i="34"/>
  <c r="C82" i="34"/>
  <c r="K115" i="34"/>
  <c r="C116" i="34"/>
  <c r="C74" i="34"/>
  <c r="K145" i="34"/>
  <c r="K62" i="34"/>
  <c r="K167" i="34"/>
  <c r="K130" i="34"/>
  <c r="C69" i="34"/>
  <c r="K161" i="34"/>
  <c r="C84" i="34"/>
  <c r="C102" i="34"/>
  <c r="K38" i="34"/>
  <c r="C66" i="34"/>
  <c r="E43" i="67"/>
  <c r="I31" i="67"/>
  <c r="L31" i="67" s="1"/>
  <c r="I160" i="8"/>
  <c r="H169" i="8"/>
  <c r="X11" i="8"/>
  <c r="Q60" i="34"/>
  <c r="Q127" i="34" s="1"/>
  <c r="Q168" i="34" s="1"/>
  <c r="Q126" i="34"/>
  <c r="V123" i="8"/>
  <c r="Q123" i="8"/>
  <c r="Y123" i="8" s="1"/>
  <c r="U123" i="8"/>
  <c r="G84" i="61"/>
  <c r="I62" i="67"/>
  <c r="L62" i="67" s="1"/>
  <c r="J40" i="34"/>
  <c r="I7" i="34"/>
  <c r="I5" i="34" s="1"/>
  <c r="I103" i="34"/>
  <c r="A11" i="25"/>
  <c r="B12" i="25"/>
  <c r="Q122" i="21"/>
  <c r="R81" i="21"/>
  <c r="O116" i="21"/>
  <c r="O117" i="21" s="1"/>
  <c r="O118" i="21" s="1"/>
  <c r="J69" i="64"/>
  <c r="J74" i="64" s="1"/>
  <c r="E74" i="64"/>
  <c r="B74" i="64" s="1"/>
  <c r="H117" i="66"/>
  <c r="H145" i="66" s="1"/>
  <c r="E145" i="66"/>
  <c r="E51" i="67"/>
  <c r="H26" i="67"/>
  <c r="I47" i="67"/>
  <c r="L47" i="67" s="1"/>
  <c r="T33" i="63"/>
  <c r="T125" i="63" s="1"/>
  <c r="V33" i="63"/>
  <c r="O125" i="63"/>
  <c r="I11" i="38"/>
  <c r="G11" i="38"/>
  <c r="G6" i="38" s="1"/>
  <c r="G5" i="38" s="1"/>
  <c r="B6" i="38"/>
  <c r="B5" i="38" s="1"/>
  <c r="B12" i="38"/>
  <c r="C11" i="38"/>
  <c r="N7" i="21"/>
  <c r="I4" i="23"/>
  <c r="I3" i="23" s="1"/>
  <c r="I5" i="22"/>
  <c r="I4" i="22" s="1"/>
  <c r="E24" i="22"/>
  <c r="O19" i="22"/>
  <c r="O18" i="22" s="1"/>
  <c r="R97" i="21" s="1"/>
  <c r="V117" i="8"/>
  <c r="Q117" i="8"/>
  <c r="Y117" i="8" s="1"/>
  <c r="U117" i="8"/>
  <c r="N129" i="8"/>
  <c r="Q128" i="8"/>
  <c r="R130" i="21"/>
  <c r="R131" i="21" s="1"/>
  <c r="G28" i="23"/>
  <c r="U121" i="8"/>
  <c r="V121" i="8"/>
  <c r="Y115" i="8"/>
  <c r="Q129" i="8"/>
  <c r="Y129" i="8" s="1"/>
  <c r="R92" i="63"/>
  <c r="R90" i="21"/>
  <c r="Y85" i="8"/>
  <c r="U85" i="8"/>
  <c r="U86" i="8"/>
  <c r="H113" i="8"/>
  <c r="I100" i="8"/>
  <c r="G18" i="26"/>
  <c r="F17" i="7" s="1"/>
  <c r="Q4" i="8" s="1"/>
  <c r="U109" i="8"/>
  <c r="M38" i="64"/>
  <c r="E43" i="26"/>
  <c r="C39" i="11"/>
  <c r="Y102" i="8"/>
  <c r="U102" i="8"/>
  <c r="K6" i="34"/>
  <c r="K32" i="34"/>
  <c r="F24" i="34"/>
  <c r="N24" i="34"/>
  <c r="R24" i="34"/>
  <c r="S24" i="34" s="1"/>
  <c r="AX24" i="34"/>
  <c r="F14" i="34"/>
  <c r="AX14" i="34"/>
  <c r="R14" i="34"/>
  <c r="S14" i="34" s="1"/>
  <c r="N14" i="34"/>
  <c r="AX31" i="34"/>
  <c r="F31" i="34"/>
  <c r="N31" i="34"/>
  <c r="R31" i="34"/>
  <c r="S31" i="34" s="1"/>
  <c r="R27" i="34"/>
  <c r="S27" i="34" s="1"/>
  <c r="AX27" i="34"/>
  <c r="N27" i="34"/>
  <c r="F27" i="34"/>
  <c r="N22" i="34"/>
  <c r="AX22" i="34"/>
  <c r="F22" i="34"/>
  <c r="R22" i="34"/>
  <c r="S22" i="34" s="1"/>
  <c r="C10" i="38"/>
  <c r="C14" i="38"/>
  <c r="K9" i="38"/>
  <c r="C9" i="38"/>
  <c r="K14" i="38"/>
  <c r="K10" i="38"/>
  <c r="F20" i="34"/>
  <c r="R20" i="34"/>
  <c r="S20" i="34" s="1"/>
  <c r="N20" i="34"/>
  <c r="AX20" i="34"/>
  <c r="I65" i="16"/>
  <c r="L65" i="16" s="1"/>
  <c r="U101" i="8"/>
  <c r="Y101" i="8"/>
  <c r="R156" i="63"/>
  <c r="R161" i="63" s="1"/>
  <c r="C42" i="64" s="1"/>
  <c r="H42" i="64" s="1"/>
  <c r="K43" i="64"/>
  <c r="J43" i="64"/>
  <c r="I43" i="64"/>
  <c r="L43" i="64"/>
  <c r="L31" i="26"/>
  <c r="I38" i="26"/>
  <c r="N21" i="34"/>
  <c r="R21" i="34"/>
  <c r="S21" i="34" s="1"/>
  <c r="AX21" i="34"/>
  <c r="F21" i="34"/>
  <c r="AX15" i="34"/>
  <c r="R15" i="34"/>
  <c r="S15" i="34" s="1"/>
  <c r="F15" i="34"/>
  <c r="N15" i="34"/>
  <c r="AX23" i="34"/>
  <c r="R23" i="34"/>
  <c r="S23" i="34" s="1"/>
  <c r="F23" i="34"/>
  <c r="N23" i="34"/>
  <c r="N25" i="34"/>
  <c r="F25" i="34"/>
  <c r="R25" i="34"/>
  <c r="S25" i="34" s="1"/>
  <c r="AX25" i="34"/>
  <c r="H59" i="67"/>
  <c r="I43" i="67"/>
  <c r="L43" i="67" s="1"/>
  <c r="H48" i="66"/>
  <c r="H77" i="66" s="1"/>
  <c r="E77" i="66"/>
  <c r="E78" i="66" s="1"/>
  <c r="I30" i="67"/>
  <c r="L30" i="67" s="1"/>
  <c r="I61" i="67"/>
  <c r="L61" i="67" s="1"/>
  <c r="R159" i="21"/>
  <c r="R136" i="21"/>
  <c r="A47" i="25"/>
  <c r="B48" i="25"/>
  <c r="R80" i="63"/>
  <c r="Q114" i="63"/>
  <c r="AE114" i="63" s="1"/>
  <c r="R34" i="63"/>
  <c r="AE42" i="63"/>
  <c r="R42" i="63"/>
  <c r="AE59" i="63"/>
  <c r="R59" i="63"/>
  <c r="J201" i="34"/>
  <c r="I252" i="34"/>
  <c r="I8" i="34"/>
  <c r="R60" i="63"/>
  <c r="U115" i="8"/>
  <c r="G20" i="26"/>
  <c r="F14" i="7" s="1"/>
  <c r="N4" i="8" s="1"/>
  <c r="D129" i="63"/>
  <c r="K148" i="21"/>
  <c r="K115" i="21" s="1"/>
  <c r="K116" i="21" s="1"/>
  <c r="K117" i="21" s="1"/>
  <c r="K118" i="21" s="1"/>
  <c r="R147" i="21"/>
  <c r="R148" i="21" s="1"/>
  <c r="R115" i="21" s="1"/>
  <c r="C12" i="9" s="1"/>
  <c r="L9" i="70"/>
  <c r="M5" i="70"/>
  <c r="C6" i="34"/>
  <c r="C32" i="34"/>
  <c r="R12" i="34"/>
  <c r="AX12" i="34"/>
  <c r="N12" i="34"/>
  <c r="F12" i="34"/>
  <c r="N16" i="34"/>
  <c r="R16" i="34"/>
  <c r="S16" i="34" s="1"/>
  <c r="F16" i="34"/>
  <c r="AX16" i="34"/>
  <c r="C10" i="36"/>
  <c r="K10" i="36"/>
  <c r="C9" i="36"/>
  <c r="K9" i="36"/>
  <c r="AX28" i="34"/>
  <c r="R28" i="34"/>
  <c r="S28" i="34" s="1"/>
  <c r="F28" i="34"/>
  <c r="N28" i="34"/>
  <c r="U87" i="8"/>
  <c r="Y87" i="8"/>
  <c r="L33" i="26"/>
  <c r="E42" i="26"/>
  <c r="D46" i="26"/>
  <c r="E41" i="26"/>
  <c r="G28" i="34" l="1"/>
  <c r="L17" i="70"/>
  <c r="M17" i="70" s="1"/>
  <c r="M9" i="70"/>
  <c r="I59" i="67"/>
  <c r="L59" i="67" s="1"/>
  <c r="E159" i="15"/>
  <c r="C6" i="13" s="1"/>
  <c r="D33" i="6"/>
  <c r="D36" i="6" s="1"/>
  <c r="P13" i="8"/>
  <c r="K2" i="16"/>
  <c r="C15" i="13"/>
  <c r="L100" i="8"/>
  <c r="I113" i="8"/>
  <c r="K100" i="8"/>
  <c r="K113" i="8" s="1"/>
  <c r="D33" i="29" s="1"/>
  <c r="X33" i="29" s="1"/>
  <c r="AF33" i="29" s="1"/>
  <c r="N11" i="38"/>
  <c r="F11" i="38"/>
  <c r="AX11" i="38"/>
  <c r="J11" i="38"/>
  <c r="I12" i="38"/>
  <c r="I6" i="38"/>
  <c r="I5" i="38" s="1"/>
  <c r="AX92" i="34"/>
  <c r="R92" i="34"/>
  <c r="S92" i="34" s="1"/>
  <c r="F92" i="34"/>
  <c r="N92" i="34"/>
  <c r="AX121" i="34"/>
  <c r="R121" i="34"/>
  <c r="S121" i="34" s="1"/>
  <c r="F121" i="34"/>
  <c r="N121" i="34"/>
  <c r="N113" i="34"/>
  <c r="R113" i="34"/>
  <c r="S113" i="34" s="1"/>
  <c r="F113" i="34"/>
  <c r="AX113" i="34"/>
  <c r="F70" i="34"/>
  <c r="R70" i="34"/>
  <c r="S70" i="34" s="1"/>
  <c r="N70" i="34"/>
  <c r="AX70" i="34"/>
  <c r="R45" i="34"/>
  <c r="S45" i="34" s="1"/>
  <c r="AX45" i="34"/>
  <c r="F45" i="34"/>
  <c r="N45" i="34"/>
  <c r="R126" i="34"/>
  <c r="S126" i="34" s="1"/>
  <c r="AX126" i="34"/>
  <c r="N126" i="34"/>
  <c r="F126" i="34"/>
  <c r="R130" i="34"/>
  <c r="S130" i="34" s="1"/>
  <c r="AX130" i="34"/>
  <c r="N130" i="34"/>
  <c r="F130" i="34"/>
  <c r="N158" i="34"/>
  <c r="F158" i="34"/>
  <c r="R158" i="34"/>
  <c r="S158" i="34" s="1"/>
  <c r="AX158" i="34"/>
  <c r="N87" i="34"/>
  <c r="F87" i="34"/>
  <c r="AX87" i="34"/>
  <c r="R87" i="34"/>
  <c r="S87" i="34" s="1"/>
  <c r="AX73" i="34"/>
  <c r="N73" i="34"/>
  <c r="R73" i="34"/>
  <c r="S73" i="34" s="1"/>
  <c r="F73" i="34"/>
  <c r="R41" i="34"/>
  <c r="S41" i="34" s="1"/>
  <c r="F41" i="34"/>
  <c r="N41" i="34"/>
  <c r="AX41" i="34"/>
  <c r="AE55" i="63"/>
  <c r="R55" i="63"/>
  <c r="E33" i="5"/>
  <c r="E34" i="5" s="1"/>
  <c r="AX6" i="34"/>
  <c r="AX32" i="34"/>
  <c r="D56" i="26"/>
  <c r="D53" i="26"/>
  <c r="N10" i="36"/>
  <c r="R10" i="36"/>
  <c r="S10" i="36" s="1"/>
  <c r="F10" i="36"/>
  <c r="AX10" i="36"/>
  <c r="S12" i="34"/>
  <c r="R32" i="34"/>
  <c r="R6" i="34"/>
  <c r="E45" i="26"/>
  <c r="M43" i="64"/>
  <c r="R10" i="38"/>
  <c r="S10" i="38" s="1"/>
  <c r="F10" i="38"/>
  <c r="AX10" i="38"/>
  <c r="N10" i="38"/>
  <c r="Y128" i="8"/>
  <c r="U128" i="8"/>
  <c r="E23" i="22"/>
  <c r="I98" i="21" s="1"/>
  <c r="I140" i="21" s="1"/>
  <c r="O24" i="22"/>
  <c r="O23" i="22" s="1"/>
  <c r="R98" i="21" s="1"/>
  <c r="J4" i="23"/>
  <c r="J3" i="23" s="1"/>
  <c r="J5" i="22"/>
  <c r="J4" i="22" s="1"/>
  <c r="O7" i="21"/>
  <c r="D128" i="63"/>
  <c r="D131" i="63" s="1"/>
  <c r="V125" i="63"/>
  <c r="N26" i="67"/>
  <c r="I26" i="67"/>
  <c r="Q103" i="34"/>
  <c r="E44" i="26"/>
  <c r="AX84" i="34"/>
  <c r="N84" i="34"/>
  <c r="R84" i="34"/>
  <c r="S84" i="34" s="1"/>
  <c r="F84" i="34"/>
  <c r="R116" i="34"/>
  <c r="S116" i="34" s="1"/>
  <c r="AX116" i="34"/>
  <c r="N116" i="34"/>
  <c r="F116" i="34"/>
  <c r="AX64" i="34"/>
  <c r="F64" i="34"/>
  <c r="N64" i="34"/>
  <c r="R64" i="34"/>
  <c r="S64" i="34" s="1"/>
  <c r="F141" i="34"/>
  <c r="N141" i="34"/>
  <c r="R141" i="34"/>
  <c r="S141" i="34" s="1"/>
  <c r="AX141" i="34"/>
  <c r="R77" i="34"/>
  <c r="S77" i="34" s="1"/>
  <c r="AX77" i="34"/>
  <c r="F77" i="34"/>
  <c r="N77" i="34"/>
  <c r="AX97" i="34"/>
  <c r="N97" i="34"/>
  <c r="F97" i="34"/>
  <c r="R97" i="34"/>
  <c r="S97" i="34" s="1"/>
  <c r="R79" i="34"/>
  <c r="S79" i="34" s="1"/>
  <c r="F79" i="34"/>
  <c r="N79" i="34"/>
  <c r="AX79" i="34"/>
  <c r="F129" i="34"/>
  <c r="N129" i="34"/>
  <c r="AX129" i="34"/>
  <c r="R129" i="34"/>
  <c r="S129" i="34" s="1"/>
  <c r="AX151" i="34"/>
  <c r="F151" i="34"/>
  <c r="R151" i="34"/>
  <c r="S151" i="34" s="1"/>
  <c r="N151" i="34"/>
  <c r="N88" i="34"/>
  <c r="AX88" i="34"/>
  <c r="F88" i="34"/>
  <c r="R88" i="34"/>
  <c r="S88" i="34" s="1"/>
  <c r="N138" i="34"/>
  <c r="AX138" i="34"/>
  <c r="F138" i="34"/>
  <c r="R138" i="34"/>
  <c r="S138" i="34" s="1"/>
  <c r="AX107" i="34"/>
  <c r="F107" i="34"/>
  <c r="N107" i="34"/>
  <c r="R107" i="34"/>
  <c r="S107" i="34" s="1"/>
  <c r="F155" i="34"/>
  <c r="N155" i="34"/>
  <c r="AX155" i="34"/>
  <c r="R155" i="34"/>
  <c r="S155" i="34" s="1"/>
  <c r="F167" i="34"/>
  <c r="AX167" i="34"/>
  <c r="N167" i="34"/>
  <c r="R167" i="34"/>
  <c r="S167" i="34" s="1"/>
  <c r="F146" i="34"/>
  <c r="N146" i="34"/>
  <c r="AX146" i="34"/>
  <c r="R146" i="34"/>
  <c r="S146" i="34" s="1"/>
  <c r="AX40" i="34"/>
  <c r="F40" i="34"/>
  <c r="R40" i="34"/>
  <c r="S40" i="34" s="1"/>
  <c r="N40" i="34"/>
  <c r="AX133" i="34"/>
  <c r="N133" i="34"/>
  <c r="R133" i="34"/>
  <c r="S133" i="34" s="1"/>
  <c r="F133" i="34"/>
  <c r="N117" i="34"/>
  <c r="R117" i="34"/>
  <c r="S117" i="34" s="1"/>
  <c r="F117" i="34"/>
  <c r="AX117" i="34"/>
  <c r="N81" i="34"/>
  <c r="F81" i="34"/>
  <c r="R81" i="34"/>
  <c r="S81" i="34" s="1"/>
  <c r="AX81" i="34"/>
  <c r="N56" i="34"/>
  <c r="F56" i="34"/>
  <c r="R56" i="34"/>
  <c r="S56" i="34" s="1"/>
  <c r="AX56" i="34"/>
  <c r="AX108" i="34"/>
  <c r="F108" i="34"/>
  <c r="R108" i="34"/>
  <c r="S108" i="34" s="1"/>
  <c r="N108" i="34"/>
  <c r="AX46" i="34"/>
  <c r="N46" i="34"/>
  <c r="F46" i="34"/>
  <c r="R46" i="34"/>
  <c r="S46" i="34" s="1"/>
  <c r="AX94" i="34"/>
  <c r="F94" i="34"/>
  <c r="N94" i="34"/>
  <c r="R94" i="34"/>
  <c r="S94" i="34" s="1"/>
  <c r="AX93" i="34"/>
  <c r="N93" i="34"/>
  <c r="F93" i="34"/>
  <c r="R93" i="34"/>
  <c r="S93" i="34" s="1"/>
  <c r="R162" i="34"/>
  <c r="S162" i="34" s="1"/>
  <c r="AX162" i="34"/>
  <c r="F162" i="34"/>
  <c r="N162" i="34"/>
  <c r="N57" i="34"/>
  <c r="F57" i="34"/>
  <c r="AX57" i="34"/>
  <c r="R57" i="34"/>
  <c r="S57" i="34" s="1"/>
  <c r="R110" i="34"/>
  <c r="S110" i="34" s="1"/>
  <c r="N110" i="34"/>
  <c r="AX110" i="34"/>
  <c r="F110" i="34"/>
  <c r="R154" i="34"/>
  <c r="S154" i="34" s="1"/>
  <c r="F154" i="34"/>
  <c r="N154" i="34"/>
  <c r="AX154" i="34"/>
  <c r="R119" i="34"/>
  <c r="S119" i="34" s="1"/>
  <c r="N119" i="34"/>
  <c r="AX119" i="34"/>
  <c r="F119" i="34"/>
  <c r="AX80" i="34"/>
  <c r="F80" i="34"/>
  <c r="R80" i="34"/>
  <c r="S80" i="34" s="1"/>
  <c r="N80" i="34"/>
  <c r="F36" i="34"/>
  <c r="N36" i="34"/>
  <c r="R36" i="34"/>
  <c r="S36" i="34" s="1"/>
  <c r="AX36" i="34"/>
  <c r="AX150" i="34"/>
  <c r="R150" i="34"/>
  <c r="S150" i="34" s="1"/>
  <c r="N150" i="34"/>
  <c r="F150" i="34"/>
  <c r="AX91" i="34"/>
  <c r="R91" i="34"/>
  <c r="S91" i="34" s="1"/>
  <c r="F91" i="34"/>
  <c r="N91" i="34"/>
  <c r="N53" i="34"/>
  <c r="AX53" i="34"/>
  <c r="F53" i="34"/>
  <c r="R53" i="34"/>
  <c r="S53" i="34" s="1"/>
  <c r="N71" i="34"/>
  <c r="AX71" i="34"/>
  <c r="F71" i="34"/>
  <c r="R71" i="34"/>
  <c r="S71" i="34" s="1"/>
  <c r="AX48" i="34"/>
  <c r="N48" i="34"/>
  <c r="R48" i="34"/>
  <c r="S48" i="34" s="1"/>
  <c r="F48" i="34"/>
  <c r="AX99" i="34"/>
  <c r="R99" i="34"/>
  <c r="S99" i="34" s="1"/>
  <c r="F99" i="34"/>
  <c r="N99" i="34"/>
  <c r="N52" i="34"/>
  <c r="F52" i="34"/>
  <c r="R52" i="34"/>
  <c r="S52" i="34" s="1"/>
  <c r="AX52" i="34"/>
  <c r="O43" i="18"/>
  <c r="L11" i="8"/>
  <c r="X30" i="29"/>
  <c r="D31" i="29"/>
  <c r="N85" i="34"/>
  <c r="R85" i="34"/>
  <c r="S85" i="34" s="1"/>
  <c r="F85" i="34"/>
  <c r="AX85" i="34"/>
  <c r="N164" i="34"/>
  <c r="AX164" i="34"/>
  <c r="R164" i="34"/>
  <c r="S164" i="34" s="1"/>
  <c r="F164" i="34"/>
  <c r="AX44" i="34"/>
  <c r="R44" i="34"/>
  <c r="S44" i="34" s="1"/>
  <c r="F44" i="34"/>
  <c r="N44" i="34"/>
  <c r="AX67" i="34"/>
  <c r="R67" i="34"/>
  <c r="S67" i="34" s="1"/>
  <c r="F67" i="34"/>
  <c r="N67" i="34"/>
  <c r="C36" i="6"/>
  <c r="K11" i="36"/>
  <c r="K6" i="36"/>
  <c r="K5" i="36" s="1"/>
  <c r="F32" i="34"/>
  <c r="F6" i="34"/>
  <c r="R114" i="63"/>
  <c r="N22" i="8"/>
  <c r="R9" i="38"/>
  <c r="AX9" i="38"/>
  <c r="C12" i="38"/>
  <c r="F9" i="38"/>
  <c r="C6" i="38"/>
  <c r="C5" i="38" s="1"/>
  <c r="N9" i="38"/>
  <c r="Q125" i="21"/>
  <c r="Q113" i="21" s="1"/>
  <c r="Q116" i="21" s="1"/>
  <c r="Q117" i="21" s="1"/>
  <c r="Q118" i="21" s="1"/>
  <c r="R122" i="21"/>
  <c r="R125" i="21" s="1"/>
  <c r="R113" i="21" s="1"/>
  <c r="AX66" i="34"/>
  <c r="N66" i="34"/>
  <c r="F66" i="34"/>
  <c r="R66" i="34"/>
  <c r="S66" i="34" s="1"/>
  <c r="R157" i="34"/>
  <c r="S157" i="34" s="1"/>
  <c r="F157" i="34"/>
  <c r="AX157" i="34"/>
  <c r="N157" i="34"/>
  <c r="N128" i="34"/>
  <c r="F128" i="34"/>
  <c r="AX128" i="34"/>
  <c r="R128" i="34"/>
  <c r="S128" i="34" s="1"/>
  <c r="R114" i="34"/>
  <c r="S114" i="34" s="1"/>
  <c r="AX114" i="34"/>
  <c r="F114" i="34"/>
  <c r="N114" i="34"/>
  <c r="AX143" i="34"/>
  <c r="N143" i="34"/>
  <c r="R143" i="34"/>
  <c r="S143" i="34" s="1"/>
  <c r="F143" i="34"/>
  <c r="N156" i="34"/>
  <c r="F156" i="34"/>
  <c r="AX156" i="34"/>
  <c r="R156" i="34"/>
  <c r="S156" i="34" s="1"/>
  <c r="N161" i="34"/>
  <c r="F161" i="34"/>
  <c r="AX161" i="34"/>
  <c r="R161" i="34"/>
  <c r="S161" i="34" s="1"/>
  <c r="F132" i="34"/>
  <c r="AX132" i="34"/>
  <c r="N132" i="34"/>
  <c r="R132" i="34"/>
  <c r="S132" i="34" s="1"/>
  <c r="F76" i="34"/>
  <c r="R76" i="34"/>
  <c r="S76" i="34" s="1"/>
  <c r="AX76" i="34"/>
  <c r="N76" i="34"/>
  <c r="R123" i="34"/>
  <c r="S123" i="34" s="1"/>
  <c r="F123" i="34"/>
  <c r="AX123" i="34"/>
  <c r="N123" i="34"/>
  <c r="R43" i="34"/>
  <c r="S43" i="34" s="1"/>
  <c r="N43" i="34"/>
  <c r="F43" i="34"/>
  <c r="AX43" i="34"/>
  <c r="AX137" i="34"/>
  <c r="F137" i="34"/>
  <c r="R137" i="34"/>
  <c r="S137" i="34" s="1"/>
  <c r="N137" i="34"/>
  <c r="N153" i="34"/>
  <c r="AX153" i="34"/>
  <c r="F153" i="34"/>
  <c r="R153" i="34"/>
  <c r="S153" i="34" s="1"/>
  <c r="R109" i="34"/>
  <c r="S109" i="34" s="1"/>
  <c r="F109" i="34"/>
  <c r="N109" i="34"/>
  <c r="AX109" i="34"/>
  <c r="R160" i="34"/>
  <c r="S160" i="34" s="1"/>
  <c r="F160" i="34"/>
  <c r="N160" i="34"/>
  <c r="AX160" i="34"/>
  <c r="AX115" i="34"/>
  <c r="F115" i="34"/>
  <c r="N115" i="34"/>
  <c r="R115" i="34"/>
  <c r="S115" i="34" s="1"/>
  <c r="AX145" i="34"/>
  <c r="N145" i="34"/>
  <c r="R145" i="34"/>
  <c r="S145" i="34" s="1"/>
  <c r="F145" i="34"/>
  <c r="N89" i="34"/>
  <c r="F89" i="34"/>
  <c r="AX89" i="34"/>
  <c r="R89" i="34"/>
  <c r="S89" i="34" s="1"/>
  <c r="AX142" i="34"/>
  <c r="F142" i="34"/>
  <c r="R142" i="34"/>
  <c r="S142" i="34" s="1"/>
  <c r="N142" i="34"/>
  <c r="R163" i="34"/>
  <c r="S163" i="34" s="1"/>
  <c r="N163" i="34"/>
  <c r="AX163" i="34"/>
  <c r="F163" i="34"/>
  <c r="AX62" i="34"/>
  <c r="F62" i="34"/>
  <c r="R62" i="34"/>
  <c r="S62" i="34" s="1"/>
  <c r="N62" i="34"/>
  <c r="R96" i="34"/>
  <c r="S96" i="34" s="1"/>
  <c r="N96" i="34"/>
  <c r="F96" i="34"/>
  <c r="AX96" i="34"/>
  <c r="F147" i="34"/>
  <c r="N147" i="34"/>
  <c r="AX147" i="34"/>
  <c r="R147" i="34"/>
  <c r="S147" i="34" s="1"/>
  <c r="AX144" i="34"/>
  <c r="N144" i="34"/>
  <c r="F144" i="34"/>
  <c r="R144" i="34"/>
  <c r="S144" i="34" s="1"/>
  <c r="F106" i="34"/>
  <c r="R106" i="34"/>
  <c r="N106" i="34"/>
  <c r="AX106" i="34"/>
  <c r="C168" i="34"/>
  <c r="AX98" i="34"/>
  <c r="F98" i="34"/>
  <c r="R98" i="34"/>
  <c r="S98" i="34" s="1"/>
  <c r="N98" i="34"/>
  <c r="R131" i="34"/>
  <c r="S131" i="34" s="1"/>
  <c r="N131" i="34"/>
  <c r="F131" i="34"/>
  <c r="AX131" i="34"/>
  <c r="F39" i="34"/>
  <c r="N39" i="34"/>
  <c r="AX39" i="34"/>
  <c r="R39" i="34"/>
  <c r="S39" i="34" s="1"/>
  <c r="R118" i="34"/>
  <c r="S118" i="34" s="1"/>
  <c r="F118" i="34"/>
  <c r="N118" i="34"/>
  <c r="AX118" i="34"/>
  <c r="R124" i="34"/>
  <c r="S124" i="34" s="1"/>
  <c r="N124" i="34"/>
  <c r="AX124" i="34"/>
  <c r="F124" i="34"/>
  <c r="N72" i="34"/>
  <c r="AX72" i="34"/>
  <c r="R72" i="34"/>
  <c r="S72" i="34" s="1"/>
  <c r="F72" i="34"/>
  <c r="AX54" i="34"/>
  <c r="N54" i="34"/>
  <c r="F54" i="34"/>
  <c r="R54" i="34"/>
  <c r="S54" i="34" s="1"/>
  <c r="AX86" i="34"/>
  <c r="N86" i="34"/>
  <c r="R86" i="34"/>
  <c r="S86" i="34" s="1"/>
  <c r="F86" i="34"/>
  <c r="Q12" i="8"/>
  <c r="C7" i="29"/>
  <c r="W7" i="29" s="1"/>
  <c r="AE7" i="29" s="1"/>
  <c r="K12" i="8"/>
  <c r="D7" i="29" s="1"/>
  <c r="X7" i="29" s="1"/>
  <c r="AF7" i="29" s="1"/>
  <c r="O20" i="8"/>
  <c r="W14" i="8"/>
  <c r="R160" i="21"/>
  <c r="O22" i="8" s="1"/>
  <c r="E30" i="67"/>
  <c r="E65" i="67" s="1"/>
  <c r="D65" i="67"/>
  <c r="G29" i="34"/>
  <c r="Y33" i="63"/>
  <c r="X125" i="63"/>
  <c r="J3" i="14"/>
  <c r="AX9" i="36"/>
  <c r="F9" i="36"/>
  <c r="C11" i="36"/>
  <c r="N9" i="36"/>
  <c r="R9" i="36"/>
  <c r="C6" i="36"/>
  <c r="C5" i="36" s="1"/>
  <c r="N6" i="34"/>
  <c r="N32" i="34"/>
  <c r="B49" i="25"/>
  <c r="A48" i="25"/>
  <c r="B13" i="25"/>
  <c r="A12" i="25"/>
  <c r="J3" i="61"/>
  <c r="F69" i="34"/>
  <c r="N69" i="34"/>
  <c r="R69" i="34"/>
  <c r="S69" i="34" s="1"/>
  <c r="AX69" i="34"/>
  <c r="AX82" i="34"/>
  <c r="F82" i="34"/>
  <c r="N82" i="34"/>
  <c r="R82" i="34"/>
  <c r="S82" i="34" s="1"/>
  <c r="R95" i="34"/>
  <c r="S95" i="34" s="1"/>
  <c r="F95" i="34"/>
  <c r="AX95" i="34"/>
  <c r="N95" i="34"/>
  <c r="AX135" i="34"/>
  <c r="N135" i="34"/>
  <c r="F135" i="34"/>
  <c r="R135" i="34"/>
  <c r="S135" i="34" s="1"/>
  <c r="N152" i="34"/>
  <c r="AX152" i="34"/>
  <c r="F152" i="34"/>
  <c r="R152" i="34"/>
  <c r="S152" i="34" s="1"/>
  <c r="N125" i="34"/>
  <c r="F125" i="34"/>
  <c r="R125" i="34"/>
  <c r="S125" i="34" s="1"/>
  <c r="AX125" i="34"/>
  <c r="N165" i="34"/>
  <c r="AX165" i="34"/>
  <c r="R165" i="34"/>
  <c r="S165" i="34" s="1"/>
  <c r="F165" i="34"/>
  <c r="AX59" i="34"/>
  <c r="R59" i="34"/>
  <c r="S59" i="34" s="1"/>
  <c r="F59" i="34"/>
  <c r="N59" i="34"/>
  <c r="F139" i="34"/>
  <c r="R139" i="34"/>
  <c r="S139" i="34" s="1"/>
  <c r="N139" i="34"/>
  <c r="AX139" i="34"/>
  <c r="AX83" i="34"/>
  <c r="R83" i="34"/>
  <c r="S83" i="34" s="1"/>
  <c r="N83" i="34"/>
  <c r="F83" i="34"/>
  <c r="G30" i="34"/>
  <c r="V14" i="8"/>
  <c r="N20" i="8"/>
  <c r="Q14" i="8"/>
  <c r="Y14" i="8" s="1"/>
  <c r="C11" i="9"/>
  <c r="I12" i="9"/>
  <c r="J8" i="34"/>
  <c r="J252" i="34"/>
  <c r="I42" i="64"/>
  <c r="J42" i="64"/>
  <c r="K42" i="64"/>
  <c r="L42" i="64"/>
  <c r="AZ14" i="38"/>
  <c r="AX14" i="38"/>
  <c r="F14" i="38"/>
  <c r="N14" i="38"/>
  <c r="G31" i="34"/>
  <c r="H184" i="8"/>
  <c r="V129" i="8"/>
  <c r="U129" i="8"/>
  <c r="I26" i="23"/>
  <c r="I29" i="23"/>
  <c r="I27" i="23"/>
  <c r="I28" i="23" s="1"/>
  <c r="E147" i="66"/>
  <c r="E148" i="66" s="1"/>
  <c r="J103" i="34"/>
  <c r="J7" i="34"/>
  <c r="J5" i="34" s="1"/>
  <c r="K40" i="34"/>
  <c r="K103" i="34" s="1"/>
  <c r="Q7" i="34"/>
  <c r="Q5" i="34" s="1"/>
  <c r="L160" i="8"/>
  <c r="K160" i="8"/>
  <c r="K169" i="8" s="1"/>
  <c r="D41" i="29" s="1"/>
  <c r="X41" i="29" s="1"/>
  <c r="AF41" i="29" s="1"/>
  <c r="I169" i="8"/>
  <c r="N102" i="34"/>
  <c r="AX102" i="34"/>
  <c r="F102" i="34"/>
  <c r="R102" i="34"/>
  <c r="S102" i="34" s="1"/>
  <c r="AX74" i="34"/>
  <c r="F74" i="34"/>
  <c r="N74" i="34"/>
  <c r="R74" i="34"/>
  <c r="S74" i="34" s="1"/>
  <c r="R127" i="34"/>
  <c r="S127" i="34" s="1"/>
  <c r="F127" i="34"/>
  <c r="AX127" i="34"/>
  <c r="N127" i="34"/>
  <c r="R159" i="34"/>
  <c r="S159" i="34" s="1"/>
  <c r="N159" i="34"/>
  <c r="AX159" i="34"/>
  <c r="F159" i="34"/>
  <c r="AX63" i="34"/>
  <c r="F63" i="34"/>
  <c r="N63" i="34"/>
  <c r="R63" i="34"/>
  <c r="S63" i="34" s="1"/>
  <c r="N55" i="34"/>
  <c r="F55" i="34"/>
  <c r="R55" i="34"/>
  <c r="S55" i="34" s="1"/>
  <c r="AX55" i="34"/>
  <c r="AX149" i="34"/>
  <c r="R149" i="34"/>
  <c r="S149" i="34" s="1"/>
  <c r="F149" i="34"/>
  <c r="N149" i="34"/>
  <c r="R122" i="34"/>
  <c r="S122" i="34" s="1"/>
  <c r="AX122" i="34"/>
  <c r="F122" i="34"/>
  <c r="N122" i="34"/>
  <c r="R42" i="34"/>
  <c r="S42" i="34" s="1"/>
  <c r="N42" i="34"/>
  <c r="F42" i="34"/>
  <c r="AX42" i="34"/>
  <c r="F61" i="34"/>
  <c r="AX61" i="34"/>
  <c r="N61" i="34"/>
  <c r="R61" i="34"/>
  <c r="S61" i="34" s="1"/>
  <c r="R35" i="34"/>
  <c r="N35" i="34"/>
  <c r="C103" i="34"/>
  <c r="C7" i="34"/>
  <c r="AX35" i="34"/>
  <c r="F35" i="34"/>
  <c r="N78" i="34"/>
  <c r="F78" i="34"/>
  <c r="AX78" i="34"/>
  <c r="R78" i="34"/>
  <c r="S78" i="34" s="1"/>
  <c r="F68" i="34"/>
  <c r="AX68" i="34"/>
  <c r="R68" i="34"/>
  <c r="S68" i="34" s="1"/>
  <c r="N68" i="34"/>
  <c r="R49" i="34"/>
  <c r="S49" i="34" s="1"/>
  <c r="F49" i="34"/>
  <c r="N49" i="34"/>
  <c r="AX49" i="34"/>
  <c r="R120" i="34"/>
  <c r="S120" i="34" s="1"/>
  <c r="AX120" i="34"/>
  <c r="F120" i="34"/>
  <c r="N120" i="34"/>
  <c r="F111" i="34"/>
  <c r="N111" i="34"/>
  <c r="R111" i="34"/>
  <c r="S111" i="34" s="1"/>
  <c r="AX111" i="34"/>
  <c r="F100" i="34"/>
  <c r="R100" i="34"/>
  <c r="S100" i="34" s="1"/>
  <c r="N100" i="34"/>
  <c r="AX100" i="34"/>
  <c r="AX140" i="34"/>
  <c r="R140" i="34"/>
  <c r="S140" i="34" s="1"/>
  <c r="N140" i="34"/>
  <c r="F140" i="34"/>
  <c r="N136" i="34"/>
  <c r="F136" i="34"/>
  <c r="AX136" i="34"/>
  <c r="R136" i="34"/>
  <c r="S136" i="34" s="1"/>
  <c r="F50" i="34"/>
  <c r="R50" i="34"/>
  <c r="S50" i="34" s="1"/>
  <c r="AX50" i="34"/>
  <c r="N50" i="34"/>
  <c r="N58" i="34"/>
  <c r="AX58" i="34"/>
  <c r="R58" i="34"/>
  <c r="S58" i="34" s="1"/>
  <c r="F58" i="34"/>
  <c r="AX75" i="34"/>
  <c r="F75" i="34"/>
  <c r="R75" i="34"/>
  <c r="S75" i="34" s="1"/>
  <c r="N75" i="34"/>
  <c r="AX101" i="34"/>
  <c r="R101" i="34"/>
  <c r="S101" i="34" s="1"/>
  <c r="N101" i="34"/>
  <c r="F101" i="34"/>
  <c r="F134" i="34"/>
  <c r="R134" i="34"/>
  <c r="S134" i="34" s="1"/>
  <c r="AX134" i="34"/>
  <c r="N134" i="34"/>
  <c r="AX112" i="34"/>
  <c r="F112" i="34"/>
  <c r="N112" i="34"/>
  <c r="R112" i="34"/>
  <c r="S112" i="34" s="1"/>
  <c r="AX38" i="34"/>
  <c r="N38" i="34"/>
  <c r="F38" i="34"/>
  <c r="R38" i="34"/>
  <c r="S38" i="34" s="1"/>
  <c r="F148" i="34"/>
  <c r="N148" i="34"/>
  <c r="AX148" i="34"/>
  <c r="R148" i="34"/>
  <c r="S148" i="34" s="1"/>
  <c r="F47" i="34"/>
  <c r="AX47" i="34"/>
  <c r="R47" i="34"/>
  <c r="S47" i="34" s="1"/>
  <c r="N47" i="34"/>
  <c r="R90" i="34"/>
  <c r="S90" i="34" s="1"/>
  <c r="F90" i="34"/>
  <c r="N90" i="34"/>
  <c r="AX90" i="34"/>
  <c r="AX60" i="34"/>
  <c r="N60" i="34"/>
  <c r="R60" i="34"/>
  <c r="S60" i="34" s="1"/>
  <c r="F60" i="34"/>
  <c r="N65" i="34"/>
  <c r="F65" i="34"/>
  <c r="AX65" i="34"/>
  <c r="R65" i="34"/>
  <c r="S65" i="34" s="1"/>
  <c r="K168" i="34"/>
  <c r="R51" i="34"/>
  <c r="S51" i="34" s="1"/>
  <c r="N51" i="34"/>
  <c r="F51" i="34"/>
  <c r="AX51" i="34"/>
  <c r="R37" i="34"/>
  <c r="S37" i="34" s="1"/>
  <c r="N37" i="34"/>
  <c r="AX37" i="34"/>
  <c r="F37" i="34"/>
  <c r="AX166" i="34"/>
  <c r="F166" i="34"/>
  <c r="N166" i="34"/>
  <c r="R166" i="34"/>
  <c r="S166" i="34" s="1"/>
  <c r="D57" i="26"/>
  <c r="E55" i="26" s="1"/>
  <c r="F10" i="7" s="1"/>
  <c r="F11" i="7" l="1"/>
  <c r="L4" i="8"/>
  <c r="E150" i="66"/>
  <c r="E159" i="66"/>
  <c r="E161" i="66" s="1"/>
  <c r="C24" i="11"/>
  <c r="C8" i="13"/>
  <c r="Y12" i="8"/>
  <c r="B36" i="64"/>
  <c r="V185" i="63"/>
  <c r="V187" i="63" s="1"/>
  <c r="V127" i="63"/>
  <c r="I42" i="48" s="1"/>
  <c r="H186" i="8" s="1"/>
  <c r="J6" i="38"/>
  <c r="J5" i="38" s="1"/>
  <c r="J12" i="38"/>
  <c r="K11" i="38"/>
  <c r="G101" i="34"/>
  <c r="F7" i="34"/>
  <c r="F103" i="34"/>
  <c r="N103" i="34"/>
  <c r="N7" i="34"/>
  <c r="O3" i="34" s="1"/>
  <c r="L169" i="8"/>
  <c r="N29" i="8"/>
  <c r="N171" i="8"/>
  <c r="E7" i="4"/>
  <c r="B50" i="25"/>
  <c r="A49" i="25"/>
  <c r="S9" i="36"/>
  <c r="R11" i="36"/>
  <c r="R6" i="36"/>
  <c r="R5" i="36" s="1"/>
  <c r="AX11" i="36"/>
  <c r="AX6" i="36"/>
  <c r="O24" i="8"/>
  <c r="W22" i="8"/>
  <c r="U12" i="8"/>
  <c r="AX168" i="34"/>
  <c r="G163" i="34"/>
  <c r="K7" i="34"/>
  <c r="G161" i="34"/>
  <c r="G156" i="34"/>
  <c r="G157" i="34"/>
  <c r="N6" i="38"/>
  <c r="N12" i="38"/>
  <c r="AX12" i="38"/>
  <c r="AX6" i="38"/>
  <c r="N24" i="8"/>
  <c r="V22" i="8"/>
  <c r="C6" i="29"/>
  <c r="Q11" i="8"/>
  <c r="L20" i="8"/>
  <c r="K11" i="8"/>
  <c r="U11" i="8"/>
  <c r="G94" i="34"/>
  <c r="L26" i="67"/>
  <c r="I65" i="67"/>
  <c r="L65" i="67" s="1"/>
  <c r="K2" i="67" s="1"/>
  <c r="K5" i="22"/>
  <c r="K4" i="22" s="1"/>
  <c r="K4" i="23"/>
  <c r="K3" i="23" s="1"/>
  <c r="P7" i="21"/>
  <c r="R140" i="21"/>
  <c r="R141" i="21" s="1"/>
  <c r="R143" i="21" s="1"/>
  <c r="R114" i="21" s="1"/>
  <c r="R116" i="21" s="1"/>
  <c r="R117" i="21" s="1"/>
  <c r="R118" i="21" s="1"/>
  <c r="I141" i="21"/>
  <c r="I143" i="21" s="1"/>
  <c r="I114" i="21" s="1"/>
  <c r="I116" i="21" s="1"/>
  <c r="I117" i="21" s="1"/>
  <c r="I118" i="21" s="1"/>
  <c r="AG11" i="38"/>
  <c r="AK11" i="38"/>
  <c r="N100" i="8"/>
  <c r="O100" i="8"/>
  <c r="P100" i="8"/>
  <c r="L113" i="8"/>
  <c r="O2" i="34"/>
  <c r="O29" i="8"/>
  <c r="G15" i="7"/>
  <c r="O171" i="8"/>
  <c r="E7" i="5"/>
  <c r="F12" i="38"/>
  <c r="F6" i="38"/>
  <c r="F5" i="38" s="1"/>
  <c r="AG9" i="38"/>
  <c r="AK9" i="38"/>
  <c r="G158" i="34"/>
  <c r="G166" i="34"/>
  <c r="AX7" i="34"/>
  <c r="AY7" i="34" s="1"/>
  <c r="AX103" i="34"/>
  <c r="R7" i="34"/>
  <c r="R5" i="34" s="1"/>
  <c r="S35" i="34"/>
  <c r="R103" i="34"/>
  <c r="AK14" i="38"/>
  <c r="R14" i="38"/>
  <c r="C20" i="9"/>
  <c r="C34" i="9" s="1"/>
  <c r="C201" i="9" s="1"/>
  <c r="I201" i="9" s="1"/>
  <c r="I11" i="9"/>
  <c r="I20" i="9" s="1"/>
  <c r="I34" i="9" s="1"/>
  <c r="G165" i="34"/>
  <c r="N6" i="36"/>
  <c r="N11" i="36"/>
  <c r="Q33" i="63"/>
  <c r="R33" i="63" s="1"/>
  <c r="R125" i="63" s="1"/>
  <c r="C36" i="64" s="1"/>
  <c r="Y125" i="63"/>
  <c r="G98" i="34"/>
  <c r="N168" i="34"/>
  <c r="G96" i="34"/>
  <c r="R6" i="38"/>
  <c r="R5" i="38" s="1"/>
  <c r="S9" i="38"/>
  <c r="R12" i="38"/>
  <c r="G167" i="34"/>
  <c r="E56" i="26"/>
  <c r="G92" i="34"/>
  <c r="X13" i="8"/>
  <c r="Q13" i="8"/>
  <c r="P20" i="8"/>
  <c r="D49" i="26"/>
  <c r="D50" i="26"/>
  <c r="D51" i="26"/>
  <c r="D48" i="26"/>
  <c r="D52" i="26"/>
  <c r="G159" i="34"/>
  <c r="S106" i="34"/>
  <c r="S168" i="34" s="1"/>
  <c r="R168" i="34"/>
  <c r="G160" i="34"/>
  <c r="J27" i="23"/>
  <c r="J28" i="23" s="1"/>
  <c r="J29" i="23"/>
  <c r="J26" i="23"/>
  <c r="G100" i="34"/>
  <c r="G102" i="34"/>
  <c r="M42" i="64"/>
  <c r="U14" i="8"/>
  <c r="G95" i="34"/>
  <c r="B14" i="25"/>
  <c r="A13" i="25"/>
  <c r="F11" i="36"/>
  <c r="F6" i="36"/>
  <c r="F5" i="36" s="1"/>
  <c r="AK9" i="36" s="1"/>
  <c r="F168" i="34"/>
  <c r="R161" i="21"/>
  <c r="R167" i="21" s="1"/>
  <c r="L22" i="8" s="1"/>
  <c r="G164" i="34"/>
  <c r="AF30" i="29"/>
  <c r="AF31" i="29" s="1"/>
  <c r="X31" i="29"/>
  <c r="G99" i="34"/>
  <c r="G91" i="34"/>
  <c r="G162" i="34"/>
  <c r="G93" i="34"/>
  <c r="G97" i="34"/>
  <c r="AK10" i="38"/>
  <c r="AG10" i="38"/>
  <c r="S32" i="34"/>
  <c r="S6" i="34"/>
  <c r="AY6" i="34"/>
  <c r="I184" i="8"/>
  <c r="G6" i="34"/>
  <c r="H36" i="64" l="1"/>
  <c r="C47" i="64"/>
  <c r="D15" i="7"/>
  <c r="G7" i="34"/>
  <c r="G5" i="34" s="1"/>
  <c r="G103" i="34"/>
  <c r="P10" i="8"/>
  <c r="E7" i="6"/>
  <c r="P29" i="8"/>
  <c r="G16" i="7"/>
  <c r="S103" i="34"/>
  <c r="S7" i="34"/>
  <c r="S5" i="34" s="1"/>
  <c r="O113" i="8"/>
  <c r="W113" i="8" s="1"/>
  <c r="C20" i="37"/>
  <c r="W100" i="8"/>
  <c r="K26" i="23"/>
  <c r="K27" i="23"/>
  <c r="K28" i="23" s="1"/>
  <c r="K29" i="23"/>
  <c r="L171" i="8"/>
  <c r="L10" i="8"/>
  <c r="L29" i="8"/>
  <c r="V24" i="8"/>
  <c r="C23" i="35"/>
  <c r="N32" i="8"/>
  <c r="N5" i="38"/>
  <c r="O2" i="38"/>
  <c r="G14" i="7"/>
  <c r="C41" i="29"/>
  <c r="W41" i="29" s="1"/>
  <c r="AE41" i="29" s="1"/>
  <c r="H195" i="8"/>
  <c r="H197" i="8" s="1"/>
  <c r="H199" i="8" s="1"/>
  <c r="I186" i="8"/>
  <c r="O2" i="36"/>
  <c r="N5" i="36"/>
  <c r="AG9" i="36"/>
  <c r="A14" i="25"/>
  <c r="B15" i="25"/>
  <c r="U13" i="8"/>
  <c r="Y13" i="8"/>
  <c r="AK10" i="36"/>
  <c r="AK6" i="36" s="1"/>
  <c r="AK5" i="36" s="1"/>
  <c r="AK2" i="36" s="1"/>
  <c r="AK6" i="38"/>
  <c r="AK5" i="38" s="1"/>
  <c r="AK2" i="38" s="1"/>
  <c r="AK12" i="38"/>
  <c r="H40" i="2"/>
  <c r="H48" i="2" s="1"/>
  <c r="C34" i="37"/>
  <c r="W29" i="8"/>
  <c r="E105" i="68"/>
  <c r="E106" i="68" s="1"/>
  <c r="F106" i="68" s="1"/>
  <c r="E105" i="17"/>
  <c r="E106" i="17" s="1"/>
  <c r="F106" i="17" s="1"/>
  <c r="K4" i="34" s="1"/>
  <c r="Y11" i="8"/>
  <c r="Q20" i="8"/>
  <c r="AY6" i="38"/>
  <c r="AX5" i="38"/>
  <c r="G168" i="34"/>
  <c r="B51" i="25"/>
  <c r="A50" i="25"/>
  <c r="G40" i="2"/>
  <c r="G48" i="2" s="1"/>
  <c r="C34" i="35"/>
  <c r="V29" i="8"/>
  <c r="O64" i="34"/>
  <c r="O100" i="34"/>
  <c r="M46" i="34"/>
  <c r="O76" i="34"/>
  <c r="O70" i="34"/>
  <c r="M129" i="34"/>
  <c r="O39" i="34"/>
  <c r="M124" i="34"/>
  <c r="O162" i="34"/>
  <c r="M139" i="34"/>
  <c r="O46" i="34"/>
  <c r="O117" i="34"/>
  <c r="O80" i="34"/>
  <c r="M92" i="34"/>
  <c r="O152" i="34"/>
  <c r="O99" i="34"/>
  <c r="M147" i="34"/>
  <c r="M97" i="34"/>
  <c r="M101" i="34"/>
  <c r="M84" i="34"/>
  <c r="M40" i="34"/>
  <c r="M142" i="34"/>
  <c r="M58" i="34"/>
  <c r="M146" i="34"/>
  <c r="O108" i="34"/>
  <c r="M36" i="34"/>
  <c r="O60" i="34"/>
  <c r="M134" i="34"/>
  <c r="O84" i="34"/>
  <c r="O69" i="34"/>
  <c r="O98" i="34"/>
  <c r="O93" i="34"/>
  <c r="O114" i="34"/>
  <c r="O124" i="34"/>
  <c r="M67" i="34"/>
  <c r="M35" i="34"/>
  <c r="M150" i="34"/>
  <c r="O122" i="34"/>
  <c r="O50" i="34"/>
  <c r="O62" i="34"/>
  <c r="O115" i="34"/>
  <c r="O53" i="34"/>
  <c r="O166" i="34"/>
  <c r="O160" i="34"/>
  <c r="O59" i="34"/>
  <c r="O156" i="34"/>
  <c r="M54" i="34"/>
  <c r="O143" i="34"/>
  <c r="M94" i="34"/>
  <c r="M109" i="34"/>
  <c r="M83" i="34"/>
  <c r="M69" i="34"/>
  <c r="O35" i="34"/>
  <c r="M114" i="34"/>
  <c r="O128" i="34"/>
  <c r="M153" i="34"/>
  <c r="M131" i="34"/>
  <c r="O119" i="34"/>
  <c r="O87" i="34"/>
  <c r="M133" i="34"/>
  <c r="M119" i="34"/>
  <c r="M76" i="34"/>
  <c r="O55" i="34"/>
  <c r="M79" i="34"/>
  <c r="M47" i="34"/>
  <c r="M50" i="34"/>
  <c r="M137" i="34"/>
  <c r="M62" i="34"/>
  <c r="M122" i="34"/>
  <c r="M159" i="34"/>
  <c r="M165" i="34"/>
  <c r="O61" i="34"/>
  <c r="O40" i="34"/>
  <c r="M72" i="34"/>
  <c r="M71" i="34"/>
  <c r="O163" i="34"/>
  <c r="M120" i="34"/>
  <c r="O164" i="34"/>
  <c r="M160" i="34"/>
  <c r="M100" i="34"/>
  <c r="O147" i="34"/>
  <c r="M148" i="34"/>
  <c r="O36" i="34"/>
  <c r="M88" i="34"/>
  <c r="O106" i="34"/>
  <c r="O92" i="34"/>
  <c r="M110" i="34"/>
  <c r="M57" i="34"/>
  <c r="M167" i="34"/>
  <c r="O127" i="34"/>
  <c r="M43" i="34"/>
  <c r="M74" i="34"/>
  <c r="M87" i="34"/>
  <c r="M125" i="34"/>
  <c r="O159" i="34"/>
  <c r="O140" i="34"/>
  <c r="O121" i="34"/>
  <c r="M59" i="34"/>
  <c r="M102" i="34"/>
  <c r="O155" i="34"/>
  <c r="O144" i="34"/>
  <c r="M70" i="34"/>
  <c r="O41" i="34"/>
  <c r="M121" i="34"/>
  <c r="M60" i="34"/>
  <c r="O111" i="34"/>
  <c r="O113" i="34"/>
  <c r="M113" i="34"/>
  <c r="O58" i="34"/>
  <c r="O74" i="34"/>
  <c r="M66" i="34"/>
  <c r="M149" i="34"/>
  <c r="M156" i="34"/>
  <c r="M63" i="34"/>
  <c r="M42" i="34"/>
  <c r="O48" i="34"/>
  <c r="O52" i="34"/>
  <c r="M158" i="34"/>
  <c r="M162" i="34"/>
  <c r="O73" i="34"/>
  <c r="O134" i="34"/>
  <c r="O139" i="34"/>
  <c r="M111" i="34"/>
  <c r="M117" i="34"/>
  <c r="M127" i="34"/>
  <c r="M45" i="34"/>
  <c r="M51" i="34"/>
  <c r="O145" i="34"/>
  <c r="O63" i="34"/>
  <c r="O56" i="34"/>
  <c r="O125" i="34"/>
  <c r="O135" i="34"/>
  <c r="M56" i="34"/>
  <c r="O95" i="34"/>
  <c r="M77" i="34"/>
  <c r="O68" i="34"/>
  <c r="M39" i="34"/>
  <c r="M123" i="34"/>
  <c r="O154" i="34"/>
  <c r="M68" i="34"/>
  <c r="O136" i="34"/>
  <c r="M93" i="34"/>
  <c r="M85" i="34"/>
  <c r="O82" i="34"/>
  <c r="O72" i="34"/>
  <c r="O132" i="34"/>
  <c r="M157" i="34"/>
  <c r="O161" i="34"/>
  <c r="O94" i="34"/>
  <c r="M53" i="34"/>
  <c r="O91" i="34"/>
  <c r="O116" i="34"/>
  <c r="O157" i="34"/>
  <c r="M98" i="34"/>
  <c r="M49" i="34"/>
  <c r="M96" i="34"/>
  <c r="O131" i="34"/>
  <c r="O37" i="34"/>
  <c r="O101" i="34"/>
  <c r="M80" i="34"/>
  <c r="M140" i="34"/>
  <c r="O71" i="34"/>
  <c r="M78" i="34"/>
  <c r="M126" i="34"/>
  <c r="O45" i="34"/>
  <c r="O77" i="34"/>
  <c r="M99" i="34"/>
  <c r="M107" i="34"/>
  <c r="M118" i="34"/>
  <c r="M166" i="34"/>
  <c r="O43" i="34"/>
  <c r="O109" i="34"/>
  <c r="O44" i="34"/>
  <c r="O54" i="34"/>
  <c r="O167" i="34"/>
  <c r="O142" i="34"/>
  <c r="O112" i="34"/>
  <c r="M145" i="34"/>
  <c r="O89" i="34"/>
  <c r="M164" i="34"/>
  <c r="M37" i="34"/>
  <c r="M86" i="34"/>
  <c r="M152" i="34"/>
  <c r="O123" i="34"/>
  <c r="O86" i="34"/>
  <c r="O66" i="34"/>
  <c r="O85" i="34"/>
  <c r="O75" i="34"/>
  <c r="O38" i="34"/>
  <c r="M135" i="34"/>
  <c r="M115" i="34"/>
  <c r="O79" i="34"/>
  <c r="M130" i="34"/>
  <c r="M52" i="34"/>
  <c r="O57" i="34"/>
  <c r="O133" i="34"/>
  <c r="O148" i="34"/>
  <c r="O150" i="34"/>
  <c r="O130" i="34"/>
  <c r="O51" i="34"/>
  <c r="M108" i="34"/>
  <c r="O165" i="34"/>
  <c r="O110" i="34"/>
  <c r="O90" i="34"/>
  <c r="O149" i="34"/>
  <c r="M136" i="34"/>
  <c r="O67" i="34"/>
  <c r="O151" i="34"/>
  <c r="O65" i="34"/>
  <c r="M161" i="34"/>
  <c r="M128" i="34"/>
  <c r="M41" i="34"/>
  <c r="M75" i="34"/>
  <c r="M138" i="34"/>
  <c r="M44" i="34"/>
  <c r="M38" i="34"/>
  <c r="M132" i="34"/>
  <c r="O49" i="34"/>
  <c r="O138" i="34"/>
  <c r="O78" i="34"/>
  <c r="O118" i="34"/>
  <c r="M48" i="34"/>
  <c r="M89" i="34"/>
  <c r="M143" i="34"/>
  <c r="O126" i="34"/>
  <c r="M144" i="34"/>
  <c r="O81" i="34"/>
  <c r="O120" i="34"/>
  <c r="O97" i="34"/>
  <c r="M55" i="34"/>
  <c r="O129" i="34"/>
  <c r="M163" i="34"/>
  <c r="M61" i="34"/>
  <c r="M91" i="34"/>
  <c r="M141" i="34"/>
  <c r="O88" i="34"/>
  <c r="O158" i="34"/>
  <c r="M82" i="34"/>
  <c r="O107" i="34"/>
  <c r="M65" i="34"/>
  <c r="M112" i="34"/>
  <c r="M73" i="34"/>
  <c r="O96" i="34"/>
  <c r="M151" i="34"/>
  <c r="O83" i="34"/>
  <c r="M154" i="34"/>
  <c r="O102" i="34"/>
  <c r="M64" i="34"/>
  <c r="O42" i="34"/>
  <c r="M95" i="34"/>
  <c r="O47" i="34"/>
  <c r="M116" i="34"/>
  <c r="O153" i="34"/>
  <c r="O137" i="34"/>
  <c r="O146" i="34"/>
  <c r="M106" i="34"/>
  <c r="M81" i="34"/>
  <c r="O141" i="34"/>
  <c r="M90" i="34"/>
  <c r="M155" i="34"/>
  <c r="G8" i="13"/>
  <c r="I8" i="13" s="1"/>
  <c r="C9" i="13"/>
  <c r="C17" i="13" s="1"/>
  <c r="L24" i="8"/>
  <c r="Q22" i="8"/>
  <c r="U22" i="8"/>
  <c r="K22" i="8"/>
  <c r="K24" i="8" s="1"/>
  <c r="Q125" i="63"/>
  <c r="AE33" i="63"/>
  <c r="O10" i="8"/>
  <c r="O6" i="8" s="1"/>
  <c r="C33" i="29"/>
  <c r="D14" i="7"/>
  <c r="C23" i="37"/>
  <c r="W24" i="8"/>
  <c r="W32" i="8" s="1"/>
  <c r="O32" i="8"/>
  <c r="N10" i="8"/>
  <c r="N6" i="8" s="1"/>
  <c r="G36" i="64"/>
  <c r="B47" i="64"/>
  <c r="D24" i="11"/>
  <c r="E151" i="66"/>
  <c r="E155" i="66"/>
  <c r="E157" i="66" s="1"/>
  <c r="L211" i="8"/>
  <c r="L205" i="8"/>
  <c r="L138" i="8"/>
  <c r="L136" i="8"/>
  <c r="L135" i="8"/>
  <c r="L95" i="8"/>
  <c r="L94" i="8"/>
  <c r="L220" i="8"/>
  <c r="L214" i="8"/>
  <c r="L223" i="8"/>
  <c r="L208" i="8"/>
  <c r="L209" i="8"/>
  <c r="L226" i="8"/>
  <c r="L222" i="8"/>
  <c r="L174" i="8"/>
  <c r="L207" i="8"/>
  <c r="L141" i="8"/>
  <c r="L89" i="8"/>
  <c r="L134" i="8"/>
  <c r="L228" i="8"/>
  <c r="L92" i="8"/>
  <c r="L227" i="8"/>
  <c r="L224" i="8"/>
  <c r="L93" i="8"/>
  <c r="L221" i="8"/>
  <c r="L225" i="8"/>
  <c r="L216" i="8"/>
  <c r="L91" i="8"/>
  <c r="L96" i="8"/>
  <c r="L132" i="8"/>
  <c r="L213" i="8"/>
  <c r="L133" i="8"/>
  <c r="L210" i="8"/>
  <c r="L98" i="8"/>
  <c r="L219" i="8"/>
  <c r="L142" i="8"/>
  <c r="L90" i="8"/>
  <c r="L137" i="8"/>
  <c r="L187" i="8"/>
  <c r="L215" i="8"/>
  <c r="L131" i="8"/>
  <c r="L204" i="8"/>
  <c r="L212" i="8"/>
  <c r="L97" i="8"/>
  <c r="L139" i="8"/>
  <c r="L206" i="8"/>
  <c r="L203" i="8"/>
  <c r="L140" i="8"/>
  <c r="S12" i="38"/>
  <c r="S6" i="38"/>
  <c r="S5" i="38" s="1"/>
  <c r="AG10" i="36"/>
  <c r="S14" i="38"/>
  <c r="AG12" i="38"/>
  <c r="AG6" i="38"/>
  <c r="AG5" i="38" s="1"/>
  <c r="AG2" i="38" s="1"/>
  <c r="Q100" i="8"/>
  <c r="U100" i="8" s="1"/>
  <c r="W6" i="29"/>
  <c r="C15" i="29"/>
  <c r="AG14" i="38"/>
  <c r="W171" i="8"/>
  <c r="C40" i="37"/>
  <c r="M29" i="34"/>
  <c r="O22" i="34"/>
  <c r="O17" i="34"/>
  <c r="M14" i="34"/>
  <c r="M17" i="34"/>
  <c r="O25" i="34"/>
  <c r="M23" i="34"/>
  <c r="M24" i="34"/>
  <c r="M19" i="34"/>
  <c r="O21" i="34"/>
  <c r="M21" i="34"/>
  <c r="M20" i="34"/>
  <c r="M16" i="34"/>
  <c r="O26" i="34"/>
  <c r="M13" i="34"/>
  <c r="O20" i="34"/>
  <c r="O31" i="34"/>
  <c r="O16" i="34"/>
  <c r="O14" i="34"/>
  <c r="O27" i="34"/>
  <c r="M25" i="34"/>
  <c r="O23" i="34"/>
  <c r="M27" i="34"/>
  <c r="M15" i="34"/>
  <c r="O28" i="34"/>
  <c r="O19" i="34"/>
  <c r="O12" i="34"/>
  <c r="O18" i="34"/>
  <c r="O24" i="34"/>
  <c r="M22" i="34"/>
  <c r="M12" i="34"/>
  <c r="O13" i="34"/>
  <c r="O29" i="34"/>
  <c r="M28" i="34"/>
  <c r="M26" i="34"/>
  <c r="O30" i="34"/>
  <c r="M18" i="34"/>
  <c r="M31" i="34"/>
  <c r="M30" i="34"/>
  <c r="O15" i="34"/>
  <c r="X100" i="8"/>
  <c r="C20" i="35"/>
  <c r="N113" i="8"/>
  <c r="V113" i="8" s="1"/>
  <c r="V100" i="8"/>
  <c r="L5" i="22"/>
  <c r="L4" i="22" s="1"/>
  <c r="Q7" i="21"/>
  <c r="L4" i="23"/>
  <c r="L3" i="23" s="1"/>
  <c r="D6" i="29"/>
  <c r="K20" i="8"/>
  <c r="AX5" i="36"/>
  <c r="AY6" i="36"/>
  <c r="S6" i="36"/>
  <c r="S5" i="36" s="1"/>
  <c r="S11" i="36"/>
  <c r="V171" i="8"/>
  <c r="C40" i="35"/>
  <c r="K6" i="38"/>
  <c r="K5" i="38" s="1"/>
  <c r="K12" i="38"/>
  <c r="N140" i="8" l="1"/>
  <c r="P140" i="8"/>
  <c r="X140" i="8" s="1"/>
  <c r="O140" i="8"/>
  <c r="K140" i="8"/>
  <c r="O97" i="8"/>
  <c r="W97" i="8" s="1"/>
  <c r="N97" i="8"/>
  <c r="V97" i="8" s="1"/>
  <c r="P97" i="8"/>
  <c r="X97" i="8" s="1"/>
  <c r="K97" i="8"/>
  <c r="Q97" i="8"/>
  <c r="Y97" i="8" s="1"/>
  <c r="N215" i="8"/>
  <c r="V215" i="8" s="1"/>
  <c r="K215" i="8"/>
  <c r="O215" i="8"/>
  <c r="W215" i="8" s="1"/>
  <c r="N142" i="8"/>
  <c r="V142" i="8" s="1"/>
  <c r="K142" i="8"/>
  <c r="O142" i="8"/>
  <c r="W142" i="8" s="1"/>
  <c r="P142" i="8"/>
  <c r="X142" i="8" s="1"/>
  <c r="P133" i="8"/>
  <c r="X133" i="8" s="1"/>
  <c r="K133" i="8"/>
  <c r="N133" i="8"/>
  <c r="V133" i="8" s="1"/>
  <c r="O133" i="8"/>
  <c r="W133" i="8" s="1"/>
  <c r="P91" i="8"/>
  <c r="X91" i="8" s="1"/>
  <c r="K91" i="8"/>
  <c r="N91" i="8"/>
  <c r="V91" i="8" s="1"/>
  <c r="O91" i="8"/>
  <c r="W91" i="8" s="1"/>
  <c r="P93" i="8"/>
  <c r="X93" i="8" s="1"/>
  <c r="K93" i="8"/>
  <c r="N93" i="8"/>
  <c r="V93" i="8" s="1"/>
  <c r="O93" i="8"/>
  <c r="W93" i="8" s="1"/>
  <c r="K228" i="8"/>
  <c r="O228" i="8"/>
  <c r="W228" i="8" s="1"/>
  <c r="N228" i="8"/>
  <c r="V228" i="8" s="1"/>
  <c r="K207" i="8"/>
  <c r="N207" i="8"/>
  <c r="V207" i="8" s="1"/>
  <c r="O207" i="8"/>
  <c r="W207" i="8" s="1"/>
  <c r="K209" i="8"/>
  <c r="O209" i="8"/>
  <c r="W209" i="8" s="1"/>
  <c r="N209" i="8"/>
  <c r="V209" i="8" s="1"/>
  <c r="K220" i="8"/>
  <c r="N220" i="8"/>
  <c r="V220" i="8" s="1"/>
  <c r="O220" i="8"/>
  <c r="W220" i="8" s="1"/>
  <c r="K136" i="8"/>
  <c r="P136" i="8"/>
  <c r="X136" i="8" s="1"/>
  <c r="O136" i="8"/>
  <c r="W136" i="8" s="1"/>
  <c r="N136" i="8"/>
  <c r="V136" i="8" s="1"/>
  <c r="N180" i="8"/>
  <c r="N166" i="8"/>
  <c r="N55" i="8"/>
  <c r="N68" i="8"/>
  <c r="N69" i="8"/>
  <c r="N168" i="8"/>
  <c r="N177" i="8"/>
  <c r="N242" i="8"/>
  <c r="N64" i="8"/>
  <c r="N241" i="8"/>
  <c r="N240" i="8"/>
  <c r="N165" i="8"/>
  <c r="N172" i="8"/>
  <c r="N236" i="8"/>
  <c r="N147" i="8"/>
  <c r="N238" i="8"/>
  <c r="N156" i="8"/>
  <c r="N179" i="8"/>
  <c r="N167" i="8"/>
  <c r="N154" i="8"/>
  <c r="N239" i="8"/>
  <c r="N237" i="8"/>
  <c r="N235" i="8"/>
  <c r="N62" i="8"/>
  <c r="N155" i="8"/>
  <c r="N175" i="8"/>
  <c r="N234" i="8"/>
  <c r="N178" i="8"/>
  <c r="N148" i="8"/>
  <c r="N59" i="8"/>
  <c r="N66" i="8"/>
  <c r="N161" i="8"/>
  <c r="N56" i="8"/>
  <c r="N162" i="8"/>
  <c r="N67" i="8"/>
  <c r="N181" i="8"/>
  <c r="N63" i="8"/>
  <c r="N176" i="8"/>
  <c r="N153" i="8"/>
  <c r="N157" i="8"/>
  <c r="N163" i="8"/>
  <c r="N58" i="8"/>
  <c r="N65" i="8"/>
  <c r="N173" i="8"/>
  <c r="N57" i="8"/>
  <c r="N233" i="8"/>
  <c r="N151" i="8"/>
  <c r="N60" i="8"/>
  <c r="N164" i="8"/>
  <c r="N61" i="8"/>
  <c r="N145" i="8"/>
  <c r="N152" i="8"/>
  <c r="N160" i="8"/>
  <c r="O164" i="8"/>
  <c r="O177" i="8"/>
  <c r="W177" i="8" s="1"/>
  <c r="O148" i="8"/>
  <c r="W148" i="8" s="1"/>
  <c r="O163" i="8"/>
  <c r="W163" i="8" s="1"/>
  <c r="O175" i="8"/>
  <c r="W175" i="8" s="1"/>
  <c r="O237" i="8"/>
  <c r="W237" i="8" s="1"/>
  <c r="O161" i="8"/>
  <c r="W161" i="8" s="1"/>
  <c r="O233" i="8"/>
  <c r="O155" i="8"/>
  <c r="W155" i="8" s="1"/>
  <c r="O176" i="8"/>
  <c r="W176" i="8" s="1"/>
  <c r="O172" i="8"/>
  <c r="O162" i="8"/>
  <c r="W162" i="8" s="1"/>
  <c r="O151" i="8"/>
  <c r="W151" i="8" s="1"/>
  <c r="O181" i="8"/>
  <c r="W181" i="8" s="1"/>
  <c r="O241" i="8"/>
  <c r="W241" i="8" s="1"/>
  <c r="O66" i="8"/>
  <c r="W66" i="8" s="1"/>
  <c r="O145" i="8"/>
  <c r="O69" i="8"/>
  <c r="W69" i="8" s="1"/>
  <c r="O147" i="8"/>
  <c r="W147" i="8" s="1"/>
  <c r="O57" i="8"/>
  <c r="W57" i="8" s="1"/>
  <c r="O156" i="8"/>
  <c r="W156" i="8" s="1"/>
  <c r="O238" i="8"/>
  <c r="W238" i="8" s="1"/>
  <c r="O236" i="8"/>
  <c r="W236" i="8" s="1"/>
  <c r="O55" i="8"/>
  <c r="O59" i="8"/>
  <c r="W59" i="8" s="1"/>
  <c r="O63" i="8"/>
  <c r="W63" i="8" s="1"/>
  <c r="O60" i="8"/>
  <c r="O154" i="8"/>
  <c r="W154" i="8" s="1"/>
  <c r="O235" i="8"/>
  <c r="W235" i="8" s="1"/>
  <c r="O67" i="8"/>
  <c r="W67" i="8" s="1"/>
  <c r="O173" i="8"/>
  <c r="W173" i="8" s="1"/>
  <c r="O240" i="8"/>
  <c r="W240" i="8" s="1"/>
  <c r="O61" i="8"/>
  <c r="W61" i="8" s="1"/>
  <c r="O168" i="8"/>
  <c r="W168" i="8" s="1"/>
  <c r="O65" i="8"/>
  <c r="W65" i="8" s="1"/>
  <c r="O166" i="8"/>
  <c r="W166" i="8" s="1"/>
  <c r="O153" i="8"/>
  <c r="W153" i="8" s="1"/>
  <c r="O152" i="8"/>
  <c r="W152" i="8" s="1"/>
  <c r="O58" i="8"/>
  <c r="O239" i="8"/>
  <c r="W239" i="8" s="1"/>
  <c r="O178" i="8"/>
  <c r="W178" i="8" s="1"/>
  <c r="O234" i="8"/>
  <c r="W234" i="8" s="1"/>
  <c r="O68" i="8"/>
  <c r="W68" i="8" s="1"/>
  <c r="O157" i="8"/>
  <c r="W157" i="8" s="1"/>
  <c r="O56" i="8"/>
  <c r="W56" i="8" s="1"/>
  <c r="O165" i="8"/>
  <c r="W165" i="8" s="1"/>
  <c r="O179" i="8"/>
  <c r="W179" i="8" s="1"/>
  <c r="O64" i="8"/>
  <c r="W64" i="8" s="1"/>
  <c r="O167" i="8"/>
  <c r="W167" i="8" s="1"/>
  <c r="O62" i="8"/>
  <c r="W62" i="8" s="1"/>
  <c r="O242" i="8"/>
  <c r="W242" i="8" s="1"/>
  <c r="O180" i="8"/>
  <c r="W180" i="8" s="1"/>
  <c r="O160" i="8"/>
  <c r="D17" i="29"/>
  <c r="R34" i="35"/>
  <c r="B52" i="25"/>
  <c r="A52" i="25" s="1"/>
  <c r="A51" i="25"/>
  <c r="Q10" i="8"/>
  <c r="Q6" i="8" s="1"/>
  <c r="G17" i="7"/>
  <c r="E7" i="3"/>
  <c r="G3" i="61"/>
  <c r="G3" i="14"/>
  <c r="H201" i="8"/>
  <c r="H293" i="8"/>
  <c r="H296" i="8" s="1"/>
  <c r="N34" i="8"/>
  <c r="U20" i="8"/>
  <c r="I40" i="2"/>
  <c r="I48" i="2" s="1"/>
  <c r="AK11" i="36"/>
  <c r="P187" i="8"/>
  <c r="X187" i="8" s="1"/>
  <c r="K187" i="8"/>
  <c r="O187" i="8"/>
  <c r="N187" i="8"/>
  <c r="K224" i="8"/>
  <c r="N224" i="8"/>
  <c r="V224" i="8" s="1"/>
  <c r="O224" i="8"/>
  <c r="W224" i="8" s="1"/>
  <c r="P138" i="8"/>
  <c r="X138" i="8" s="1"/>
  <c r="K138" i="8"/>
  <c r="O138" i="8"/>
  <c r="W138" i="8" s="1"/>
  <c r="N138" i="8"/>
  <c r="V138" i="8" s="1"/>
  <c r="J8" i="13"/>
  <c r="L8" i="13"/>
  <c r="M8" i="13" s="1"/>
  <c r="O168" i="34"/>
  <c r="O103" i="34"/>
  <c r="O7" i="34"/>
  <c r="Q23" i="35"/>
  <c r="K29" i="8"/>
  <c r="D19" i="29" s="1"/>
  <c r="X19" i="29" s="1"/>
  <c r="AF19" i="29" s="1"/>
  <c r="C19" i="29"/>
  <c r="W19" i="29" s="1"/>
  <c r="AE19" i="29" s="1"/>
  <c r="Q29" i="8"/>
  <c r="U29" i="8" s="1"/>
  <c r="P244" i="8"/>
  <c r="P6" i="8"/>
  <c r="P108" i="8"/>
  <c r="D15" i="29"/>
  <c r="X6" i="29"/>
  <c r="L29" i="23"/>
  <c r="L26" i="23"/>
  <c r="L27" i="23"/>
  <c r="P212" i="8"/>
  <c r="X212" i="8" s="1"/>
  <c r="N212" i="8"/>
  <c r="V212" i="8" s="1"/>
  <c r="O212" i="8"/>
  <c r="W212" i="8" s="1"/>
  <c r="Q212" i="8"/>
  <c r="Y212" i="8" s="1"/>
  <c r="K212" i="8"/>
  <c r="O213" i="8"/>
  <c r="W213" i="8" s="1"/>
  <c r="N213" i="8"/>
  <c r="V213" i="8" s="1"/>
  <c r="K213" i="8"/>
  <c r="K134" i="8"/>
  <c r="O134" i="8"/>
  <c r="W134" i="8" s="1"/>
  <c r="P134" i="8"/>
  <c r="X134" i="8" s="1"/>
  <c r="N134" i="8"/>
  <c r="V134" i="8" s="1"/>
  <c r="K208" i="8"/>
  <c r="N208" i="8"/>
  <c r="V208" i="8" s="1"/>
  <c r="O208" i="8"/>
  <c r="W208" i="8" s="1"/>
  <c r="O6" i="34"/>
  <c r="O32" i="34"/>
  <c r="S40" i="37"/>
  <c r="W15" i="29"/>
  <c r="O206" i="8"/>
  <c r="W206" i="8" s="1"/>
  <c r="N206" i="8"/>
  <c r="V206" i="8" s="1"/>
  <c r="K206" i="8"/>
  <c r="N204" i="8"/>
  <c r="V204" i="8" s="1"/>
  <c r="O204" i="8"/>
  <c r="W204" i="8" s="1"/>
  <c r="K204" i="8"/>
  <c r="K137" i="8"/>
  <c r="O137" i="8"/>
  <c r="W137" i="8" s="1"/>
  <c r="P137" i="8"/>
  <c r="X137" i="8" s="1"/>
  <c r="Q137" i="8"/>
  <c r="Y137" i="8" s="1"/>
  <c r="N137" i="8"/>
  <c r="V137" i="8" s="1"/>
  <c r="P98" i="8"/>
  <c r="X98" i="8" s="1"/>
  <c r="K98" i="8"/>
  <c r="Q98" i="8"/>
  <c r="Y98" i="8" s="1"/>
  <c r="O98" i="8"/>
  <c r="W98" i="8" s="1"/>
  <c r="N98" i="8"/>
  <c r="V98" i="8" s="1"/>
  <c r="N132" i="8"/>
  <c r="V132" i="8" s="1"/>
  <c r="O132" i="8"/>
  <c r="W132" i="8" s="1"/>
  <c r="P132" i="8"/>
  <c r="X132" i="8" s="1"/>
  <c r="K132" i="8"/>
  <c r="P225" i="8"/>
  <c r="X225" i="8" s="1"/>
  <c r="N225" i="8"/>
  <c r="V225" i="8" s="1"/>
  <c r="O225" i="8"/>
  <c r="W225" i="8" s="1"/>
  <c r="K225" i="8"/>
  <c r="P227" i="8"/>
  <c r="X227" i="8" s="1"/>
  <c r="K227" i="8"/>
  <c r="N227" i="8"/>
  <c r="V227" i="8" s="1"/>
  <c r="O227" i="8"/>
  <c r="W227" i="8" s="1"/>
  <c r="K89" i="8"/>
  <c r="O89" i="8"/>
  <c r="W89" i="8" s="1"/>
  <c r="P89" i="8"/>
  <c r="X89" i="8" s="1"/>
  <c r="N89" i="8"/>
  <c r="V89" i="8" s="1"/>
  <c r="N222" i="8"/>
  <c r="V222" i="8" s="1"/>
  <c r="K222" i="8"/>
  <c r="O222" i="8"/>
  <c r="W222" i="8" s="1"/>
  <c r="Q222" i="8"/>
  <c r="Y222" i="8" s="1"/>
  <c r="P222" i="8"/>
  <c r="X222" i="8" s="1"/>
  <c r="K223" i="8"/>
  <c r="P223" i="8"/>
  <c r="X223" i="8" s="1"/>
  <c r="N223" i="8"/>
  <c r="V223" i="8" s="1"/>
  <c r="O223" i="8"/>
  <c r="W223" i="8" s="1"/>
  <c r="K95" i="8"/>
  <c r="O95" i="8"/>
  <c r="W95" i="8" s="1"/>
  <c r="P95" i="8"/>
  <c r="X95" i="8" s="1"/>
  <c r="N95" i="8"/>
  <c r="V95" i="8" s="1"/>
  <c r="O205" i="8"/>
  <c r="W205" i="8" s="1"/>
  <c r="N205" i="8"/>
  <c r="V205" i="8" s="1"/>
  <c r="K205" i="8"/>
  <c r="P205" i="8"/>
  <c r="X205" i="8" s="1"/>
  <c r="D43" i="11"/>
  <c r="U24" i="11"/>
  <c r="V24" i="11" s="1"/>
  <c r="Q24" i="8"/>
  <c r="Y22" i="8"/>
  <c r="C199" i="34"/>
  <c r="K202" i="34"/>
  <c r="C204" i="34"/>
  <c r="C245" i="34"/>
  <c r="K209" i="34"/>
  <c r="C217" i="34"/>
  <c r="C218" i="34"/>
  <c r="K194" i="34"/>
  <c r="K190" i="34"/>
  <c r="C194" i="34"/>
  <c r="C251" i="34"/>
  <c r="K247" i="34"/>
  <c r="C215" i="34"/>
  <c r="K217" i="34"/>
  <c r="K188" i="34"/>
  <c r="K175" i="34"/>
  <c r="K232" i="34"/>
  <c r="K208" i="34"/>
  <c r="C226" i="34"/>
  <c r="C202" i="34"/>
  <c r="C203" i="34"/>
  <c r="C213" i="34"/>
  <c r="C196" i="34"/>
  <c r="C186" i="34"/>
  <c r="K239" i="34"/>
  <c r="C205" i="34"/>
  <c r="C230" i="34"/>
  <c r="C248" i="34"/>
  <c r="K220" i="34"/>
  <c r="C177" i="34"/>
  <c r="C211" i="34"/>
  <c r="C225" i="34"/>
  <c r="C222" i="34"/>
  <c r="C198" i="34"/>
  <c r="C231" i="34"/>
  <c r="K191" i="34"/>
  <c r="C244" i="34"/>
  <c r="K183" i="34"/>
  <c r="K246" i="34"/>
  <c r="C235" i="34"/>
  <c r="C229" i="34"/>
  <c r="K186" i="34"/>
  <c r="K229" i="34"/>
  <c r="C171" i="34"/>
  <c r="K250" i="34"/>
  <c r="K248" i="34"/>
  <c r="K210" i="34"/>
  <c r="K212" i="34"/>
  <c r="K198" i="34"/>
  <c r="K235" i="34"/>
  <c r="C236" i="34"/>
  <c r="C242" i="34"/>
  <c r="C206" i="34"/>
  <c r="K207" i="34"/>
  <c r="K176" i="34"/>
  <c r="K172" i="34"/>
  <c r="C246" i="34"/>
  <c r="C173" i="34"/>
  <c r="K180" i="34"/>
  <c r="C180" i="34"/>
  <c r="K199" i="34"/>
  <c r="K205" i="34"/>
  <c r="C200" i="34"/>
  <c r="K230" i="34"/>
  <c r="C220" i="34"/>
  <c r="K244" i="34"/>
  <c r="K174" i="34"/>
  <c r="K226" i="34"/>
  <c r="C216" i="34"/>
  <c r="C191" i="34"/>
  <c r="C224" i="34"/>
  <c r="C208" i="34"/>
  <c r="C240" i="34"/>
  <c r="K177" i="34"/>
  <c r="K216" i="34"/>
  <c r="K215" i="34"/>
  <c r="K200" i="34"/>
  <c r="K171" i="34"/>
  <c r="C223" i="34"/>
  <c r="C182" i="34"/>
  <c r="C233" i="34"/>
  <c r="K173" i="34"/>
  <c r="C192" i="34"/>
  <c r="C239" i="34"/>
  <c r="K193" i="34"/>
  <c r="C184" i="34"/>
  <c r="K196" i="34"/>
  <c r="K222" i="34"/>
  <c r="C174" i="34"/>
  <c r="C210" i="34"/>
  <c r="C212" i="34"/>
  <c r="K197" i="34"/>
  <c r="C214" i="34"/>
  <c r="K227" i="34"/>
  <c r="C197" i="34"/>
  <c r="C247" i="34"/>
  <c r="C193" i="34"/>
  <c r="C250" i="34"/>
  <c r="C179" i="34"/>
  <c r="K204" i="34"/>
  <c r="C195" i="34"/>
  <c r="K238" i="34"/>
  <c r="C209" i="34"/>
  <c r="C207" i="34"/>
  <c r="K179" i="34"/>
  <c r="K233" i="34"/>
  <c r="K221" i="34"/>
  <c r="K213" i="34"/>
  <c r="K234" i="34"/>
  <c r="C219" i="34"/>
  <c r="K242" i="34"/>
  <c r="C228" i="34"/>
  <c r="C227" i="34"/>
  <c r="K223" i="34"/>
  <c r="K218" i="34"/>
  <c r="K184" i="34"/>
  <c r="C238" i="34"/>
  <c r="K211" i="34"/>
  <c r="C241" i="34"/>
  <c r="C249" i="34"/>
  <c r="C234" i="34"/>
  <c r="K224" i="34"/>
  <c r="K237" i="34"/>
  <c r="K214" i="34"/>
  <c r="K231" i="34"/>
  <c r="C178" i="34"/>
  <c r="C232" i="34"/>
  <c r="K189" i="34"/>
  <c r="C183" i="34"/>
  <c r="C221" i="34"/>
  <c r="C237" i="34"/>
  <c r="K236" i="34"/>
  <c r="C190" i="34"/>
  <c r="K245" i="34"/>
  <c r="C189" i="34"/>
  <c r="C176" i="34"/>
  <c r="C188" i="34"/>
  <c r="K240" i="34"/>
  <c r="K251" i="34"/>
  <c r="K182" i="34"/>
  <c r="K192" i="34"/>
  <c r="K206" i="34"/>
  <c r="K228" i="34"/>
  <c r="C172" i="34"/>
  <c r="C243" i="34"/>
  <c r="K185" i="34"/>
  <c r="K243" i="34"/>
  <c r="K219" i="34"/>
  <c r="C181" i="34"/>
  <c r="C175" i="34"/>
  <c r="K181" i="34"/>
  <c r="K241" i="34"/>
  <c r="K178" i="34"/>
  <c r="C187" i="34"/>
  <c r="C201" i="34"/>
  <c r="K225" i="34"/>
  <c r="K249" i="34"/>
  <c r="K203" i="34"/>
  <c r="K187" i="34"/>
  <c r="C185" i="34"/>
  <c r="K195" i="34"/>
  <c r="K201" i="34"/>
  <c r="AG11" i="36"/>
  <c r="AG6" i="36"/>
  <c r="AG5" i="36" s="1"/>
  <c r="AG2" i="36" s="1"/>
  <c r="O10" i="38"/>
  <c r="O9" i="38"/>
  <c r="M11" i="38"/>
  <c r="M10" i="38"/>
  <c r="M14" i="38"/>
  <c r="O14" i="38"/>
  <c r="M9" i="38"/>
  <c r="O11" i="38"/>
  <c r="V32" i="8"/>
  <c r="L6" i="8"/>
  <c r="C4" i="29"/>
  <c r="U10" i="8"/>
  <c r="S40" i="35"/>
  <c r="O203" i="8"/>
  <c r="K203" i="8"/>
  <c r="P203" i="8"/>
  <c r="L217" i="8"/>
  <c r="N203" i="8"/>
  <c r="L229" i="8"/>
  <c r="O219" i="8"/>
  <c r="W219" i="8" s="1"/>
  <c r="K219" i="8"/>
  <c r="N219" i="8"/>
  <c r="V219" i="8" s="1"/>
  <c r="Q219" i="8"/>
  <c r="Y219" i="8" s="1"/>
  <c r="P219" i="8"/>
  <c r="X219" i="8" s="1"/>
  <c r="P216" i="8"/>
  <c r="X216" i="8" s="1"/>
  <c r="N216" i="8"/>
  <c r="V216" i="8" s="1"/>
  <c r="O216" i="8"/>
  <c r="W216" i="8" s="1"/>
  <c r="K216" i="8"/>
  <c r="O174" i="8"/>
  <c r="W174" i="8" s="1"/>
  <c r="K174" i="8"/>
  <c r="N174" i="8"/>
  <c r="V174" i="8" s="1"/>
  <c r="Q174" i="8"/>
  <c r="Y174" i="8" s="1"/>
  <c r="P174" i="8"/>
  <c r="X174" i="8" s="1"/>
  <c r="N94" i="8"/>
  <c r="V94" i="8" s="1"/>
  <c r="K94" i="8"/>
  <c r="O94" i="8"/>
  <c r="W94" i="8" s="1"/>
  <c r="P94" i="8"/>
  <c r="X94" i="8" s="1"/>
  <c r="Q94" i="8"/>
  <c r="Y94" i="8" s="1"/>
  <c r="O34" i="8"/>
  <c r="M4" i="23"/>
  <c r="M3" i="23" s="1"/>
  <c r="M5" i="22"/>
  <c r="M4" i="22" s="1"/>
  <c r="A3" i="21"/>
  <c r="K10" i="8"/>
  <c r="D4" i="29" s="1"/>
  <c r="Y100" i="8"/>
  <c r="C20" i="11"/>
  <c r="P139" i="8"/>
  <c r="X139" i="8" s="1"/>
  <c r="N139" i="8"/>
  <c r="V139" i="8" s="1"/>
  <c r="K139" i="8"/>
  <c r="O139" i="8"/>
  <c r="W139" i="8" s="1"/>
  <c r="N131" i="8"/>
  <c r="K131" i="8"/>
  <c r="P131" i="8"/>
  <c r="O131" i="8"/>
  <c r="L143" i="8"/>
  <c r="K90" i="8"/>
  <c r="P90" i="8"/>
  <c r="X90" i="8" s="1"/>
  <c r="O90" i="8"/>
  <c r="W90" i="8" s="1"/>
  <c r="N90" i="8"/>
  <c r="V90" i="8" s="1"/>
  <c r="P210" i="8"/>
  <c r="X210" i="8" s="1"/>
  <c r="N210" i="8"/>
  <c r="V210" i="8" s="1"/>
  <c r="K210" i="8"/>
  <c r="O210" i="8"/>
  <c r="W210" i="8" s="1"/>
  <c r="P96" i="8"/>
  <c r="X96" i="8" s="1"/>
  <c r="K96" i="8"/>
  <c r="O96" i="8"/>
  <c r="W96" i="8" s="1"/>
  <c r="N96" i="8"/>
  <c r="V96" i="8" s="1"/>
  <c r="N221" i="8"/>
  <c r="V221" i="8" s="1"/>
  <c r="P221" i="8"/>
  <c r="X221" i="8" s="1"/>
  <c r="O221" i="8"/>
  <c r="W221" i="8" s="1"/>
  <c r="K221" i="8"/>
  <c r="P92" i="8"/>
  <c r="X92" i="8" s="1"/>
  <c r="K92" i="8"/>
  <c r="N92" i="8"/>
  <c r="V92" i="8" s="1"/>
  <c r="O92" i="8"/>
  <c r="W92" i="8" s="1"/>
  <c r="Q92" i="8"/>
  <c r="Y92" i="8" s="1"/>
  <c r="P141" i="8"/>
  <c r="X141" i="8" s="1"/>
  <c r="K141" i="8"/>
  <c r="N141" i="8"/>
  <c r="V141" i="8" s="1"/>
  <c r="O141" i="8"/>
  <c r="W141" i="8" s="1"/>
  <c r="P226" i="8"/>
  <c r="X226" i="8" s="1"/>
  <c r="N226" i="8"/>
  <c r="V226" i="8" s="1"/>
  <c r="O226" i="8"/>
  <c r="W226" i="8" s="1"/>
  <c r="K226" i="8"/>
  <c r="K214" i="8"/>
  <c r="P214" i="8"/>
  <c r="X214" i="8" s="1"/>
  <c r="O214" i="8"/>
  <c r="W214" i="8" s="1"/>
  <c r="Q214" i="8"/>
  <c r="Y214" i="8" s="1"/>
  <c r="N214" i="8"/>
  <c r="V214" i="8" s="1"/>
  <c r="O135" i="8"/>
  <c r="W135" i="8" s="1"/>
  <c r="K135" i="8"/>
  <c r="N135" i="8"/>
  <c r="V135" i="8" s="1"/>
  <c r="P135" i="8"/>
  <c r="X135" i="8" s="1"/>
  <c r="K211" i="8"/>
  <c r="N211" i="8"/>
  <c r="V211" i="8" s="1"/>
  <c r="P211" i="8"/>
  <c r="X211" i="8" s="1"/>
  <c r="O211" i="8"/>
  <c r="W211" i="8" s="1"/>
  <c r="Q23" i="37"/>
  <c r="W33" i="29"/>
  <c r="U24" i="8"/>
  <c r="C17" i="29"/>
  <c r="L32" i="8"/>
  <c r="R34" i="37"/>
  <c r="B16" i="25"/>
  <c r="A15" i="25"/>
  <c r="M10" i="36"/>
  <c r="M9" i="36"/>
  <c r="O10" i="36"/>
  <c r="O9" i="36"/>
  <c r="L186" i="8"/>
  <c r="I195" i="8"/>
  <c r="I197" i="8" s="1"/>
  <c r="I199" i="8" s="1"/>
  <c r="K186" i="8"/>
  <c r="D10" i="7"/>
  <c r="D11" i="7" s="1"/>
  <c r="K171" i="8"/>
  <c r="K182" i="8" s="1"/>
  <c r="D43" i="29" s="1"/>
  <c r="X43" i="29" s="1"/>
  <c r="AF43" i="29" s="1"/>
  <c r="P171" i="8"/>
  <c r="Q171" i="8" s="1"/>
  <c r="L182" i="8"/>
  <c r="X29" i="8"/>
  <c r="X32" i="8" s="1"/>
  <c r="P32" i="8"/>
  <c r="I36" i="64"/>
  <c r="L36" i="64"/>
  <c r="J36" i="64"/>
  <c r="K36" i="64"/>
  <c r="C40" i="11" l="1"/>
  <c r="Y171" i="8"/>
  <c r="U171" i="8"/>
  <c r="U174" i="8"/>
  <c r="X203" i="8"/>
  <c r="O217" i="8"/>
  <c r="W203" i="8"/>
  <c r="L256" i="8"/>
  <c r="F44" i="64"/>
  <c r="G10" i="7"/>
  <c r="G11" i="7" s="1"/>
  <c r="L258" i="8"/>
  <c r="L264" i="8"/>
  <c r="L246" i="8"/>
  <c r="L250" i="8"/>
  <c r="L270" i="8"/>
  <c r="L259" i="8"/>
  <c r="L275" i="8"/>
  <c r="L260" i="8"/>
  <c r="L269" i="8"/>
  <c r="L277" i="8"/>
  <c r="L284" i="8"/>
  <c r="L278" i="8"/>
  <c r="L252" i="8"/>
  <c r="L276" i="8"/>
  <c r="L268" i="8"/>
  <c r="L282" i="8"/>
  <c r="L283" i="8"/>
  <c r="L253" i="8"/>
  <c r="L248" i="8"/>
  <c r="F45" i="64"/>
  <c r="L255" i="8"/>
  <c r="L245" i="8"/>
  <c r="L266" i="8"/>
  <c r="L289" i="8"/>
  <c r="L273" i="8"/>
  <c r="L285" i="8"/>
  <c r="L262" i="8"/>
  <c r="L280" i="8"/>
  <c r="L263" i="8"/>
  <c r="L281" i="8"/>
  <c r="L267" i="8"/>
  <c r="L272" i="8"/>
  <c r="L271" i="8"/>
  <c r="L257" i="8"/>
  <c r="L274" i="8"/>
  <c r="L261" i="8"/>
  <c r="L254" i="8"/>
  <c r="L265" i="8"/>
  <c r="L279" i="8"/>
  <c r="L251" i="8"/>
  <c r="L247" i="8"/>
  <c r="L249" i="8"/>
  <c r="L190" i="8"/>
  <c r="L191" i="8"/>
  <c r="O12" i="38"/>
  <c r="O6" i="38"/>
  <c r="O5" i="38" s="1"/>
  <c r="U10" i="38" s="1"/>
  <c r="V10" i="38" s="1"/>
  <c r="N201" i="34"/>
  <c r="T201" i="34"/>
  <c r="AX201" i="34"/>
  <c r="F201" i="34"/>
  <c r="F189" i="34"/>
  <c r="AX189" i="34"/>
  <c r="N189" i="34"/>
  <c r="T189" i="34"/>
  <c r="AX237" i="34"/>
  <c r="T237" i="34"/>
  <c r="N237" i="34"/>
  <c r="F232" i="34"/>
  <c r="AX232" i="34"/>
  <c r="T232" i="34"/>
  <c r="N232" i="34"/>
  <c r="T241" i="34"/>
  <c r="N241" i="34"/>
  <c r="AX241" i="34"/>
  <c r="AX209" i="34"/>
  <c r="F209" i="34"/>
  <c r="N209" i="34"/>
  <c r="T209" i="34"/>
  <c r="AX179" i="34"/>
  <c r="F179" i="34"/>
  <c r="N179" i="34"/>
  <c r="T179" i="34"/>
  <c r="N197" i="34"/>
  <c r="AX197" i="34"/>
  <c r="T197" i="34"/>
  <c r="F197" i="34"/>
  <c r="T212" i="34"/>
  <c r="AX212" i="34"/>
  <c r="N212" i="34"/>
  <c r="F212" i="34"/>
  <c r="F192" i="34"/>
  <c r="AX192" i="34"/>
  <c r="T192" i="34"/>
  <c r="N192" i="34"/>
  <c r="T223" i="34"/>
  <c r="N223" i="34"/>
  <c r="AX223" i="34"/>
  <c r="F223" i="34"/>
  <c r="N224" i="34"/>
  <c r="F224" i="34"/>
  <c r="AX224" i="34"/>
  <c r="T224" i="34"/>
  <c r="AX200" i="34"/>
  <c r="F200" i="34"/>
  <c r="N200" i="34"/>
  <c r="T200" i="34"/>
  <c r="F236" i="34"/>
  <c r="T236" i="34"/>
  <c r="N236" i="34"/>
  <c r="AX236" i="34"/>
  <c r="AX231" i="34"/>
  <c r="F231" i="34"/>
  <c r="T231" i="34"/>
  <c r="N231" i="34"/>
  <c r="T211" i="34"/>
  <c r="AX211" i="34"/>
  <c r="N211" i="34"/>
  <c r="F211" i="34"/>
  <c r="N230" i="34"/>
  <c r="T230" i="34"/>
  <c r="AX230" i="34"/>
  <c r="F230" i="34"/>
  <c r="T196" i="34"/>
  <c r="F196" i="34"/>
  <c r="N196" i="34"/>
  <c r="AX196" i="34"/>
  <c r="N226" i="34"/>
  <c r="T226" i="34"/>
  <c r="AX226" i="34"/>
  <c r="F226" i="34"/>
  <c r="T251" i="34"/>
  <c r="AX251" i="34"/>
  <c r="N251" i="34"/>
  <c r="AX218" i="34"/>
  <c r="T218" i="34"/>
  <c r="F218" i="34"/>
  <c r="N218" i="34"/>
  <c r="AX204" i="34"/>
  <c r="T204" i="34"/>
  <c r="N204" i="34"/>
  <c r="F204" i="34"/>
  <c r="Q95" i="8"/>
  <c r="Y95" i="8" s="1"/>
  <c r="Q89" i="8"/>
  <c r="Q227" i="8"/>
  <c r="Y227" i="8" s="1"/>
  <c r="U137" i="8"/>
  <c r="Q208" i="8"/>
  <c r="Y208" i="8" s="1"/>
  <c r="Q134" i="8"/>
  <c r="Y134" i="8" s="1"/>
  <c r="P165" i="8"/>
  <c r="X165" i="8" s="1"/>
  <c r="P177" i="8"/>
  <c r="X177" i="8" s="1"/>
  <c r="P59" i="8"/>
  <c r="X59" i="8" s="1"/>
  <c r="P161" i="8"/>
  <c r="X161" i="8" s="1"/>
  <c r="P168" i="8"/>
  <c r="X168" i="8" s="1"/>
  <c r="P147" i="8"/>
  <c r="X147" i="8" s="1"/>
  <c r="P156" i="8"/>
  <c r="X156" i="8" s="1"/>
  <c r="P181" i="8"/>
  <c r="X181" i="8" s="1"/>
  <c r="P151" i="8"/>
  <c r="X151" i="8" s="1"/>
  <c r="P66" i="8"/>
  <c r="X66" i="8" s="1"/>
  <c r="P164" i="8"/>
  <c r="X164" i="8" s="1"/>
  <c r="P172" i="8"/>
  <c r="X172" i="8" s="1"/>
  <c r="P242" i="8"/>
  <c r="X242" i="8" s="1"/>
  <c r="P64" i="8"/>
  <c r="X64" i="8" s="1"/>
  <c r="P62" i="8"/>
  <c r="X62" i="8" s="1"/>
  <c r="P61" i="8"/>
  <c r="X61" i="8" s="1"/>
  <c r="P233" i="8"/>
  <c r="P167" i="8"/>
  <c r="X167" i="8" s="1"/>
  <c r="P60" i="8"/>
  <c r="X60" i="8" s="1"/>
  <c r="P57" i="8"/>
  <c r="X57" i="8" s="1"/>
  <c r="P145" i="8"/>
  <c r="P241" i="8"/>
  <c r="X241" i="8" s="1"/>
  <c r="P67" i="8"/>
  <c r="X67" i="8" s="1"/>
  <c r="P238" i="8"/>
  <c r="X238" i="8" s="1"/>
  <c r="P176" i="8"/>
  <c r="X176" i="8" s="1"/>
  <c r="P153" i="8"/>
  <c r="X153" i="8" s="1"/>
  <c r="P166" i="8"/>
  <c r="X166" i="8" s="1"/>
  <c r="P148" i="8"/>
  <c r="X148" i="8" s="1"/>
  <c r="P55" i="8"/>
  <c r="P65" i="8"/>
  <c r="X65" i="8" s="1"/>
  <c r="P154" i="8"/>
  <c r="X154" i="8" s="1"/>
  <c r="P163" i="8"/>
  <c r="X163" i="8" s="1"/>
  <c r="P162" i="8"/>
  <c r="X162" i="8" s="1"/>
  <c r="P235" i="8"/>
  <c r="X235" i="8" s="1"/>
  <c r="P237" i="8"/>
  <c r="X237" i="8" s="1"/>
  <c r="P69" i="8"/>
  <c r="X69" i="8" s="1"/>
  <c r="P173" i="8"/>
  <c r="X173" i="8" s="1"/>
  <c r="P234" i="8"/>
  <c r="X234" i="8" s="1"/>
  <c r="P240" i="8"/>
  <c r="X240" i="8" s="1"/>
  <c r="P239" i="8"/>
  <c r="X239" i="8" s="1"/>
  <c r="P63" i="8"/>
  <c r="X63" i="8" s="1"/>
  <c r="P175" i="8"/>
  <c r="X175" i="8" s="1"/>
  <c r="P155" i="8"/>
  <c r="X155" i="8" s="1"/>
  <c r="P68" i="8"/>
  <c r="X68" i="8" s="1"/>
  <c r="P58" i="8"/>
  <c r="P56" i="8"/>
  <c r="X56" i="8" s="1"/>
  <c r="P236" i="8"/>
  <c r="X236" i="8" s="1"/>
  <c r="P152" i="8"/>
  <c r="X152" i="8" s="1"/>
  <c r="P179" i="8"/>
  <c r="X179" i="8" s="1"/>
  <c r="P157" i="8"/>
  <c r="X157" i="8" s="1"/>
  <c r="P180" i="8"/>
  <c r="X180" i="8" s="1"/>
  <c r="P178" i="8"/>
  <c r="X178" i="8" s="1"/>
  <c r="P160" i="8"/>
  <c r="C37" i="37"/>
  <c r="V37" i="37" s="1"/>
  <c r="W187" i="8"/>
  <c r="K32" i="8"/>
  <c r="K34" i="8" s="1"/>
  <c r="W60" i="8"/>
  <c r="C27" i="37"/>
  <c r="W172" i="8"/>
  <c r="C21" i="37"/>
  <c r="O182" i="8"/>
  <c r="W182" i="8" s="1"/>
  <c r="V152" i="8"/>
  <c r="V60" i="8"/>
  <c r="Q60" i="8"/>
  <c r="U60" i="8" s="1"/>
  <c r="C27" i="35"/>
  <c r="V173" i="8"/>
  <c r="Q173" i="8"/>
  <c r="Y173" i="8" s="1"/>
  <c r="V157" i="8"/>
  <c r="V181" i="8"/>
  <c r="Q181" i="8"/>
  <c r="Y181" i="8" s="1"/>
  <c r="V161" i="8"/>
  <c r="Q161" i="8"/>
  <c r="Y161" i="8" s="1"/>
  <c r="U161" i="8"/>
  <c r="V178" i="8"/>
  <c r="Q178" i="8"/>
  <c r="Y178" i="8" s="1"/>
  <c r="V62" i="8"/>
  <c r="Q62" i="8"/>
  <c r="Y62" i="8" s="1"/>
  <c r="U62" i="8"/>
  <c r="V154" i="8"/>
  <c r="U154" i="8"/>
  <c r="Q154" i="8"/>
  <c r="Y154" i="8" s="1"/>
  <c r="V238" i="8"/>
  <c r="Q238" i="8"/>
  <c r="Y238" i="8" s="1"/>
  <c r="U238" i="8"/>
  <c r="V165" i="8"/>
  <c r="Q165" i="8"/>
  <c r="Y165" i="8" s="1"/>
  <c r="V242" i="8"/>
  <c r="Q242" i="8"/>
  <c r="Y242" i="8" s="1"/>
  <c r="U242" i="8"/>
  <c r="V68" i="8"/>
  <c r="Q68" i="8"/>
  <c r="Y68" i="8" s="1"/>
  <c r="Q136" i="8"/>
  <c r="Y136" i="8" s="1"/>
  <c r="U91" i="8"/>
  <c r="Q133" i="8"/>
  <c r="Y133" i="8" s="1"/>
  <c r="U97" i="8"/>
  <c r="Q140" i="8"/>
  <c r="Q96" i="8"/>
  <c r="O229" i="8"/>
  <c r="C56" i="29"/>
  <c r="W56" i="29" s="1"/>
  <c r="AE56" i="29" s="1"/>
  <c r="N229" i="8"/>
  <c r="P229" i="8"/>
  <c r="X229" i="8" s="1"/>
  <c r="AX187" i="34"/>
  <c r="F187" i="34"/>
  <c r="N187" i="34"/>
  <c r="T187" i="34"/>
  <c r="T175" i="34"/>
  <c r="F175" i="34"/>
  <c r="N175" i="34"/>
  <c r="AX175" i="34"/>
  <c r="AX221" i="34"/>
  <c r="T221" i="34"/>
  <c r="N221" i="34"/>
  <c r="F221" i="34"/>
  <c r="F178" i="34"/>
  <c r="AX178" i="34"/>
  <c r="N178" i="34"/>
  <c r="T178" i="34"/>
  <c r="T219" i="34"/>
  <c r="F219" i="34"/>
  <c r="N219" i="34"/>
  <c r="AX219" i="34"/>
  <c r="N250" i="34"/>
  <c r="AX250" i="34"/>
  <c r="T250" i="34"/>
  <c r="T210" i="34"/>
  <c r="N210" i="34"/>
  <c r="F210" i="34"/>
  <c r="AX210" i="34"/>
  <c r="AX184" i="34"/>
  <c r="N184" i="34"/>
  <c r="T184" i="34"/>
  <c r="F184" i="34"/>
  <c r="K8" i="34"/>
  <c r="K252" i="34"/>
  <c r="T191" i="34"/>
  <c r="F191" i="34"/>
  <c r="AX191" i="34"/>
  <c r="N191" i="34"/>
  <c r="F173" i="34"/>
  <c r="T173" i="34"/>
  <c r="N173" i="34"/>
  <c r="AX173" i="34"/>
  <c r="AX198" i="34"/>
  <c r="N198" i="34"/>
  <c r="T198" i="34"/>
  <c r="F198" i="34"/>
  <c r="AX177" i="34"/>
  <c r="F177" i="34"/>
  <c r="T177" i="34"/>
  <c r="N177" i="34"/>
  <c r="T205" i="34"/>
  <c r="F205" i="34"/>
  <c r="N205" i="34"/>
  <c r="AX205" i="34"/>
  <c r="N213" i="34"/>
  <c r="F213" i="34"/>
  <c r="T213" i="34"/>
  <c r="AX213" i="34"/>
  <c r="AX194" i="34"/>
  <c r="N194" i="34"/>
  <c r="F194" i="34"/>
  <c r="T194" i="34"/>
  <c r="F217" i="34"/>
  <c r="T217" i="34"/>
  <c r="N217" i="34"/>
  <c r="AX217" i="34"/>
  <c r="X4" i="34"/>
  <c r="AF6" i="29"/>
  <c r="AF15" i="29" s="1"/>
  <c r="X15" i="29"/>
  <c r="X244" i="8"/>
  <c r="Q244" i="8"/>
  <c r="E7" i="2"/>
  <c r="F40" i="2"/>
  <c r="D23" i="29"/>
  <c r="X17" i="29"/>
  <c r="N158" i="8"/>
  <c r="V145" i="8"/>
  <c r="Q145" i="8"/>
  <c r="U145" i="8" s="1"/>
  <c r="V151" i="8"/>
  <c r="Q151" i="8"/>
  <c r="Y151" i="8" s="1"/>
  <c r="U151" i="8"/>
  <c r="V65" i="8"/>
  <c r="V153" i="8"/>
  <c r="V67" i="8"/>
  <c r="Q67" i="8"/>
  <c r="Y67" i="8" s="1"/>
  <c r="V66" i="8"/>
  <c r="V234" i="8"/>
  <c r="V235" i="8"/>
  <c r="V167" i="8"/>
  <c r="Q167" i="8"/>
  <c r="Y167" i="8" s="1"/>
  <c r="V147" i="8"/>
  <c r="V240" i="8"/>
  <c r="Q240" i="8"/>
  <c r="Y240" i="8" s="1"/>
  <c r="V177" i="8"/>
  <c r="N70" i="8"/>
  <c r="V55" i="8"/>
  <c r="Q55" i="8"/>
  <c r="U55" i="8"/>
  <c r="P209" i="8"/>
  <c r="X209" i="8" s="1"/>
  <c r="P207" i="8"/>
  <c r="X207" i="8" s="1"/>
  <c r="P228" i="8"/>
  <c r="X228" i="8" s="1"/>
  <c r="Q93" i="8"/>
  <c r="Y93" i="8" s="1"/>
  <c r="C43" i="29"/>
  <c r="W43" i="29" s="1"/>
  <c r="U23" i="37"/>
  <c r="V23" i="37" s="1"/>
  <c r="Q43" i="37"/>
  <c r="AL4" i="38" s="1"/>
  <c r="U92" i="8"/>
  <c r="O143" i="8"/>
  <c r="W143" i="8" s="1"/>
  <c r="W131" i="8"/>
  <c r="C16" i="37"/>
  <c r="L16" i="37"/>
  <c r="L43" i="37" s="1"/>
  <c r="AF4" i="38" s="1"/>
  <c r="I293" i="8"/>
  <c r="I201" i="8"/>
  <c r="Q131" i="8"/>
  <c r="P34" i="8"/>
  <c r="P186" i="8"/>
  <c r="O186" i="8"/>
  <c r="Q186" i="8"/>
  <c r="N186" i="8"/>
  <c r="R43" i="37"/>
  <c r="AM4" i="38" s="1"/>
  <c r="U34" i="37"/>
  <c r="V34" i="37" s="1"/>
  <c r="Q211" i="8"/>
  <c r="Y211" i="8" s="1"/>
  <c r="Q135" i="8"/>
  <c r="Y135" i="8" s="1"/>
  <c r="U214" i="8"/>
  <c r="Q226" i="8"/>
  <c r="Y226" i="8" s="1"/>
  <c r="Q141" i="8"/>
  <c r="Y141" i="8" s="1"/>
  <c r="Q221" i="8"/>
  <c r="Y221" i="8" s="1"/>
  <c r="X131" i="8"/>
  <c r="P143" i="8"/>
  <c r="X143" i="8" s="1"/>
  <c r="M29" i="23"/>
  <c r="M27" i="23"/>
  <c r="M26" i="23"/>
  <c r="N217" i="8"/>
  <c r="V203" i="8"/>
  <c r="Q203" i="8"/>
  <c r="U40" i="35"/>
  <c r="V40" i="35" s="1"/>
  <c r="S43" i="35"/>
  <c r="AN4" i="36" s="1"/>
  <c r="K9" i="34"/>
  <c r="AX181" i="34"/>
  <c r="T181" i="34"/>
  <c r="N181" i="34"/>
  <c r="F181" i="34"/>
  <c r="AX243" i="34"/>
  <c r="T243" i="34"/>
  <c r="N243" i="34"/>
  <c r="T188" i="34"/>
  <c r="N188" i="34"/>
  <c r="F188" i="34"/>
  <c r="AX188" i="34"/>
  <c r="F190" i="34"/>
  <c r="T190" i="34"/>
  <c r="N190" i="34"/>
  <c r="AX190" i="34"/>
  <c r="N183" i="34"/>
  <c r="F183" i="34"/>
  <c r="AX183" i="34"/>
  <c r="T183" i="34"/>
  <c r="N234" i="34"/>
  <c r="AX234" i="34"/>
  <c r="F234" i="34"/>
  <c r="T234" i="34"/>
  <c r="AX238" i="34"/>
  <c r="N238" i="34"/>
  <c r="T238" i="34"/>
  <c r="F227" i="34"/>
  <c r="N227" i="34"/>
  <c r="AX227" i="34"/>
  <c r="T227" i="34"/>
  <c r="F195" i="34"/>
  <c r="AX195" i="34"/>
  <c r="N195" i="34"/>
  <c r="T195" i="34"/>
  <c r="F193" i="34"/>
  <c r="AX193" i="34"/>
  <c r="T193" i="34"/>
  <c r="N193" i="34"/>
  <c r="T214" i="34"/>
  <c r="AX214" i="34"/>
  <c r="N214" i="34"/>
  <c r="F214" i="34"/>
  <c r="F174" i="34"/>
  <c r="N174" i="34"/>
  <c r="AX174" i="34"/>
  <c r="T174" i="34"/>
  <c r="F233" i="34"/>
  <c r="AX233" i="34"/>
  <c r="N233" i="34"/>
  <c r="T233" i="34"/>
  <c r="N240" i="34"/>
  <c r="T240" i="34"/>
  <c r="AX240" i="34"/>
  <c r="AX216" i="34"/>
  <c r="N216" i="34"/>
  <c r="F216" i="34"/>
  <c r="T216" i="34"/>
  <c r="AX220" i="34"/>
  <c r="T220" i="34"/>
  <c r="F220" i="34"/>
  <c r="N220" i="34"/>
  <c r="T246" i="34"/>
  <c r="N246" i="34"/>
  <c r="AX246" i="34"/>
  <c r="AX206" i="34"/>
  <c r="T206" i="34"/>
  <c r="F206" i="34"/>
  <c r="N206" i="34"/>
  <c r="T229" i="34"/>
  <c r="N229" i="34"/>
  <c r="F229" i="34"/>
  <c r="AX229" i="34"/>
  <c r="N244" i="34"/>
  <c r="AX244" i="34"/>
  <c r="T244" i="34"/>
  <c r="F222" i="34"/>
  <c r="T222" i="34"/>
  <c r="AX222" i="34"/>
  <c r="N222" i="34"/>
  <c r="AX203" i="34"/>
  <c r="T203" i="34"/>
  <c r="N203" i="34"/>
  <c r="F203" i="34"/>
  <c r="T215" i="34"/>
  <c r="AX215" i="34"/>
  <c r="N215" i="34"/>
  <c r="F215" i="34"/>
  <c r="F199" i="34"/>
  <c r="T199" i="34"/>
  <c r="AX199" i="34"/>
  <c r="N199" i="34"/>
  <c r="C23" i="11"/>
  <c r="Y24" i="8"/>
  <c r="Y32" i="8" s="1"/>
  <c r="Q32" i="8"/>
  <c r="U205" i="8"/>
  <c r="Q205" i="8"/>
  <c r="Y205" i="8" s="1"/>
  <c r="U95" i="8"/>
  <c r="Q132" i="8"/>
  <c r="U98" i="8"/>
  <c r="P206" i="8"/>
  <c r="X206" i="8" s="1"/>
  <c r="U9" i="38"/>
  <c r="L28" i="23"/>
  <c r="Q43" i="35"/>
  <c r="AL4" i="36" s="1"/>
  <c r="U23" i="35"/>
  <c r="V23" i="35" s="1"/>
  <c r="U138" i="8"/>
  <c r="Q138" i="8"/>
  <c r="Y138" i="8" s="1"/>
  <c r="V187" i="8"/>
  <c r="C37" i="35"/>
  <c r="V37" i="35" s="1"/>
  <c r="O169" i="8"/>
  <c r="W160" i="8"/>
  <c r="W145" i="8"/>
  <c r="O158" i="8"/>
  <c r="C32" i="37"/>
  <c r="W164" i="8"/>
  <c r="V61" i="8"/>
  <c r="Q61" i="8"/>
  <c r="Y61" i="8" s="1"/>
  <c r="N243" i="8"/>
  <c r="V233" i="8"/>
  <c r="Q233" i="8"/>
  <c r="U233" i="8" s="1"/>
  <c r="U58" i="8"/>
  <c r="Q58" i="8"/>
  <c r="V176" i="8"/>
  <c r="Q176" i="8"/>
  <c r="Y176" i="8" s="1"/>
  <c r="U176" i="8"/>
  <c r="V162" i="8"/>
  <c r="U162" i="8"/>
  <c r="Q162" i="8"/>
  <c r="Y162" i="8" s="1"/>
  <c r="V59" i="8"/>
  <c r="Q59" i="8"/>
  <c r="Y59" i="8" s="1"/>
  <c r="U59" i="8"/>
  <c r="V175" i="8"/>
  <c r="Q175" i="8"/>
  <c r="Y175" i="8" s="1"/>
  <c r="V237" i="8"/>
  <c r="Q237" i="8"/>
  <c r="Y237" i="8" s="1"/>
  <c r="V179" i="8"/>
  <c r="Q179" i="8"/>
  <c r="Y179" i="8" s="1"/>
  <c r="V236" i="8"/>
  <c r="Q236" i="8"/>
  <c r="Y236" i="8" s="1"/>
  <c r="U236" i="8"/>
  <c r="V241" i="8"/>
  <c r="Q241" i="8"/>
  <c r="Y241" i="8" s="1"/>
  <c r="V168" i="8"/>
  <c r="Q168" i="8"/>
  <c r="Y168" i="8" s="1"/>
  <c r="U168" i="8"/>
  <c r="V166" i="8"/>
  <c r="Q166" i="8"/>
  <c r="Y166" i="8" s="1"/>
  <c r="P220" i="8"/>
  <c r="X220" i="8" s="1"/>
  <c r="Q207" i="8"/>
  <c r="Y207" i="8" s="1"/>
  <c r="U207" i="8"/>
  <c r="U93" i="8"/>
  <c r="Q91" i="8"/>
  <c r="Y91" i="8" s="1"/>
  <c r="U133" i="8"/>
  <c r="Q142" i="8"/>
  <c r="A16" i="25"/>
  <c r="B17" i="25"/>
  <c r="C23" i="29"/>
  <c r="W17" i="29"/>
  <c r="Q90" i="8"/>
  <c r="Y90" i="8" s="1"/>
  <c r="V131" i="8"/>
  <c r="N143" i="8"/>
  <c r="V143" i="8" s="1"/>
  <c r="C16" i="35"/>
  <c r="K20" i="11"/>
  <c r="J20" i="11" s="1"/>
  <c r="U20" i="11" s="1"/>
  <c r="V20" i="11" s="1"/>
  <c r="M36" i="64"/>
  <c r="X171" i="8"/>
  <c r="O11" i="36"/>
  <c r="O6" i="36"/>
  <c r="O5" i="36" s="1"/>
  <c r="U10" i="36" s="1"/>
  <c r="V10" i="36" s="1"/>
  <c r="U32" i="8"/>
  <c r="L34" i="8"/>
  <c r="AE33" i="29"/>
  <c r="U211" i="8"/>
  <c r="U226" i="8"/>
  <c r="U141" i="8"/>
  <c r="Q210" i="8"/>
  <c r="Y210" i="8" s="1"/>
  <c r="C37" i="29"/>
  <c r="L184" i="8"/>
  <c r="K143" i="8"/>
  <c r="Q139" i="8"/>
  <c r="Y139" i="8" s="1"/>
  <c r="O35" i="8"/>
  <c r="U94" i="8"/>
  <c r="Q216" i="8"/>
  <c r="Y216" i="8" s="1"/>
  <c r="U219" i="8"/>
  <c r="K229" i="8"/>
  <c r="D56" i="29" s="1"/>
  <c r="X56" i="29" s="1"/>
  <c r="AF56" i="29" s="1"/>
  <c r="L231" i="8"/>
  <c r="C55" i="29"/>
  <c r="K217" i="8"/>
  <c r="T185" i="34"/>
  <c r="AX185" i="34"/>
  <c r="N185" i="34"/>
  <c r="F185" i="34"/>
  <c r="N172" i="34"/>
  <c r="F172" i="34"/>
  <c r="T172" i="34"/>
  <c r="AX172" i="34"/>
  <c r="F176" i="34"/>
  <c r="T176" i="34"/>
  <c r="AX176" i="34"/>
  <c r="N176" i="34"/>
  <c r="N249" i="34"/>
  <c r="C9" i="34"/>
  <c r="AX249" i="34"/>
  <c r="AX9" i="34" s="1"/>
  <c r="AY9" i="34" s="1"/>
  <c r="T249" i="34"/>
  <c r="T9" i="34" s="1"/>
  <c r="T228" i="34"/>
  <c r="N228" i="34"/>
  <c r="F228" i="34"/>
  <c r="AX228" i="34"/>
  <c r="N207" i="34"/>
  <c r="F207" i="34"/>
  <c r="AX207" i="34"/>
  <c r="T207" i="34"/>
  <c r="N247" i="34"/>
  <c r="T247" i="34"/>
  <c r="AX247" i="34"/>
  <c r="T239" i="34"/>
  <c r="N239" i="34"/>
  <c r="AX239" i="34"/>
  <c r="AX182" i="34"/>
  <c r="N182" i="34"/>
  <c r="T182" i="34"/>
  <c r="F182" i="34"/>
  <c r="AX208" i="34"/>
  <c r="T208" i="34"/>
  <c r="N208" i="34"/>
  <c r="F208" i="34"/>
  <c r="F180" i="34"/>
  <c r="T180" i="34"/>
  <c r="AX180" i="34"/>
  <c r="N180" i="34"/>
  <c r="T242" i="34"/>
  <c r="AX242" i="34"/>
  <c r="N242" i="34"/>
  <c r="N171" i="34"/>
  <c r="C8" i="34"/>
  <c r="C5" i="34" s="1"/>
  <c r="F171" i="34"/>
  <c r="C252" i="34"/>
  <c r="T171" i="34"/>
  <c r="AX171" i="34"/>
  <c r="F235" i="34"/>
  <c r="AX235" i="34"/>
  <c r="N235" i="34"/>
  <c r="T235" i="34"/>
  <c r="F225" i="34"/>
  <c r="T225" i="34"/>
  <c r="N225" i="34"/>
  <c r="AX225" i="34"/>
  <c r="N248" i="34"/>
  <c r="T248" i="34"/>
  <c r="AX248" i="34"/>
  <c r="AX186" i="34"/>
  <c r="N186" i="34"/>
  <c r="T186" i="34"/>
  <c r="F186" i="34"/>
  <c r="T202" i="34"/>
  <c r="N202" i="34"/>
  <c r="AX202" i="34"/>
  <c r="F202" i="34"/>
  <c r="AX245" i="34"/>
  <c r="T245" i="34"/>
  <c r="N245" i="34"/>
  <c r="Q223" i="8"/>
  <c r="Y223" i="8" s="1"/>
  <c r="U222" i="8"/>
  <c r="Q225" i="8"/>
  <c r="Y225" i="8" s="1"/>
  <c r="P204" i="8"/>
  <c r="Q206" i="8"/>
  <c r="Y206" i="8" s="1"/>
  <c r="S43" i="37"/>
  <c r="AN4" i="38" s="1"/>
  <c r="U40" i="37"/>
  <c r="V40" i="37" s="1"/>
  <c r="U208" i="8"/>
  <c r="P208" i="8"/>
  <c r="X208" i="8" s="1"/>
  <c r="U134" i="8"/>
  <c r="P213" i="8"/>
  <c r="X213" i="8" s="1"/>
  <c r="U212" i="8"/>
  <c r="X108" i="8"/>
  <c r="Q108" i="8"/>
  <c r="D16" i="7"/>
  <c r="P113" i="8"/>
  <c r="X113" i="8" s="1"/>
  <c r="C34" i="11"/>
  <c r="Y29" i="8"/>
  <c r="P224" i="8"/>
  <c r="X224" i="8" s="1"/>
  <c r="Q187" i="8"/>
  <c r="N35" i="8"/>
  <c r="R43" i="35"/>
  <c r="AM4" i="36" s="1"/>
  <c r="U34" i="35"/>
  <c r="V34" i="35" s="1"/>
  <c r="W55" i="8"/>
  <c r="O70" i="8"/>
  <c r="W233" i="8"/>
  <c r="O243" i="8"/>
  <c r="V160" i="8"/>
  <c r="N169" i="8"/>
  <c r="U160" i="8"/>
  <c r="Q160" i="8"/>
  <c r="C32" i="35"/>
  <c r="V164" i="8"/>
  <c r="Q164" i="8"/>
  <c r="V57" i="8"/>
  <c r="Q57" i="8"/>
  <c r="Y57" i="8" s="1"/>
  <c r="U57" i="8"/>
  <c r="V163" i="8"/>
  <c r="Q163" i="8"/>
  <c r="Y163" i="8" s="1"/>
  <c r="V63" i="8"/>
  <c r="Q63" i="8"/>
  <c r="Y63" i="8" s="1"/>
  <c r="U63" i="8"/>
  <c r="V56" i="8"/>
  <c r="Q56" i="8"/>
  <c r="Y56" i="8" s="1"/>
  <c r="V148" i="8"/>
  <c r="Q148" i="8"/>
  <c r="Y148" i="8" s="1"/>
  <c r="U148" i="8"/>
  <c r="V155" i="8"/>
  <c r="Q155" i="8"/>
  <c r="Y155" i="8" s="1"/>
  <c r="U155" i="8"/>
  <c r="V239" i="8"/>
  <c r="Q239" i="8"/>
  <c r="Y239" i="8" s="1"/>
  <c r="U239" i="8"/>
  <c r="V156" i="8"/>
  <c r="Q156" i="8"/>
  <c r="Y156" i="8" s="1"/>
  <c r="V172" i="8"/>
  <c r="Q172" i="8"/>
  <c r="Y172" i="8" s="1"/>
  <c r="C21" i="35"/>
  <c r="N182" i="8"/>
  <c r="V182" i="8" s="1"/>
  <c r="V64" i="8"/>
  <c r="Q64" i="8"/>
  <c r="Y64" i="8" s="1"/>
  <c r="V69" i="8"/>
  <c r="Q69" i="8"/>
  <c r="Y69" i="8" s="1"/>
  <c r="U69" i="8"/>
  <c r="V180" i="8"/>
  <c r="Q180" i="8"/>
  <c r="Y180" i="8" s="1"/>
  <c r="U180" i="8"/>
  <c r="P215" i="8"/>
  <c r="W140" i="8"/>
  <c r="C19" i="37"/>
  <c r="C19" i="35"/>
  <c r="V140" i="8"/>
  <c r="I21" i="35" l="1"/>
  <c r="Y164" i="8"/>
  <c r="C32" i="11"/>
  <c r="AM9" i="36"/>
  <c r="AM10" i="36"/>
  <c r="Y187" i="8"/>
  <c r="C37" i="11"/>
  <c r="M37" i="11"/>
  <c r="A17" i="25"/>
  <c r="B18" i="25"/>
  <c r="V243" i="8"/>
  <c r="AL9" i="36"/>
  <c r="AL10" i="36"/>
  <c r="Y203" i="8"/>
  <c r="U203" i="8"/>
  <c r="AM11" i="38"/>
  <c r="AM9" i="38"/>
  <c r="AM10" i="38"/>
  <c r="H27" i="11"/>
  <c r="H27" i="37"/>
  <c r="H27" i="35"/>
  <c r="Y96" i="8"/>
  <c r="U96" i="8"/>
  <c r="N279" i="8"/>
  <c r="V279" i="8" s="1"/>
  <c r="O279" i="8"/>
  <c r="W279" i="8" s="1"/>
  <c r="K279" i="8"/>
  <c r="P279" i="8"/>
  <c r="X279" i="8" s="1"/>
  <c r="Q279" i="8"/>
  <c r="Y279" i="8" s="1"/>
  <c r="N267" i="8"/>
  <c r="O267" i="8"/>
  <c r="K267" i="8"/>
  <c r="P267" i="8"/>
  <c r="X267" i="8" s="1"/>
  <c r="O266" i="8"/>
  <c r="W266" i="8" s="1"/>
  <c r="K266" i="8"/>
  <c r="N266" i="8"/>
  <c r="V266" i="8" s="1"/>
  <c r="P266" i="8"/>
  <c r="X266" i="8" s="1"/>
  <c r="K268" i="8"/>
  <c r="O268" i="8"/>
  <c r="N268" i="8"/>
  <c r="U268" i="8" s="1"/>
  <c r="P268" i="8"/>
  <c r="Q268" i="8" s="1"/>
  <c r="N275" i="8"/>
  <c r="V275" i="8" s="1"/>
  <c r="K275" i="8"/>
  <c r="O275" i="8"/>
  <c r="W275" i="8" s="1"/>
  <c r="P275" i="8"/>
  <c r="X275" i="8" s="1"/>
  <c r="Q275" i="8"/>
  <c r="Y275" i="8" s="1"/>
  <c r="H19" i="35"/>
  <c r="C41" i="35"/>
  <c r="V169" i="8"/>
  <c r="W70" i="8"/>
  <c r="O72" i="8"/>
  <c r="H19" i="37"/>
  <c r="E32" i="35"/>
  <c r="U32" i="35" s="1"/>
  <c r="V32" i="35"/>
  <c r="Y108" i="8"/>
  <c r="U108" i="8"/>
  <c r="Q113" i="8"/>
  <c r="D17" i="7"/>
  <c r="D55" i="29"/>
  <c r="K231" i="8"/>
  <c r="U64" i="8"/>
  <c r="U172" i="8"/>
  <c r="U156" i="8"/>
  <c r="U56" i="8"/>
  <c r="U164" i="8"/>
  <c r="Q169" i="8"/>
  <c r="Y160" i="8"/>
  <c r="W243" i="8"/>
  <c r="R34" i="11"/>
  <c r="T8" i="34"/>
  <c r="T5" i="34" s="1"/>
  <c r="T252" i="34"/>
  <c r="N252" i="34"/>
  <c r="N8" i="34"/>
  <c r="U221" i="8"/>
  <c r="C25" i="29"/>
  <c r="Y142" i="8"/>
  <c r="U142" i="8"/>
  <c r="U241" i="8"/>
  <c r="U175" i="8"/>
  <c r="D25" i="29"/>
  <c r="U227" i="8"/>
  <c r="Q34" i="8"/>
  <c r="U216" i="8"/>
  <c r="U139" i="8"/>
  <c r="U210" i="8"/>
  <c r="V186" i="8"/>
  <c r="C36" i="35"/>
  <c r="V36" i="35" s="1"/>
  <c r="Y131" i="8"/>
  <c r="N16" i="11"/>
  <c r="L16" i="35"/>
  <c r="L43" i="35" s="1"/>
  <c r="AF4" i="36" s="1"/>
  <c r="Q143" i="8"/>
  <c r="C16" i="11"/>
  <c r="AF11" i="38"/>
  <c r="AF10" i="38"/>
  <c r="Y55" i="8"/>
  <c r="Q177" i="8"/>
  <c r="Q182" i="8" s="1"/>
  <c r="U167" i="8"/>
  <c r="U67" i="8"/>
  <c r="Q153" i="8"/>
  <c r="AF17" i="29"/>
  <c r="AF23" i="29" s="1"/>
  <c r="X23" i="29"/>
  <c r="E40" i="2"/>
  <c r="E48" i="2" s="1"/>
  <c r="Q229" i="8"/>
  <c r="W229" i="8"/>
  <c r="Q220" i="8"/>
  <c r="U165" i="8"/>
  <c r="U178" i="8"/>
  <c r="U173" i="8"/>
  <c r="Q152" i="8"/>
  <c r="Q224" i="8"/>
  <c r="U225" i="8"/>
  <c r="O191" i="8"/>
  <c r="W191" i="8" s="1"/>
  <c r="N191" i="8"/>
  <c r="V191" i="8" s="1"/>
  <c r="P191" i="8"/>
  <c r="X191" i="8" s="1"/>
  <c r="K191" i="8"/>
  <c r="O251" i="8"/>
  <c r="W251" i="8" s="1"/>
  <c r="N251" i="8"/>
  <c r="V251" i="8" s="1"/>
  <c r="K251" i="8"/>
  <c r="P251" i="8"/>
  <c r="X251" i="8" s="1"/>
  <c r="O261" i="8"/>
  <c r="W261" i="8" s="1"/>
  <c r="N261" i="8"/>
  <c r="V261" i="8" s="1"/>
  <c r="K261" i="8"/>
  <c r="P261" i="8"/>
  <c r="X261" i="8" s="1"/>
  <c r="O272" i="8"/>
  <c r="W272" i="8" s="1"/>
  <c r="K272" i="8"/>
  <c r="N272" i="8"/>
  <c r="V272" i="8" s="1"/>
  <c r="P272" i="8"/>
  <c r="X272" i="8" s="1"/>
  <c r="N280" i="8"/>
  <c r="V280" i="8" s="1"/>
  <c r="K280" i="8"/>
  <c r="O280" i="8"/>
  <c r="W280" i="8" s="1"/>
  <c r="P280" i="8"/>
  <c r="X280" i="8" s="1"/>
  <c r="Q280" i="8"/>
  <c r="Y280" i="8" s="1"/>
  <c r="N289" i="8"/>
  <c r="V289" i="8" s="1"/>
  <c r="O289" i="8"/>
  <c r="W289" i="8" s="1"/>
  <c r="K289" i="8"/>
  <c r="P289" i="8"/>
  <c r="X289" i="8" s="1"/>
  <c r="H45" i="64"/>
  <c r="G45" i="64"/>
  <c r="K282" i="8"/>
  <c r="O282" i="8"/>
  <c r="N282" i="8"/>
  <c r="Q282" i="8" s="1"/>
  <c r="P282" i="8"/>
  <c r="X282" i="8" s="1"/>
  <c r="O278" i="8"/>
  <c r="W278" i="8" s="1"/>
  <c r="K278" i="8"/>
  <c r="N278" i="8"/>
  <c r="V278" i="8" s="1"/>
  <c r="P278" i="8"/>
  <c r="X278" i="8" s="1"/>
  <c r="Q278" i="8"/>
  <c r="Y278" i="8" s="1"/>
  <c r="N260" i="8"/>
  <c r="V260" i="8" s="1"/>
  <c r="O260" i="8"/>
  <c r="W260" i="8" s="1"/>
  <c r="K260" i="8"/>
  <c r="Q260" i="8"/>
  <c r="Y260" i="8" s="1"/>
  <c r="P260" i="8"/>
  <c r="X260" i="8" s="1"/>
  <c r="K250" i="8"/>
  <c r="O250" i="8"/>
  <c r="W250" i="8" s="1"/>
  <c r="N250" i="8"/>
  <c r="V250" i="8" s="1"/>
  <c r="P250" i="8"/>
  <c r="X250" i="8" s="1"/>
  <c r="F8" i="34"/>
  <c r="F5" i="34" s="1"/>
  <c r="AK176" i="34" s="1"/>
  <c r="F252" i="34"/>
  <c r="W37" i="29"/>
  <c r="C45" i="29"/>
  <c r="L35" i="8"/>
  <c r="U34" i="8"/>
  <c r="U166" i="8"/>
  <c r="U179" i="8"/>
  <c r="U237" i="8"/>
  <c r="U61" i="8"/>
  <c r="V32" i="37"/>
  <c r="E32" i="37"/>
  <c r="U32" i="37" s="1"/>
  <c r="W169" i="8"/>
  <c r="C41" i="37"/>
  <c r="Q213" i="8"/>
  <c r="Q23" i="11"/>
  <c r="AK199" i="34"/>
  <c r="AK216" i="34"/>
  <c r="AK190" i="34"/>
  <c r="M28" i="23"/>
  <c r="U186" i="8"/>
  <c r="W186" i="8"/>
  <c r="C36" i="37"/>
  <c r="V36" i="37" s="1"/>
  <c r="U136" i="8"/>
  <c r="N72" i="8"/>
  <c r="V70" i="8"/>
  <c r="U240" i="8"/>
  <c r="Q147" i="8"/>
  <c r="Q66" i="8"/>
  <c r="AF25" i="29"/>
  <c r="K5" i="34"/>
  <c r="AK221" i="34"/>
  <c r="V229" i="8"/>
  <c r="C19" i="11"/>
  <c r="Y140" i="8"/>
  <c r="Q228" i="8"/>
  <c r="U68" i="8"/>
  <c r="U181" i="8"/>
  <c r="Q157" i="8"/>
  <c r="P169" i="8"/>
  <c r="X169" i="8" s="1"/>
  <c r="X160" i="8"/>
  <c r="X55" i="8"/>
  <c r="P70" i="8"/>
  <c r="P158" i="8"/>
  <c r="X158" i="8" s="1"/>
  <c r="X145" i="8"/>
  <c r="P243" i="8"/>
  <c r="X233" i="8"/>
  <c r="U206" i="8"/>
  <c r="Y89" i="8"/>
  <c r="U89" i="8"/>
  <c r="AK218" i="34"/>
  <c r="AK231" i="34"/>
  <c r="AK200" i="34"/>
  <c r="AK224" i="34"/>
  <c r="AK209" i="34"/>
  <c r="AK232" i="34"/>
  <c r="AK201" i="34"/>
  <c r="O249" i="8"/>
  <c r="W249" i="8" s="1"/>
  <c r="N249" i="8"/>
  <c r="V249" i="8" s="1"/>
  <c r="K249" i="8"/>
  <c r="P249" i="8"/>
  <c r="X249" i="8" s="1"/>
  <c r="O265" i="8"/>
  <c r="W265" i="8" s="1"/>
  <c r="K265" i="8"/>
  <c r="N265" i="8"/>
  <c r="V265" i="8" s="1"/>
  <c r="P265" i="8"/>
  <c r="X265" i="8" s="1"/>
  <c r="Q265" i="8"/>
  <c r="Y265" i="8" s="1"/>
  <c r="N257" i="8"/>
  <c r="V257" i="8" s="1"/>
  <c r="O257" i="8"/>
  <c r="W257" i="8" s="1"/>
  <c r="K257" i="8"/>
  <c r="P257" i="8"/>
  <c r="X257" i="8" s="1"/>
  <c r="N281" i="8"/>
  <c r="V281" i="8" s="1"/>
  <c r="K281" i="8"/>
  <c r="O281" i="8"/>
  <c r="W281" i="8" s="1"/>
  <c r="P281" i="8"/>
  <c r="X281" i="8" s="1"/>
  <c r="N285" i="8"/>
  <c r="V285" i="8" s="1"/>
  <c r="O285" i="8"/>
  <c r="W285" i="8" s="1"/>
  <c r="K285" i="8"/>
  <c r="P285" i="8"/>
  <c r="X285" i="8" s="1"/>
  <c r="O245" i="8"/>
  <c r="N245" i="8"/>
  <c r="Q245" i="8" s="1"/>
  <c r="L286" i="8"/>
  <c r="K245" i="8"/>
  <c r="P245" i="8"/>
  <c r="O253" i="8"/>
  <c r="W253" i="8" s="1"/>
  <c r="N253" i="8"/>
  <c r="V253" i="8" s="1"/>
  <c r="K253" i="8"/>
  <c r="P253" i="8"/>
  <c r="X253" i="8" s="1"/>
  <c r="O276" i="8"/>
  <c r="W276" i="8" s="1"/>
  <c r="N276" i="8"/>
  <c r="V276" i="8" s="1"/>
  <c r="K276" i="8"/>
  <c r="P276" i="8"/>
  <c r="X276" i="8" s="1"/>
  <c r="K277" i="8"/>
  <c r="N277" i="8"/>
  <c r="V277" i="8" s="1"/>
  <c r="O277" i="8"/>
  <c r="W277" i="8" s="1"/>
  <c r="P277" i="8"/>
  <c r="X277" i="8" s="1"/>
  <c r="N259" i="8"/>
  <c r="V259" i="8" s="1"/>
  <c r="O259" i="8"/>
  <c r="W259" i="8" s="1"/>
  <c r="K259" i="8"/>
  <c r="Q259" i="8"/>
  <c r="Y259" i="8" s="1"/>
  <c r="P259" i="8"/>
  <c r="X259" i="8" s="1"/>
  <c r="K264" i="8"/>
  <c r="N264" i="8"/>
  <c r="V264" i="8" s="1"/>
  <c r="O264" i="8"/>
  <c r="W264" i="8" s="1"/>
  <c r="P264" i="8"/>
  <c r="X264" i="8" s="1"/>
  <c r="O256" i="8"/>
  <c r="W256" i="8" s="1"/>
  <c r="N256" i="8"/>
  <c r="V256" i="8" s="1"/>
  <c r="K256" i="8"/>
  <c r="P256" i="8"/>
  <c r="X256" i="8" s="1"/>
  <c r="U140" i="8"/>
  <c r="U9" i="36"/>
  <c r="X215" i="8"/>
  <c r="Q215" i="8"/>
  <c r="X204" i="8"/>
  <c r="Q204" i="8"/>
  <c r="W55" i="29"/>
  <c r="C57" i="29"/>
  <c r="Y186" i="8"/>
  <c r="C36" i="11"/>
  <c r="V36" i="11" s="1"/>
  <c r="P35" i="8"/>
  <c r="U135" i="8"/>
  <c r="AL10" i="38"/>
  <c r="AL14" i="38"/>
  <c r="AL9" i="38"/>
  <c r="AL11" i="38"/>
  <c r="Y145" i="8"/>
  <c r="Q158" i="8"/>
  <c r="AK198" i="34"/>
  <c r="AK178" i="34"/>
  <c r="C27" i="11"/>
  <c r="Y60" i="8"/>
  <c r="AK189" i="34"/>
  <c r="O190" i="8"/>
  <c r="O195" i="8" s="1"/>
  <c r="N190" i="8"/>
  <c r="P190" i="8"/>
  <c r="X190" i="8" s="1"/>
  <c r="K190" i="8"/>
  <c r="K195" i="8" s="1"/>
  <c r="N274" i="8"/>
  <c r="V274" i="8" s="1"/>
  <c r="K274" i="8"/>
  <c r="O274" i="8"/>
  <c r="W274" i="8" s="1"/>
  <c r="P274" i="8"/>
  <c r="X274" i="8" s="1"/>
  <c r="O262" i="8"/>
  <c r="K262" i="8"/>
  <c r="N262" i="8"/>
  <c r="Q262" i="8"/>
  <c r="P262" i="8"/>
  <c r="X262" i="8" s="1"/>
  <c r="O248" i="8"/>
  <c r="W248" i="8" s="1"/>
  <c r="K248" i="8"/>
  <c r="N248" i="8"/>
  <c r="V248" i="8" s="1"/>
  <c r="P248" i="8"/>
  <c r="X248" i="8" s="1"/>
  <c r="N284" i="8"/>
  <c r="V284" i="8" s="1"/>
  <c r="O284" i="8"/>
  <c r="W284" i="8" s="1"/>
  <c r="K284" i="8"/>
  <c r="P284" i="8"/>
  <c r="X284" i="8" s="1"/>
  <c r="N246" i="8"/>
  <c r="V246" i="8" s="1"/>
  <c r="O246" i="8"/>
  <c r="W246" i="8" s="1"/>
  <c r="K246" i="8"/>
  <c r="P246" i="8"/>
  <c r="X246" i="8" s="1"/>
  <c r="H44" i="64"/>
  <c r="G44" i="64"/>
  <c r="G47" i="64" s="1"/>
  <c r="O231" i="8"/>
  <c r="C29" i="37"/>
  <c r="U163" i="8"/>
  <c r="AN10" i="38"/>
  <c r="AN9" i="38"/>
  <c r="AN11" i="38"/>
  <c r="AX8" i="34"/>
  <c r="AX252" i="34"/>
  <c r="AK228" i="34"/>
  <c r="D37" i="29"/>
  <c r="K184" i="8"/>
  <c r="P182" i="8"/>
  <c r="X182" i="8" s="1"/>
  <c r="W23" i="29"/>
  <c r="AE17" i="29"/>
  <c r="Y233" i="8"/>
  <c r="W158" i="8"/>
  <c r="C26" i="37"/>
  <c r="U187" i="8"/>
  <c r="V9" i="38"/>
  <c r="U6" i="38"/>
  <c r="U5" i="38" s="1"/>
  <c r="U12" i="38"/>
  <c r="U14" i="38"/>
  <c r="Y132" i="8"/>
  <c r="U132" i="8"/>
  <c r="AK215" i="34"/>
  <c r="AK203" i="34"/>
  <c r="AK229" i="34"/>
  <c r="AK206" i="34"/>
  <c r="AK233" i="34"/>
  <c r="AK174" i="34"/>
  <c r="AK193" i="34"/>
  <c r="AK195" i="34"/>
  <c r="AK227" i="34"/>
  <c r="AN10" i="36"/>
  <c r="AN9" i="36"/>
  <c r="N231" i="8"/>
  <c r="C29" i="35"/>
  <c r="U90" i="8"/>
  <c r="L195" i="8"/>
  <c r="X186" i="8"/>
  <c r="P195" i="8"/>
  <c r="I297" i="8"/>
  <c r="I296" i="8"/>
  <c r="Q235" i="8"/>
  <c r="Q234" i="8"/>
  <c r="Q65" i="8"/>
  <c r="V158" i="8"/>
  <c r="C26" i="35"/>
  <c r="U158" i="8"/>
  <c r="J40" i="2"/>
  <c r="J48" i="2" s="1"/>
  <c r="F48" i="2"/>
  <c r="U244" i="8"/>
  <c r="Y244" i="8"/>
  <c r="AK213" i="34"/>
  <c r="AK205" i="34"/>
  <c r="AK177" i="34"/>
  <c r="AK191" i="34"/>
  <c r="AK184" i="34"/>
  <c r="N9" i="34"/>
  <c r="Q209" i="8"/>
  <c r="I21" i="37"/>
  <c r="K35" i="8"/>
  <c r="U223" i="8"/>
  <c r="AK236" i="34"/>
  <c r="AK192" i="34"/>
  <c r="O247" i="8"/>
  <c r="W247" i="8" s="1"/>
  <c r="K247" i="8"/>
  <c r="N247" i="8"/>
  <c r="V247" i="8" s="1"/>
  <c r="P247" i="8"/>
  <c r="X247" i="8" s="1"/>
  <c r="N254" i="8"/>
  <c r="V254" i="8" s="1"/>
  <c r="K254" i="8"/>
  <c r="O254" i="8"/>
  <c r="W254" i="8" s="1"/>
  <c r="P254" i="8"/>
  <c r="X254" i="8" s="1"/>
  <c r="Q254" i="8"/>
  <c r="Y254" i="8" s="1"/>
  <c r="O271" i="8"/>
  <c r="W271" i="8" s="1"/>
  <c r="N271" i="8"/>
  <c r="V271" i="8" s="1"/>
  <c r="K271" i="8"/>
  <c r="P271" i="8"/>
  <c r="X271" i="8" s="1"/>
  <c r="N263" i="8"/>
  <c r="V263" i="8" s="1"/>
  <c r="O263" i="8"/>
  <c r="W263" i="8" s="1"/>
  <c r="K263" i="8"/>
  <c r="P263" i="8"/>
  <c r="X263" i="8" s="1"/>
  <c r="Q263" i="8"/>
  <c r="Y263" i="8" s="1"/>
  <c r="O273" i="8"/>
  <c r="W273" i="8" s="1"/>
  <c r="N273" i="8"/>
  <c r="V273" i="8" s="1"/>
  <c r="K273" i="8"/>
  <c r="P273" i="8"/>
  <c r="X273" i="8" s="1"/>
  <c r="N255" i="8"/>
  <c r="V255" i="8" s="1"/>
  <c r="K255" i="8"/>
  <c r="O255" i="8"/>
  <c r="W255" i="8" s="1"/>
  <c r="P255" i="8"/>
  <c r="X255" i="8" s="1"/>
  <c r="K283" i="8"/>
  <c r="N283" i="8"/>
  <c r="V283" i="8" s="1"/>
  <c r="O283" i="8"/>
  <c r="W283" i="8" s="1"/>
  <c r="P283" i="8"/>
  <c r="X283" i="8" s="1"/>
  <c r="O252" i="8"/>
  <c r="W252" i="8" s="1"/>
  <c r="K252" i="8"/>
  <c r="N252" i="8"/>
  <c r="V252" i="8" s="1"/>
  <c r="P252" i="8"/>
  <c r="X252" i="8" s="1"/>
  <c r="Q252" i="8"/>
  <c r="Y252" i="8" s="1"/>
  <c r="N269" i="8"/>
  <c r="V269" i="8" s="1"/>
  <c r="K269" i="8"/>
  <c r="O269" i="8"/>
  <c r="W269" i="8" s="1"/>
  <c r="P269" i="8"/>
  <c r="X269" i="8" s="1"/>
  <c r="N270" i="8"/>
  <c r="V270" i="8" s="1"/>
  <c r="O270" i="8"/>
  <c r="W270" i="8" s="1"/>
  <c r="K270" i="8"/>
  <c r="P270" i="8"/>
  <c r="X270" i="8" s="1"/>
  <c r="N258" i="8"/>
  <c r="V258" i="8" s="1"/>
  <c r="O258" i="8"/>
  <c r="W258" i="8" s="1"/>
  <c r="K258" i="8"/>
  <c r="P258" i="8"/>
  <c r="X258" i="8" s="1"/>
  <c r="Q258" i="8"/>
  <c r="Y258" i="8" s="1"/>
  <c r="P217" i="8"/>
  <c r="P231" i="8" s="1"/>
  <c r="S40" i="11"/>
  <c r="U131" i="8"/>
  <c r="O197" i="8" l="1"/>
  <c r="W197" i="8" s="1"/>
  <c r="W195" i="8"/>
  <c r="Y282" i="8"/>
  <c r="C42" i="11"/>
  <c r="Y245" i="8"/>
  <c r="Y182" i="8"/>
  <c r="U182" i="8"/>
  <c r="Q270" i="8"/>
  <c r="Y270" i="8" s="1"/>
  <c r="Y235" i="8"/>
  <c r="U235" i="8"/>
  <c r="E29" i="35"/>
  <c r="U29" i="35" s="1"/>
  <c r="V29" i="35"/>
  <c r="X37" i="29"/>
  <c r="D45" i="29"/>
  <c r="E29" i="37"/>
  <c r="U29" i="37" s="1"/>
  <c r="V29" i="37" s="1"/>
  <c r="C25" i="11"/>
  <c r="Y262" i="8"/>
  <c r="AL6" i="38"/>
  <c r="AL5" i="38" s="1"/>
  <c r="AL2" i="38" s="1"/>
  <c r="AL12" i="38"/>
  <c r="Y204" i="8"/>
  <c r="U204" i="8"/>
  <c r="U11" i="36"/>
  <c r="U6" i="36"/>
  <c r="U5" i="36" s="1"/>
  <c r="V9" i="36"/>
  <c r="P286" i="8"/>
  <c r="X286" i="8" s="1"/>
  <c r="X245" i="8"/>
  <c r="W245" i="8"/>
  <c r="O286" i="8"/>
  <c r="X243" i="8"/>
  <c r="P288" i="8"/>
  <c r="X288" i="8" s="1"/>
  <c r="Y157" i="8"/>
  <c r="U157" i="8"/>
  <c r="Y147" i="8"/>
  <c r="U147" i="8"/>
  <c r="C18" i="35"/>
  <c r="N184" i="8"/>
  <c r="E41" i="37"/>
  <c r="U41" i="37" s="1"/>
  <c r="V41" i="37"/>
  <c r="U278" i="8"/>
  <c r="U280" i="8"/>
  <c r="Q272" i="8"/>
  <c r="Y272" i="8" s="1"/>
  <c r="AK223" i="34"/>
  <c r="AK219" i="34"/>
  <c r="K16" i="11"/>
  <c r="AK188" i="34"/>
  <c r="AK172" i="34"/>
  <c r="O4" i="34"/>
  <c r="N5" i="34"/>
  <c r="AK186" i="34"/>
  <c r="U19" i="37"/>
  <c r="V19" i="37" s="1"/>
  <c r="H43" i="37"/>
  <c r="AB4" i="38" s="1"/>
  <c r="V267" i="8"/>
  <c r="C31" i="35"/>
  <c r="U21" i="35"/>
  <c r="V21" i="35" s="1"/>
  <c r="U40" i="11"/>
  <c r="V40" i="11" s="1"/>
  <c r="S43" i="11"/>
  <c r="AN4" i="34" s="1"/>
  <c r="C47" i="29"/>
  <c r="L197" i="8"/>
  <c r="W25" i="29"/>
  <c r="AN6" i="38"/>
  <c r="AN5" i="38" s="1"/>
  <c r="AN2" i="38" s="1"/>
  <c r="AN12" i="38"/>
  <c r="AN14" i="38"/>
  <c r="Q246" i="8"/>
  <c r="V262" i="8"/>
  <c r="C25" i="35"/>
  <c r="Y158" i="8"/>
  <c r="C26" i="11"/>
  <c r="K286" i="8"/>
  <c r="H19" i="11"/>
  <c r="K19" i="11"/>
  <c r="Q43" i="11"/>
  <c r="AL4" i="34" s="1"/>
  <c r="U23" i="11"/>
  <c r="V23" i="11" s="1"/>
  <c r="AK251" i="34"/>
  <c r="AK246" i="34"/>
  <c r="AK241" i="34"/>
  <c r="AK243" i="34"/>
  <c r="AK248" i="34"/>
  <c r="AK238" i="34"/>
  <c r="AK250" i="34"/>
  <c r="AK242" i="34"/>
  <c r="AK240" i="34"/>
  <c r="AK245" i="34"/>
  <c r="AK247" i="34"/>
  <c r="AK237" i="34"/>
  <c r="AK244" i="34"/>
  <c r="AK249" i="34"/>
  <c r="AK9" i="34" s="1"/>
  <c r="AK239" i="34"/>
  <c r="AK15" i="34"/>
  <c r="AK24" i="34"/>
  <c r="AK27" i="34"/>
  <c r="AK30" i="34"/>
  <c r="AK20" i="34"/>
  <c r="AK18" i="34"/>
  <c r="AK25" i="34"/>
  <c r="AK16" i="34"/>
  <c r="AK22" i="34"/>
  <c r="AK19" i="34"/>
  <c r="AK13" i="34"/>
  <c r="AK12" i="34"/>
  <c r="AK29" i="34"/>
  <c r="AK23" i="34"/>
  <c r="AK14" i="34"/>
  <c r="AK21" i="34"/>
  <c r="AK28" i="34"/>
  <c r="AK17" i="34"/>
  <c r="AK31" i="34"/>
  <c r="AK26" i="34"/>
  <c r="AK152" i="34"/>
  <c r="AK62" i="34"/>
  <c r="AK110" i="34"/>
  <c r="AK41" i="34"/>
  <c r="AK51" i="34"/>
  <c r="AK58" i="34"/>
  <c r="AK35" i="34"/>
  <c r="AK63" i="34"/>
  <c r="AK139" i="34"/>
  <c r="AK128" i="34"/>
  <c r="AK85" i="34"/>
  <c r="AK154" i="34"/>
  <c r="AK108" i="34"/>
  <c r="AK107" i="34"/>
  <c r="AK130" i="34"/>
  <c r="AK49" i="34"/>
  <c r="AK89" i="34"/>
  <c r="AK133" i="34"/>
  <c r="AK83" i="34"/>
  <c r="AK118" i="34"/>
  <c r="AK144" i="34"/>
  <c r="AK43" i="34"/>
  <c r="AK45" i="34"/>
  <c r="AK92" i="34"/>
  <c r="AK78" i="34"/>
  <c r="AK39" i="34"/>
  <c r="AK115" i="34"/>
  <c r="AK48" i="34"/>
  <c r="AK50" i="34"/>
  <c r="AK68" i="34"/>
  <c r="AK95" i="34"/>
  <c r="AK86" i="34"/>
  <c r="AK66" i="34"/>
  <c r="AK91" i="34"/>
  <c r="AK93" i="34"/>
  <c r="AK88" i="34"/>
  <c r="AK57" i="34"/>
  <c r="AK56" i="34"/>
  <c r="AK151" i="34"/>
  <c r="AK126" i="34"/>
  <c r="AK98" i="34"/>
  <c r="AK36" i="34"/>
  <c r="AK112" i="34"/>
  <c r="AK160" i="34"/>
  <c r="AK119" i="34"/>
  <c r="AK100" i="34"/>
  <c r="AK42" i="34"/>
  <c r="AK102" i="34"/>
  <c r="AK97" i="34"/>
  <c r="AK153" i="34"/>
  <c r="AK167" i="34"/>
  <c r="AK142" i="34"/>
  <c r="AK123" i="34"/>
  <c r="AK87" i="34"/>
  <c r="AK37" i="34"/>
  <c r="AK60" i="34"/>
  <c r="AK140" i="34"/>
  <c r="AK127" i="34"/>
  <c r="AK69" i="34"/>
  <c r="AK54" i="34"/>
  <c r="AK163" i="34"/>
  <c r="AK161" i="34"/>
  <c r="AK109" i="34"/>
  <c r="AK84" i="34"/>
  <c r="AK166" i="34"/>
  <c r="AK61" i="34"/>
  <c r="AK132" i="34"/>
  <c r="AK155" i="34"/>
  <c r="AK113" i="34"/>
  <c r="AK82" i="34"/>
  <c r="AK72" i="34"/>
  <c r="AK147" i="34"/>
  <c r="AK71" i="34"/>
  <c r="AK46" i="34"/>
  <c r="AK106" i="34"/>
  <c r="AK164" i="34"/>
  <c r="AK77" i="34"/>
  <c r="AK47" i="34"/>
  <c r="AK101" i="34"/>
  <c r="AK74" i="34"/>
  <c r="AK131" i="34"/>
  <c r="AK145" i="34"/>
  <c r="AK157" i="34"/>
  <c r="AK67" i="34"/>
  <c r="AK52" i="34"/>
  <c r="AK81" i="34"/>
  <c r="AK79" i="34"/>
  <c r="AK65" i="34"/>
  <c r="AK137" i="34"/>
  <c r="AK38" i="34"/>
  <c r="AK165" i="34"/>
  <c r="AK96" i="34"/>
  <c r="AK146" i="34"/>
  <c r="AK129" i="34"/>
  <c r="AK121" i="34"/>
  <c r="AK75" i="34"/>
  <c r="AK159" i="34"/>
  <c r="AK116" i="34"/>
  <c r="AK148" i="34"/>
  <c r="AK122" i="34"/>
  <c r="AK125" i="34"/>
  <c r="AK124" i="34"/>
  <c r="AK76" i="34"/>
  <c r="AK53" i="34"/>
  <c r="AK162" i="34"/>
  <c r="AK117" i="34"/>
  <c r="AK70" i="34"/>
  <c r="AK90" i="34"/>
  <c r="AK158" i="34"/>
  <c r="AK120" i="34"/>
  <c r="AK141" i="34"/>
  <c r="AK136" i="34"/>
  <c r="AK135" i="34"/>
  <c r="AK143" i="34"/>
  <c r="AK134" i="34"/>
  <c r="AK149" i="34"/>
  <c r="AK99" i="34"/>
  <c r="AK138" i="34"/>
  <c r="AK59" i="34"/>
  <c r="AK55" i="34"/>
  <c r="AK156" i="34"/>
  <c r="AK44" i="34"/>
  <c r="AK80" i="34"/>
  <c r="AK94" i="34"/>
  <c r="AK40" i="34"/>
  <c r="AK64" i="34"/>
  <c r="AK73" i="34"/>
  <c r="AK150" i="34"/>
  <c r="AK111" i="34"/>
  <c r="AK114" i="34"/>
  <c r="C42" i="35"/>
  <c r="V282" i="8"/>
  <c r="J45" i="64"/>
  <c r="K45" i="64"/>
  <c r="L45" i="64"/>
  <c r="I45" i="64"/>
  <c r="AK211" i="34"/>
  <c r="Y224" i="8"/>
  <c r="U224" i="8"/>
  <c r="Y229" i="8"/>
  <c r="U229" i="8"/>
  <c r="AK210" i="34"/>
  <c r="Y177" i="8"/>
  <c r="U177" i="8"/>
  <c r="Y143" i="8"/>
  <c r="U143" i="8"/>
  <c r="AK234" i="34"/>
  <c r="AK207" i="34"/>
  <c r="AK202" i="34"/>
  <c r="Y113" i="8"/>
  <c r="U113" i="8"/>
  <c r="O184" i="8"/>
  <c r="O199" i="8" s="1"/>
  <c r="C18" i="37"/>
  <c r="E41" i="35"/>
  <c r="U41" i="35" s="1"/>
  <c r="V41" i="35" s="1"/>
  <c r="Q217" i="8"/>
  <c r="AL11" i="36"/>
  <c r="AL6" i="36"/>
  <c r="AL5" i="36" s="1"/>
  <c r="AL2" i="36" s="1"/>
  <c r="B19" i="25"/>
  <c r="A18" i="25"/>
  <c r="M43" i="11"/>
  <c r="AG4" i="34" s="1"/>
  <c r="U37" i="11"/>
  <c r="AM11" i="36"/>
  <c r="AM6" i="36"/>
  <c r="AM5" i="36" s="1"/>
  <c r="AM2" i="36" s="1"/>
  <c r="U258" i="8"/>
  <c r="Q269" i="8"/>
  <c r="Y269" i="8" s="1"/>
  <c r="Q283" i="8"/>
  <c r="Y283" i="8" s="1"/>
  <c r="Q273" i="8"/>
  <c r="Q271" i="8"/>
  <c r="Q247" i="8"/>
  <c r="Y247" i="8" s="1"/>
  <c r="Y65" i="8"/>
  <c r="U65" i="8"/>
  <c r="AN11" i="36"/>
  <c r="AN6" i="36"/>
  <c r="AN5" i="36" s="1"/>
  <c r="AN2" i="36" s="1"/>
  <c r="V12" i="38"/>
  <c r="V6" i="38"/>
  <c r="V5" i="38" s="1"/>
  <c r="U2" i="38" s="1"/>
  <c r="V14" i="38"/>
  <c r="Q284" i="8"/>
  <c r="Q248" i="8"/>
  <c r="U262" i="8"/>
  <c r="Q274" i="8"/>
  <c r="K197" i="8"/>
  <c r="D47" i="29"/>
  <c r="V190" i="8"/>
  <c r="C38" i="35"/>
  <c r="G27" i="11"/>
  <c r="Y215" i="8"/>
  <c r="U215" i="8"/>
  <c r="Q256" i="8"/>
  <c r="Q264" i="8"/>
  <c r="Q277" i="8"/>
  <c r="Q253" i="8"/>
  <c r="L288" i="8"/>
  <c r="C60" i="29"/>
  <c r="AK179" i="34"/>
  <c r="AK196" i="34"/>
  <c r="AK194" i="34"/>
  <c r="AK220" i="34"/>
  <c r="AK185" i="34"/>
  <c r="AK235" i="34"/>
  <c r="Q250" i="8"/>
  <c r="U260" i="8"/>
  <c r="U282" i="8"/>
  <c r="C42" i="37"/>
  <c r="W282" i="8"/>
  <c r="Q289" i="8"/>
  <c r="U272" i="8"/>
  <c r="Q261" i="8"/>
  <c r="Q191" i="8"/>
  <c r="AK197" i="34"/>
  <c r="AK230" i="34"/>
  <c r="Y152" i="8"/>
  <c r="U152" i="8"/>
  <c r="Y220" i="8"/>
  <c r="U220" i="8"/>
  <c r="AK187" i="34"/>
  <c r="AK173" i="34"/>
  <c r="Y153" i="8"/>
  <c r="U153" i="8"/>
  <c r="AF9" i="38"/>
  <c r="AF10" i="36"/>
  <c r="AF9" i="36"/>
  <c r="AK214" i="34"/>
  <c r="AK182" i="34"/>
  <c r="D57" i="29"/>
  <c r="X55" i="29"/>
  <c r="C21" i="11"/>
  <c r="U275" i="8"/>
  <c r="Q266" i="8"/>
  <c r="X25" i="29"/>
  <c r="AM6" i="38"/>
  <c r="AM5" i="38" s="1"/>
  <c r="AM2" i="38" s="1"/>
  <c r="AM12" i="38"/>
  <c r="AM14" i="38"/>
  <c r="V37" i="11"/>
  <c r="E32" i="11"/>
  <c r="U32" i="11" s="1"/>
  <c r="V32" i="11"/>
  <c r="P290" i="8"/>
  <c r="X290" i="8" s="1"/>
  <c r="U270" i="8"/>
  <c r="U252" i="8"/>
  <c r="Q255" i="8"/>
  <c r="Y255" i="8" s="1"/>
  <c r="U263" i="8"/>
  <c r="U254" i="8"/>
  <c r="U21" i="37"/>
  <c r="V21" i="37" s="1"/>
  <c r="Y209" i="8"/>
  <c r="U209" i="8"/>
  <c r="Y234" i="8"/>
  <c r="U234" i="8"/>
  <c r="P197" i="8"/>
  <c r="X197" i="8" s="1"/>
  <c r="X195" i="8"/>
  <c r="Q243" i="8"/>
  <c r="K199" i="8"/>
  <c r="AY8" i="34"/>
  <c r="AX5" i="34"/>
  <c r="K44" i="64"/>
  <c r="K47" i="64" s="1"/>
  <c r="E9" i="5" s="1"/>
  <c r="H42" i="2" s="1"/>
  <c r="H50" i="2" s="1"/>
  <c r="L44" i="64"/>
  <c r="L47" i="64" s="1"/>
  <c r="E9" i="6" s="1"/>
  <c r="I42" i="2" s="1"/>
  <c r="I50" i="2" s="1"/>
  <c r="I44" i="64"/>
  <c r="J44" i="64"/>
  <c r="J47" i="64" s="1"/>
  <c r="E9" i="4" s="1"/>
  <c r="G42" i="2" s="1"/>
  <c r="G50" i="2" s="1"/>
  <c r="H47" i="64"/>
  <c r="W262" i="8"/>
  <c r="C25" i="37"/>
  <c r="Q190" i="8"/>
  <c r="W190" i="8"/>
  <c r="C38" i="37"/>
  <c r="W57" i="29"/>
  <c r="AE55" i="29"/>
  <c r="AE57" i="29" s="1"/>
  <c r="U259" i="8"/>
  <c r="Q276" i="8"/>
  <c r="Y276" i="8" s="1"/>
  <c r="U245" i="8"/>
  <c r="N286" i="8"/>
  <c r="V245" i="8"/>
  <c r="Q285" i="8"/>
  <c r="Q281" i="8"/>
  <c r="Q257" i="8"/>
  <c r="U265" i="8"/>
  <c r="Q249" i="8"/>
  <c r="Y249" i="8" s="1"/>
  <c r="P72" i="8"/>
  <c r="P184" i="8" s="1"/>
  <c r="P199" i="8" s="1"/>
  <c r="X70" i="8"/>
  <c r="Y228" i="8"/>
  <c r="U228" i="8"/>
  <c r="Y66" i="8"/>
  <c r="U66" i="8"/>
  <c r="AK181" i="34"/>
  <c r="AK222" i="34"/>
  <c r="E27" i="37"/>
  <c r="E27" i="11"/>
  <c r="F27" i="11" s="1"/>
  <c r="E27" i="35"/>
  <c r="Y213" i="8"/>
  <c r="U213" i="8"/>
  <c r="AE37" i="29"/>
  <c r="W45" i="29"/>
  <c r="AK171" i="34"/>
  <c r="AK225" i="34"/>
  <c r="Q251" i="8"/>
  <c r="Y251" i="8" s="1"/>
  <c r="AK212" i="34"/>
  <c r="AK226" i="34"/>
  <c r="AK175" i="34"/>
  <c r="AK217" i="34"/>
  <c r="Q70" i="8"/>
  <c r="L16" i="11"/>
  <c r="L43" i="11" s="1"/>
  <c r="AF4" i="34" s="1"/>
  <c r="N43" i="11"/>
  <c r="AH4" i="34" s="1"/>
  <c r="N195" i="8"/>
  <c r="Q35" i="8"/>
  <c r="U35" i="8" s="1"/>
  <c r="AK208" i="34"/>
  <c r="U34" i="11"/>
  <c r="V34" i="11" s="1"/>
  <c r="R43" i="11"/>
  <c r="AM4" i="34" s="1"/>
  <c r="Y169" i="8"/>
  <c r="C41" i="11"/>
  <c r="AK180" i="34"/>
  <c r="U169" i="8"/>
  <c r="U19" i="35"/>
  <c r="V19" i="35" s="1"/>
  <c r="H43" i="35"/>
  <c r="AB4" i="36" s="1"/>
  <c r="Q267" i="8"/>
  <c r="C31" i="37"/>
  <c r="W267" i="8"/>
  <c r="U279" i="8"/>
  <c r="AK204" i="34"/>
  <c r="AK183" i="34"/>
  <c r="Y267" i="8" l="1"/>
  <c r="C31" i="11"/>
  <c r="AH180" i="34"/>
  <c r="AH196" i="34"/>
  <c r="AH201" i="34"/>
  <c r="AH200" i="34"/>
  <c r="AH223" i="34"/>
  <c r="AH250" i="34"/>
  <c r="AH206" i="34"/>
  <c r="AH242" i="34"/>
  <c r="AH192" i="34"/>
  <c r="AH251" i="34"/>
  <c r="AH247" i="34"/>
  <c r="AH220" i="34"/>
  <c r="AH241" i="34"/>
  <c r="AH181" i="34"/>
  <c r="AH232" i="34"/>
  <c r="AH171" i="34"/>
  <c r="AH198" i="34"/>
  <c r="AH186" i="34"/>
  <c r="AH231" i="34"/>
  <c r="AH215" i="34"/>
  <c r="AH177" i="34"/>
  <c r="AH222" i="34"/>
  <c r="AH239" i="34"/>
  <c r="AH175" i="34"/>
  <c r="AH183" i="34"/>
  <c r="AH236" i="34"/>
  <c r="AH233" i="34"/>
  <c r="AH193" i="34"/>
  <c r="AH179" i="34"/>
  <c r="AH174" i="34"/>
  <c r="AH209" i="34"/>
  <c r="AH244" i="34"/>
  <c r="AH205" i="34"/>
  <c r="AH195" i="34"/>
  <c r="AH190" i="34"/>
  <c r="AH237" i="34"/>
  <c r="AH173" i="34"/>
  <c r="AH240" i="34"/>
  <c r="AH228" i="34"/>
  <c r="AH225" i="34"/>
  <c r="AH202" i="34"/>
  <c r="AH210" i="34"/>
  <c r="AH229" i="34"/>
  <c r="AH248" i="34"/>
  <c r="AH230" i="34"/>
  <c r="AH204" i="34"/>
  <c r="AH207" i="34"/>
  <c r="AH235" i="34"/>
  <c r="AH214" i="34"/>
  <c r="AH234" i="34"/>
  <c r="AH217" i="34"/>
  <c r="AH172" i="34"/>
  <c r="AH182" i="34"/>
  <c r="AH243" i="34"/>
  <c r="AH199" i="34"/>
  <c r="AH219" i="34"/>
  <c r="AH197" i="34"/>
  <c r="AH208" i="34"/>
  <c r="AH187" i="34"/>
  <c r="AH227" i="34"/>
  <c r="AH218" i="34"/>
  <c r="AH221" i="34"/>
  <c r="AH178" i="34"/>
  <c r="AH185" i="34"/>
  <c r="AH191" i="34"/>
  <c r="AH226" i="34"/>
  <c r="AH246" i="34"/>
  <c r="AH245" i="34"/>
  <c r="AH211" i="34"/>
  <c r="AH184" i="34"/>
  <c r="AH189" i="34"/>
  <c r="AH224" i="34"/>
  <c r="AH213" i="34"/>
  <c r="AH212" i="34"/>
  <c r="AH203" i="34"/>
  <c r="AH216" i="34"/>
  <c r="AH238" i="34"/>
  <c r="AH194" i="34"/>
  <c r="AH249" i="34"/>
  <c r="AH9" i="34" s="1"/>
  <c r="AH188" i="34"/>
  <c r="AH176" i="34"/>
  <c r="P293" i="8"/>
  <c r="P201" i="8"/>
  <c r="Y281" i="8"/>
  <c r="U281" i="8"/>
  <c r="E25" i="37"/>
  <c r="M44" i="64"/>
  <c r="I47" i="64"/>
  <c r="E9" i="3" s="1"/>
  <c r="Y266" i="8"/>
  <c r="U266" i="8"/>
  <c r="AF11" i="36"/>
  <c r="AF6" i="36"/>
  <c r="AF5" i="36" s="1"/>
  <c r="AF2" i="36" s="1"/>
  <c r="C61" i="29"/>
  <c r="C63" i="29" s="1"/>
  <c r="W60" i="29"/>
  <c r="Y277" i="8"/>
  <c r="U277" i="8"/>
  <c r="Y284" i="8"/>
  <c r="U284" i="8"/>
  <c r="C29" i="11"/>
  <c r="Q231" i="8"/>
  <c r="U217" i="8"/>
  <c r="O201" i="8"/>
  <c r="T42" i="35"/>
  <c r="AK168" i="34"/>
  <c r="AK7" i="34"/>
  <c r="AK103" i="34"/>
  <c r="K288" i="8"/>
  <c r="K290" i="8" s="1"/>
  <c r="D60" i="29"/>
  <c r="U269" i="8"/>
  <c r="W286" i="8"/>
  <c r="C30" i="37"/>
  <c r="O288" i="8"/>
  <c r="V11" i="36"/>
  <c r="V6" i="36"/>
  <c r="V5" i="36" s="1"/>
  <c r="U2" i="36" s="1"/>
  <c r="E25" i="11"/>
  <c r="AF37" i="29"/>
  <c r="AF45" i="29" s="1"/>
  <c r="X45" i="29"/>
  <c r="U255" i="8"/>
  <c r="T42" i="11"/>
  <c r="AB9" i="36"/>
  <c r="AB10" i="36"/>
  <c r="AF167" i="34"/>
  <c r="AF107" i="34"/>
  <c r="AF56" i="34"/>
  <c r="AF87" i="34"/>
  <c r="AF67" i="34"/>
  <c r="AF76" i="34"/>
  <c r="AF78" i="34"/>
  <c r="AF75" i="34"/>
  <c r="AF155" i="34"/>
  <c r="AF139" i="34"/>
  <c r="AF54" i="34"/>
  <c r="AF145" i="34"/>
  <c r="AF111" i="34"/>
  <c r="AF38" i="34"/>
  <c r="AF86" i="34"/>
  <c r="AF47" i="34"/>
  <c r="AF83" i="34"/>
  <c r="AF57" i="34"/>
  <c r="AF138" i="34"/>
  <c r="AF85" i="34"/>
  <c r="AF49" i="34"/>
  <c r="AF40" i="34"/>
  <c r="AF92" i="34"/>
  <c r="AF102" i="34"/>
  <c r="AF160" i="34"/>
  <c r="AF164" i="34"/>
  <c r="AF151" i="34"/>
  <c r="AF154" i="34"/>
  <c r="AF80" i="34"/>
  <c r="AF132" i="34"/>
  <c r="AF123" i="34"/>
  <c r="AF95" i="34"/>
  <c r="AF98" i="34"/>
  <c r="AF44" i="34"/>
  <c r="AF35" i="34"/>
  <c r="AF46" i="34"/>
  <c r="AF71" i="34"/>
  <c r="AF108" i="34"/>
  <c r="AF68" i="34"/>
  <c r="AF37" i="34"/>
  <c r="AF88" i="34"/>
  <c r="AF157" i="34"/>
  <c r="AF64" i="34"/>
  <c r="AF143" i="34"/>
  <c r="AF84" i="34"/>
  <c r="AF72" i="34"/>
  <c r="AF140" i="34"/>
  <c r="AF73" i="34"/>
  <c r="AF128" i="34"/>
  <c r="AF126" i="34"/>
  <c r="AF109" i="34"/>
  <c r="AF90" i="34"/>
  <c r="AF45" i="34"/>
  <c r="AF119" i="34"/>
  <c r="AF121" i="34"/>
  <c r="AF163" i="34"/>
  <c r="AF158" i="34"/>
  <c r="AF101" i="34"/>
  <c r="AF59" i="34"/>
  <c r="AF52" i="34"/>
  <c r="AF124" i="34"/>
  <c r="AF141" i="34"/>
  <c r="AF122" i="34"/>
  <c r="AF79" i="34"/>
  <c r="AF97" i="34"/>
  <c r="AF77" i="34"/>
  <c r="AF142" i="34"/>
  <c r="AF146" i="34"/>
  <c r="AF62" i="34"/>
  <c r="AF41" i="34"/>
  <c r="AF58" i="34"/>
  <c r="AF131" i="34"/>
  <c r="AF106" i="34"/>
  <c r="AF100" i="34"/>
  <c r="AF69" i="34"/>
  <c r="AF74" i="34"/>
  <c r="AF125" i="34"/>
  <c r="AF61" i="34"/>
  <c r="AF136" i="34"/>
  <c r="AF130" i="34"/>
  <c r="AF70" i="34"/>
  <c r="AF43" i="34"/>
  <c r="AF55" i="34"/>
  <c r="AF115" i="34"/>
  <c r="AF63" i="34"/>
  <c r="AF134" i="34"/>
  <c r="AF150" i="34"/>
  <c r="AF162" i="34"/>
  <c r="AF96" i="34"/>
  <c r="AF166" i="34"/>
  <c r="AF153" i="34"/>
  <c r="AF137" i="34"/>
  <c r="AF39" i="34"/>
  <c r="AF120" i="34"/>
  <c r="AF152" i="34"/>
  <c r="AF99" i="34"/>
  <c r="AF91" i="34"/>
  <c r="AF165" i="34"/>
  <c r="AF116" i="34"/>
  <c r="AF36" i="34"/>
  <c r="AF42" i="34"/>
  <c r="AF51" i="34"/>
  <c r="AF89" i="34"/>
  <c r="AF129" i="34"/>
  <c r="AF110" i="34"/>
  <c r="AF114" i="34"/>
  <c r="AF135" i="34"/>
  <c r="AF53" i="34"/>
  <c r="AF133" i="34"/>
  <c r="AF117" i="34"/>
  <c r="AF118" i="34"/>
  <c r="AF113" i="34"/>
  <c r="AF149" i="34"/>
  <c r="AF66" i="34"/>
  <c r="AF127" i="34"/>
  <c r="AF148" i="34"/>
  <c r="AF112" i="34"/>
  <c r="AF81" i="34"/>
  <c r="AF48" i="34"/>
  <c r="AF144" i="34"/>
  <c r="AF156" i="34"/>
  <c r="AF94" i="34"/>
  <c r="AF93" i="34"/>
  <c r="AF50" i="34"/>
  <c r="AF147" i="34"/>
  <c r="AF60" i="34"/>
  <c r="AF65" i="34"/>
  <c r="AF82" i="34"/>
  <c r="AF161" i="34"/>
  <c r="AF159" i="34"/>
  <c r="AK252" i="34"/>
  <c r="AK8" i="34"/>
  <c r="Y285" i="8"/>
  <c r="U285" i="8"/>
  <c r="I38" i="37"/>
  <c r="K293" i="8"/>
  <c r="K201" i="8"/>
  <c r="Y191" i="8"/>
  <c r="U191" i="8"/>
  <c r="Y289" i="8"/>
  <c r="U289" i="8"/>
  <c r="L290" i="8"/>
  <c r="Y264" i="8"/>
  <c r="U264" i="8"/>
  <c r="I38" i="35"/>
  <c r="Y274" i="8"/>
  <c r="U274" i="8"/>
  <c r="Y271" i="8"/>
  <c r="U271" i="8"/>
  <c r="A19" i="25"/>
  <c r="B20" i="25"/>
  <c r="K26" i="11"/>
  <c r="J26" i="11" s="1"/>
  <c r="U26" i="11" s="1"/>
  <c r="V26" i="11" s="1"/>
  <c r="Y246" i="8"/>
  <c r="U246" i="8"/>
  <c r="L199" i="8"/>
  <c r="E31" i="35"/>
  <c r="U31" i="35" s="1"/>
  <c r="V31" i="35" s="1"/>
  <c r="E41" i="11"/>
  <c r="U41" i="11" s="1"/>
  <c r="V41" i="11" s="1"/>
  <c r="Q72" i="8"/>
  <c r="Y70" i="8"/>
  <c r="U70" i="8"/>
  <c r="Y243" i="8"/>
  <c r="U243" i="8"/>
  <c r="I21" i="11"/>
  <c r="AF12" i="38"/>
  <c r="AF6" i="38"/>
  <c r="AF5" i="38" s="1"/>
  <c r="AF2" i="38" s="1"/>
  <c r="AF14" i="38"/>
  <c r="U251" i="8"/>
  <c r="Y250" i="8"/>
  <c r="U250" i="8"/>
  <c r="U249" i="8"/>
  <c r="Y253" i="8"/>
  <c r="U253" i="8"/>
  <c r="Y256" i="8"/>
  <c r="U256" i="8"/>
  <c r="Y273" i="8"/>
  <c r="U273" i="8"/>
  <c r="W47" i="29"/>
  <c r="C49" i="29"/>
  <c r="C51" i="29" s="1"/>
  <c r="Q286" i="8"/>
  <c r="E31" i="37"/>
  <c r="U31" i="37" s="1"/>
  <c r="V31" i="37"/>
  <c r="V195" i="8"/>
  <c r="N197" i="8"/>
  <c r="V197" i="8" s="1"/>
  <c r="U27" i="11"/>
  <c r="V27" i="11" s="1"/>
  <c r="Y257" i="8"/>
  <c r="U257" i="8"/>
  <c r="V286" i="8"/>
  <c r="N288" i="8"/>
  <c r="C30" i="35"/>
  <c r="Y190" i="8"/>
  <c r="C38" i="11"/>
  <c r="Q195" i="8"/>
  <c r="U190" i="8"/>
  <c r="X57" i="29"/>
  <c r="AF55" i="29"/>
  <c r="AF57" i="29" s="1"/>
  <c r="Y261" i="8"/>
  <c r="U261" i="8"/>
  <c r="T42" i="37"/>
  <c r="U286" i="8"/>
  <c r="U276" i="8"/>
  <c r="D49" i="29"/>
  <c r="X47" i="29"/>
  <c r="Y248" i="8"/>
  <c r="U248" i="8"/>
  <c r="U283" i="8"/>
  <c r="AG157" i="34"/>
  <c r="AG79" i="34"/>
  <c r="AG77" i="34"/>
  <c r="AG13" i="34"/>
  <c r="AG89" i="34"/>
  <c r="AG119" i="34"/>
  <c r="AG111" i="34"/>
  <c r="AG60" i="34"/>
  <c r="AG45" i="34"/>
  <c r="AG42" i="34"/>
  <c r="AG134" i="34"/>
  <c r="AG116" i="34"/>
  <c r="AG115" i="34"/>
  <c r="AG65" i="34"/>
  <c r="AG165" i="34"/>
  <c r="AG73" i="34"/>
  <c r="AG58" i="34"/>
  <c r="AG107" i="34"/>
  <c r="AG17" i="34"/>
  <c r="AG64" i="34"/>
  <c r="AG83" i="34"/>
  <c r="AG70" i="34"/>
  <c r="AG74" i="34"/>
  <c r="AG67" i="34"/>
  <c r="AG44" i="34"/>
  <c r="AG36" i="34"/>
  <c r="AG40" i="34"/>
  <c r="AG132" i="34"/>
  <c r="AG12" i="34"/>
  <c r="AG18" i="34"/>
  <c r="AG131" i="34"/>
  <c r="AG161" i="34"/>
  <c r="AG98" i="34"/>
  <c r="AG92" i="34"/>
  <c r="AG29" i="34"/>
  <c r="AG151" i="34"/>
  <c r="AG160" i="34"/>
  <c r="AG97" i="34"/>
  <c r="AG100" i="34"/>
  <c r="AG21" i="34"/>
  <c r="AG37" i="34"/>
  <c r="AG90" i="34"/>
  <c r="AG110" i="34"/>
  <c r="AG121" i="34"/>
  <c r="AG106" i="34"/>
  <c r="AG155" i="34"/>
  <c r="AG113" i="34"/>
  <c r="AG25" i="34"/>
  <c r="AG152" i="34"/>
  <c r="AG19" i="34"/>
  <c r="AG141" i="34"/>
  <c r="AG24" i="34"/>
  <c r="AG167" i="34"/>
  <c r="AG59" i="34"/>
  <c r="AG23" i="34"/>
  <c r="AG82" i="34"/>
  <c r="AG85" i="34"/>
  <c r="AG53" i="34"/>
  <c r="AG46" i="34"/>
  <c r="AG147" i="34"/>
  <c r="AG72" i="34"/>
  <c r="AG63" i="34"/>
  <c r="AG114" i="34"/>
  <c r="AG138" i="34"/>
  <c r="AG80" i="34"/>
  <c r="AG76" i="34"/>
  <c r="AG30" i="34"/>
  <c r="AG140" i="34"/>
  <c r="AG43" i="34"/>
  <c r="AG158" i="34"/>
  <c r="AG164" i="34"/>
  <c r="AG94" i="34"/>
  <c r="AG38" i="34"/>
  <c r="AG166" i="34"/>
  <c r="AG163" i="34"/>
  <c r="AG101" i="34"/>
  <c r="AG50" i="34"/>
  <c r="AG128" i="34"/>
  <c r="AG146" i="34"/>
  <c r="AG86" i="34"/>
  <c r="AG117" i="34"/>
  <c r="AG71" i="34"/>
  <c r="AG15" i="34"/>
  <c r="AG123" i="34"/>
  <c r="AG51" i="34"/>
  <c r="AG84" i="34"/>
  <c r="AG26" i="34"/>
  <c r="AG133" i="34"/>
  <c r="AG126" i="34"/>
  <c r="AG135" i="34"/>
  <c r="AG137" i="34"/>
  <c r="AG139" i="34"/>
  <c r="AG49" i="34"/>
  <c r="AG112" i="34"/>
  <c r="AG154" i="34"/>
  <c r="AG87" i="34"/>
  <c r="AG54" i="34"/>
  <c r="AG61" i="34"/>
  <c r="AG52" i="34"/>
  <c r="AG57" i="34"/>
  <c r="AG153" i="34"/>
  <c r="AG88" i="34"/>
  <c r="AG55" i="34"/>
  <c r="AG69" i="34"/>
  <c r="AG68" i="34"/>
  <c r="AG130" i="34"/>
  <c r="AG122" i="34"/>
  <c r="AG91" i="34"/>
  <c r="AG96" i="34"/>
  <c r="AG35" i="34"/>
  <c r="AG41" i="34"/>
  <c r="AG162" i="34"/>
  <c r="AG156" i="34"/>
  <c r="AG66" i="34"/>
  <c r="AG28" i="34"/>
  <c r="AG118" i="34"/>
  <c r="AG20" i="34"/>
  <c r="AG142" i="34"/>
  <c r="AG75" i="34"/>
  <c r="AG48" i="34"/>
  <c r="AG159" i="34"/>
  <c r="AG16" i="34"/>
  <c r="AG143" i="34"/>
  <c r="AG129" i="34"/>
  <c r="AG145" i="34"/>
  <c r="AG81" i="34"/>
  <c r="AG56" i="34"/>
  <c r="AG78" i="34"/>
  <c r="AG144" i="34"/>
  <c r="AG99" i="34"/>
  <c r="AG93" i="34"/>
  <c r="AG127" i="34"/>
  <c r="AG136" i="34"/>
  <c r="AG150" i="34"/>
  <c r="AG109" i="34"/>
  <c r="AG125" i="34"/>
  <c r="AG47" i="34"/>
  <c r="AG120" i="34"/>
  <c r="AG22" i="34"/>
  <c r="AG95" i="34"/>
  <c r="AG102" i="34"/>
  <c r="AG124" i="34"/>
  <c r="AG149" i="34"/>
  <c r="AG14" i="34"/>
  <c r="AG108" i="34"/>
  <c r="AG39" i="34"/>
  <c r="AG27" i="34"/>
  <c r="AG62" i="34"/>
  <c r="AG148" i="34"/>
  <c r="AG31" i="34"/>
  <c r="C43" i="37"/>
  <c r="M45" i="64"/>
  <c r="AK6" i="34"/>
  <c r="AK5" i="34" s="1"/>
  <c r="AK2" i="34" s="1"/>
  <c r="AK32" i="34"/>
  <c r="H43" i="11"/>
  <c r="AB4" i="34" s="1"/>
  <c r="U19" i="11"/>
  <c r="V19" i="11" s="1"/>
  <c r="E25" i="35"/>
  <c r="U247" i="8"/>
  <c r="AB10" i="38"/>
  <c r="AB11" i="38"/>
  <c r="AB9" i="38"/>
  <c r="M218" i="34"/>
  <c r="M225" i="34"/>
  <c r="O214" i="34"/>
  <c r="M207" i="34"/>
  <c r="M192" i="34"/>
  <c r="M242" i="34"/>
  <c r="O245" i="34"/>
  <c r="O212" i="34"/>
  <c r="O204" i="34"/>
  <c r="O217" i="34"/>
  <c r="M236" i="34"/>
  <c r="O185" i="34"/>
  <c r="O171" i="34"/>
  <c r="O242" i="34"/>
  <c r="M206" i="34"/>
  <c r="M190" i="34"/>
  <c r="M189" i="34"/>
  <c r="M250" i="34"/>
  <c r="M237" i="34"/>
  <c r="O187" i="34"/>
  <c r="M210" i="34"/>
  <c r="M239" i="34"/>
  <c r="O201" i="34"/>
  <c r="O172" i="34"/>
  <c r="O177" i="34"/>
  <c r="M200" i="34"/>
  <c r="M208" i="34"/>
  <c r="M231" i="34"/>
  <c r="O241" i="34"/>
  <c r="M220" i="34"/>
  <c r="O210" i="34"/>
  <c r="M175" i="34"/>
  <c r="O189" i="34"/>
  <c r="M173" i="34"/>
  <c r="O174" i="34"/>
  <c r="M223" i="34"/>
  <c r="O188" i="34"/>
  <c r="M238" i="34"/>
  <c r="O175" i="34"/>
  <c r="M172" i="34"/>
  <c r="O244" i="34"/>
  <c r="O207" i="34"/>
  <c r="M209" i="34"/>
  <c r="O211" i="34"/>
  <c r="M191" i="34"/>
  <c r="M227" i="34"/>
  <c r="O215" i="34"/>
  <c r="M229" i="34"/>
  <c r="O181" i="34"/>
  <c r="O236" i="34"/>
  <c r="O183" i="34"/>
  <c r="O178" i="34"/>
  <c r="O206" i="34"/>
  <c r="O228" i="34"/>
  <c r="O243" i="34"/>
  <c r="M196" i="34"/>
  <c r="O196" i="34"/>
  <c r="O229" i="34"/>
  <c r="M234" i="34"/>
  <c r="M202" i="34"/>
  <c r="O246" i="34"/>
  <c r="O225" i="34"/>
  <c r="O218" i="34"/>
  <c r="M245" i="34"/>
  <c r="M181" i="34"/>
  <c r="O233" i="34"/>
  <c r="O240" i="34"/>
  <c r="M226" i="34"/>
  <c r="M241" i="34"/>
  <c r="O220" i="34"/>
  <c r="M233" i="34"/>
  <c r="O173" i="34"/>
  <c r="M180" i="34"/>
  <c r="M174" i="34"/>
  <c r="M182" i="34"/>
  <c r="M235" i="34"/>
  <c r="O198" i="34"/>
  <c r="O239" i="34"/>
  <c r="M203" i="34"/>
  <c r="O234" i="34"/>
  <c r="O200" i="34"/>
  <c r="M215" i="34"/>
  <c r="O184" i="34"/>
  <c r="M216" i="34"/>
  <c r="O176" i="34"/>
  <c r="M176" i="34"/>
  <c r="O186" i="34"/>
  <c r="O224" i="34"/>
  <c r="M251" i="34"/>
  <c r="O194" i="34"/>
  <c r="M171" i="34"/>
  <c r="O222" i="34"/>
  <c r="M201" i="34"/>
  <c r="O226" i="34"/>
  <c r="M211" i="34"/>
  <c r="M184" i="34"/>
  <c r="M247" i="34"/>
  <c r="M193" i="34"/>
  <c r="M205" i="34"/>
  <c r="M212" i="34"/>
  <c r="M230" i="34"/>
  <c r="M219" i="34"/>
  <c r="O191" i="34"/>
  <c r="O216" i="34"/>
  <c r="O221" i="34"/>
  <c r="O227" i="34"/>
  <c r="O247" i="34"/>
  <c r="M214" i="34"/>
  <c r="O248" i="34"/>
  <c r="O208" i="34"/>
  <c r="O180" i="34"/>
  <c r="O199" i="34"/>
  <c r="M213" i="34"/>
  <c r="M249" i="34"/>
  <c r="M177" i="34"/>
  <c r="M204" i="34"/>
  <c r="O205" i="34"/>
  <c r="M194" i="34"/>
  <c r="O231" i="34"/>
  <c r="O192" i="34"/>
  <c r="M188" i="34"/>
  <c r="O223" i="34"/>
  <c r="M244" i="34"/>
  <c r="O190" i="34"/>
  <c r="M183" i="34"/>
  <c r="M240" i="34"/>
  <c r="M222" i="34"/>
  <c r="M179" i="34"/>
  <c r="O197" i="34"/>
  <c r="M243" i="34"/>
  <c r="M197" i="34"/>
  <c r="M185" i="34"/>
  <c r="M232" i="34"/>
  <c r="O203" i="34"/>
  <c r="O213" i="34"/>
  <c r="M195" i="34"/>
  <c r="O182" i="34"/>
  <c r="O237" i="34"/>
  <c r="M246" i="34"/>
  <c r="O238" i="34"/>
  <c r="O193" i="34"/>
  <c r="M248" i="34"/>
  <c r="O230" i="34"/>
  <c r="O209" i="34"/>
  <c r="M198" i="34"/>
  <c r="M199" i="34"/>
  <c r="O202" i="34"/>
  <c r="M187" i="34"/>
  <c r="M221" i="34"/>
  <c r="O219" i="34"/>
  <c r="O195" i="34"/>
  <c r="M186" i="34"/>
  <c r="O235" i="34"/>
  <c r="M178" i="34"/>
  <c r="M224" i="34"/>
  <c r="M217" i="34"/>
  <c r="O251" i="34"/>
  <c r="M228" i="34"/>
  <c r="O250" i="34"/>
  <c r="O179" i="34"/>
  <c r="O232" i="34"/>
  <c r="O249" i="34"/>
  <c r="J16" i="11"/>
  <c r="N199" i="8"/>
  <c r="D51" i="29"/>
  <c r="U267" i="8"/>
  <c r="N201" i="8" l="1"/>
  <c r="O8" i="34"/>
  <c r="O5" i="34" s="1"/>
  <c r="O252" i="34"/>
  <c r="X171" i="34" s="1"/>
  <c r="C44" i="37"/>
  <c r="AG103" i="34"/>
  <c r="AG7" i="34"/>
  <c r="Y286" i="8"/>
  <c r="C30" i="11"/>
  <c r="Q288" i="8"/>
  <c r="Y288" i="8" s="1"/>
  <c r="L293" i="8"/>
  <c r="L201" i="8"/>
  <c r="K297" i="8"/>
  <c r="K296" i="8"/>
  <c r="AF168" i="34"/>
  <c r="T43" i="11"/>
  <c r="AO4" i="34" s="1"/>
  <c r="U42" i="11"/>
  <c r="V42" i="11" s="1"/>
  <c r="W288" i="8"/>
  <c r="O290" i="8"/>
  <c r="D61" i="29"/>
  <c r="D63" i="29" s="1"/>
  <c r="X60" i="29"/>
  <c r="T43" i="35"/>
  <c r="AO4" i="36" s="1"/>
  <c r="U42" i="35"/>
  <c r="V42" i="35" s="1"/>
  <c r="Q290" i="8"/>
  <c r="Y290" i="8" s="1"/>
  <c r="U231" i="8"/>
  <c r="U25" i="37"/>
  <c r="V25" i="37" s="1"/>
  <c r="X209" i="34"/>
  <c r="U209" i="34"/>
  <c r="V209" i="34" s="1"/>
  <c r="X190" i="34"/>
  <c r="U190" i="34"/>
  <c r="V190" i="34" s="1"/>
  <c r="AB190" i="34" s="1"/>
  <c r="X224" i="34"/>
  <c r="U224" i="34"/>
  <c r="V224" i="34" s="1"/>
  <c r="X234" i="34"/>
  <c r="U234" i="34"/>
  <c r="V234" i="34" s="1"/>
  <c r="AB234" i="34" s="1"/>
  <c r="X173" i="34"/>
  <c r="U173" i="34"/>
  <c r="V173" i="34" s="1"/>
  <c r="AB173" i="34" s="1"/>
  <c r="X178" i="34"/>
  <c r="U178" i="34"/>
  <c r="V178" i="34" s="1"/>
  <c r="AB178" i="34" s="1"/>
  <c r="X211" i="34"/>
  <c r="U211" i="34"/>
  <c r="V211" i="34" s="1"/>
  <c r="X172" i="34"/>
  <c r="U172" i="34"/>
  <c r="V172" i="34" s="1"/>
  <c r="AB172" i="34" s="1"/>
  <c r="O9" i="34"/>
  <c r="X187" i="34"/>
  <c r="U187" i="34"/>
  <c r="V187" i="34" s="1"/>
  <c r="X185" i="34"/>
  <c r="U185" i="34"/>
  <c r="V185" i="34" s="1"/>
  <c r="X212" i="34"/>
  <c r="U212" i="34"/>
  <c r="V212" i="34" s="1"/>
  <c r="AB6" i="38"/>
  <c r="AB5" i="38" s="1"/>
  <c r="AB2" i="38" s="1"/>
  <c r="AB12" i="38"/>
  <c r="AB14" i="38"/>
  <c r="AG168" i="34"/>
  <c r="AG32" i="34"/>
  <c r="AG6" i="34"/>
  <c r="AG5" i="34" s="1"/>
  <c r="AG2" i="34" s="1"/>
  <c r="AF47" i="29"/>
  <c r="AF49" i="29" s="1"/>
  <c r="X49" i="29"/>
  <c r="C66" i="29"/>
  <c r="C69" i="29" s="1"/>
  <c r="C71" i="29" s="1"/>
  <c r="C53" i="29"/>
  <c r="U38" i="35"/>
  <c r="V38" i="35" s="1"/>
  <c r="I43" i="35"/>
  <c r="AC4" i="36" s="1"/>
  <c r="U25" i="11"/>
  <c r="V25" i="11" s="1"/>
  <c r="E30" i="37"/>
  <c r="U30" i="37" s="1"/>
  <c r="V30" i="37" s="1"/>
  <c r="E29" i="11"/>
  <c r="U29" i="11" s="1"/>
  <c r="V29" i="11" s="1"/>
  <c r="F42" i="2"/>
  <c r="E9" i="2"/>
  <c r="E42" i="2" s="1"/>
  <c r="E50" i="2" s="1"/>
  <c r="P297" i="8"/>
  <c r="X293" i="8"/>
  <c r="E8" i="6"/>
  <c r="P296" i="8"/>
  <c r="AH252" i="34"/>
  <c r="AH8" i="34"/>
  <c r="AH5" i="34" s="1"/>
  <c r="AH2" i="34" s="1"/>
  <c r="E31" i="11"/>
  <c r="U31" i="11" s="1"/>
  <c r="V31" i="11" s="1"/>
  <c r="X179" i="34"/>
  <c r="U179" i="34"/>
  <c r="V179" i="34" s="1"/>
  <c r="X192" i="34"/>
  <c r="U192" i="34"/>
  <c r="V192" i="34" s="1"/>
  <c r="AB192" i="34" s="1"/>
  <c r="X216" i="34"/>
  <c r="U216" i="34"/>
  <c r="V216" i="34" s="1"/>
  <c r="X250" i="34"/>
  <c r="U250" i="34"/>
  <c r="V250" i="34" s="1"/>
  <c r="X195" i="34"/>
  <c r="U195" i="34"/>
  <c r="V195" i="34" s="1"/>
  <c r="AB195" i="34" s="1"/>
  <c r="X180" i="34"/>
  <c r="U180" i="34"/>
  <c r="V180" i="34" s="1"/>
  <c r="AB180" i="34" s="1"/>
  <c r="X191" i="34"/>
  <c r="U191" i="34"/>
  <c r="V191" i="34" s="1"/>
  <c r="AB191" i="34" s="1"/>
  <c r="X186" i="34"/>
  <c r="U186" i="34"/>
  <c r="V186" i="34" s="1"/>
  <c r="X240" i="34"/>
  <c r="U240" i="34"/>
  <c r="V240" i="34" s="1"/>
  <c r="X243" i="34"/>
  <c r="U243" i="34"/>
  <c r="V243" i="34" s="1"/>
  <c r="AB243" i="34" s="1"/>
  <c r="X215" i="34"/>
  <c r="U215" i="34"/>
  <c r="V215" i="34" s="1"/>
  <c r="X175" i="34"/>
  <c r="U175" i="34"/>
  <c r="V175" i="34" s="1"/>
  <c r="AB175" i="34" s="1"/>
  <c r="X201" i="34"/>
  <c r="U201" i="34"/>
  <c r="V201" i="34" s="1"/>
  <c r="X245" i="34"/>
  <c r="U245" i="34"/>
  <c r="V245" i="34" s="1"/>
  <c r="AB245" i="34" s="1"/>
  <c r="U42" i="37"/>
  <c r="V42" i="37" s="1"/>
  <c r="T43" i="37"/>
  <c r="AO4" i="38" s="1"/>
  <c r="Q197" i="8"/>
  <c r="Y197" i="8" s="1"/>
  <c r="Y195" i="8"/>
  <c r="E30" i="35"/>
  <c r="U30" i="35" s="1"/>
  <c r="V30" i="35" s="1"/>
  <c r="W49" i="29"/>
  <c r="W51" i="29" s="1"/>
  <c r="AE47" i="29"/>
  <c r="AE49" i="29" s="1"/>
  <c r="U21" i="11"/>
  <c r="V21" i="11" s="1"/>
  <c r="U38" i="37"/>
  <c r="V38" i="37" s="1"/>
  <c r="I43" i="37"/>
  <c r="AC4" i="38" s="1"/>
  <c r="AF103" i="34"/>
  <c r="AF7" i="34"/>
  <c r="AF5" i="34" s="1"/>
  <c r="AF2" i="34" s="1"/>
  <c r="AB11" i="36"/>
  <c r="AB6" i="36"/>
  <c r="AB5" i="36" s="1"/>
  <c r="AB2" i="36" s="1"/>
  <c r="X51" i="29"/>
  <c r="W61" i="29"/>
  <c r="W63" i="29" s="1"/>
  <c r="AE60" i="29"/>
  <c r="AE61" i="29" s="1"/>
  <c r="AE63" i="29" s="1"/>
  <c r="M47" i="64"/>
  <c r="X238" i="34"/>
  <c r="U238" i="34"/>
  <c r="V238" i="34" s="1"/>
  <c r="AB238" i="34" s="1"/>
  <c r="X199" i="34"/>
  <c r="U199" i="34"/>
  <c r="V199" i="34" s="1"/>
  <c r="AB199" i="34" s="1"/>
  <c r="U16" i="11"/>
  <c r="X202" i="34"/>
  <c r="U202" i="34"/>
  <c r="V202" i="34" s="1"/>
  <c r="X230" i="34"/>
  <c r="U230" i="34"/>
  <c r="V230" i="34" s="1"/>
  <c r="AB230" i="34" s="1"/>
  <c r="X213" i="34"/>
  <c r="U213" i="34"/>
  <c r="V213" i="34" s="1"/>
  <c r="AB213" i="34" s="1"/>
  <c r="X231" i="34"/>
  <c r="U231" i="34"/>
  <c r="V231" i="34" s="1"/>
  <c r="X247" i="34"/>
  <c r="U247" i="34"/>
  <c r="V247" i="34" s="1"/>
  <c r="AB247" i="34" s="1"/>
  <c r="X184" i="34"/>
  <c r="U184" i="34"/>
  <c r="V184" i="34" s="1"/>
  <c r="AB184" i="34" s="1"/>
  <c r="X218" i="34"/>
  <c r="U218" i="34"/>
  <c r="V218" i="34" s="1"/>
  <c r="X183" i="34"/>
  <c r="U183" i="34"/>
  <c r="V183" i="34" s="1"/>
  <c r="X174" i="34"/>
  <c r="U174" i="34"/>
  <c r="V174" i="34" s="1"/>
  <c r="X210" i="34"/>
  <c r="U210" i="34"/>
  <c r="V210" i="34" s="1"/>
  <c r="X214" i="34"/>
  <c r="U214" i="34"/>
  <c r="V214" i="34" s="1"/>
  <c r="AB214" i="34" s="1"/>
  <c r="U25" i="35"/>
  <c r="V25" i="35" s="1"/>
  <c r="D66" i="29"/>
  <c r="D69" i="29" s="1"/>
  <c r="D71" i="29" s="1"/>
  <c r="D53" i="29"/>
  <c r="X249" i="34"/>
  <c r="U249" i="34"/>
  <c r="X219" i="34"/>
  <c r="U219" i="34"/>
  <c r="V219" i="34" s="1"/>
  <c r="AB219" i="34" s="1"/>
  <c r="X237" i="34"/>
  <c r="U237" i="34"/>
  <c r="V237" i="34" s="1"/>
  <c r="X203" i="34"/>
  <c r="U203" i="34"/>
  <c r="V203" i="34" s="1"/>
  <c r="X223" i="34"/>
  <c r="U223" i="34"/>
  <c r="V223" i="34" s="1"/>
  <c r="AB223" i="34" s="1"/>
  <c r="X208" i="34"/>
  <c r="U208" i="34"/>
  <c r="V208" i="34" s="1"/>
  <c r="X227" i="34"/>
  <c r="U227" i="34"/>
  <c r="V227" i="34" s="1"/>
  <c r="AB227" i="34" s="1"/>
  <c r="X226" i="34"/>
  <c r="U226" i="34"/>
  <c r="V226" i="34" s="1"/>
  <c r="X194" i="34"/>
  <c r="U194" i="34"/>
  <c r="V194" i="34" s="1"/>
  <c r="X239" i="34"/>
  <c r="U239" i="34"/>
  <c r="V239" i="34" s="1"/>
  <c r="X220" i="34"/>
  <c r="U220" i="34"/>
  <c r="V220" i="34" s="1"/>
  <c r="X233" i="34"/>
  <c r="U233" i="34"/>
  <c r="V233" i="34" s="1"/>
  <c r="AB233" i="34" s="1"/>
  <c r="X225" i="34"/>
  <c r="U225" i="34"/>
  <c r="V225" i="34" s="1"/>
  <c r="AB225" i="34" s="1"/>
  <c r="X229" i="34"/>
  <c r="U229" i="34"/>
  <c r="V229" i="34" s="1"/>
  <c r="X228" i="34"/>
  <c r="U228" i="34"/>
  <c r="V228" i="34" s="1"/>
  <c r="AB228" i="34" s="1"/>
  <c r="X236" i="34"/>
  <c r="U236" i="34"/>
  <c r="V236" i="34" s="1"/>
  <c r="AB236" i="34" s="1"/>
  <c r="X207" i="34"/>
  <c r="U207" i="34"/>
  <c r="V207" i="34" s="1"/>
  <c r="AB207" i="34" s="1"/>
  <c r="X242" i="34"/>
  <c r="U242" i="34"/>
  <c r="V242" i="34" s="1"/>
  <c r="X217" i="34"/>
  <c r="U217" i="34"/>
  <c r="V217" i="34" s="1"/>
  <c r="I38" i="11"/>
  <c r="U38" i="11" s="1"/>
  <c r="V38" i="11"/>
  <c r="V288" i="8"/>
  <c r="N290" i="8"/>
  <c r="V290" i="8" s="1"/>
  <c r="Q184" i="8"/>
  <c r="C18" i="11"/>
  <c r="U72" i="8"/>
  <c r="B21" i="25"/>
  <c r="A20" i="25"/>
  <c r="AF51" i="29"/>
  <c r="C43" i="35"/>
  <c r="U195" i="8"/>
  <c r="AJ171" i="34" l="1"/>
  <c r="X252" i="34"/>
  <c r="X8" i="34"/>
  <c r="X5" i="34" s="1"/>
  <c r="AM171" i="34"/>
  <c r="AN171" i="34"/>
  <c r="C44" i="35"/>
  <c r="AJ217" i="34"/>
  <c r="AP217" i="34" s="1"/>
  <c r="AR217" i="34" s="1"/>
  <c r="AN217" i="34"/>
  <c r="AM217" i="34"/>
  <c r="AJ207" i="34"/>
  <c r="AP207" i="34" s="1"/>
  <c r="AR207" i="34" s="1"/>
  <c r="AN207" i="34"/>
  <c r="AM207" i="34"/>
  <c r="AJ228" i="34"/>
  <c r="AP228" i="34" s="1"/>
  <c r="AR228" i="34" s="1"/>
  <c r="AN228" i="34"/>
  <c r="AM228" i="34"/>
  <c r="AJ225" i="34"/>
  <c r="AP225" i="34" s="1"/>
  <c r="AR225" i="34" s="1"/>
  <c r="AN225" i="34"/>
  <c r="AM225" i="34"/>
  <c r="AJ220" i="34"/>
  <c r="AP220" i="34" s="1"/>
  <c r="AR220" i="34" s="1"/>
  <c r="AN220" i="34"/>
  <c r="AM220" i="34"/>
  <c r="AJ194" i="34"/>
  <c r="AP194" i="34" s="1"/>
  <c r="AR194" i="34" s="1"/>
  <c r="AM194" i="34"/>
  <c r="AN194" i="34"/>
  <c r="AJ227" i="34"/>
  <c r="AP227" i="34" s="1"/>
  <c r="AR227" i="34" s="1"/>
  <c r="AM227" i="34"/>
  <c r="AN227" i="34"/>
  <c r="AJ223" i="34"/>
  <c r="AP223" i="34" s="1"/>
  <c r="AR223" i="34" s="1"/>
  <c r="AM223" i="34"/>
  <c r="AN223" i="34"/>
  <c r="AJ237" i="34"/>
  <c r="AP237" i="34" s="1"/>
  <c r="AR237" i="34" s="1"/>
  <c r="AN237" i="34"/>
  <c r="AM237" i="34"/>
  <c r="X9" i="34"/>
  <c r="AJ249" i="34"/>
  <c r="AM249" i="34"/>
  <c r="AM9" i="34" s="1"/>
  <c r="AN249" i="34"/>
  <c r="AN9" i="34" s="1"/>
  <c r="AJ210" i="34"/>
  <c r="AP210" i="34" s="1"/>
  <c r="AR210" i="34" s="1"/>
  <c r="AN210" i="34"/>
  <c r="AM210" i="34"/>
  <c r="AJ183" i="34"/>
  <c r="AP183" i="34" s="1"/>
  <c r="AR183" i="34" s="1"/>
  <c r="AM183" i="34"/>
  <c r="AN183" i="34"/>
  <c r="AJ184" i="34"/>
  <c r="AP184" i="34" s="1"/>
  <c r="AR184" i="34" s="1"/>
  <c r="AN184" i="34"/>
  <c r="AM184" i="34"/>
  <c r="AJ231" i="34"/>
  <c r="AP231" i="34" s="1"/>
  <c r="AR231" i="34" s="1"/>
  <c r="AN231" i="34"/>
  <c r="AM231" i="34"/>
  <c r="AJ230" i="34"/>
  <c r="AP230" i="34" s="1"/>
  <c r="AR230" i="34" s="1"/>
  <c r="AM230" i="34"/>
  <c r="AN230" i="34"/>
  <c r="AJ238" i="34"/>
  <c r="AP238" i="34" s="1"/>
  <c r="AR238" i="34" s="1"/>
  <c r="AM238" i="34"/>
  <c r="AN238" i="34"/>
  <c r="AJ245" i="34"/>
  <c r="AP245" i="34" s="1"/>
  <c r="AR245" i="34" s="1"/>
  <c r="AM245" i="34"/>
  <c r="AN245" i="34"/>
  <c r="AJ175" i="34"/>
  <c r="AP175" i="34" s="1"/>
  <c r="AR175" i="34" s="1"/>
  <c r="AN175" i="34"/>
  <c r="AM175" i="34"/>
  <c r="AJ243" i="34"/>
  <c r="AP243" i="34" s="1"/>
  <c r="AR243" i="34" s="1"/>
  <c r="AN243" i="34"/>
  <c r="AM243" i="34"/>
  <c r="AJ186" i="34"/>
  <c r="AP186" i="34" s="1"/>
  <c r="AR186" i="34" s="1"/>
  <c r="AN186" i="34"/>
  <c r="AM186" i="34"/>
  <c r="AJ180" i="34"/>
  <c r="AP180" i="34" s="1"/>
  <c r="AR180" i="34" s="1"/>
  <c r="AM180" i="34"/>
  <c r="AN180" i="34"/>
  <c r="AJ250" i="34"/>
  <c r="AP250" i="34" s="1"/>
  <c r="AR250" i="34" s="1"/>
  <c r="AN250" i="34"/>
  <c r="AM250" i="34"/>
  <c r="AJ192" i="34"/>
  <c r="AP192" i="34" s="1"/>
  <c r="AR192" i="34" s="1"/>
  <c r="AN192" i="34"/>
  <c r="AM192" i="34"/>
  <c r="Q5" i="6"/>
  <c r="R5" i="6" s="1"/>
  <c r="Q8" i="6"/>
  <c r="R8" i="6" s="1"/>
  <c r="I41" i="2"/>
  <c r="I49" i="2" s="1"/>
  <c r="Q7" i="6"/>
  <c r="R7" i="6" s="1"/>
  <c r="Q6" i="6"/>
  <c r="R6" i="6" s="1"/>
  <c r="J42" i="2"/>
  <c r="J50" i="2" s="1"/>
  <c r="F50" i="2"/>
  <c r="U197" i="8"/>
  <c r="AJ172" i="34"/>
  <c r="AP172" i="34" s="1"/>
  <c r="AR172" i="34" s="1"/>
  <c r="AN172" i="34"/>
  <c r="AM172" i="34"/>
  <c r="AJ178" i="34"/>
  <c r="AP178" i="34" s="1"/>
  <c r="AR178" i="34" s="1"/>
  <c r="AM178" i="34"/>
  <c r="AN178" i="34"/>
  <c r="AJ234" i="34"/>
  <c r="AP234" i="34" s="1"/>
  <c r="AR234" i="34" s="1"/>
  <c r="AM234" i="34"/>
  <c r="AN234" i="34"/>
  <c r="AJ190" i="34"/>
  <c r="AP190" i="34" s="1"/>
  <c r="AR190" i="34" s="1"/>
  <c r="AN190" i="34"/>
  <c r="AM190" i="34"/>
  <c r="X61" i="29"/>
  <c r="X63" i="29" s="1"/>
  <c r="AF60" i="29"/>
  <c r="AF61" i="29" s="1"/>
  <c r="AF63" i="29" s="1"/>
  <c r="L297" i="8"/>
  <c r="L296" i="8"/>
  <c r="AB217" i="34"/>
  <c r="X204" i="34"/>
  <c r="U13" i="34"/>
  <c r="V13" i="34" s="1"/>
  <c r="AB13" i="34" s="1"/>
  <c r="U15" i="34"/>
  <c r="V15" i="34" s="1"/>
  <c r="AB15" i="34" s="1"/>
  <c r="U35" i="34"/>
  <c r="U39" i="34"/>
  <c r="V39" i="34" s="1"/>
  <c r="AB39" i="34" s="1"/>
  <c r="U89" i="34"/>
  <c r="V89" i="34" s="1"/>
  <c r="AB89" i="34" s="1"/>
  <c r="U85" i="34"/>
  <c r="V85" i="34" s="1"/>
  <c r="AB85" i="34" s="1"/>
  <c r="U131" i="34"/>
  <c r="V131" i="34" s="1"/>
  <c r="AB131" i="34" s="1"/>
  <c r="U166" i="34"/>
  <c r="V166" i="34" s="1"/>
  <c r="AB166" i="34" s="1"/>
  <c r="U87" i="34"/>
  <c r="V87" i="34" s="1"/>
  <c r="AB87" i="34" s="1"/>
  <c r="U155" i="34"/>
  <c r="V155" i="34" s="1"/>
  <c r="AB155" i="34" s="1"/>
  <c r="U90" i="34"/>
  <c r="V90" i="34" s="1"/>
  <c r="AB90" i="34" s="1"/>
  <c r="U24" i="34"/>
  <c r="V24" i="34" s="1"/>
  <c r="AB24" i="34" s="1"/>
  <c r="U20" i="34"/>
  <c r="V20" i="34" s="1"/>
  <c r="AB20" i="34" s="1"/>
  <c r="U18" i="34"/>
  <c r="V18" i="34" s="1"/>
  <c r="AB18" i="34" s="1"/>
  <c r="U109" i="34"/>
  <c r="V109" i="34" s="1"/>
  <c r="AB109" i="34" s="1"/>
  <c r="U127" i="34"/>
  <c r="V127" i="34" s="1"/>
  <c r="AB127" i="34" s="1"/>
  <c r="U82" i="34"/>
  <c r="V82" i="34" s="1"/>
  <c r="AB82" i="34" s="1"/>
  <c r="U42" i="34"/>
  <c r="V42" i="34" s="1"/>
  <c r="AB42" i="34" s="1"/>
  <c r="U59" i="34"/>
  <c r="V59" i="34" s="1"/>
  <c r="AB59" i="34" s="1"/>
  <c r="U95" i="34"/>
  <c r="V95" i="34" s="1"/>
  <c r="AB95" i="34" s="1"/>
  <c r="U144" i="34"/>
  <c r="V144" i="34" s="1"/>
  <c r="AB144" i="34" s="1"/>
  <c r="U67" i="34"/>
  <c r="V67" i="34" s="1"/>
  <c r="AB67" i="34" s="1"/>
  <c r="U162" i="34"/>
  <c r="V162" i="34" s="1"/>
  <c r="AB162" i="34" s="1"/>
  <c r="U60" i="34"/>
  <c r="V60" i="34" s="1"/>
  <c r="AB60" i="34" s="1"/>
  <c r="U88" i="34"/>
  <c r="V88" i="34" s="1"/>
  <c r="AB88" i="34" s="1"/>
  <c r="U101" i="34"/>
  <c r="V101" i="34" s="1"/>
  <c r="AB101" i="34" s="1"/>
  <c r="U156" i="34"/>
  <c r="V156" i="34" s="1"/>
  <c r="AB156" i="34" s="1"/>
  <c r="U55" i="34"/>
  <c r="V55" i="34" s="1"/>
  <c r="AB55" i="34" s="1"/>
  <c r="U41" i="34"/>
  <c r="V41" i="34" s="1"/>
  <c r="AB41" i="34" s="1"/>
  <c r="U48" i="34"/>
  <c r="V48" i="34" s="1"/>
  <c r="AB48" i="34" s="1"/>
  <c r="U108" i="34"/>
  <c r="V108" i="34" s="1"/>
  <c r="AB108" i="34" s="1"/>
  <c r="U37" i="34"/>
  <c r="V37" i="34" s="1"/>
  <c r="AB37" i="34" s="1"/>
  <c r="U126" i="34"/>
  <c r="V126" i="34" s="1"/>
  <c r="AB126" i="34" s="1"/>
  <c r="U149" i="34"/>
  <c r="V149" i="34" s="1"/>
  <c r="AB149" i="34" s="1"/>
  <c r="U142" i="34"/>
  <c r="V142" i="34" s="1"/>
  <c r="AB142" i="34" s="1"/>
  <c r="U157" i="34"/>
  <c r="V157" i="34" s="1"/>
  <c r="AB157" i="34" s="1"/>
  <c r="U125" i="34"/>
  <c r="V125" i="34" s="1"/>
  <c r="AB125" i="34" s="1"/>
  <c r="U74" i="34"/>
  <c r="V74" i="34" s="1"/>
  <c r="AB74" i="34" s="1"/>
  <c r="U22" i="34"/>
  <c r="V22" i="34" s="1"/>
  <c r="AB22" i="34" s="1"/>
  <c r="U29" i="34"/>
  <c r="V29" i="34" s="1"/>
  <c r="AB29" i="34" s="1"/>
  <c r="U26" i="34"/>
  <c r="V26" i="34" s="1"/>
  <c r="AB26" i="34" s="1"/>
  <c r="U44" i="34"/>
  <c r="V44" i="34" s="1"/>
  <c r="AB44" i="34" s="1"/>
  <c r="U84" i="34"/>
  <c r="V84" i="34" s="1"/>
  <c r="AB84" i="34" s="1"/>
  <c r="U72" i="34"/>
  <c r="V72" i="34" s="1"/>
  <c r="AB72" i="34" s="1"/>
  <c r="U47" i="34"/>
  <c r="V47" i="34" s="1"/>
  <c r="AB47" i="34" s="1"/>
  <c r="U49" i="34"/>
  <c r="V49" i="34" s="1"/>
  <c r="AB49" i="34" s="1"/>
  <c r="U81" i="34"/>
  <c r="V81" i="34" s="1"/>
  <c r="AB81" i="34" s="1"/>
  <c r="U57" i="34"/>
  <c r="V57" i="34" s="1"/>
  <c r="AB57" i="34" s="1"/>
  <c r="U151" i="34"/>
  <c r="V151" i="34" s="1"/>
  <c r="AB151" i="34" s="1"/>
  <c r="U16" i="34"/>
  <c r="V16" i="34" s="1"/>
  <c r="AB16" i="34" s="1"/>
  <c r="U19" i="34"/>
  <c r="V19" i="34" s="1"/>
  <c r="AB19" i="34" s="1"/>
  <c r="U21" i="34"/>
  <c r="V21" i="34" s="1"/>
  <c r="AB21" i="34" s="1"/>
  <c r="U36" i="34"/>
  <c r="V36" i="34" s="1"/>
  <c r="AB36" i="34" s="1"/>
  <c r="U98" i="34"/>
  <c r="V98" i="34" s="1"/>
  <c r="AB98" i="34" s="1"/>
  <c r="U132" i="34"/>
  <c r="V132" i="34" s="1"/>
  <c r="AB132" i="34" s="1"/>
  <c r="U153" i="34"/>
  <c r="V153" i="34" s="1"/>
  <c r="AB153" i="34" s="1"/>
  <c r="U138" i="34"/>
  <c r="V138" i="34" s="1"/>
  <c r="AB138" i="34" s="1"/>
  <c r="U120" i="34"/>
  <c r="V120" i="34" s="1"/>
  <c r="AB120" i="34" s="1"/>
  <c r="U148" i="34"/>
  <c r="V148" i="34" s="1"/>
  <c r="AB148" i="34" s="1"/>
  <c r="U65" i="34"/>
  <c r="V65" i="34" s="1"/>
  <c r="AB65" i="34" s="1"/>
  <c r="U117" i="34"/>
  <c r="V117" i="34" s="1"/>
  <c r="AB117" i="34" s="1"/>
  <c r="U93" i="34"/>
  <c r="V93" i="34" s="1"/>
  <c r="AB93" i="34" s="1"/>
  <c r="U107" i="34"/>
  <c r="V107" i="34" s="1"/>
  <c r="AB107" i="34" s="1"/>
  <c r="U137" i="34"/>
  <c r="V137" i="34" s="1"/>
  <c r="AB137" i="34" s="1"/>
  <c r="U145" i="34"/>
  <c r="V145" i="34" s="1"/>
  <c r="AB145" i="34" s="1"/>
  <c r="U97" i="34"/>
  <c r="V97" i="34" s="1"/>
  <c r="AB97" i="34" s="1"/>
  <c r="U111" i="34"/>
  <c r="V111" i="34" s="1"/>
  <c r="AB111" i="34" s="1"/>
  <c r="U73" i="34"/>
  <c r="V73" i="34" s="1"/>
  <c r="AB73" i="34" s="1"/>
  <c r="U114" i="34"/>
  <c r="V114" i="34" s="1"/>
  <c r="AB114" i="34" s="1"/>
  <c r="U45" i="34"/>
  <c r="V45" i="34" s="1"/>
  <c r="AB45" i="34" s="1"/>
  <c r="U61" i="34"/>
  <c r="V61" i="34" s="1"/>
  <c r="AB61" i="34" s="1"/>
  <c r="U139" i="34"/>
  <c r="V139" i="34" s="1"/>
  <c r="AB139" i="34" s="1"/>
  <c r="U69" i="34"/>
  <c r="V69" i="34" s="1"/>
  <c r="AB69" i="34" s="1"/>
  <c r="U71" i="34"/>
  <c r="V71" i="34" s="1"/>
  <c r="AB71" i="34" s="1"/>
  <c r="U68" i="34"/>
  <c r="V68" i="34" s="1"/>
  <c r="AB68" i="34" s="1"/>
  <c r="U52" i="34"/>
  <c r="V52" i="34" s="1"/>
  <c r="AB52" i="34" s="1"/>
  <c r="U25" i="34"/>
  <c r="V25" i="34" s="1"/>
  <c r="AB25" i="34" s="1"/>
  <c r="U28" i="34"/>
  <c r="V28" i="34" s="1"/>
  <c r="AB28" i="34" s="1"/>
  <c r="U31" i="34"/>
  <c r="V31" i="34" s="1"/>
  <c r="AB31" i="34" s="1"/>
  <c r="U54" i="34"/>
  <c r="V54" i="34" s="1"/>
  <c r="AB54" i="34" s="1"/>
  <c r="U123" i="34"/>
  <c r="V123" i="34" s="1"/>
  <c r="AB123" i="34" s="1"/>
  <c r="U161" i="34"/>
  <c r="V161" i="34" s="1"/>
  <c r="AB161" i="34" s="1"/>
  <c r="U146" i="34"/>
  <c r="V146" i="34" s="1"/>
  <c r="AB146" i="34" s="1"/>
  <c r="U78" i="34"/>
  <c r="V78" i="34" s="1"/>
  <c r="AB78" i="34" s="1"/>
  <c r="U154" i="34"/>
  <c r="V154" i="34" s="1"/>
  <c r="AB154" i="34" s="1"/>
  <c r="U150" i="34"/>
  <c r="V150" i="34" s="1"/>
  <c r="AB150" i="34" s="1"/>
  <c r="U134" i="34"/>
  <c r="V134" i="34" s="1"/>
  <c r="AB134" i="34" s="1"/>
  <c r="U30" i="34"/>
  <c r="V30" i="34" s="1"/>
  <c r="AB30" i="34" s="1"/>
  <c r="U23" i="34"/>
  <c r="V23" i="34" s="1"/>
  <c r="AB23" i="34" s="1"/>
  <c r="U64" i="34"/>
  <c r="V64" i="34" s="1"/>
  <c r="AB64" i="34" s="1"/>
  <c r="U167" i="34"/>
  <c r="V167" i="34" s="1"/>
  <c r="AB167" i="34" s="1"/>
  <c r="U124" i="34"/>
  <c r="V124" i="34" s="1"/>
  <c r="AB124" i="34" s="1"/>
  <c r="U91" i="34"/>
  <c r="V91" i="34" s="1"/>
  <c r="AB91" i="34" s="1"/>
  <c r="U77" i="34"/>
  <c r="V77" i="34" s="1"/>
  <c r="AB77" i="34" s="1"/>
  <c r="U118" i="34"/>
  <c r="V118" i="34" s="1"/>
  <c r="AB118" i="34" s="1"/>
  <c r="U129" i="34"/>
  <c r="V129" i="34" s="1"/>
  <c r="AB129" i="34" s="1"/>
  <c r="U130" i="34"/>
  <c r="V130" i="34" s="1"/>
  <c r="AB130" i="34" s="1"/>
  <c r="U164" i="34"/>
  <c r="V164" i="34" s="1"/>
  <c r="AB164" i="34" s="1"/>
  <c r="U152" i="34"/>
  <c r="V152" i="34" s="1"/>
  <c r="AB152" i="34" s="1"/>
  <c r="U86" i="34"/>
  <c r="V86" i="34" s="1"/>
  <c r="AB86" i="34" s="1"/>
  <c r="U96" i="34"/>
  <c r="V96" i="34" s="1"/>
  <c r="AB96" i="34" s="1"/>
  <c r="U141" i="34"/>
  <c r="V141" i="34" s="1"/>
  <c r="AB141" i="34" s="1"/>
  <c r="U56" i="34"/>
  <c r="V56" i="34" s="1"/>
  <c r="AB56" i="34" s="1"/>
  <c r="U40" i="34"/>
  <c r="V40" i="34" s="1"/>
  <c r="AB40" i="34" s="1"/>
  <c r="U51" i="34"/>
  <c r="V51" i="34" s="1"/>
  <c r="AB51" i="34" s="1"/>
  <c r="U147" i="34"/>
  <c r="V147" i="34" s="1"/>
  <c r="AB147" i="34" s="1"/>
  <c r="U121" i="34"/>
  <c r="V121" i="34" s="1"/>
  <c r="AB121" i="34" s="1"/>
  <c r="U160" i="34"/>
  <c r="V160" i="34" s="1"/>
  <c r="AB160" i="34" s="1"/>
  <c r="U79" i="34"/>
  <c r="V79" i="34" s="1"/>
  <c r="AB79" i="34" s="1"/>
  <c r="U76" i="34"/>
  <c r="V76" i="34" s="1"/>
  <c r="AB76" i="34" s="1"/>
  <c r="U66" i="34"/>
  <c r="V66" i="34" s="1"/>
  <c r="AB66" i="34" s="1"/>
  <c r="U62" i="34"/>
  <c r="V62" i="34" s="1"/>
  <c r="AB62" i="34" s="1"/>
  <c r="U163" i="34"/>
  <c r="V163" i="34" s="1"/>
  <c r="AB163" i="34" s="1"/>
  <c r="U14" i="34"/>
  <c r="V14" i="34" s="1"/>
  <c r="AB14" i="34" s="1"/>
  <c r="U12" i="34"/>
  <c r="U100" i="34"/>
  <c r="V100" i="34" s="1"/>
  <c r="AB100" i="34" s="1"/>
  <c r="U99" i="34"/>
  <c r="V99" i="34" s="1"/>
  <c r="AB99" i="34" s="1"/>
  <c r="U159" i="34"/>
  <c r="V159" i="34" s="1"/>
  <c r="AB159" i="34" s="1"/>
  <c r="U116" i="34"/>
  <c r="V116" i="34" s="1"/>
  <c r="AB116" i="34" s="1"/>
  <c r="U50" i="34"/>
  <c r="V50" i="34" s="1"/>
  <c r="AB50" i="34" s="1"/>
  <c r="U128" i="34"/>
  <c r="V128" i="34" s="1"/>
  <c r="AB128" i="34" s="1"/>
  <c r="U136" i="34"/>
  <c r="V136" i="34" s="1"/>
  <c r="AB136" i="34" s="1"/>
  <c r="U58" i="34"/>
  <c r="V58" i="34" s="1"/>
  <c r="AB58" i="34" s="1"/>
  <c r="U106" i="34"/>
  <c r="U27" i="34"/>
  <c r="V27" i="34" s="1"/>
  <c r="AB27" i="34" s="1"/>
  <c r="U17" i="34"/>
  <c r="V17" i="34" s="1"/>
  <c r="AB17" i="34" s="1"/>
  <c r="U70" i="34"/>
  <c r="V70" i="34" s="1"/>
  <c r="AB70" i="34" s="1"/>
  <c r="U92" i="34"/>
  <c r="V92" i="34" s="1"/>
  <c r="AB92" i="34" s="1"/>
  <c r="U140" i="34"/>
  <c r="V140" i="34" s="1"/>
  <c r="AB140" i="34" s="1"/>
  <c r="U83" i="34"/>
  <c r="V83" i="34" s="1"/>
  <c r="AB83" i="34" s="1"/>
  <c r="U115" i="34"/>
  <c r="V115" i="34" s="1"/>
  <c r="AB115" i="34" s="1"/>
  <c r="U135" i="34"/>
  <c r="V135" i="34" s="1"/>
  <c r="AB135" i="34" s="1"/>
  <c r="U75" i="34"/>
  <c r="V75" i="34" s="1"/>
  <c r="AB75" i="34" s="1"/>
  <c r="U165" i="34"/>
  <c r="V165" i="34" s="1"/>
  <c r="AB165" i="34" s="1"/>
  <c r="U43" i="34"/>
  <c r="V43" i="34" s="1"/>
  <c r="AB43" i="34" s="1"/>
  <c r="U112" i="34"/>
  <c r="V112" i="34" s="1"/>
  <c r="AB112" i="34" s="1"/>
  <c r="U122" i="34"/>
  <c r="V122" i="34" s="1"/>
  <c r="AB122" i="34" s="1"/>
  <c r="U102" i="34"/>
  <c r="V102" i="34" s="1"/>
  <c r="AB102" i="34" s="1"/>
  <c r="U53" i="34"/>
  <c r="V53" i="34" s="1"/>
  <c r="AB53" i="34" s="1"/>
  <c r="U119" i="34"/>
  <c r="V119" i="34" s="1"/>
  <c r="AB119" i="34" s="1"/>
  <c r="U38" i="34"/>
  <c r="V38" i="34" s="1"/>
  <c r="AB38" i="34" s="1"/>
  <c r="U110" i="34"/>
  <c r="V110" i="34" s="1"/>
  <c r="AB110" i="34" s="1"/>
  <c r="U80" i="34"/>
  <c r="V80" i="34" s="1"/>
  <c r="AB80" i="34" s="1"/>
  <c r="U94" i="34"/>
  <c r="V94" i="34" s="1"/>
  <c r="AB94" i="34" s="1"/>
  <c r="U63" i="34"/>
  <c r="V63" i="34" s="1"/>
  <c r="AB63" i="34" s="1"/>
  <c r="U113" i="34"/>
  <c r="V113" i="34" s="1"/>
  <c r="AB113" i="34" s="1"/>
  <c r="U46" i="34"/>
  <c r="V46" i="34" s="1"/>
  <c r="AB46" i="34" s="1"/>
  <c r="U158" i="34"/>
  <c r="V158" i="34" s="1"/>
  <c r="AB158" i="34" s="1"/>
  <c r="U143" i="34"/>
  <c r="V143" i="34" s="1"/>
  <c r="AB143" i="34" s="1"/>
  <c r="U133" i="34"/>
  <c r="V133" i="34" s="1"/>
  <c r="AB133" i="34" s="1"/>
  <c r="AL127" i="34"/>
  <c r="AL51" i="34"/>
  <c r="AL106" i="34"/>
  <c r="AL168" i="34" s="1"/>
  <c r="AL37" i="34"/>
  <c r="AL16" i="34"/>
  <c r="AL63" i="34"/>
  <c r="AL57" i="34"/>
  <c r="AL109" i="34"/>
  <c r="AL72" i="34"/>
  <c r="AL126" i="34"/>
  <c r="AL139" i="34"/>
  <c r="AL61" i="34"/>
  <c r="AL137" i="34"/>
  <c r="AL13" i="34"/>
  <c r="AL69" i="34"/>
  <c r="AL130" i="34"/>
  <c r="AL54" i="34"/>
  <c r="AL91" i="34"/>
  <c r="AL31" i="34"/>
  <c r="AL59" i="34"/>
  <c r="AL38" i="34"/>
  <c r="AL162" i="34"/>
  <c r="AL158" i="34"/>
  <c r="AL14" i="34"/>
  <c r="AL134" i="34"/>
  <c r="AL154" i="34"/>
  <c r="AL146" i="34"/>
  <c r="AL27" i="34"/>
  <c r="AL98" i="34"/>
  <c r="AL74" i="34"/>
  <c r="AL99" i="34"/>
  <c r="AL101" i="34"/>
  <c r="AL15" i="34"/>
  <c r="AL135" i="34"/>
  <c r="AL148" i="34"/>
  <c r="AL44" i="34"/>
  <c r="AL132" i="34"/>
  <c r="AL18" i="34"/>
  <c r="AL78" i="34"/>
  <c r="AL41" i="34"/>
  <c r="AL117" i="34"/>
  <c r="AL94" i="34"/>
  <c r="AL22" i="34"/>
  <c r="AL115" i="34"/>
  <c r="AL136" i="34"/>
  <c r="AL64" i="34"/>
  <c r="AL159" i="34"/>
  <c r="AL87" i="34"/>
  <c r="AL149" i="34"/>
  <c r="AL89" i="34"/>
  <c r="AL102" i="34"/>
  <c r="AL12" i="34"/>
  <c r="AL138" i="34"/>
  <c r="AL144" i="34"/>
  <c r="AL39" i="34"/>
  <c r="AL82" i="34"/>
  <c r="AL123" i="34"/>
  <c r="AL73" i="34"/>
  <c r="AL97" i="34"/>
  <c r="AL164" i="34"/>
  <c r="AL66" i="34"/>
  <c r="AL145" i="34"/>
  <c r="AL90" i="34"/>
  <c r="AL112" i="34"/>
  <c r="AL131" i="34"/>
  <c r="AL25" i="34"/>
  <c r="AL118" i="34"/>
  <c r="AL133" i="34"/>
  <c r="AL80" i="34"/>
  <c r="AL96" i="34"/>
  <c r="AL17" i="34"/>
  <c r="AL160" i="34"/>
  <c r="AL75" i="34"/>
  <c r="AL100" i="34"/>
  <c r="AL140" i="34"/>
  <c r="AL35" i="34"/>
  <c r="AL62" i="34"/>
  <c r="AL40" i="34"/>
  <c r="AL43" i="34"/>
  <c r="AL121" i="34"/>
  <c r="AL84" i="34"/>
  <c r="AL151" i="34"/>
  <c r="AL81" i="34"/>
  <c r="AL47" i="34"/>
  <c r="AL20" i="34"/>
  <c r="AL119" i="34"/>
  <c r="AL113" i="34"/>
  <c r="AL46" i="34"/>
  <c r="AL107" i="34"/>
  <c r="AL19" i="34"/>
  <c r="AL50" i="34"/>
  <c r="AL129" i="34"/>
  <c r="AL77" i="34"/>
  <c r="AL124" i="34"/>
  <c r="AL93" i="34"/>
  <c r="AL110" i="34"/>
  <c r="AL92" i="34"/>
  <c r="AL71" i="34"/>
  <c r="AL21" i="34"/>
  <c r="AL108" i="34"/>
  <c r="AL150" i="34"/>
  <c r="AL36" i="34"/>
  <c r="AL161" i="34"/>
  <c r="AL28" i="34"/>
  <c r="AL166" i="34"/>
  <c r="AL163" i="34"/>
  <c r="AL147" i="34"/>
  <c r="AL88" i="34"/>
  <c r="AL125" i="34"/>
  <c r="AL65" i="34"/>
  <c r="AL120" i="34"/>
  <c r="AL153" i="34"/>
  <c r="AL29" i="34"/>
  <c r="AL48" i="34"/>
  <c r="AL55" i="34"/>
  <c r="AL45" i="34"/>
  <c r="AL114" i="34"/>
  <c r="AL60" i="34"/>
  <c r="AL58" i="34"/>
  <c r="AL167" i="34"/>
  <c r="AL116" i="34"/>
  <c r="AL30" i="34"/>
  <c r="AL143" i="34"/>
  <c r="AL79" i="34"/>
  <c r="AL76" i="34"/>
  <c r="AL122" i="34"/>
  <c r="AL53" i="34"/>
  <c r="AL67" i="34"/>
  <c r="AL95" i="34"/>
  <c r="AL42" i="34"/>
  <c r="AL23" i="34"/>
  <c r="AL56" i="34"/>
  <c r="AL111" i="34"/>
  <c r="AL152" i="34"/>
  <c r="AL157" i="34"/>
  <c r="AL26" i="34"/>
  <c r="AL49" i="34"/>
  <c r="AL155" i="34"/>
  <c r="AL70" i="34"/>
  <c r="AL85" i="34"/>
  <c r="AL156" i="34"/>
  <c r="AL52" i="34"/>
  <c r="AL68" i="34"/>
  <c r="AL141" i="34"/>
  <c r="AL86" i="34"/>
  <c r="AL128" i="34"/>
  <c r="AL165" i="34"/>
  <c r="AL142" i="34"/>
  <c r="AL83" i="34"/>
  <c r="AL24" i="34"/>
  <c r="X241" i="34"/>
  <c r="X188" i="34"/>
  <c r="X181" i="34"/>
  <c r="X196" i="34"/>
  <c r="X198" i="34"/>
  <c r="X176" i="34"/>
  <c r="X248" i="34"/>
  <c r="X197" i="34"/>
  <c r="X193" i="34"/>
  <c r="X251" i="34"/>
  <c r="X222" i="34"/>
  <c r="AF53" i="29"/>
  <c r="AF66" i="29"/>
  <c r="AF69" i="29" s="1"/>
  <c r="AF71" i="29" s="1"/>
  <c r="X66" i="29"/>
  <c r="X69" i="29" s="1"/>
  <c r="X71" i="29" s="1"/>
  <c r="X53" i="29"/>
  <c r="I43" i="11"/>
  <c r="AC4" i="34" s="1"/>
  <c r="AO11" i="38"/>
  <c r="AO10" i="38"/>
  <c r="AO9" i="38"/>
  <c r="U290" i="8"/>
  <c r="AJ212" i="34"/>
  <c r="AP212" i="34" s="1"/>
  <c r="AR212" i="34" s="1"/>
  <c r="AM212" i="34"/>
  <c r="AN212" i="34"/>
  <c r="AJ187" i="34"/>
  <c r="AP187" i="34" s="1"/>
  <c r="AR187" i="34" s="1"/>
  <c r="AN187" i="34"/>
  <c r="AM187" i="34"/>
  <c r="AO238" i="34"/>
  <c r="AO188" i="34"/>
  <c r="AO236" i="34"/>
  <c r="AO52" i="34"/>
  <c r="AO112" i="34"/>
  <c r="AO83" i="34"/>
  <c r="AO136" i="34"/>
  <c r="AO92" i="34"/>
  <c r="AO161" i="34"/>
  <c r="AO36" i="34"/>
  <c r="AO106" i="34"/>
  <c r="AO168" i="34" s="1"/>
  <c r="AO44" i="34"/>
  <c r="AO109" i="34"/>
  <c r="AO227" i="34"/>
  <c r="AO95" i="34"/>
  <c r="AO175" i="34"/>
  <c r="AO120" i="34"/>
  <c r="AO152" i="34"/>
  <c r="AO62" i="34"/>
  <c r="AO142" i="34"/>
  <c r="AO65" i="34"/>
  <c r="AO60" i="34"/>
  <c r="AO218" i="34"/>
  <c r="AO146" i="34"/>
  <c r="AO68" i="34"/>
  <c r="AO43" i="34"/>
  <c r="AO140" i="34"/>
  <c r="AO96" i="34"/>
  <c r="AO82" i="34"/>
  <c r="AO147" i="34"/>
  <c r="AO229" i="34"/>
  <c r="AO85" i="34"/>
  <c r="AO155" i="34"/>
  <c r="AO24" i="34"/>
  <c r="AO55" i="34"/>
  <c r="AO186" i="34"/>
  <c r="AO145" i="34"/>
  <c r="AO201" i="34"/>
  <c r="AO250" i="34"/>
  <c r="AO48" i="34"/>
  <c r="AO198" i="34"/>
  <c r="AO195" i="34"/>
  <c r="AO42" i="34"/>
  <c r="AO121" i="34"/>
  <c r="AO67" i="34"/>
  <c r="AO208" i="34"/>
  <c r="AO46" i="34"/>
  <c r="AO194" i="34"/>
  <c r="AO180" i="34"/>
  <c r="AO184" i="34"/>
  <c r="AO122" i="34"/>
  <c r="AO31" i="34"/>
  <c r="AO149" i="34"/>
  <c r="AO37" i="34"/>
  <c r="AO126" i="34"/>
  <c r="AO181" i="34"/>
  <c r="AO209" i="34"/>
  <c r="AO156" i="34"/>
  <c r="AO132" i="34"/>
  <c r="AO72" i="34"/>
  <c r="AO76" i="34"/>
  <c r="AO213" i="34"/>
  <c r="AO187" i="34"/>
  <c r="AO115" i="34"/>
  <c r="AO243" i="34"/>
  <c r="AO154" i="34"/>
  <c r="AO230" i="34"/>
  <c r="AO99" i="34"/>
  <c r="AO107" i="34"/>
  <c r="AO18" i="34"/>
  <c r="AO89" i="34"/>
  <c r="AO196" i="34"/>
  <c r="AO74" i="34"/>
  <c r="AO192" i="34"/>
  <c r="AO204" i="34"/>
  <c r="AO53" i="34"/>
  <c r="AO91" i="34"/>
  <c r="AO226" i="34"/>
  <c r="AO215" i="34"/>
  <c r="AO211" i="34"/>
  <c r="AO233" i="34"/>
  <c r="AO234" i="34"/>
  <c r="AO94" i="34"/>
  <c r="AO210" i="34"/>
  <c r="AO110" i="34"/>
  <c r="AO26" i="34"/>
  <c r="AO27" i="34"/>
  <c r="AO93" i="34"/>
  <c r="AO231" i="34"/>
  <c r="AO214" i="34"/>
  <c r="AO137" i="34"/>
  <c r="AO119" i="34"/>
  <c r="AO217" i="34"/>
  <c r="AO90" i="34"/>
  <c r="AO86" i="34"/>
  <c r="AO176" i="34"/>
  <c r="AO185" i="34"/>
  <c r="AO117" i="34"/>
  <c r="AO124" i="34"/>
  <c r="AO113" i="34"/>
  <c r="AO127" i="34"/>
  <c r="AO114" i="34"/>
  <c r="AO111" i="34"/>
  <c r="AO223" i="34"/>
  <c r="AO240" i="34"/>
  <c r="AO131" i="34"/>
  <c r="AO100" i="34"/>
  <c r="AO237" i="34"/>
  <c r="AO165" i="34"/>
  <c r="AO75" i="34"/>
  <c r="AO241" i="34"/>
  <c r="AO41" i="34"/>
  <c r="AO15" i="34"/>
  <c r="AO248" i="34"/>
  <c r="AO228" i="34"/>
  <c r="AO71" i="34"/>
  <c r="AO20" i="34"/>
  <c r="AO245" i="34"/>
  <c r="AO251" i="34"/>
  <c r="AO25" i="34"/>
  <c r="AO148" i="34"/>
  <c r="AO158" i="34"/>
  <c r="AO29" i="34"/>
  <c r="AO190" i="34"/>
  <c r="AO224" i="34"/>
  <c r="AO174" i="34"/>
  <c r="AO157" i="34"/>
  <c r="AO28" i="34"/>
  <c r="AO183" i="34"/>
  <c r="AO123" i="34"/>
  <c r="AO51" i="34"/>
  <c r="AO143" i="34"/>
  <c r="AO17" i="34"/>
  <c r="AO249" i="34"/>
  <c r="AO9" i="34" s="1"/>
  <c r="AO97" i="34"/>
  <c r="AO216" i="34"/>
  <c r="AO247" i="34"/>
  <c r="AO139" i="34"/>
  <c r="AO134" i="34"/>
  <c r="AO163" i="34"/>
  <c r="AO167" i="34"/>
  <c r="AO197" i="34"/>
  <c r="AO49" i="34"/>
  <c r="AO13" i="34"/>
  <c r="AO57" i="34"/>
  <c r="AO225" i="34"/>
  <c r="AO178" i="34"/>
  <c r="AO141" i="34"/>
  <c r="AO73" i="34"/>
  <c r="AO212" i="34"/>
  <c r="AO239" i="34"/>
  <c r="AO12" i="34"/>
  <c r="AO179" i="34"/>
  <c r="AO79" i="34"/>
  <c r="AO144" i="34"/>
  <c r="AO22" i="34"/>
  <c r="AO39" i="34"/>
  <c r="AO45" i="34"/>
  <c r="AO69" i="34"/>
  <c r="AO87" i="34"/>
  <c r="AO101" i="34"/>
  <c r="AO220" i="34"/>
  <c r="AO125" i="34"/>
  <c r="AO40" i="34"/>
  <c r="AO219" i="34"/>
  <c r="AO35" i="34"/>
  <c r="AO50" i="34"/>
  <c r="AO54" i="34"/>
  <c r="AO70" i="34"/>
  <c r="AO166" i="34"/>
  <c r="AO133" i="34"/>
  <c r="AO98" i="34"/>
  <c r="AO153" i="34"/>
  <c r="AO193" i="34"/>
  <c r="AO130" i="34"/>
  <c r="AO78" i="34"/>
  <c r="AO77" i="34"/>
  <c r="AO56" i="34"/>
  <c r="AO61" i="34"/>
  <c r="AO164" i="34"/>
  <c r="AO128" i="34"/>
  <c r="AO116" i="34"/>
  <c r="AO19" i="34"/>
  <c r="AO21" i="34"/>
  <c r="AO202" i="34"/>
  <c r="AO203" i="34"/>
  <c r="AO66" i="34"/>
  <c r="AO172" i="34"/>
  <c r="AO222" i="34"/>
  <c r="AO63" i="34"/>
  <c r="AO80" i="34"/>
  <c r="AO38" i="34"/>
  <c r="AO23" i="34"/>
  <c r="AO162" i="34"/>
  <c r="AO242" i="34"/>
  <c r="AO138" i="34"/>
  <c r="AO102" i="34"/>
  <c r="AO191" i="34"/>
  <c r="AO173" i="34"/>
  <c r="AO81" i="34"/>
  <c r="AO118" i="34"/>
  <c r="AO171" i="34"/>
  <c r="AO58" i="34"/>
  <c r="AO150" i="34"/>
  <c r="AO30" i="34"/>
  <c r="AO199" i="34"/>
  <c r="AO159" i="34"/>
  <c r="AO135" i="34"/>
  <c r="AO129" i="34"/>
  <c r="AO84" i="34"/>
  <c r="AO151" i="34"/>
  <c r="AO160" i="34"/>
  <c r="AO16" i="34"/>
  <c r="AO14" i="34"/>
  <c r="AO59" i="34"/>
  <c r="AO207" i="34"/>
  <c r="AO88" i="34"/>
  <c r="AO108" i="34"/>
  <c r="AO47" i="34"/>
  <c r="AO64" i="34"/>
  <c r="AB201" i="34"/>
  <c r="AB209" i="34"/>
  <c r="AB242" i="34"/>
  <c r="AB187" i="34"/>
  <c r="U171" i="34"/>
  <c r="U177" i="34"/>
  <c r="V177" i="34" s="1"/>
  <c r="U189" i="34"/>
  <c r="V189" i="34" s="1"/>
  <c r="U244" i="34"/>
  <c r="V244" i="34" s="1"/>
  <c r="U206" i="34"/>
  <c r="V206" i="34" s="1"/>
  <c r="U246" i="34"/>
  <c r="V246" i="34" s="1"/>
  <c r="U200" i="34"/>
  <c r="V200" i="34" s="1"/>
  <c r="U221" i="34"/>
  <c r="V221" i="34" s="1"/>
  <c r="U205" i="34"/>
  <c r="V205" i="34" s="1"/>
  <c r="U182" i="34"/>
  <c r="V182" i="34" s="1"/>
  <c r="U235" i="34"/>
  <c r="V235" i="34" s="1"/>
  <c r="U232" i="34"/>
  <c r="V232" i="34" s="1"/>
  <c r="Q199" i="8"/>
  <c r="U184" i="8"/>
  <c r="AJ242" i="34"/>
  <c r="AP242" i="34" s="1"/>
  <c r="AR242" i="34" s="1"/>
  <c r="AM242" i="34"/>
  <c r="AN242" i="34"/>
  <c r="AJ236" i="34"/>
  <c r="AP236" i="34" s="1"/>
  <c r="AR236" i="34" s="1"/>
  <c r="AN236" i="34"/>
  <c r="AM236" i="34"/>
  <c r="AJ229" i="34"/>
  <c r="AP229" i="34" s="1"/>
  <c r="AR229" i="34" s="1"/>
  <c r="AN229" i="34"/>
  <c r="AM229" i="34"/>
  <c r="AJ233" i="34"/>
  <c r="AP233" i="34" s="1"/>
  <c r="AR233" i="34" s="1"/>
  <c r="AM233" i="34"/>
  <c r="AN233" i="34"/>
  <c r="AJ239" i="34"/>
  <c r="AP239" i="34" s="1"/>
  <c r="AR239" i="34" s="1"/>
  <c r="AM239" i="34"/>
  <c r="AN239" i="34"/>
  <c r="AJ226" i="34"/>
  <c r="AP226" i="34" s="1"/>
  <c r="AR226" i="34" s="1"/>
  <c r="AN226" i="34"/>
  <c r="AM226" i="34"/>
  <c r="AJ208" i="34"/>
  <c r="AP208" i="34" s="1"/>
  <c r="AR208" i="34" s="1"/>
  <c r="AM208" i="34"/>
  <c r="AN208" i="34"/>
  <c r="AJ203" i="34"/>
  <c r="AP203" i="34" s="1"/>
  <c r="AR203" i="34" s="1"/>
  <c r="AN203" i="34"/>
  <c r="AM203" i="34"/>
  <c r="AJ219" i="34"/>
  <c r="AP219" i="34" s="1"/>
  <c r="AR219" i="34" s="1"/>
  <c r="AN219" i="34"/>
  <c r="AM219" i="34"/>
  <c r="AJ214" i="34"/>
  <c r="AP214" i="34" s="1"/>
  <c r="AR214" i="34" s="1"/>
  <c r="AN214" i="34"/>
  <c r="AM214" i="34"/>
  <c r="AJ174" i="34"/>
  <c r="AP174" i="34" s="1"/>
  <c r="AR174" i="34" s="1"/>
  <c r="AM174" i="34"/>
  <c r="AN174" i="34"/>
  <c r="AJ218" i="34"/>
  <c r="AP218" i="34" s="1"/>
  <c r="AR218" i="34" s="1"/>
  <c r="AN218" i="34"/>
  <c r="AM218" i="34"/>
  <c r="AJ247" i="34"/>
  <c r="AP247" i="34" s="1"/>
  <c r="AR247" i="34" s="1"/>
  <c r="AN247" i="34"/>
  <c r="AM247" i="34"/>
  <c r="AJ213" i="34"/>
  <c r="AP213" i="34" s="1"/>
  <c r="AR213" i="34" s="1"/>
  <c r="AM213" i="34"/>
  <c r="AN213" i="34"/>
  <c r="AJ202" i="34"/>
  <c r="AP202" i="34" s="1"/>
  <c r="AR202" i="34" s="1"/>
  <c r="AN202" i="34"/>
  <c r="AM202" i="34"/>
  <c r="AJ199" i="34"/>
  <c r="AP199" i="34" s="1"/>
  <c r="AR199" i="34" s="1"/>
  <c r="AN199" i="34"/>
  <c r="AM199" i="34"/>
  <c r="AC9" i="38"/>
  <c r="AC10" i="38"/>
  <c r="AC11" i="38"/>
  <c r="AJ201" i="34"/>
  <c r="AP201" i="34" s="1"/>
  <c r="AR201" i="34" s="1"/>
  <c r="AN201" i="34"/>
  <c r="AM201" i="34"/>
  <c r="AJ215" i="34"/>
  <c r="AP215" i="34" s="1"/>
  <c r="AR215" i="34" s="1"/>
  <c r="AM215" i="34"/>
  <c r="AN215" i="34"/>
  <c r="AJ240" i="34"/>
  <c r="AP240" i="34" s="1"/>
  <c r="AR240" i="34" s="1"/>
  <c r="AN240" i="34"/>
  <c r="AM240" i="34"/>
  <c r="AJ191" i="34"/>
  <c r="AP191" i="34" s="1"/>
  <c r="AR191" i="34" s="1"/>
  <c r="AM191" i="34"/>
  <c r="AN191" i="34"/>
  <c r="AJ195" i="34"/>
  <c r="AP195" i="34" s="1"/>
  <c r="AR195" i="34" s="1"/>
  <c r="AN195" i="34"/>
  <c r="AM195" i="34"/>
  <c r="AJ216" i="34"/>
  <c r="AP216" i="34" s="1"/>
  <c r="AR216" i="34" s="1"/>
  <c r="AM216" i="34"/>
  <c r="AN216" i="34"/>
  <c r="AJ179" i="34"/>
  <c r="AP179" i="34" s="1"/>
  <c r="AR179" i="34" s="1"/>
  <c r="AN179" i="34"/>
  <c r="AM179" i="34"/>
  <c r="AC10" i="36"/>
  <c r="AC9" i="36"/>
  <c r="AJ211" i="34"/>
  <c r="AP211" i="34" s="1"/>
  <c r="AR211" i="34" s="1"/>
  <c r="AM211" i="34"/>
  <c r="AN211" i="34"/>
  <c r="AJ173" i="34"/>
  <c r="AP173" i="34" s="1"/>
  <c r="AR173" i="34" s="1"/>
  <c r="AN173" i="34"/>
  <c r="AM173" i="34"/>
  <c r="AJ224" i="34"/>
  <c r="AP224" i="34" s="1"/>
  <c r="AR224" i="34" s="1"/>
  <c r="AN224" i="34"/>
  <c r="AM224" i="34"/>
  <c r="AJ209" i="34"/>
  <c r="AP209" i="34" s="1"/>
  <c r="AR209" i="34" s="1"/>
  <c r="AN209" i="34"/>
  <c r="AM209" i="34"/>
  <c r="W290" i="8"/>
  <c r="O293" i="8"/>
  <c r="V30" i="11"/>
  <c r="E30" i="11"/>
  <c r="U30" i="11" s="1"/>
  <c r="AB212" i="34"/>
  <c r="AB185" i="34"/>
  <c r="AB229" i="34"/>
  <c r="AB216" i="34"/>
  <c r="AB239" i="34"/>
  <c r="AB226" i="34"/>
  <c r="AB218" i="34"/>
  <c r="AB224" i="34"/>
  <c r="X177" i="34"/>
  <c r="AO177" i="34" s="1"/>
  <c r="X189" i="34"/>
  <c r="X244" i="34"/>
  <c r="X206" i="34"/>
  <c r="X246" i="34"/>
  <c r="AO246" i="34" s="1"/>
  <c r="X200" i="34"/>
  <c r="X221" i="34"/>
  <c r="AO221" i="34" s="1"/>
  <c r="X205" i="34"/>
  <c r="X182" i="34"/>
  <c r="AO182" i="34" s="1"/>
  <c r="X235" i="34"/>
  <c r="X232" i="34"/>
  <c r="N293" i="8"/>
  <c r="G18" i="11"/>
  <c r="G43" i="11" s="1"/>
  <c r="AA4" i="34" s="1"/>
  <c r="C43" i="11"/>
  <c r="B22" i="25"/>
  <c r="A21" i="25"/>
  <c r="U9" i="34"/>
  <c r="V249" i="34"/>
  <c r="E43" i="35"/>
  <c r="V16" i="11"/>
  <c r="W66" i="29"/>
  <c r="W69" i="29" s="1"/>
  <c r="W71" i="29" s="1"/>
  <c r="W53" i="29"/>
  <c r="E43" i="11"/>
  <c r="AJ185" i="34"/>
  <c r="AP185" i="34" s="1"/>
  <c r="AR185" i="34" s="1"/>
  <c r="AN185" i="34"/>
  <c r="AM185" i="34"/>
  <c r="E43" i="37"/>
  <c r="AO10" i="36"/>
  <c r="AO9" i="36"/>
  <c r="AB194" i="34"/>
  <c r="AB183" i="34"/>
  <c r="AB179" i="34"/>
  <c r="AB250" i="34"/>
  <c r="AB240" i="34"/>
  <c r="AB174" i="34"/>
  <c r="AB231" i="34"/>
  <c r="AB202" i="34"/>
  <c r="AB215" i="34"/>
  <c r="AB220" i="34"/>
  <c r="AB203" i="34"/>
  <c r="AB211" i="34"/>
  <c r="AB208" i="34"/>
  <c r="AB186" i="34"/>
  <c r="AB237" i="34"/>
  <c r="AB210" i="34"/>
  <c r="U204" i="34"/>
  <c r="V204" i="34" s="1"/>
  <c r="U241" i="34"/>
  <c r="V241" i="34" s="1"/>
  <c r="U188" i="34"/>
  <c r="V188" i="34" s="1"/>
  <c r="U181" i="34"/>
  <c r="V181" i="34" s="1"/>
  <c r="U196" i="34"/>
  <c r="V196" i="34" s="1"/>
  <c r="U198" i="34"/>
  <c r="V198" i="34" s="1"/>
  <c r="U176" i="34"/>
  <c r="V176" i="34" s="1"/>
  <c r="U248" i="34"/>
  <c r="V248" i="34" s="1"/>
  <c r="U197" i="34"/>
  <c r="V197" i="34" s="1"/>
  <c r="U193" i="34"/>
  <c r="V193" i="34" s="1"/>
  <c r="U251" i="34"/>
  <c r="V251" i="34" s="1"/>
  <c r="U222" i="34"/>
  <c r="V222" i="34" s="1"/>
  <c r="U288" i="8"/>
  <c r="AB241" i="34" l="1"/>
  <c r="AB197" i="34"/>
  <c r="Y4" i="38"/>
  <c r="AB222" i="34"/>
  <c r="AB248" i="34"/>
  <c r="AO11" i="36"/>
  <c r="AO6" i="36"/>
  <c r="AO5" i="36" s="1"/>
  <c r="AO2" i="36" s="1"/>
  <c r="AB251" i="34"/>
  <c r="AB176" i="34"/>
  <c r="AB188" i="34"/>
  <c r="Y4" i="36"/>
  <c r="A22" i="25"/>
  <c r="B23" i="25"/>
  <c r="C44" i="11"/>
  <c r="N297" i="8"/>
  <c r="V293" i="8"/>
  <c r="C46" i="35"/>
  <c r="C48" i="35" s="1"/>
  <c r="E8" i="4"/>
  <c r="N296" i="8"/>
  <c r="AJ205" i="34"/>
  <c r="AP205" i="34" s="1"/>
  <c r="AR205" i="34" s="1"/>
  <c r="AN205" i="34"/>
  <c r="AM205" i="34"/>
  <c r="AJ206" i="34"/>
  <c r="AP206" i="34" s="1"/>
  <c r="AR206" i="34" s="1"/>
  <c r="AN206" i="34"/>
  <c r="AM206" i="34"/>
  <c r="AC12" i="38"/>
  <c r="AC6" i="38"/>
  <c r="AC5" i="38" s="1"/>
  <c r="AC2" i="38" s="1"/>
  <c r="AC14" i="38"/>
  <c r="AB182" i="34"/>
  <c r="AB246" i="34"/>
  <c r="AB177" i="34"/>
  <c r="AO8" i="34"/>
  <c r="AO252" i="34"/>
  <c r="AO205" i="34"/>
  <c r="AO6" i="38"/>
  <c r="AO5" i="38" s="1"/>
  <c r="AO2" i="38" s="1"/>
  <c r="AO12" i="38"/>
  <c r="AO14" i="38"/>
  <c r="AJ222" i="34"/>
  <c r="AP222" i="34" s="1"/>
  <c r="AR222" i="34" s="1"/>
  <c r="AM222" i="34"/>
  <c r="AN222" i="34"/>
  <c r="AJ248" i="34"/>
  <c r="AP248" i="34" s="1"/>
  <c r="AR248" i="34" s="1"/>
  <c r="AN248" i="34"/>
  <c r="AM248" i="34"/>
  <c r="AJ181" i="34"/>
  <c r="AP181" i="34" s="1"/>
  <c r="AR181" i="34" s="1"/>
  <c r="AN181" i="34"/>
  <c r="AM181" i="34"/>
  <c r="V12" i="34"/>
  <c r="U6" i="34"/>
  <c r="U5" i="34" s="1"/>
  <c r="U32" i="34"/>
  <c r="V35" i="34"/>
  <c r="U103" i="34"/>
  <c r="U7" i="34"/>
  <c r="S8" i="6"/>
  <c r="T8" i="6" s="1"/>
  <c r="U8" i="6" s="1"/>
  <c r="W8" i="6" s="1"/>
  <c r="X8" i="6" s="1"/>
  <c r="Y8" i="6" s="1"/>
  <c r="AF32" i="6"/>
  <c r="AJ9" i="34"/>
  <c r="AP249" i="34"/>
  <c r="X2" i="34"/>
  <c r="AN88" i="34"/>
  <c r="AN100" i="34"/>
  <c r="AN114" i="34"/>
  <c r="AN83" i="34"/>
  <c r="AN17" i="34"/>
  <c r="AN19" i="34"/>
  <c r="AN140" i="34"/>
  <c r="AN129" i="34"/>
  <c r="AN65" i="34"/>
  <c r="AN127" i="34"/>
  <c r="AN150" i="34"/>
  <c r="AN71" i="34"/>
  <c r="AN90" i="34"/>
  <c r="AN92" i="34"/>
  <c r="AN94" i="34"/>
  <c r="AN98" i="34"/>
  <c r="AN30" i="34"/>
  <c r="AN128" i="34"/>
  <c r="AN43" i="34"/>
  <c r="AN108" i="34"/>
  <c r="AN146" i="34"/>
  <c r="AN63" i="34"/>
  <c r="AN160" i="34"/>
  <c r="AN56" i="34"/>
  <c r="AN115" i="34"/>
  <c r="AN107" i="34"/>
  <c r="AN13" i="34"/>
  <c r="AN113" i="34"/>
  <c r="AN75" i="34"/>
  <c r="AN87" i="34"/>
  <c r="AN67" i="34"/>
  <c r="AN84" i="34"/>
  <c r="AN116" i="34"/>
  <c r="AN165" i="34"/>
  <c r="AN119" i="34"/>
  <c r="AN125" i="34"/>
  <c r="AN124" i="34"/>
  <c r="AN151" i="34"/>
  <c r="AN144" i="34"/>
  <c r="AM53" i="34"/>
  <c r="AM144" i="34"/>
  <c r="AM108" i="34"/>
  <c r="AM118" i="34"/>
  <c r="AM24" i="34"/>
  <c r="AM67" i="34"/>
  <c r="AM63" i="34"/>
  <c r="AM137" i="34"/>
  <c r="AM94" i="34"/>
  <c r="AM128" i="34"/>
  <c r="AM86" i="34"/>
  <c r="AM27" i="34"/>
  <c r="AM134" i="34"/>
  <c r="AM142" i="34"/>
  <c r="AM152" i="34"/>
  <c r="AM163" i="34"/>
  <c r="AM107" i="34"/>
  <c r="AM64" i="34"/>
  <c r="AM73" i="34"/>
  <c r="AM22" i="34"/>
  <c r="AM26" i="34"/>
  <c r="AM109" i="34"/>
  <c r="AM133" i="34"/>
  <c r="AM146" i="34"/>
  <c r="AM28" i="34"/>
  <c r="AM14" i="34"/>
  <c r="AM57" i="34"/>
  <c r="AM21" i="34"/>
  <c r="AM77" i="34"/>
  <c r="AM78" i="34"/>
  <c r="AM58" i="34"/>
  <c r="AM148" i="34"/>
  <c r="AM91" i="34"/>
  <c r="AM19" i="34"/>
  <c r="AM141" i="34"/>
  <c r="AM51" i="34"/>
  <c r="AN12" i="34"/>
  <c r="AN15" i="34"/>
  <c r="AN66" i="34"/>
  <c r="AN85" i="34"/>
  <c r="AN159" i="34"/>
  <c r="AN143" i="34"/>
  <c r="AN153" i="34"/>
  <c r="AN44" i="34"/>
  <c r="AN111" i="34"/>
  <c r="AN102" i="34"/>
  <c r="AN55" i="34"/>
  <c r="AN60" i="34"/>
  <c r="AN38" i="34"/>
  <c r="AN72" i="34"/>
  <c r="AN130" i="34"/>
  <c r="AN163" i="34"/>
  <c r="AN162" i="34"/>
  <c r="AN78" i="34"/>
  <c r="AN93" i="34"/>
  <c r="AN164" i="34"/>
  <c r="AN37" i="34"/>
  <c r="AN137" i="34"/>
  <c r="AN70" i="34"/>
  <c r="AN49" i="34"/>
  <c r="AN14" i="34"/>
  <c r="AN42" i="34"/>
  <c r="AN62" i="34"/>
  <c r="AN48" i="34"/>
  <c r="AN28" i="34"/>
  <c r="AN161" i="34"/>
  <c r="AN40" i="34"/>
  <c r="AN126" i="34"/>
  <c r="AN110" i="34"/>
  <c r="AN86" i="34"/>
  <c r="AN77" i="34"/>
  <c r="AN147" i="34"/>
  <c r="AN142" i="34"/>
  <c r="AN89" i="34"/>
  <c r="AN131" i="34"/>
  <c r="AM70" i="34"/>
  <c r="AM52" i="34"/>
  <c r="AM138" i="34"/>
  <c r="AM46" i="34"/>
  <c r="AM81" i="34"/>
  <c r="AM160" i="34"/>
  <c r="AM124" i="34"/>
  <c r="AM114" i="34"/>
  <c r="AM88" i="34"/>
  <c r="AM96" i="34"/>
  <c r="AM62" i="34"/>
  <c r="AM159" i="34"/>
  <c r="AM151" i="34"/>
  <c r="AM85" i="34"/>
  <c r="AM115" i="34"/>
  <c r="AM84" i="34"/>
  <c r="AM65" i="34"/>
  <c r="AM76" i="34"/>
  <c r="AM75" i="34"/>
  <c r="AM20" i="34"/>
  <c r="AM97" i="34"/>
  <c r="AM113" i="34"/>
  <c r="AM122" i="34"/>
  <c r="AM59" i="34"/>
  <c r="AM120" i="34"/>
  <c r="AM101" i="34"/>
  <c r="AM68" i="34"/>
  <c r="AM37" i="34"/>
  <c r="AM69" i="34"/>
  <c r="AM145" i="34"/>
  <c r="AM18" i="34"/>
  <c r="AM43" i="34"/>
  <c r="AM90" i="34"/>
  <c r="AM165" i="34"/>
  <c r="AM30" i="34"/>
  <c r="AM12" i="34"/>
  <c r="AM100" i="34"/>
  <c r="AM48" i="34"/>
  <c r="AN158" i="34"/>
  <c r="AN51" i="34"/>
  <c r="AN26" i="34"/>
  <c r="AN117" i="34"/>
  <c r="AN61" i="34"/>
  <c r="AN47" i="34"/>
  <c r="AN82" i="34"/>
  <c r="AN80" i="34"/>
  <c r="AN152" i="34"/>
  <c r="AN68" i="34"/>
  <c r="AN101" i="34"/>
  <c r="AN145" i="34"/>
  <c r="AN106" i="34"/>
  <c r="AN168" i="34" s="1"/>
  <c r="AN91" i="34"/>
  <c r="AN64" i="34"/>
  <c r="AN54" i="34"/>
  <c r="AN21" i="34"/>
  <c r="AN112" i="34"/>
  <c r="AN74" i="34"/>
  <c r="AN39" i="34"/>
  <c r="AN138" i="34"/>
  <c r="AN95" i="34"/>
  <c r="AN166" i="34"/>
  <c r="AN36" i="34"/>
  <c r="AN123" i="34"/>
  <c r="AN16" i="34"/>
  <c r="AN58" i="34"/>
  <c r="AN120" i="34"/>
  <c r="AN118" i="34"/>
  <c r="AN41" i="34"/>
  <c r="AN149" i="34"/>
  <c r="AN155" i="34"/>
  <c r="AN79" i="34"/>
  <c r="AM155" i="34"/>
  <c r="AM150" i="34"/>
  <c r="AM80" i="34"/>
  <c r="AM131" i="34"/>
  <c r="AM89" i="34"/>
  <c r="AM15" i="34"/>
  <c r="AM25" i="34"/>
  <c r="AM82" i="34"/>
  <c r="AM87" i="34"/>
  <c r="AM79" i="34"/>
  <c r="AM123" i="34"/>
  <c r="AM45" i="34"/>
  <c r="AM167" i="34"/>
  <c r="AM116" i="34"/>
  <c r="AM130" i="34"/>
  <c r="AM156" i="34"/>
  <c r="AM117" i="34"/>
  <c r="AM164" i="34"/>
  <c r="AM157" i="34"/>
  <c r="AM92" i="34"/>
  <c r="AM54" i="34"/>
  <c r="AM38" i="34"/>
  <c r="AM17" i="34"/>
  <c r="AM66" i="34"/>
  <c r="AM47" i="34"/>
  <c r="AM126" i="34"/>
  <c r="AM56" i="34"/>
  <c r="AM29" i="34"/>
  <c r="AM139" i="34"/>
  <c r="AM161" i="34"/>
  <c r="AM125" i="34"/>
  <c r="AM111" i="34"/>
  <c r="AM71" i="34"/>
  <c r="AM154" i="34"/>
  <c r="AM42" i="34"/>
  <c r="AN135" i="34"/>
  <c r="AN154" i="34"/>
  <c r="AN109" i="34"/>
  <c r="AN27" i="34"/>
  <c r="AN31" i="34"/>
  <c r="AN73" i="34"/>
  <c r="AN122" i="34"/>
  <c r="AN59" i="34"/>
  <c r="AN134" i="34"/>
  <c r="AN45" i="34"/>
  <c r="AN99" i="34"/>
  <c r="AN156" i="34"/>
  <c r="AN46" i="34"/>
  <c r="AN50" i="34"/>
  <c r="AN148" i="34"/>
  <c r="AN20" i="34"/>
  <c r="AN139" i="34"/>
  <c r="AN57" i="34"/>
  <c r="AN52" i="34"/>
  <c r="AN69" i="34"/>
  <c r="AN23" i="34"/>
  <c r="AN141" i="34"/>
  <c r="AN76" i="34"/>
  <c r="AN96" i="34"/>
  <c r="AN18" i="34"/>
  <c r="AN35" i="34"/>
  <c r="AN81" i="34"/>
  <c r="AN136" i="34"/>
  <c r="AN22" i="34"/>
  <c r="AN167" i="34"/>
  <c r="AN121" i="34"/>
  <c r="AN24" i="34"/>
  <c r="AN25" i="34"/>
  <c r="AN29" i="34"/>
  <c r="AN133" i="34"/>
  <c r="AN97" i="34"/>
  <c r="AN53" i="34"/>
  <c r="AN132" i="34"/>
  <c r="AN157" i="34"/>
  <c r="AM83" i="34"/>
  <c r="AM127" i="34"/>
  <c r="AM40" i="34"/>
  <c r="AM44" i="34"/>
  <c r="AM60" i="34"/>
  <c r="AM110" i="34"/>
  <c r="AM106" i="34"/>
  <c r="AM168" i="34" s="1"/>
  <c r="AM140" i="34"/>
  <c r="AM36" i="34"/>
  <c r="AM158" i="34"/>
  <c r="AM147" i="34"/>
  <c r="AM61" i="34"/>
  <c r="AM31" i="34"/>
  <c r="AM98" i="34"/>
  <c r="AM153" i="34"/>
  <c r="AM49" i="34"/>
  <c r="AM72" i="34"/>
  <c r="AM95" i="34"/>
  <c r="AM129" i="34"/>
  <c r="AM112" i="34"/>
  <c r="AM74" i="34"/>
  <c r="AM23" i="34"/>
  <c r="AM166" i="34"/>
  <c r="AM35" i="34"/>
  <c r="AM132" i="34"/>
  <c r="AM135" i="34"/>
  <c r="AM50" i="34"/>
  <c r="AM119" i="34"/>
  <c r="AM16" i="34"/>
  <c r="AM162" i="34"/>
  <c r="AM136" i="34"/>
  <c r="AM13" i="34"/>
  <c r="AM55" i="34"/>
  <c r="AM121" i="34"/>
  <c r="AM99" i="34"/>
  <c r="AM102" i="34"/>
  <c r="AM93" i="34"/>
  <c r="AM149" i="34"/>
  <c r="AM39" i="34"/>
  <c r="AM143" i="34"/>
  <c r="AM41" i="34"/>
  <c r="V9" i="34"/>
  <c r="AB249" i="34"/>
  <c r="AB9" i="34" s="1"/>
  <c r="F18" i="11"/>
  <c r="AJ232" i="34"/>
  <c r="AP232" i="34" s="1"/>
  <c r="AR232" i="34" s="1"/>
  <c r="AN232" i="34"/>
  <c r="AM232" i="34"/>
  <c r="AJ221" i="34"/>
  <c r="AP221" i="34" s="1"/>
  <c r="AR221" i="34" s="1"/>
  <c r="AM221" i="34"/>
  <c r="AN221" i="34"/>
  <c r="AJ244" i="34"/>
  <c r="AP244" i="34" s="1"/>
  <c r="AR244" i="34" s="1"/>
  <c r="AN244" i="34"/>
  <c r="AM244" i="34"/>
  <c r="AB205" i="34"/>
  <c r="AB206" i="34"/>
  <c r="U8" i="34"/>
  <c r="V171" i="34"/>
  <c r="U252" i="34"/>
  <c r="AO232" i="34"/>
  <c r="AO7" i="34"/>
  <c r="AO103" i="34"/>
  <c r="AJ251" i="34"/>
  <c r="AP251" i="34" s="1"/>
  <c r="AR251" i="34" s="1"/>
  <c r="AM251" i="34"/>
  <c r="AN251" i="34"/>
  <c r="AJ176" i="34"/>
  <c r="AP176" i="34" s="1"/>
  <c r="AR176" i="34" s="1"/>
  <c r="AM176" i="34"/>
  <c r="AN176" i="34"/>
  <c r="AJ188" i="34"/>
  <c r="AP188" i="34" s="1"/>
  <c r="AR188" i="34" s="1"/>
  <c r="AN188" i="34"/>
  <c r="AM188" i="34"/>
  <c r="AL7" i="34"/>
  <c r="AL103" i="34"/>
  <c r="AL32" i="34"/>
  <c r="AL6" i="34"/>
  <c r="AL5" i="34" s="1"/>
  <c r="AL2" i="34" s="1"/>
  <c r="E10" i="6"/>
  <c r="E12" i="6" s="1"/>
  <c r="S5" i="6"/>
  <c r="T5" i="6" s="1"/>
  <c r="U5" i="6" s="1"/>
  <c r="W5" i="6" s="1"/>
  <c r="X5" i="6" s="1"/>
  <c r="Y5" i="6" s="1"/>
  <c r="AF29" i="6"/>
  <c r="AB198" i="34"/>
  <c r="AB196" i="34"/>
  <c r="AJ235" i="34"/>
  <c r="AP235" i="34" s="1"/>
  <c r="AR235" i="34" s="1"/>
  <c r="AM235" i="34"/>
  <c r="AN235" i="34"/>
  <c r="AJ200" i="34"/>
  <c r="AP200" i="34" s="1"/>
  <c r="AR200" i="34" s="1"/>
  <c r="AM200" i="34"/>
  <c r="AN200" i="34"/>
  <c r="AJ189" i="34"/>
  <c r="AP189" i="34" s="1"/>
  <c r="AR189" i="34" s="1"/>
  <c r="AN189" i="34"/>
  <c r="AM189" i="34"/>
  <c r="AC11" i="36"/>
  <c r="AC6" i="36"/>
  <c r="AC5" i="36" s="1"/>
  <c r="AC2" i="36" s="1"/>
  <c r="Q293" i="8"/>
  <c r="Q201" i="8"/>
  <c r="U201" i="8" s="1"/>
  <c r="U199" i="8"/>
  <c r="AB232" i="34"/>
  <c r="AB221" i="34"/>
  <c r="AB244" i="34"/>
  <c r="AO235" i="34"/>
  <c r="AO206" i="34"/>
  <c r="AJ193" i="34"/>
  <c r="AP193" i="34" s="1"/>
  <c r="AR193" i="34" s="1"/>
  <c r="AN193" i="34"/>
  <c r="AM193" i="34"/>
  <c r="AJ198" i="34"/>
  <c r="AP198" i="34" s="1"/>
  <c r="AR198" i="34" s="1"/>
  <c r="AM198" i="34"/>
  <c r="AN198" i="34"/>
  <c r="AJ241" i="34"/>
  <c r="AP241" i="34" s="1"/>
  <c r="AR241" i="34" s="1"/>
  <c r="AM241" i="34"/>
  <c r="AN241" i="34"/>
  <c r="U293" i="8"/>
  <c r="AF30" i="6"/>
  <c r="S6" i="6"/>
  <c r="T6" i="6" s="1"/>
  <c r="U6" i="6" s="1"/>
  <c r="W6" i="6" s="1"/>
  <c r="X6" i="6" s="1"/>
  <c r="Y6" i="6" s="1"/>
  <c r="AN8" i="34"/>
  <c r="AN252" i="34"/>
  <c r="AJ252" i="34"/>
  <c r="AP171" i="34"/>
  <c r="AJ8" i="34"/>
  <c r="AB193" i="34"/>
  <c r="AB204" i="34"/>
  <c r="Y4" i="34"/>
  <c r="AB181" i="34"/>
  <c r="AJ182" i="34"/>
  <c r="AP182" i="34" s="1"/>
  <c r="AR182" i="34" s="1"/>
  <c r="AN182" i="34"/>
  <c r="AM182" i="34"/>
  <c r="AJ246" i="34"/>
  <c r="AP246" i="34" s="1"/>
  <c r="AR246" i="34" s="1"/>
  <c r="AM246" i="34"/>
  <c r="AN246" i="34"/>
  <c r="AJ177" i="34"/>
  <c r="AP177" i="34" s="1"/>
  <c r="AR177" i="34" s="1"/>
  <c r="AN177" i="34"/>
  <c r="AM177" i="34"/>
  <c r="O297" i="8"/>
  <c r="W293" i="8"/>
  <c r="C46" i="37"/>
  <c r="C48" i="37" s="1"/>
  <c r="E8" i="5"/>
  <c r="O296" i="8"/>
  <c r="AB235" i="34"/>
  <c r="AB200" i="34"/>
  <c r="AB189" i="34"/>
  <c r="AO32" i="34"/>
  <c r="AO6" i="34"/>
  <c r="AO5" i="34" s="1"/>
  <c r="AO2" i="34" s="1"/>
  <c r="AO189" i="34"/>
  <c r="AO244" i="34"/>
  <c r="AO200" i="34"/>
  <c r="AC173" i="34"/>
  <c r="AC202" i="34"/>
  <c r="AC19" i="34"/>
  <c r="AC37" i="34"/>
  <c r="AC90" i="34"/>
  <c r="AC108" i="34"/>
  <c r="AC136" i="34"/>
  <c r="AC199" i="34"/>
  <c r="AC221" i="34"/>
  <c r="AC167" i="34"/>
  <c r="AC133" i="34"/>
  <c r="AC49" i="34"/>
  <c r="AC50" i="34"/>
  <c r="AC97" i="34"/>
  <c r="AC237" i="34"/>
  <c r="AC192" i="34"/>
  <c r="AC119" i="34"/>
  <c r="AC26" i="34"/>
  <c r="AC84" i="34"/>
  <c r="AC151" i="34"/>
  <c r="AC102" i="34"/>
  <c r="AC197" i="34"/>
  <c r="AC55" i="34"/>
  <c r="AC193" i="34"/>
  <c r="AC165" i="34"/>
  <c r="AC196" i="34"/>
  <c r="AC149" i="34"/>
  <c r="AC163" i="34"/>
  <c r="AC195" i="34"/>
  <c r="AC224" i="34"/>
  <c r="AC220" i="34"/>
  <c r="AC120" i="34"/>
  <c r="AC71" i="34"/>
  <c r="AC89" i="34"/>
  <c r="AC68" i="34"/>
  <c r="AC214" i="34"/>
  <c r="AC230" i="34"/>
  <c r="AC206" i="34"/>
  <c r="AC38" i="34"/>
  <c r="AC141" i="34"/>
  <c r="AC135" i="34"/>
  <c r="AC123" i="34"/>
  <c r="AC40" i="34"/>
  <c r="AC215" i="34"/>
  <c r="AC225" i="34"/>
  <c r="AC18" i="34"/>
  <c r="AC113" i="34"/>
  <c r="AC126" i="34"/>
  <c r="AC130" i="34"/>
  <c r="AC127" i="34"/>
  <c r="AC204" i="34"/>
  <c r="AC150" i="34"/>
  <c r="AC180" i="34"/>
  <c r="AC58" i="34"/>
  <c r="AC234" i="34"/>
  <c r="AC142" i="34"/>
  <c r="AC41" i="34"/>
  <c r="AC233" i="34"/>
  <c r="AC181" i="34"/>
  <c r="AC235" i="34"/>
  <c r="AC96" i="34"/>
  <c r="AC140" i="34"/>
  <c r="AC131" i="34"/>
  <c r="AC91" i="34"/>
  <c r="AC178" i="34"/>
  <c r="AC209" i="34"/>
  <c r="AC208" i="34"/>
  <c r="AC16" i="34"/>
  <c r="AC166" i="34"/>
  <c r="AC28" i="34"/>
  <c r="AC61" i="34"/>
  <c r="AC62" i="34"/>
  <c r="AC186" i="34"/>
  <c r="AC217" i="34"/>
  <c r="AC25" i="34"/>
  <c r="AC109" i="34"/>
  <c r="AC125" i="34"/>
  <c r="AC99" i="34"/>
  <c r="AC46" i="34"/>
  <c r="AC39" i="34"/>
  <c r="AC23" i="34"/>
  <c r="AC107" i="34"/>
  <c r="AC60" i="34"/>
  <c r="AC117" i="34"/>
  <c r="AC251" i="34"/>
  <c r="AC154" i="34"/>
  <c r="AC222" i="34"/>
  <c r="AC219" i="34"/>
  <c r="AC121" i="34"/>
  <c r="AC152" i="34"/>
  <c r="AC164" i="34"/>
  <c r="AC77" i="34"/>
  <c r="AC57" i="34"/>
  <c r="AC210" i="34"/>
  <c r="AC176" i="34"/>
  <c r="AC226" i="34"/>
  <c r="AC92" i="34"/>
  <c r="AC52" i="34"/>
  <c r="AC30" i="34"/>
  <c r="AC93" i="34"/>
  <c r="AC44" i="34"/>
  <c r="AC218" i="34"/>
  <c r="AC236" i="34"/>
  <c r="AC24" i="34"/>
  <c r="AC63" i="34"/>
  <c r="AC27" i="34"/>
  <c r="AC155" i="34"/>
  <c r="AC42" i="34"/>
  <c r="AC194" i="34"/>
  <c r="AC156" i="34"/>
  <c r="AC162" i="34"/>
  <c r="AC29" i="34"/>
  <c r="AC242" i="34"/>
  <c r="AC94" i="34"/>
  <c r="AC110" i="34"/>
  <c r="AC227" i="34"/>
  <c r="AC172" i="34"/>
  <c r="AC171" i="34"/>
  <c r="AC69" i="34"/>
  <c r="AC75" i="34"/>
  <c r="AC76" i="34"/>
  <c r="AC147" i="34"/>
  <c r="AC200" i="34"/>
  <c r="AC232" i="34"/>
  <c r="AC223" i="34"/>
  <c r="AC51" i="34"/>
  <c r="AC129" i="34"/>
  <c r="AC115" i="34"/>
  <c r="AC53" i="34"/>
  <c r="AC175" i="34"/>
  <c r="AC246" i="34"/>
  <c r="AC229" i="34"/>
  <c r="AC148" i="34"/>
  <c r="AC72" i="34"/>
  <c r="AC67" i="34"/>
  <c r="AC86" i="34"/>
  <c r="AC35" i="34"/>
  <c r="AC116" i="34"/>
  <c r="AC12" i="34"/>
  <c r="AC74" i="34"/>
  <c r="AC13" i="34"/>
  <c r="AC21" i="34"/>
  <c r="AC231" i="34"/>
  <c r="AC134" i="34"/>
  <c r="AC211" i="34"/>
  <c r="AC190" i="34"/>
  <c r="AC137" i="34"/>
  <c r="AC78" i="34"/>
  <c r="AC143" i="34"/>
  <c r="AC153" i="34"/>
  <c r="AC145" i="34"/>
  <c r="AC188" i="34"/>
  <c r="AC203" i="34"/>
  <c r="AC124" i="34"/>
  <c r="AC31" i="34"/>
  <c r="AC87" i="34"/>
  <c r="AC249" i="34"/>
  <c r="AC9" i="34" s="1"/>
  <c r="AC47" i="34"/>
  <c r="AC240" i="34"/>
  <c r="AC184" i="34"/>
  <c r="AC185" i="34"/>
  <c r="AC157" i="34"/>
  <c r="AC118" i="34"/>
  <c r="AC15" i="34"/>
  <c r="AC20" i="34"/>
  <c r="AC132" i="34"/>
  <c r="AC98" i="34"/>
  <c r="AC100" i="34"/>
  <c r="AC14" i="34"/>
  <c r="AC139" i="34"/>
  <c r="AC146" i="34"/>
  <c r="AC212" i="34"/>
  <c r="AC182" i="34"/>
  <c r="AC205" i="34"/>
  <c r="AC250" i="34"/>
  <c r="AC79" i="34"/>
  <c r="AC81" i="34"/>
  <c r="AC158" i="34"/>
  <c r="AC112" i="34"/>
  <c r="AC73" i="34"/>
  <c r="AC179" i="34"/>
  <c r="AC187" i="34"/>
  <c r="AC83" i="34"/>
  <c r="AC48" i="34"/>
  <c r="AC43" i="34"/>
  <c r="AC128" i="34"/>
  <c r="AC66" i="34"/>
  <c r="AC245" i="34"/>
  <c r="AC228" i="34"/>
  <c r="AC174" i="34"/>
  <c r="AC80" i="34"/>
  <c r="AC138" i="34"/>
  <c r="AC122" i="34"/>
  <c r="AC95" i="34"/>
  <c r="AC183" i="34"/>
  <c r="AC54" i="34"/>
  <c r="AC244" i="34"/>
  <c r="AC85" i="34"/>
  <c r="AC243" i="34"/>
  <c r="AC160" i="34"/>
  <c r="AC241" i="34"/>
  <c r="AC36" i="34"/>
  <c r="AC191" i="34"/>
  <c r="AC248" i="34"/>
  <c r="AC88" i="34"/>
  <c r="AC65" i="34"/>
  <c r="AC198" i="34"/>
  <c r="AC189" i="34"/>
  <c r="AC177" i="34"/>
  <c r="AC161" i="34"/>
  <c r="AC56" i="34"/>
  <c r="AC144" i="34"/>
  <c r="AC101" i="34"/>
  <c r="AC22" i="34"/>
  <c r="AC17" i="34"/>
  <c r="AC70" i="34"/>
  <c r="AC216" i="34"/>
  <c r="AC239" i="34"/>
  <c r="AC45" i="34"/>
  <c r="AC114" i="34"/>
  <c r="AC201" i="34"/>
  <c r="AC64" i="34"/>
  <c r="AC59" i="34"/>
  <c r="AC111" i="34"/>
  <c r="AC82" i="34"/>
  <c r="AC207" i="34"/>
  <c r="AC213" i="34"/>
  <c r="AC159" i="34"/>
  <c r="AC247" i="34"/>
  <c r="AC238" i="34"/>
  <c r="AJ197" i="34"/>
  <c r="AP197" i="34" s="1"/>
  <c r="AR197" i="34" s="1"/>
  <c r="AN197" i="34"/>
  <c r="AM197" i="34"/>
  <c r="AJ196" i="34"/>
  <c r="AP196" i="34" s="1"/>
  <c r="AR196" i="34" s="1"/>
  <c r="AN196" i="34"/>
  <c r="AM196" i="34"/>
  <c r="V106" i="34"/>
  <c r="U168" i="34"/>
  <c r="AJ204" i="34"/>
  <c r="AP204" i="34" s="1"/>
  <c r="AR204" i="34" s="1"/>
  <c r="AM204" i="34"/>
  <c r="AN204" i="34"/>
  <c r="AF31" i="6"/>
  <c r="S7" i="6"/>
  <c r="T7" i="6" s="1"/>
  <c r="U7" i="6" s="1"/>
  <c r="W7" i="6" s="1"/>
  <c r="X7" i="6" s="1"/>
  <c r="Y7" i="6" s="1"/>
  <c r="AM252" i="34"/>
  <c r="AM8" i="34"/>
  <c r="V168" i="34" l="1"/>
  <c r="AB106" i="34"/>
  <c r="AB168" i="34" s="1"/>
  <c r="AC7" i="34"/>
  <c r="AC103" i="34"/>
  <c r="AC106" i="34"/>
  <c r="AC168" i="34" s="1"/>
  <c r="Y195" i="34"/>
  <c r="Y84" i="34"/>
  <c r="Y131" i="34"/>
  <c r="Y60" i="34"/>
  <c r="Y110" i="34"/>
  <c r="Y48" i="34"/>
  <c r="Y79" i="34"/>
  <c r="Y210" i="34"/>
  <c r="Y92" i="34"/>
  <c r="Y101" i="34"/>
  <c r="Y18" i="34"/>
  <c r="Y218" i="34"/>
  <c r="Y24" i="34"/>
  <c r="Y244" i="34"/>
  <c r="Y137" i="34"/>
  <c r="Y226" i="34"/>
  <c r="Y106" i="34"/>
  <c r="Y58" i="34"/>
  <c r="Y25" i="34"/>
  <c r="Y184" i="34"/>
  <c r="Y234" i="34"/>
  <c r="Y47" i="34"/>
  <c r="Y143" i="34"/>
  <c r="Y75" i="34"/>
  <c r="Y151" i="34"/>
  <c r="Y167" i="34"/>
  <c r="Y240" i="34"/>
  <c r="Y211" i="34"/>
  <c r="Y145" i="34"/>
  <c r="Y61" i="34"/>
  <c r="Y129" i="34"/>
  <c r="Y87" i="34"/>
  <c r="Y149" i="34"/>
  <c r="Y245" i="34"/>
  <c r="Y242" i="34"/>
  <c r="Y111" i="34"/>
  <c r="Y126" i="34"/>
  <c r="Y209" i="34"/>
  <c r="Y115" i="34"/>
  <c r="Y102" i="34"/>
  <c r="Y239" i="34"/>
  <c r="Y116" i="34"/>
  <c r="Y88" i="34"/>
  <c r="Y247" i="34"/>
  <c r="Y52" i="34"/>
  <c r="Y56" i="34"/>
  <c r="Y72" i="34"/>
  <c r="Y249" i="34"/>
  <c r="Y41" i="34"/>
  <c r="Y227" i="34"/>
  <c r="Y238" i="34"/>
  <c r="Y93" i="34"/>
  <c r="Y181" i="34"/>
  <c r="Y40" i="34"/>
  <c r="Y136" i="34"/>
  <c r="Y219" i="34"/>
  <c r="Y175" i="34"/>
  <c r="Y185" i="34"/>
  <c r="Y123" i="34"/>
  <c r="Y186" i="34"/>
  <c r="Y31" i="34"/>
  <c r="Y63" i="34"/>
  <c r="Y193" i="34"/>
  <c r="Y237" i="34"/>
  <c r="Y183" i="34"/>
  <c r="Y124" i="34"/>
  <c r="Y220" i="34"/>
  <c r="Y235" i="34"/>
  <c r="Y182" i="34"/>
  <c r="Y68" i="34"/>
  <c r="Y157" i="34"/>
  <c r="Y251" i="34"/>
  <c r="Y212" i="34"/>
  <c r="Y206" i="34"/>
  <c r="Y45" i="34"/>
  <c r="Y164" i="34"/>
  <c r="Y44" i="34"/>
  <c r="Y57" i="34"/>
  <c r="Y153" i="34"/>
  <c r="Y135" i="34"/>
  <c r="Y214" i="34"/>
  <c r="Y161" i="34"/>
  <c r="Y95" i="34"/>
  <c r="Y156" i="34"/>
  <c r="Y132" i="34"/>
  <c r="Y81" i="34"/>
  <c r="Y71" i="34"/>
  <c r="Y194" i="34"/>
  <c r="Y98" i="34"/>
  <c r="Y204" i="34"/>
  <c r="Y26" i="34"/>
  <c r="Y217" i="34"/>
  <c r="Y77" i="34"/>
  <c r="Y35" i="34"/>
  <c r="Y28" i="34"/>
  <c r="Y113" i="34"/>
  <c r="Y152" i="34"/>
  <c r="Y74" i="34"/>
  <c r="Y250" i="34"/>
  <c r="Y13" i="34"/>
  <c r="Y80" i="34"/>
  <c r="Y166" i="34"/>
  <c r="Y148" i="34"/>
  <c r="Y12" i="34"/>
  <c r="Y36" i="34"/>
  <c r="Y97" i="34"/>
  <c r="Y203" i="34"/>
  <c r="Y67" i="34"/>
  <c r="Y127" i="34"/>
  <c r="Y159" i="34"/>
  <c r="Y188" i="34"/>
  <c r="Y216" i="34"/>
  <c r="Y207" i="34"/>
  <c r="Y158" i="34"/>
  <c r="Y120" i="34"/>
  <c r="Y177" i="34"/>
  <c r="Y208" i="34"/>
  <c r="Y117" i="34"/>
  <c r="Y232" i="34"/>
  <c r="Y180" i="34"/>
  <c r="Y70" i="34"/>
  <c r="Y121" i="34"/>
  <c r="Y196" i="34"/>
  <c r="Y171" i="34"/>
  <c r="Y133" i="34"/>
  <c r="Y241" i="34"/>
  <c r="Y231" i="34"/>
  <c r="Y82" i="34"/>
  <c r="Y14" i="34"/>
  <c r="Y50" i="34"/>
  <c r="Y85" i="34"/>
  <c r="Y114" i="34"/>
  <c r="Y21" i="34"/>
  <c r="Y51" i="34"/>
  <c r="Y230" i="34"/>
  <c r="Y38" i="34"/>
  <c r="Y201" i="34"/>
  <c r="Y134" i="34"/>
  <c r="Y16" i="34"/>
  <c r="Y155" i="34"/>
  <c r="Y223" i="34"/>
  <c r="Y128" i="34"/>
  <c r="Y200" i="34"/>
  <c r="Y142" i="34"/>
  <c r="Y118" i="34"/>
  <c r="Y69" i="34"/>
  <c r="Y30" i="34"/>
  <c r="Y94" i="34"/>
  <c r="Y199" i="34"/>
  <c r="Y125" i="34"/>
  <c r="Y202" i="34"/>
  <c r="Y160" i="34"/>
  <c r="Y49" i="34"/>
  <c r="Y89" i="34"/>
  <c r="Y119" i="34"/>
  <c r="Y172" i="34"/>
  <c r="Y189" i="34"/>
  <c r="Y78" i="34"/>
  <c r="Y53" i="34"/>
  <c r="Y66" i="34"/>
  <c r="Y190" i="34"/>
  <c r="Y187" i="34"/>
  <c r="Y224" i="34"/>
  <c r="Y112" i="34"/>
  <c r="Y107" i="34"/>
  <c r="Y19" i="34"/>
  <c r="Y23" i="34"/>
  <c r="Y173" i="34"/>
  <c r="Y225" i="34"/>
  <c r="Y138" i="34"/>
  <c r="Y122" i="34"/>
  <c r="Y163" i="34"/>
  <c r="Y22" i="34"/>
  <c r="Y150" i="34"/>
  <c r="Y179" i="34"/>
  <c r="Y64" i="34"/>
  <c r="Y86" i="34"/>
  <c r="Y141" i="34"/>
  <c r="Y37" i="34"/>
  <c r="Y146" i="34"/>
  <c r="Y15" i="34"/>
  <c r="Y213" i="34"/>
  <c r="Y233" i="34"/>
  <c r="Y20" i="34"/>
  <c r="Y62" i="34"/>
  <c r="Y17" i="34"/>
  <c r="Y191" i="34"/>
  <c r="Y100" i="34"/>
  <c r="Y144" i="34"/>
  <c r="Y162" i="34"/>
  <c r="Y236" i="34"/>
  <c r="Y139" i="34"/>
  <c r="Y99" i="34"/>
  <c r="Y215" i="34"/>
  <c r="Y55" i="34"/>
  <c r="Y91" i="34"/>
  <c r="Y130" i="34"/>
  <c r="Y43" i="34"/>
  <c r="Y229" i="34"/>
  <c r="Y73" i="34"/>
  <c r="Y248" i="34"/>
  <c r="Y165" i="34"/>
  <c r="Y59" i="34"/>
  <c r="Y246" i="34"/>
  <c r="Y205" i="34"/>
  <c r="Y76" i="34"/>
  <c r="Y222" i="34"/>
  <c r="Y154" i="34"/>
  <c r="Y90" i="34"/>
  <c r="Y221" i="34"/>
  <c r="Y65" i="34"/>
  <c r="Y39" i="34"/>
  <c r="Y83" i="34"/>
  <c r="Y42" i="34"/>
  <c r="Y29" i="34"/>
  <c r="Y54" i="34"/>
  <c r="Y108" i="34"/>
  <c r="Y243" i="34"/>
  <c r="Y109" i="34"/>
  <c r="Y228" i="34"/>
  <c r="Y174" i="34"/>
  <c r="Y198" i="34"/>
  <c r="Y197" i="34"/>
  <c r="Y147" i="34"/>
  <c r="Y46" i="34"/>
  <c r="Y140" i="34"/>
  <c r="Y178" i="34"/>
  <c r="Y27" i="34"/>
  <c r="Y176" i="34"/>
  <c r="Y96" i="34"/>
  <c r="Y192" i="34"/>
  <c r="AB6" i="6"/>
  <c r="AF21" i="6" s="1"/>
  <c r="Z6" i="6"/>
  <c r="Y293" i="8"/>
  <c r="C46" i="11"/>
  <c r="C48" i="11" s="1"/>
  <c r="Q297" i="8"/>
  <c r="E8" i="3"/>
  <c r="Q296" i="8"/>
  <c r="U296" i="8" s="1"/>
  <c r="V8" i="34"/>
  <c r="AI171" i="34" s="1"/>
  <c r="V252" i="34"/>
  <c r="AB171" i="34"/>
  <c r="AN32" i="34"/>
  <c r="AN6" i="34"/>
  <c r="AN5" i="34" s="1"/>
  <c r="AN2" i="34" s="1"/>
  <c r="AR249" i="34"/>
  <c r="AP9" i="34"/>
  <c r="Y10" i="36"/>
  <c r="Y9" i="36"/>
  <c r="AB7" i="6"/>
  <c r="AF22" i="6" s="1"/>
  <c r="Z7" i="6"/>
  <c r="AM7" i="34"/>
  <c r="AM103" i="34"/>
  <c r="V32" i="34"/>
  <c r="V6" i="34"/>
  <c r="V5" i="34" s="1"/>
  <c r="U2" i="34" s="1"/>
  <c r="AB12" i="34"/>
  <c r="B24" i="25"/>
  <c r="A23" i="25"/>
  <c r="AC6" i="34"/>
  <c r="AC5" i="34" s="1"/>
  <c r="AC2" i="34" s="1"/>
  <c r="AC32" i="34"/>
  <c r="Q6" i="5"/>
  <c r="R6" i="5" s="1"/>
  <c r="Q5" i="5"/>
  <c r="R5" i="5" s="1"/>
  <c r="H41" i="2"/>
  <c r="H49" i="2" s="1"/>
  <c r="Q8" i="5"/>
  <c r="R8" i="5" s="1"/>
  <c r="Q7" i="5"/>
  <c r="R7" i="5" s="1"/>
  <c r="AP252" i="34"/>
  <c r="AP8" i="34"/>
  <c r="AR171" i="34"/>
  <c r="AB5" i="6"/>
  <c r="AF20" i="6" s="1"/>
  <c r="Z5" i="6"/>
  <c r="F43" i="11"/>
  <c r="U18" i="11"/>
  <c r="AN7" i="34"/>
  <c r="AN103" i="34"/>
  <c r="AM6" i="34"/>
  <c r="AM5" i="34" s="1"/>
  <c r="AM2" i="34" s="1"/>
  <c r="AM32" i="34"/>
  <c r="AB8" i="6"/>
  <c r="AF23" i="6" s="1"/>
  <c r="Z8" i="6"/>
  <c r="V103" i="34"/>
  <c r="V7" i="34"/>
  <c r="AB35" i="34"/>
  <c r="Y10" i="38"/>
  <c r="Y11" i="38"/>
  <c r="Y9" i="38"/>
  <c r="AC252" i="34"/>
  <c r="AC8" i="34"/>
  <c r="Q6" i="4"/>
  <c r="R6" i="4" s="1"/>
  <c r="G41" i="2"/>
  <c r="G49" i="2" s="1"/>
  <c r="Q7" i="4"/>
  <c r="R7" i="4" s="1"/>
  <c r="Q8" i="4"/>
  <c r="R8" i="4" s="1"/>
  <c r="Q5" i="4"/>
  <c r="R5" i="4" s="1"/>
  <c r="AI252" i="34" l="1"/>
  <c r="AI8" i="34"/>
  <c r="AI5" i="34" s="1"/>
  <c r="AI2" i="34" s="1"/>
  <c r="AF29" i="4"/>
  <c r="E10" i="4"/>
  <c r="E12" i="4" s="1"/>
  <c r="S5" i="4"/>
  <c r="T5" i="4" s="1"/>
  <c r="U5" i="4" s="1"/>
  <c r="W5" i="4" s="1"/>
  <c r="X5" i="4" s="1"/>
  <c r="Y5" i="4" s="1"/>
  <c r="Z4" i="34"/>
  <c r="A24" i="25"/>
  <c r="B25" i="25"/>
  <c r="E8" i="2"/>
  <c r="Q6" i="3"/>
  <c r="R6" i="3" s="1"/>
  <c r="Q5" i="3"/>
  <c r="R5" i="3" s="1"/>
  <c r="F41" i="2"/>
  <c r="Q7" i="3"/>
  <c r="R7" i="3" s="1"/>
  <c r="Q8" i="3"/>
  <c r="R8" i="3" s="1"/>
  <c r="AF32" i="4"/>
  <c r="S8" i="4"/>
  <c r="T8" i="4" s="1"/>
  <c r="U8" i="4" s="1"/>
  <c r="W8" i="4" s="1"/>
  <c r="X8" i="4" s="1"/>
  <c r="Y8" i="4" s="1"/>
  <c r="Y12" i="38"/>
  <c r="Y6" i="38"/>
  <c r="Y14" i="38"/>
  <c r="AA8" i="6"/>
  <c r="AF17" i="6" s="1"/>
  <c r="AF41" i="6"/>
  <c r="R14" i="6"/>
  <c r="AB252" i="34"/>
  <c r="AB8" i="34"/>
  <c r="AF39" i="6"/>
  <c r="AA6" i="6"/>
  <c r="AF15" i="6" s="1"/>
  <c r="R12" i="6"/>
  <c r="Y7" i="34"/>
  <c r="Y103" i="34"/>
  <c r="AB7" i="34"/>
  <c r="AB103" i="34"/>
  <c r="S5" i="5"/>
  <c r="T5" i="5" s="1"/>
  <c r="U5" i="5" s="1"/>
  <c r="W5" i="5" s="1"/>
  <c r="X5" i="5" s="1"/>
  <c r="Y5" i="5" s="1"/>
  <c r="AF29" i="5"/>
  <c r="E10" i="5"/>
  <c r="E12" i="5" s="1"/>
  <c r="R13" i="6"/>
  <c r="AA7" i="6"/>
  <c r="AF16" i="6" s="1"/>
  <c r="AF40" i="6"/>
  <c r="Y6" i="36"/>
  <c r="Y11" i="36"/>
  <c r="Y168" i="34"/>
  <c r="AF31" i="4"/>
  <c r="S7" i="4"/>
  <c r="T7" i="4" s="1"/>
  <c r="U7" i="4" s="1"/>
  <c r="W7" i="4" s="1"/>
  <c r="X7" i="4" s="1"/>
  <c r="Y7" i="4" s="1"/>
  <c r="AF30" i="4"/>
  <c r="S6" i="4"/>
  <c r="T6" i="4" s="1"/>
  <c r="U6" i="4" s="1"/>
  <c r="W6" i="4" s="1"/>
  <c r="X6" i="4" s="1"/>
  <c r="Y6" i="4" s="1"/>
  <c r="V18" i="11"/>
  <c r="R11" i="6"/>
  <c r="AF38" i="6"/>
  <c r="AA5" i="6"/>
  <c r="AF14" i="6" s="1"/>
  <c r="S7" i="5"/>
  <c r="T7" i="5" s="1"/>
  <c r="U7" i="5" s="1"/>
  <c r="W7" i="5" s="1"/>
  <c r="X7" i="5" s="1"/>
  <c r="Y7" i="5" s="1"/>
  <c r="AF31" i="5"/>
  <c r="AF32" i="5"/>
  <c r="S8" i="5"/>
  <c r="T8" i="5" s="1"/>
  <c r="U8" i="5" s="1"/>
  <c r="W8" i="5" s="1"/>
  <c r="X8" i="5" s="1"/>
  <c r="Y8" i="5" s="1"/>
  <c r="S6" i="5"/>
  <c r="T6" i="5" s="1"/>
  <c r="U6" i="5" s="1"/>
  <c r="W6" i="5" s="1"/>
  <c r="X6" i="5" s="1"/>
  <c r="Y6" i="5" s="1"/>
  <c r="AF30" i="5"/>
  <c r="AB32" i="34"/>
  <c r="AB6" i="34"/>
  <c r="AB5" i="34" s="1"/>
  <c r="AB2" i="34" s="1"/>
  <c r="AI217" i="34"/>
  <c r="AI187" i="34"/>
  <c r="AI219" i="34"/>
  <c r="AI202" i="34"/>
  <c r="AI201" i="34"/>
  <c r="AI195" i="34"/>
  <c r="AI211" i="34"/>
  <c r="AI174" i="34"/>
  <c r="AI233" i="34"/>
  <c r="AI218" i="34"/>
  <c r="AI199" i="34"/>
  <c r="AI215" i="34"/>
  <c r="AI216" i="34"/>
  <c r="AI173" i="34"/>
  <c r="AI203" i="34"/>
  <c r="AI207" i="34"/>
  <c r="AI194" i="34"/>
  <c r="AI183" i="34"/>
  <c r="AI172" i="34"/>
  <c r="AI242" i="34"/>
  <c r="AI229" i="34"/>
  <c r="AI247" i="34"/>
  <c r="AI240" i="34"/>
  <c r="AI179" i="34"/>
  <c r="AI224" i="34"/>
  <c r="AI236" i="34"/>
  <c r="AI185" i="34"/>
  <c r="AI214" i="34"/>
  <c r="AI228" i="34"/>
  <c r="AI227" i="34"/>
  <c r="AI184" i="34"/>
  <c r="AI245" i="34"/>
  <c r="AI180" i="34"/>
  <c r="AI178" i="34"/>
  <c r="AI239" i="34"/>
  <c r="AI212" i="34"/>
  <c r="AI208" i="34"/>
  <c r="AI213" i="34"/>
  <c r="AI191" i="34"/>
  <c r="AI209" i="34"/>
  <c r="AI226" i="34"/>
  <c r="AI225" i="34"/>
  <c r="AI223" i="34"/>
  <c r="AI231" i="34"/>
  <c r="AI238" i="34"/>
  <c r="AI175" i="34"/>
  <c r="AI250" i="34"/>
  <c r="AI234" i="34"/>
  <c r="AI220" i="34"/>
  <c r="AI237" i="34"/>
  <c r="AI210" i="34"/>
  <c r="AI230" i="34"/>
  <c r="AI243" i="34"/>
  <c r="AI192" i="34"/>
  <c r="AI190" i="34"/>
  <c r="AI186" i="34"/>
  <c r="AI206" i="34"/>
  <c r="AI198" i="34"/>
  <c r="AA214" i="34"/>
  <c r="AA178" i="34"/>
  <c r="AA199" i="34"/>
  <c r="AA205" i="34"/>
  <c r="AA213" i="34"/>
  <c r="AA186" i="34"/>
  <c r="AA215" i="34"/>
  <c r="AA228" i="34"/>
  <c r="AA196" i="34"/>
  <c r="AA251" i="34"/>
  <c r="AA242" i="34"/>
  <c r="AA216" i="34"/>
  <c r="AA230" i="34"/>
  <c r="AA208" i="34"/>
  <c r="AA234" i="34"/>
  <c r="AA184" i="34"/>
  <c r="AA185" i="34"/>
  <c r="AA247" i="34"/>
  <c r="AA204" i="34"/>
  <c r="AA232" i="34"/>
  <c r="AA171" i="34"/>
  <c r="AI221" i="34"/>
  <c r="AI200" i="34"/>
  <c r="AI241" i="34"/>
  <c r="AI248" i="34"/>
  <c r="AI251" i="34"/>
  <c r="AI188" i="34"/>
  <c r="AI182" i="34"/>
  <c r="AI177" i="34"/>
  <c r="AA194" i="34"/>
  <c r="AA212" i="34"/>
  <c r="AA197" i="34"/>
  <c r="AA237" i="34"/>
  <c r="AA218" i="34"/>
  <c r="AA191" i="34"/>
  <c r="AA176" i="34"/>
  <c r="AA241" i="34"/>
  <c r="AA202" i="34"/>
  <c r="AA246" i="34"/>
  <c r="AA235" i="34"/>
  <c r="AA223" i="34"/>
  <c r="AA187" i="34"/>
  <c r="AA173" i="34"/>
  <c r="AA249" i="34"/>
  <c r="AA9" i="34" s="1"/>
  <c r="AA193" i="34"/>
  <c r="AA198" i="34"/>
  <c r="AA239" i="34"/>
  <c r="AA226" i="34"/>
  <c r="AA182" i="34"/>
  <c r="AI204" i="34"/>
  <c r="AI181" i="34"/>
  <c r="AI249" i="34"/>
  <c r="AI9" i="34" s="1"/>
  <c r="AI205" i="34"/>
  <c r="AI196" i="34"/>
  <c r="AA174" i="34"/>
  <c r="AA189" i="34"/>
  <c r="AA200" i="34"/>
  <c r="AA227" i="34"/>
  <c r="AA210" i="34"/>
  <c r="AA245" i="34"/>
  <c r="AA243" i="34"/>
  <c r="AA207" i="34"/>
  <c r="AA209" i="34"/>
  <c r="AA221" i="34"/>
  <c r="AA175" i="34"/>
  <c r="AA248" i="34"/>
  <c r="AA180" i="34"/>
  <c r="AA183" i="34"/>
  <c r="AA231" i="34"/>
  <c r="AA240" i="34"/>
  <c r="AA224" i="34"/>
  <c r="AA181" i="34"/>
  <c r="AA179" i="34"/>
  <c r="AA219" i="34"/>
  <c r="AI232" i="34"/>
  <c r="AI244" i="34"/>
  <c r="AI235" i="34"/>
  <c r="AI189" i="34"/>
  <c r="AI197" i="34"/>
  <c r="AI222" i="34"/>
  <c r="AI176" i="34"/>
  <c r="AI246" i="34"/>
  <c r="AA172" i="34"/>
  <c r="AA177" i="34"/>
  <c r="AA250" i="34"/>
  <c r="AA190" i="34"/>
  <c r="AA233" i="34"/>
  <c r="AA238" i="34"/>
  <c r="AA244" i="34"/>
  <c r="AA220" i="34"/>
  <c r="AA192" i="34"/>
  <c r="AA225" i="34"/>
  <c r="AA203" i="34"/>
  <c r="AA211" i="34"/>
  <c r="AA201" i="34"/>
  <c r="AA206" i="34"/>
  <c r="AA236" i="34"/>
  <c r="AA229" i="34"/>
  <c r="AA222" i="34"/>
  <c r="AA188" i="34"/>
  <c r="AA217" i="34"/>
  <c r="AA195" i="34"/>
  <c r="AI193" i="34"/>
  <c r="Y8" i="34"/>
  <c r="Y252" i="34"/>
  <c r="Y32" i="34"/>
  <c r="Y6" i="34"/>
  <c r="Y9" i="34"/>
  <c r="Y5" i="34" l="1"/>
  <c r="Y2" i="34" s="1"/>
  <c r="K39" i="11"/>
  <c r="AB5" i="5"/>
  <c r="AF20" i="5" s="1"/>
  <c r="Z5" i="5"/>
  <c r="AG32" i="6"/>
  <c r="S14" i="6"/>
  <c r="T14" i="6" s="1"/>
  <c r="U14" i="6" s="1"/>
  <c r="W14" i="6" s="1"/>
  <c r="X14" i="6" s="1"/>
  <c r="Y14" i="6" s="1"/>
  <c r="S8" i="3"/>
  <c r="T8" i="3" s="1"/>
  <c r="U8" i="3" s="1"/>
  <c r="W8" i="3" s="1"/>
  <c r="X8" i="3" s="1"/>
  <c r="Y8" i="3" s="1"/>
  <c r="AF32" i="3"/>
  <c r="S6" i="3"/>
  <c r="T6" i="3" s="1"/>
  <c r="U6" i="3" s="1"/>
  <c r="W6" i="3" s="1"/>
  <c r="X6" i="3" s="1"/>
  <c r="Y6" i="3" s="1"/>
  <c r="AF30" i="3"/>
  <c r="AB6" i="5"/>
  <c r="AF21" i="5" s="1"/>
  <c r="Z6" i="5"/>
  <c r="AB7" i="5"/>
  <c r="AF22" i="5" s="1"/>
  <c r="Z7" i="5"/>
  <c r="AG29" i="6"/>
  <c r="S11" i="6"/>
  <c r="T11" i="6" s="1"/>
  <c r="U11" i="6" s="1"/>
  <c r="W11" i="6" s="1"/>
  <c r="X11" i="6" s="1"/>
  <c r="Y11" i="6" s="1"/>
  <c r="AB6" i="4"/>
  <c r="AF21" i="4" s="1"/>
  <c r="Z6" i="4"/>
  <c r="AG31" i="6"/>
  <c r="S13" i="6"/>
  <c r="T13" i="6" s="1"/>
  <c r="U13" i="6" s="1"/>
  <c r="W13" i="6" s="1"/>
  <c r="X13" i="6" s="1"/>
  <c r="Y13" i="6" s="1"/>
  <c r="K17" i="37"/>
  <c r="J17" i="37" s="1"/>
  <c r="U17" i="37" s="1"/>
  <c r="V17" i="37" s="1"/>
  <c r="Y5" i="38"/>
  <c r="Y2" i="38" s="1"/>
  <c r="K39" i="37"/>
  <c r="J39" i="37" s="1"/>
  <c r="U39" i="37" s="1"/>
  <c r="V39" i="37" s="1"/>
  <c r="K20" i="37"/>
  <c r="J20" i="37" s="1"/>
  <c r="U20" i="37" s="1"/>
  <c r="V20" i="37" s="1"/>
  <c r="G27" i="37"/>
  <c r="F27" i="37" s="1"/>
  <c r="U27" i="37" s="1"/>
  <c r="V27" i="37" s="1"/>
  <c r="K16" i="37"/>
  <c r="K26" i="37"/>
  <c r="J26" i="37" s="1"/>
  <c r="U26" i="37" s="1"/>
  <c r="V26" i="37" s="1"/>
  <c r="G18" i="37"/>
  <c r="S7" i="3"/>
  <c r="T7" i="3" s="1"/>
  <c r="U7" i="3" s="1"/>
  <c r="W7" i="3" s="1"/>
  <c r="X7" i="3" s="1"/>
  <c r="Y7" i="3" s="1"/>
  <c r="AF31" i="3"/>
  <c r="U7" i="2"/>
  <c r="V7" i="2" s="1"/>
  <c r="E41" i="2"/>
  <c r="E49" i="2" s="1"/>
  <c r="U8" i="2"/>
  <c r="V8" i="2" s="1"/>
  <c r="U5" i="2"/>
  <c r="V5" i="2" s="1"/>
  <c r="U6" i="2"/>
  <c r="V6" i="2" s="1"/>
  <c r="AA252" i="34"/>
  <c r="AA8" i="34"/>
  <c r="AA5" i="34" s="1"/>
  <c r="AA2" i="34" s="1"/>
  <c r="AB8" i="5"/>
  <c r="AF23" i="5" s="1"/>
  <c r="Z8" i="5"/>
  <c r="Y5" i="36"/>
  <c r="Y2" i="36" s="1"/>
  <c r="K39" i="35"/>
  <c r="J39" i="35" s="1"/>
  <c r="U39" i="35" s="1"/>
  <c r="V39" i="35" s="1"/>
  <c r="K17" i="35"/>
  <c r="J17" i="35" s="1"/>
  <c r="U17" i="35" s="1"/>
  <c r="V17" i="35" s="1"/>
  <c r="K20" i="35"/>
  <c r="J20" i="35" s="1"/>
  <c r="U20" i="35" s="1"/>
  <c r="V20" i="35" s="1"/>
  <c r="K16" i="35"/>
  <c r="G27" i="35"/>
  <c r="F27" i="35" s="1"/>
  <c r="U27" i="35" s="1"/>
  <c r="V27" i="35" s="1"/>
  <c r="K26" i="35"/>
  <c r="J26" i="35" s="1"/>
  <c r="U26" i="35" s="1"/>
  <c r="V26" i="35" s="1"/>
  <c r="G18" i="35"/>
  <c r="AG30" i="6"/>
  <c r="S12" i="6"/>
  <c r="T12" i="6" s="1"/>
  <c r="U12" i="6" s="1"/>
  <c r="W12" i="6" s="1"/>
  <c r="X12" i="6" s="1"/>
  <c r="Y12" i="6" s="1"/>
  <c r="AF19" i="6"/>
  <c r="AF37" i="6"/>
  <c r="AF28" i="6"/>
  <c r="J41" i="2"/>
  <c r="J49" i="2" s="1"/>
  <c r="F49" i="2"/>
  <c r="B26" i="25"/>
  <c r="A25" i="25"/>
  <c r="Z111" i="34"/>
  <c r="AJ111" i="34" s="1"/>
  <c r="AP111" i="34" s="1"/>
  <c r="AR111" i="34" s="1"/>
  <c r="Z46" i="34"/>
  <c r="AJ46" i="34" s="1"/>
  <c r="AP46" i="34" s="1"/>
  <c r="AR46" i="34" s="1"/>
  <c r="Z89" i="34"/>
  <c r="AJ89" i="34" s="1"/>
  <c r="AP89" i="34" s="1"/>
  <c r="AR89" i="34" s="1"/>
  <c r="Z48" i="34"/>
  <c r="AJ48" i="34" s="1"/>
  <c r="AP48" i="34" s="1"/>
  <c r="AR48" i="34" s="1"/>
  <c r="Z164" i="34"/>
  <c r="AJ164" i="34" s="1"/>
  <c r="AP164" i="34" s="1"/>
  <c r="AR164" i="34" s="1"/>
  <c r="Z129" i="34"/>
  <c r="AJ129" i="34" s="1"/>
  <c r="AP129" i="34" s="1"/>
  <c r="AR129" i="34" s="1"/>
  <c r="Z87" i="34"/>
  <c r="AJ87" i="34" s="1"/>
  <c r="AP87" i="34" s="1"/>
  <c r="AR87" i="34" s="1"/>
  <c r="Z36" i="34"/>
  <c r="AJ36" i="34" s="1"/>
  <c r="AP36" i="34" s="1"/>
  <c r="AR36" i="34" s="1"/>
  <c r="Z154" i="34"/>
  <c r="AJ154" i="34" s="1"/>
  <c r="AP154" i="34" s="1"/>
  <c r="AR154" i="34" s="1"/>
  <c r="Z45" i="34"/>
  <c r="AJ45" i="34" s="1"/>
  <c r="AP45" i="34" s="1"/>
  <c r="AR45" i="34" s="1"/>
  <c r="Z70" i="34"/>
  <c r="AJ70" i="34" s="1"/>
  <c r="AP70" i="34" s="1"/>
  <c r="AR70" i="34" s="1"/>
  <c r="Z22" i="34"/>
  <c r="AJ22" i="34" s="1"/>
  <c r="AP22" i="34" s="1"/>
  <c r="AR22" i="34" s="1"/>
  <c r="Z61" i="34"/>
  <c r="AJ61" i="34" s="1"/>
  <c r="AP61" i="34" s="1"/>
  <c r="AR61" i="34" s="1"/>
  <c r="Z82" i="34"/>
  <c r="AJ82" i="34" s="1"/>
  <c r="AP82" i="34" s="1"/>
  <c r="AR82" i="34" s="1"/>
  <c r="Z99" i="34"/>
  <c r="AJ99" i="34" s="1"/>
  <c r="AP99" i="34" s="1"/>
  <c r="AR99" i="34" s="1"/>
  <c r="Z28" i="34"/>
  <c r="AJ28" i="34" s="1"/>
  <c r="AP28" i="34" s="1"/>
  <c r="AR28" i="34" s="1"/>
  <c r="Z84" i="34"/>
  <c r="AJ84" i="34" s="1"/>
  <c r="AP84" i="34" s="1"/>
  <c r="AR84" i="34" s="1"/>
  <c r="Z123" i="34"/>
  <c r="AJ123" i="34" s="1"/>
  <c r="AP123" i="34" s="1"/>
  <c r="AR123" i="34" s="1"/>
  <c r="Z130" i="34"/>
  <c r="AJ130" i="34" s="1"/>
  <c r="AP130" i="34" s="1"/>
  <c r="AR130" i="34" s="1"/>
  <c r="Z79" i="34"/>
  <c r="AJ79" i="34" s="1"/>
  <c r="AP79" i="34" s="1"/>
  <c r="AR79" i="34" s="1"/>
  <c r="Z27" i="34"/>
  <c r="AJ27" i="34" s="1"/>
  <c r="AP27" i="34" s="1"/>
  <c r="AR27" i="34" s="1"/>
  <c r="Z57" i="34"/>
  <c r="AJ57" i="34" s="1"/>
  <c r="AP57" i="34" s="1"/>
  <c r="AR57" i="34" s="1"/>
  <c r="Z144" i="34"/>
  <c r="AJ144" i="34" s="1"/>
  <c r="AP144" i="34" s="1"/>
  <c r="AR144" i="34" s="1"/>
  <c r="Z167" i="34"/>
  <c r="AJ167" i="34" s="1"/>
  <c r="AP167" i="34" s="1"/>
  <c r="AR167" i="34" s="1"/>
  <c r="Z71" i="34"/>
  <c r="AJ71" i="34" s="1"/>
  <c r="AP71" i="34" s="1"/>
  <c r="AR71" i="34" s="1"/>
  <c r="Z17" i="34"/>
  <c r="AJ17" i="34" s="1"/>
  <c r="AP17" i="34" s="1"/>
  <c r="AR17" i="34" s="1"/>
  <c r="Z13" i="34"/>
  <c r="AJ13" i="34" s="1"/>
  <c r="AP13" i="34" s="1"/>
  <c r="AR13" i="34" s="1"/>
  <c r="Z136" i="34"/>
  <c r="AJ136" i="34" s="1"/>
  <c r="AP136" i="34" s="1"/>
  <c r="AR136" i="34" s="1"/>
  <c r="Z110" i="34"/>
  <c r="AJ110" i="34" s="1"/>
  <c r="AP110" i="34" s="1"/>
  <c r="AR110" i="34" s="1"/>
  <c r="Z139" i="34"/>
  <c r="AJ139" i="34" s="1"/>
  <c r="AP139" i="34" s="1"/>
  <c r="AR139" i="34" s="1"/>
  <c r="Z131" i="34"/>
  <c r="AJ131" i="34" s="1"/>
  <c r="AP131" i="34" s="1"/>
  <c r="AR131" i="34" s="1"/>
  <c r="Z52" i="34"/>
  <c r="AJ52" i="34" s="1"/>
  <c r="AP52" i="34" s="1"/>
  <c r="AR52" i="34" s="1"/>
  <c r="Z98" i="34"/>
  <c r="AJ98" i="34" s="1"/>
  <c r="AP98" i="34" s="1"/>
  <c r="AR98" i="34" s="1"/>
  <c r="Z23" i="34"/>
  <c r="AJ23" i="34" s="1"/>
  <c r="AP23" i="34" s="1"/>
  <c r="AR23" i="34" s="1"/>
  <c r="Z145" i="34"/>
  <c r="AJ145" i="34" s="1"/>
  <c r="AP145" i="34" s="1"/>
  <c r="AR145" i="34" s="1"/>
  <c r="Z65" i="34"/>
  <c r="AJ65" i="34" s="1"/>
  <c r="AP65" i="34" s="1"/>
  <c r="AR65" i="34" s="1"/>
  <c r="Z59" i="34"/>
  <c r="AJ59" i="34" s="1"/>
  <c r="AP59" i="34" s="1"/>
  <c r="AR59" i="34" s="1"/>
  <c r="Z107" i="34"/>
  <c r="AJ107" i="34" s="1"/>
  <c r="AP107" i="34" s="1"/>
  <c r="AR107" i="34" s="1"/>
  <c r="Z24" i="34"/>
  <c r="AJ24" i="34" s="1"/>
  <c r="AP24" i="34" s="1"/>
  <c r="AR24" i="34" s="1"/>
  <c r="Z150" i="34"/>
  <c r="AJ150" i="34" s="1"/>
  <c r="AP150" i="34" s="1"/>
  <c r="AR150" i="34" s="1"/>
  <c r="Z160" i="34"/>
  <c r="AJ160" i="34" s="1"/>
  <c r="AP160" i="34" s="1"/>
  <c r="AR160" i="34" s="1"/>
  <c r="Z112" i="34"/>
  <c r="AJ112" i="34" s="1"/>
  <c r="AP112" i="34" s="1"/>
  <c r="AR112" i="34" s="1"/>
  <c r="Z137" i="34"/>
  <c r="AJ137" i="34" s="1"/>
  <c r="AP137" i="34" s="1"/>
  <c r="AR137" i="34" s="1"/>
  <c r="Z143" i="34"/>
  <c r="AJ143" i="34" s="1"/>
  <c r="AP143" i="34" s="1"/>
  <c r="AR143" i="34" s="1"/>
  <c r="Z127" i="34"/>
  <c r="AJ127" i="34" s="1"/>
  <c r="AP127" i="34" s="1"/>
  <c r="AR127" i="34" s="1"/>
  <c r="Z72" i="34"/>
  <c r="AJ72" i="34" s="1"/>
  <c r="AP72" i="34" s="1"/>
  <c r="AR72" i="34" s="1"/>
  <c r="Z161" i="34"/>
  <c r="AJ161" i="34" s="1"/>
  <c r="AP161" i="34" s="1"/>
  <c r="AR161" i="34" s="1"/>
  <c r="Z54" i="34"/>
  <c r="AJ54" i="34" s="1"/>
  <c r="AP54" i="34" s="1"/>
  <c r="AR54" i="34" s="1"/>
  <c r="Z159" i="34"/>
  <c r="AJ159" i="34" s="1"/>
  <c r="AP159" i="34" s="1"/>
  <c r="AR159" i="34" s="1"/>
  <c r="Z69" i="34"/>
  <c r="AJ69" i="34" s="1"/>
  <c r="AP69" i="34" s="1"/>
  <c r="AR69" i="34" s="1"/>
  <c r="Z121" i="34"/>
  <c r="AJ121" i="34" s="1"/>
  <c r="AP121" i="34" s="1"/>
  <c r="AR121" i="34" s="1"/>
  <c r="Z60" i="34"/>
  <c r="AJ60" i="34" s="1"/>
  <c r="AP60" i="34" s="1"/>
  <c r="AR60" i="34" s="1"/>
  <c r="Z47" i="34"/>
  <c r="AJ47" i="34" s="1"/>
  <c r="AP47" i="34" s="1"/>
  <c r="AR47" i="34" s="1"/>
  <c r="Z96" i="34"/>
  <c r="AJ96" i="34" s="1"/>
  <c r="AP96" i="34" s="1"/>
  <c r="AR96" i="34" s="1"/>
  <c r="Z148" i="34"/>
  <c r="AJ148" i="34" s="1"/>
  <c r="AP148" i="34" s="1"/>
  <c r="AR148" i="34" s="1"/>
  <c r="Z162" i="34"/>
  <c r="AJ162" i="34" s="1"/>
  <c r="AP162" i="34" s="1"/>
  <c r="AR162" i="34" s="1"/>
  <c r="Z146" i="34"/>
  <c r="AJ146" i="34" s="1"/>
  <c r="AP146" i="34" s="1"/>
  <c r="AR146" i="34" s="1"/>
  <c r="Z15" i="34"/>
  <c r="AJ15" i="34" s="1"/>
  <c r="AP15" i="34" s="1"/>
  <c r="AR15" i="34" s="1"/>
  <c r="Z21" i="34"/>
  <c r="AJ21" i="34" s="1"/>
  <c r="AP21" i="34" s="1"/>
  <c r="AR21" i="34" s="1"/>
  <c r="Z50" i="34"/>
  <c r="AJ50" i="34" s="1"/>
  <c r="AP50" i="34" s="1"/>
  <c r="AR50" i="34" s="1"/>
  <c r="Z20" i="34"/>
  <c r="AJ20" i="34" s="1"/>
  <c r="AP20" i="34" s="1"/>
  <c r="AR20" i="34" s="1"/>
  <c r="Z39" i="34"/>
  <c r="AJ39" i="34" s="1"/>
  <c r="AP39" i="34" s="1"/>
  <c r="AR39" i="34" s="1"/>
  <c r="Z35" i="34"/>
  <c r="Z68" i="34"/>
  <c r="AJ68" i="34" s="1"/>
  <c r="AP68" i="34" s="1"/>
  <c r="AR68" i="34" s="1"/>
  <c r="Z153" i="34"/>
  <c r="AJ153" i="34" s="1"/>
  <c r="AP153" i="34" s="1"/>
  <c r="AR153" i="34" s="1"/>
  <c r="Z75" i="34"/>
  <c r="AJ75" i="34" s="1"/>
  <c r="AP75" i="34" s="1"/>
  <c r="AR75" i="34" s="1"/>
  <c r="Z125" i="34"/>
  <c r="AJ125" i="34" s="1"/>
  <c r="AP125" i="34" s="1"/>
  <c r="AR125" i="34" s="1"/>
  <c r="Z14" i="34"/>
  <c r="AJ14" i="34" s="1"/>
  <c r="AP14" i="34" s="1"/>
  <c r="AR14" i="34" s="1"/>
  <c r="Z88" i="34"/>
  <c r="AJ88" i="34" s="1"/>
  <c r="AP88" i="34" s="1"/>
  <c r="AR88" i="34" s="1"/>
  <c r="Z51" i="34"/>
  <c r="AJ51" i="34" s="1"/>
  <c r="AP51" i="34" s="1"/>
  <c r="AR51" i="34" s="1"/>
  <c r="Z53" i="34"/>
  <c r="AJ53" i="34" s="1"/>
  <c r="AP53" i="34" s="1"/>
  <c r="AR53" i="34" s="1"/>
  <c r="Z106" i="34"/>
  <c r="Z108" i="34"/>
  <c r="AJ108" i="34" s="1"/>
  <c r="AP108" i="34" s="1"/>
  <c r="AR108" i="34" s="1"/>
  <c r="Z166" i="34"/>
  <c r="AJ166" i="34" s="1"/>
  <c r="AP166" i="34" s="1"/>
  <c r="AR166" i="34" s="1"/>
  <c r="Z115" i="34"/>
  <c r="AJ115" i="34" s="1"/>
  <c r="AP115" i="34" s="1"/>
  <c r="AR115" i="34" s="1"/>
  <c r="Z81" i="34"/>
  <c r="AJ81" i="34" s="1"/>
  <c r="AP81" i="34" s="1"/>
  <c r="AR81" i="34" s="1"/>
  <c r="Z100" i="34"/>
  <c r="AJ100" i="34" s="1"/>
  <c r="AP100" i="34" s="1"/>
  <c r="AR100" i="34" s="1"/>
  <c r="Z113" i="34"/>
  <c r="AJ113" i="34" s="1"/>
  <c r="AP113" i="34" s="1"/>
  <c r="AR113" i="34" s="1"/>
  <c r="Z152" i="34"/>
  <c r="AJ152" i="34" s="1"/>
  <c r="AP152" i="34" s="1"/>
  <c r="AR152" i="34" s="1"/>
  <c r="Z64" i="34"/>
  <c r="AJ64" i="34" s="1"/>
  <c r="AP64" i="34" s="1"/>
  <c r="AR64" i="34" s="1"/>
  <c r="Z83" i="34"/>
  <c r="AJ83" i="34" s="1"/>
  <c r="AP83" i="34" s="1"/>
  <c r="AR83" i="34" s="1"/>
  <c r="Z44" i="34"/>
  <c r="AJ44" i="34" s="1"/>
  <c r="AP44" i="34" s="1"/>
  <c r="AR44" i="34" s="1"/>
  <c r="Z120" i="34"/>
  <c r="AJ120" i="34" s="1"/>
  <c r="AP120" i="34" s="1"/>
  <c r="AR120" i="34" s="1"/>
  <c r="Z95" i="34"/>
  <c r="AJ95" i="34" s="1"/>
  <c r="AP95" i="34" s="1"/>
  <c r="AR95" i="34" s="1"/>
  <c r="Z117" i="34"/>
  <c r="AJ117" i="34" s="1"/>
  <c r="AP117" i="34" s="1"/>
  <c r="AR117" i="34" s="1"/>
  <c r="Z55" i="34"/>
  <c r="AJ55" i="34" s="1"/>
  <c r="AP55" i="34" s="1"/>
  <c r="AR55" i="34" s="1"/>
  <c r="Z40" i="34"/>
  <c r="AJ40" i="34" s="1"/>
  <c r="AP40" i="34" s="1"/>
  <c r="AR40" i="34" s="1"/>
  <c r="Z74" i="34"/>
  <c r="AJ74" i="34" s="1"/>
  <c r="AP74" i="34" s="1"/>
  <c r="AR74" i="34" s="1"/>
  <c r="Z42" i="34"/>
  <c r="AJ42" i="34" s="1"/>
  <c r="AP42" i="34" s="1"/>
  <c r="AR42" i="34" s="1"/>
  <c r="Z90" i="34"/>
  <c r="AJ90" i="34" s="1"/>
  <c r="AP90" i="34" s="1"/>
  <c r="AR90" i="34" s="1"/>
  <c r="Z116" i="34"/>
  <c r="AJ116" i="34" s="1"/>
  <c r="AP116" i="34" s="1"/>
  <c r="AR116" i="34" s="1"/>
  <c r="Z91" i="34"/>
  <c r="AJ91" i="34" s="1"/>
  <c r="AP91" i="34" s="1"/>
  <c r="AR91" i="34" s="1"/>
  <c r="Z63" i="34"/>
  <c r="AJ63" i="34" s="1"/>
  <c r="AP63" i="34" s="1"/>
  <c r="AR63" i="34" s="1"/>
  <c r="Z58" i="34"/>
  <c r="AJ58" i="34" s="1"/>
  <c r="AP58" i="34" s="1"/>
  <c r="AR58" i="34" s="1"/>
  <c r="Z86" i="34"/>
  <c r="AJ86" i="34" s="1"/>
  <c r="AP86" i="34" s="1"/>
  <c r="AR86" i="34" s="1"/>
  <c r="Z119" i="34"/>
  <c r="AJ119" i="34" s="1"/>
  <c r="AP119" i="34" s="1"/>
  <c r="AR119" i="34" s="1"/>
  <c r="Z25" i="34"/>
  <c r="AJ25" i="34" s="1"/>
  <c r="AP25" i="34" s="1"/>
  <c r="AR25" i="34" s="1"/>
  <c r="Z66" i="34"/>
  <c r="AJ66" i="34" s="1"/>
  <c r="AP66" i="34" s="1"/>
  <c r="AR66" i="34" s="1"/>
  <c r="Z93" i="34"/>
  <c r="AJ93" i="34" s="1"/>
  <c r="AP93" i="34" s="1"/>
  <c r="AR93" i="34" s="1"/>
  <c r="Z26" i="34"/>
  <c r="AJ26" i="34" s="1"/>
  <c r="AP26" i="34" s="1"/>
  <c r="AR26" i="34" s="1"/>
  <c r="Z77" i="34"/>
  <c r="AJ77" i="34" s="1"/>
  <c r="AP77" i="34" s="1"/>
  <c r="AR77" i="34" s="1"/>
  <c r="Z101" i="34"/>
  <c r="AJ101" i="34" s="1"/>
  <c r="AP101" i="34" s="1"/>
  <c r="AR101" i="34" s="1"/>
  <c r="Z94" i="34"/>
  <c r="AJ94" i="34" s="1"/>
  <c r="AP94" i="34" s="1"/>
  <c r="AR94" i="34" s="1"/>
  <c r="Z124" i="34"/>
  <c r="AJ124" i="34" s="1"/>
  <c r="AP124" i="34" s="1"/>
  <c r="AR124" i="34" s="1"/>
  <c r="Z141" i="34"/>
  <c r="AJ141" i="34" s="1"/>
  <c r="AP141" i="34" s="1"/>
  <c r="AR141" i="34" s="1"/>
  <c r="Z133" i="34"/>
  <c r="AJ133" i="34" s="1"/>
  <c r="AP133" i="34" s="1"/>
  <c r="AR133" i="34" s="1"/>
  <c r="Z138" i="34"/>
  <c r="AJ138" i="34" s="1"/>
  <c r="AP138" i="34" s="1"/>
  <c r="AR138" i="34" s="1"/>
  <c r="Z62" i="34"/>
  <c r="AJ62" i="34" s="1"/>
  <c r="AP62" i="34" s="1"/>
  <c r="AR62" i="34" s="1"/>
  <c r="Z163" i="34"/>
  <c r="AJ163" i="34" s="1"/>
  <c r="AP163" i="34" s="1"/>
  <c r="AR163" i="34" s="1"/>
  <c r="Z135" i="34"/>
  <c r="AJ135" i="34" s="1"/>
  <c r="AP135" i="34" s="1"/>
  <c r="AR135" i="34" s="1"/>
  <c r="Z92" i="34"/>
  <c r="AJ92" i="34" s="1"/>
  <c r="AP92" i="34" s="1"/>
  <c r="AR92" i="34" s="1"/>
  <c r="Z122" i="34"/>
  <c r="AJ122" i="34" s="1"/>
  <c r="AP122" i="34" s="1"/>
  <c r="AR122" i="34" s="1"/>
  <c r="Z80" i="34"/>
  <c r="AJ80" i="34" s="1"/>
  <c r="AP80" i="34" s="1"/>
  <c r="AR80" i="34" s="1"/>
  <c r="Z97" i="34"/>
  <c r="AJ97" i="34" s="1"/>
  <c r="AP97" i="34" s="1"/>
  <c r="AR97" i="34" s="1"/>
  <c r="Z157" i="34"/>
  <c r="AJ157" i="34" s="1"/>
  <c r="AP157" i="34" s="1"/>
  <c r="AR157" i="34" s="1"/>
  <c r="Z56" i="34"/>
  <c r="AJ56" i="34" s="1"/>
  <c r="AP56" i="34" s="1"/>
  <c r="AR56" i="34" s="1"/>
  <c r="Z126" i="34"/>
  <c r="AJ126" i="34" s="1"/>
  <c r="AP126" i="34" s="1"/>
  <c r="AR126" i="34" s="1"/>
  <c r="Z118" i="34"/>
  <c r="AJ118" i="34" s="1"/>
  <c r="AP118" i="34" s="1"/>
  <c r="AR118" i="34" s="1"/>
  <c r="Z43" i="34"/>
  <c r="AJ43" i="34" s="1"/>
  <c r="AP43" i="34" s="1"/>
  <c r="AR43" i="34" s="1"/>
  <c r="Z132" i="34"/>
  <c r="AJ132" i="34" s="1"/>
  <c r="AP132" i="34" s="1"/>
  <c r="AR132" i="34" s="1"/>
  <c r="Z128" i="34"/>
  <c r="AJ128" i="34" s="1"/>
  <c r="AP128" i="34" s="1"/>
  <c r="AR128" i="34" s="1"/>
  <c r="Z165" i="34"/>
  <c r="AJ165" i="34" s="1"/>
  <c r="AP165" i="34" s="1"/>
  <c r="AR165" i="34" s="1"/>
  <c r="Z18" i="34"/>
  <c r="AJ18" i="34" s="1"/>
  <c r="AP18" i="34" s="1"/>
  <c r="AR18" i="34" s="1"/>
  <c r="Z155" i="34"/>
  <c r="AJ155" i="34" s="1"/>
  <c r="AP155" i="34" s="1"/>
  <c r="AR155" i="34" s="1"/>
  <c r="Z73" i="34"/>
  <c r="AJ73" i="34" s="1"/>
  <c r="AP73" i="34" s="1"/>
  <c r="AR73" i="34" s="1"/>
  <c r="Z102" i="34"/>
  <c r="AJ102" i="34" s="1"/>
  <c r="AP102" i="34" s="1"/>
  <c r="AR102" i="34" s="1"/>
  <c r="Z41" i="34"/>
  <c r="AJ41" i="34" s="1"/>
  <c r="AP41" i="34" s="1"/>
  <c r="AR41" i="34" s="1"/>
  <c r="Z149" i="34"/>
  <c r="AJ149" i="34" s="1"/>
  <c r="AP149" i="34" s="1"/>
  <c r="AR149" i="34" s="1"/>
  <c r="Z31" i="34"/>
  <c r="AJ31" i="34" s="1"/>
  <c r="AP31" i="34" s="1"/>
  <c r="AR31" i="34" s="1"/>
  <c r="Z151" i="34"/>
  <c r="AJ151" i="34" s="1"/>
  <c r="AP151" i="34" s="1"/>
  <c r="AR151" i="34" s="1"/>
  <c r="Z19" i="34"/>
  <c r="AJ19" i="34" s="1"/>
  <c r="AP19" i="34" s="1"/>
  <c r="AR19" i="34" s="1"/>
  <c r="Z142" i="34"/>
  <c r="AJ142" i="34" s="1"/>
  <c r="AP142" i="34" s="1"/>
  <c r="AR142" i="34" s="1"/>
  <c r="Z67" i="34"/>
  <c r="AJ67" i="34" s="1"/>
  <c r="AP67" i="34" s="1"/>
  <c r="AR67" i="34" s="1"/>
  <c r="Z76" i="34"/>
  <c r="AJ76" i="34" s="1"/>
  <c r="AP76" i="34" s="1"/>
  <c r="AR76" i="34" s="1"/>
  <c r="Z30" i="34"/>
  <c r="AJ30" i="34" s="1"/>
  <c r="AP30" i="34" s="1"/>
  <c r="AR30" i="34" s="1"/>
  <c r="Z37" i="34"/>
  <c r="AJ37" i="34" s="1"/>
  <c r="AP37" i="34" s="1"/>
  <c r="AR37" i="34" s="1"/>
  <c r="Z12" i="34"/>
  <c r="Z109" i="34"/>
  <c r="AJ109" i="34" s="1"/>
  <c r="AP109" i="34" s="1"/>
  <c r="AR109" i="34" s="1"/>
  <c r="Z134" i="34"/>
  <c r="AJ134" i="34" s="1"/>
  <c r="AP134" i="34" s="1"/>
  <c r="AR134" i="34" s="1"/>
  <c r="Z114" i="34"/>
  <c r="AJ114" i="34" s="1"/>
  <c r="AP114" i="34" s="1"/>
  <c r="AR114" i="34" s="1"/>
  <c r="Z16" i="34"/>
  <c r="AJ16" i="34" s="1"/>
  <c r="AP16" i="34" s="1"/>
  <c r="AR16" i="34" s="1"/>
  <c r="Z85" i="34"/>
  <c r="AJ85" i="34" s="1"/>
  <c r="AP85" i="34" s="1"/>
  <c r="AR85" i="34" s="1"/>
  <c r="Z156" i="34"/>
  <c r="AJ156" i="34" s="1"/>
  <c r="AP156" i="34" s="1"/>
  <c r="AR156" i="34" s="1"/>
  <c r="Z78" i="34"/>
  <c r="AJ78" i="34" s="1"/>
  <c r="AP78" i="34" s="1"/>
  <c r="AR78" i="34" s="1"/>
  <c r="Z147" i="34"/>
  <c r="AJ147" i="34" s="1"/>
  <c r="AP147" i="34" s="1"/>
  <c r="AR147" i="34" s="1"/>
  <c r="Z140" i="34"/>
  <c r="AJ140" i="34" s="1"/>
  <c r="AP140" i="34" s="1"/>
  <c r="AR140" i="34" s="1"/>
  <c r="Z38" i="34"/>
  <c r="AJ38" i="34" s="1"/>
  <c r="AP38" i="34" s="1"/>
  <c r="AR38" i="34" s="1"/>
  <c r="Z49" i="34"/>
  <c r="AJ49" i="34" s="1"/>
  <c r="AP49" i="34" s="1"/>
  <c r="AR49" i="34" s="1"/>
  <c r="Z158" i="34"/>
  <c r="AJ158" i="34" s="1"/>
  <c r="AP158" i="34" s="1"/>
  <c r="AR158" i="34" s="1"/>
  <c r="Z29" i="34"/>
  <c r="AJ29" i="34" s="1"/>
  <c r="AP29" i="34" s="1"/>
  <c r="AR29" i="34" s="1"/>
  <c r="AB7" i="4"/>
  <c r="AF22" i="4" s="1"/>
  <c r="Z7" i="4"/>
  <c r="AB8" i="4"/>
  <c r="AF23" i="4" s="1"/>
  <c r="Z8" i="4"/>
  <c r="S5" i="3"/>
  <c r="T5" i="3" s="1"/>
  <c r="U5" i="3" s="1"/>
  <c r="W5" i="3" s="1"/>
  <c r="X5" i="3" s="1"/>
  <c r="Y5" i="3" s="1"/>
  <c r="AF29" i="3"/>
  <c r="E10" i="3"/>
  <c r="E12" i="3" s="1"/>
  <c r="AB5" i="4"/>
  <c r="AF20" i="4" s="1"/>
  <c r="Z5" i="4"/>
  <c r="R11" i="4" l="1"/>
  <c r="AF38" i="4"/>
  <c r="AA5" i="4"/>
  <c r="AF14" i="4" s="1"/>
  <c r="R14" i="4"/>
  <c r="AF41" i="4"/>
  <c r="AA8" i="4"/>
  <c r="AF17" i="4" s="1"/>
  <c r="R13" i="4"/>
  <c r="AF40" i="4"/>
  <c r="AA7" i="4"/>
  <c r="AF16" i="4" s="1"/>
  <c r="AF41" i="5"/>
  <c r="R14" i="5"/>
  <c r="AA8" i="5"/>
  <c r="AF17" i="5" s="1"/>
  <c r="AJ30" i="2"/>
  <c r="W6" i="2"/>
  <c r="X6" i="2" s="1"/>
  <c r="Y6" i="2" s="1"/>
  <c r="AA6" i="2" s="1"/>
  <c r="AB6" i="2" s="1"/>
  <c r="AC6" i="2" s="1"/>
  <c r="W7" i="2"/>
  <c r="X7" i="2" s="1"/>
  <c r="Y7" i="2" s="1"/>
  <c r="AA7" i="2" s="1"/>
  <c r="AB7" i="2" s="1"/>
  <c r="AC7" i="2" s="1"/>
  <c r="AJ31" i="2"/>
  <c r="AB13" i="6"/>
  <c r="AG22" i="6" s="1"/>
  <c r="Z13" i="6"/>
  <c r="AB11" i="6"/>
  <c r="AG20" i="6" s="1"/>
  <c r="Z11" i="6"/>
  <c r="R12" i="5"/>
  <c r="AA6" i="5"/>
  <c r="AF15" i="5" s="1"/>
  <c r="AF39" i="5"/>
  <c r="AF38" i="5"/>
  <c r="AA5" i="5"/>
  <c r="AF14" i="5" s="1"/>
  <c r="R11" i="5"/>
  <c r="AB5" i="3"/>
  <c r="AF20" i="3" s="1"/>
  <c r="Z5" i="3"/>
  <c r="Z32" i="34"/>
  <c r="Z6" i="34"/>
  <c r="Z5" i="34" s="1"/>
  <c r="Z2" i="34" s="1"/>
  <c r="AJ12" i="34"/>
  <c r="AB12" i="6"/>
  <c r="AG21" i="6" s="1"/>
  <c r="Z12" i="6"/>
  <c r="K43" i="37"/>
  <c r="AE4" i="38" s="1"/>
  <c r="AE2" i="38" s="1"/>
  <c r="J16" i="37"/>
  <c r="AB8" i="3"/>
  <c r="AF23" i="3" s="1"/>
  <c r="Z8" i="3"/>
  <c r="Z168" i="34"/>
  <c r="AJ106" i="34"/>
  <c r="K43" i="35"/>
  <c r="AE4" i="36" s="1"/>
  <c r="AE2" i="36" s="1"/>
  <c r="J16" i="35"/>
  <c r="E10" i="2"/>
  <c r="E12" i="2" s="1"/>
  <c r="W5" i="2"/>
  <c r="X5" i="2" s="1"/>
  <c r="Y5" i="2" s="1"/>
  <c r="AA5" i="2" s="1"/>
  <c r="AB5" i="2" s="1"/>
  <c r="AC5" i="2" s="1"/>
  <c r="AJ29" i="2"/>
  <c r="W8" i="2"/>
  <c r="X8" i="2" s="1"/>
  <c r="Y8" i="2" s="1"/>
  <c r="AA8" i="2" s="1"/>
  <c r="AB8" i="2" s="1"/>
  <c r="AC8" i="2" s="1"/>
  <c r="AJ32" i="2"/>
  <c r="AB7" i="3"/>
  <c r="AF22" i="3" s="1"/>
  <c r="Z7" i="3"/>
  <c r="AF39" i="4"/>
  <c r="R12" i="4"/>
  <c r="AA6" i="4"/>
  <c r="AF15" i="4" s="1"/>
  <c r="AA7" i="5"/>
  <c r="AF16" i="5" s="1"/>
  <c r="AF40" i="5"/>
  <c r="R13" i="5"/>
  <c r="AB14" i="6"/>
  <c r="AG23" i="6" s="1"/>
  <c r="Z14" i="6"/>
  <c r="J39" i="11"/>
  <c r="K43" i="11"/>
  <c r="AE4" i="34" s="1"/>
  <c r="Z103" i="34"/>
  <c r="Z7" i="34"/>
  <c r="AJ35" i="34"/>
  <c r="B27" i="25"/>
  <c r="A26" i="25"/>
  <c r="G43" i="35"/>
  <c r="AA4" i="36" s="1"/>
  <c r="AA2" i="36" s="1"/>
  <c r="F18" i="35"/>
  <c r="G43" i="37"/>
  <c r="AA4" i="38" s="1"/>
  <c r="AA2" i="38" s="1"/>
  <c r="F18" i="37"/>
  <c r="AB6" i="3"/>
  <c r="AF21" i="3" s="1"/>
  <c r="Z6" i="3"/>
  <c r="A27" i="25" l="1"/>
  <c r="B28" i="25"/>
  <c r="AF39" i="3"/>
  <c r="R12" i="3"/>
  <c r="AA6" i="3"/>
  <c r="AF15" i="3" s="1"/>
  <c r="U18" i="35"/>
  <c r="V18" i="35" s="1"/>
  <c r="F43" i="35"/>
  <c r="AE229" i="34"/>
  <c r="AE240" i="34"/>
  <c r="AE237" i="34"/>
  <c r="AE175" i="34"/>
  <c r="AE183" i="34"/>
  <c r="AE206" i="34"/>
  <c r="AE174" i="34"/>
  <c r="AE225" i="34"/>
  <c r="AE228" i="34"/>
  <c r="AE190" i="34"/>
  <c r="AE217" i="34"/>
  <c r="AE182" i="34"/>
  <c r="AE242" i="34"/>
  <c r="AE194" i="34"/>
  <c r="AE213" i="34"/>
  <c r="AE172" i="34"/>
  <c r="AE197" i="34"/>
  <c r="AE198" i="34"/>
  <c r="AE249" i="34"/>
  <c r="AE9" i="34" s="1"/>
  <c r="AE181" i="34"/>
  <c r="AE239" i="34"/>
  <c r="AE184" i="34"/>
  <c r="AE238" i="34"/>
  <c r="AE245" i="34"/>
  <c r="AE251" i="34"/>
  <c r="AE203" i="34"/>
  <c r="AE226" i="34"/>
  <c r="AE201" i="34"/>
  <c r="AE220" i="34"/>
  <c r="AE223" i="34"/>
  <c r="AE191" i="34"/>
  <c r="AE200" i="34"/>
  <c r="AE186" i="34"/>
  <c r="AE187" i="34"/>
  <c r="AE218" i="34"/>
  <c r="AE193" i="34"/>
  <c r="AE250" i="34"/>
  <c r="AE244" i="34"/>
  <c r="AE202" i="34"/>
  <c r="AE195" i="34"/>
  <c r="AE231" i="34"/>
  <c r="AE236" i="34"/>
  <c r="AE173" i="34"/>
  <c r="AE199" i="34"/>
  <c r="AE235" i="34"/>
  <c r="AE205" i="34"/>
  <c r="AE210" i="34"/>
  <c r="AE177" i="34"/>
  <c r="AE248" i="34"/>
  <c r="AE234" i="34"/>
  <c r="AE247" i="34"/>
  <c r="AE246" i="34"/>
  <c r="AE243" i="34"/>
  <c r="AE211" i="34"/>
  <c r="AE215" i="34"/>
  <c r="AE180" i="34"/>
  <c r="AE216" i="34"/>
  <c r="AE179" i="34"/>
  <c r="AE204" i="34"/>
  <c r="AE214" i="34"/>
  <c r="AE232" i="34"/>
  <c r="AE219" i="34"/>
  <c r="AE221" i="34"/>
  <c r="AE230" i="34"/>
  <c r="AE185" i="34"/>
  <c r="AE208" i="34"/>
  <c r="AE196" i="34"/>
  <c r="AE222" i="34"/>
  <c r="AE227" i="34"/>
  <c r="AE207" i="34"/>
  <c r="AE209" i="34"/>
  <c r="AE241" i="34"/>
  <c r="AE189" i="34"/>
  <c r="AE192" i="34"/>
  <c r="AE171" i="34"/>
  <c r="AE233" i="34"/>
  <c r="AE224" i="34"/>
  <c r="AE188" i="34"/>
  <c r="AE176" i="34"/>
  <c r="AE178" i="34"/>
  <c r="AE212" i="34"/>
  <c r="AG31" i="5"/>
  <c r="S13" i="5"/>
  <c r="T13" i="5" s="1"/>
  <c r="U13" i="5" s="1"/>
  <c r="W13" i="5" s="1"/>
  <c r="X13" i="5" s="1"/>
  <c r="Y13" i="5" s="1"/>
  <c r="AG30" i="4"/>
  <c r="S12" i="4"/>
  <c r="T12" i="4" s="1"/>
  <c r="U12" i="4" s="1"/>
  <c r="W12" i="4" s="1"/>
  <c r="X12" i="4" s="1"/>
  <c r="Y12" i="4" s="1"/>
  <c r="AP106" i="34"/>
  <c r="AJ168" i="34"/>
  <c r="AF41" i="3"/>
  <c r="R14" i="3"/>
  <c r="AA8" i="3"/>
  <c r="AF17" i="3" s="1"/>
  <c r="AG39" i="6"/>
  <c r="R18" i="6"/>
  <c r="AA12" i="6"/>
  <c r="AG15" i="6" s="1"/>
  <c r="AJ32" i="34"/>
  <c r="AJ6" i="34"/>
  <c r="AJ5" i="34" s="1"/>
  <c r="AP12" i="34"/>
  <c r="AG29" i="5"/>
  <c r="S11" i="5"/>
  <c r="T11" i="5" s="1"/>
  <c r="U11" i="5" s="1"/>
  <c r="W11" i="5" s="1"/>
  <c r="X11" i="5" s="1"/>
  <c r="Y11" i="5" s="1"/>
  <c r="R19" i="6"/>
  <c r="AG40" i="6"/>
  <c r="AA13" i="6"/>
  <c r="AG16" i="6" s="1"/>
  <c r="AF6" i="2"/>
  <c r="AJ21" i="2" s="1"/>
  <c r="AD6" i="2"/>
  <c r="AG32" i="4"/>
  <c r="S14" i="4"/>
  <c r="T14" i="4" s="1"/>
  <c r="U14" i="4" s="1"/>
  <c r="W14" i="4" s="1"/>
  <c r="X14" i="4" s="1"/>
  <c r="Y14" i="4" s="1"/>
  <c r="AF8" i="2"/>
  <c r="AJ23" i="2" s="1"/>
  <c r="AD8" i="2"/>
  <c r="S12" i="5"/>
  <c r="T12" i="5" s="1"/>
  <c r="U12" i="5" s="1"/>
  <c r="W12" i="5" s="1"/>
  <c r="X12" i="5" s="1"/>
  <c r="Y12" i="5" s="1"/>
  <c r="AG30" i="5"/>
  <c r="S13" i="4"/>
  <c r="T13" i="4" s="1"/>
  <c r="U13" i="4" s="1"/>
  <c r="W13" i="4" s="1"/>
  <c r="X13" i="4" s="1"/>
  <c r="Y13" i="4" s="1"/>
  <c r="AG31" i="4"/>
  <c r="U18" i="37"/>
  <c r="V18" i="37" s="1"/>
  <c r="F43" i="37"/>
  <c r="R20" i="6"/>
  <c r="AA14" i="6"/>
  <c r="AG17" i="6" s="1"/>
  <c r="AG41" i="6"/>
  <c r="AF37" i="5"/>
  <c r="AF19" i="5"/>
  <c r="AF28" i="5"/>
  <c r="R13" i="3"/>
  <c r="AA7" i="3"/>
  <c r="AF16" i="3" s="1"/>
  <c r="AF40" i="3"/>
  <c r="J43" i="37"/>
  <c r="AD4" i="38" s="1"/>
  <c r="U16" i="37"/>
  <c r="AF38" i="3"/>
  <c r="R11" i="3"/>
  <c r="AA5" i="3"/>
  <c r="AF14" i="3" s="1"/>
  <c r="AA11" i="6"/>
  <c r="AG14" i="6" s="1"/>
  <c r="AG38" i="6"/>
  <c r="R17" i="6"/>
  <c r="U39" i="11"/>
  <c r="J43" i="11"/>
  <c r="U16" i="35"/>
  <c r="J43" i="35"/>
  <c r="AD4" i="36" s="1"/>
  <c r="AJ103" i="34"/>
  <c r="AJ7" i="34"/>
  <c r="AP35" i="34"/>
  <c r="AF5" i="2"/>
  <c r="AJ20" i="2" s="1"/>
  <c r="AD5" i="2"/>
  <c r="AF7" i="2"/>
  <c r="AJ22" i="2" s="1"/>
  <c r="AD7" i="2"/>
  <c r="AG32" i="5"/>
  <c r="S14" i="5"/>
  <c r="T14" i="5" s="1"/>
  <c r="U14" i="5" s="1"/>
  <c r="W14" i="5" s="1"/>
  <c r="X14" i="5" s="1"/>
  <c r="Y14" i="5" s="1"/>
  <c r="AF19" i="4"/>
  <c r="AF28" i="4"/>
  <c r="AF37" i="4"/>
  <c r="S11" i="4"/>
  <c r="T11" i="4" s="1"/>
  <c r="U11" i="4" s="1"/>
  <c r="W11" i="4" s="1"/>
  <c r="X11" i="4" s="1"/>
  <c r="Y11" i="4" s="1"/>
  <c r="AG29" i="4"/>
  <c r="AB14" i="5" l="1"/>
  <c r="AG23" i="5" s="1"/>
  <c r="Z14" i="5"/>
  <c r="AE5" i="2"/>
  <c r="AJ14" i="2" s="1"/>
  <c r="AJ38" i="2"/>
  <c r="V11" i="2"/>
  <c r="V39" i="11"/>
  <c r="V43" i="11" s="1"/>
  <c r="U43" i="11"/>
  <c r="AD10" i="38"/>
  <c r="AD9" i="38"/>
  <c r="AD11" i="38"/>
  <c r="AD9" i="36"/>
  <c r="AD10" i="36"/>
  <c r="AH29" i="6"/>
  <c r="S17" i="6"/>
  <c r="T17" i="6" s="1"/>
  <c r="U17" i="6" s="1"/>
  <c r="W17" i="6" s="1"/>
  <c r="X17" i="6" s="1"/>
  <c r="Y17" i="6" s="1"/>
  <c r="AG29" i="3"/>
  <c r="S11" i="3"/>
  <c r="T11" i="3" s="1"/>
  <c r="U11" i="3" s="1"/>
  <c r="W11" i="3" s="1"/>
  <c r="X11" i="3" s="1"/>
  <c r="Y11" i="3" s="1"/>
  <c r="AE7" i="2"/>
  <c r="AJ16" i="2" s="1"/>
  <c r="V13" i="2"/>
  <c r="AJ40" i="2"/>
  <c r="AR35" i="34"/>
  <c r="AP7" i="34"/>
  <c r="AP103" i="34"/>
  <c r="U43" i="35"/>
  <c r="V16" i="35"/>
  <c r="V43" i="35" s="1"/>
  <c r="AF28" i="3"/>
  <c r="AF37" i="3"/>
  <c r="AF19" i="3"/>
  <c r="Z4" i="38"/>
  <c r="U44" i="37"/>
  <c r="AB14" i="4"/>
  <c r="AG23" i="4" s="1"/>
  <c r="Z14" i="4"/>
  <c r="AG32" i="3"/>
  <c r="S14" i="3"/>
  <c r="T14" i="3" s="1"/>
  <c r="U14" i="3" s="1"/>
  <c r="W14" i="3" s="1"/>
  <c r="X14" i="3" s="1"/>
  <c r="Y14" i="3" s="1"/>
  <c r="AB12" i="4"/>
  <c r="AG21" i="4" s="1"/>
  <c r="Z12" i="4"/>
  <c r="AG30" i="3"/>
  <c r="S12" i="3"/>
  <c r="T12" i="3" s="1"/>
  <c r="U12" i="3" s="1"/>
  <c r="W12" i="3" s="1"/>
  <c r="X12" i="3" s="1"/>
  <c r="Y12" i="3" s="1"/>
  <c r="AD4" i="34"/>
  <c r="U44" i="11"/>
  <c r="U43" i="37"/>
  <c r="V16" i="37"/>
  <c r="V43" i="37" s="1"/>
  <c r="AB12" i="5"/>
  <c r="AG21" i="5" s="1"/>
  <c r="Z12" i="5"/>
  <c r="AP6" i="34"/>
  <c r="AP32" i="34"/>
  <c r="AR12" i="34"/>
  <c r="AH30" i="6"/>
  <c r="S18" i="6"/>
  <c r="T18" i="6" s="1"/>
  <c r="U18" i="6" s="1"/>
  <c r="W18" i="6" s="1"/>
  <c r="X18" i="6" s="1"/>
  <c r="Y18" i="6" s="1"/>
  <c r="Z4" i="36"/>
  <c r="U44" i="35"/>
  <c r="AB11" i="4"/>
  <c r="AG20" i="4" s="1"/>
  <c r="Z11" i="4"/>
  <c r="AG37" i="6"/>
  <c r="AG28" i="6"/>
  <c r="AG19" i="6"/>
  <c r="AJ41" i="2"/>
  <c r="AE8" i="2"/>
  <c r="AJ17" i="2" s="1"/>
  <c r="V14" i="2"/>
  <c r="AE6" i="2"/>
  <c r="AJ15" i="2" s="1"/>
  <c r="AJ39" i="2"/>
  <c r="V12" i="2"/>
  <c r="AH31" i="6"/>
  <c r="S19" i="6"/>
  <c r="T19" i="6" s="1"/>
  <c r="U19" i="6" s="1"/>
  <c r="W19" i="6" s="1"/>
  <c r="X19" i="6" s="1"/>
  <c r="Y19" i="6" s="1"/>
  <c r="AB13" i="5"/>
  <c r="AG22" i="5" s="1"/>
  <c r="Z13" i="5"/>
  <c r="AE252" i="34"/>
  <c r="AE8" i="34"/>
  <c r="AE5" i="34" s="1"/>
  <c r="AE2" i="34" s="1"/>
  <c r="B32" i="25"/>
  <c r="A28" i="25"/>
  <c r="AG31" i="3"/>
  <c r="S13" i="3"/>
  <c r="T13" i="3" s="1"/>
  <c r="U13" i="3" s="1"/>
  <c r="W13" i="3" s="1"/>
  <c r="X13" i="3" s="1"/>
  <c r="Y13" i="3" s="1"/>
  <c r="AH32" i="6"/>
  <c r="S20" i="6"/>
  <c r="T20" i="6" s="1"/>
  <c r="U20" i="6" s="1"/>
  <c r="W20" i="6" s="1"/>
  <c r="X20" i="6" s="1"/>
  <c r="Y20" i="6" s="1"/>
  <c r="AB13" i="4"/>
  <c r="AG22" i="4" s="1"/>
  <c r="Z13" i="4"/>
  <c r="AB11" i="5"/>
  <c r="AG20" i="5" s="1"/>
  <c r="Z11" i="5"/>
  <c r="AR106" i="34"/>
  <c r="AP168" i="34"/>
  <c r="D47" i="25" l="1"/>
  <c r="H46" i="25"/>
  <c r="C46" i="25"/>
  <c r="C13" i="24" s="1"/>
  <c r="D41" i="25"/>
  <c r="D49" i="25"/>
  <c r="C41" i="25"/>
  <c r="C8" i="24" s="1"/>
  <c r="G45" i="25"/>
  <c r="F12" i="24" s="1"/>
  <c r="C45" i="25"/>
  <c r="C12" i="24" s="1"/>
  <c r="G44" i="25"/>
  <c r="F11" i="24" s="1"/>
  <c r="H45" i="25"/>
  <c r="D44" i="25"/>
  <c r="C48" i="25"/>
  <c r="C15" i="24" s="1"/>
  <c r="G41" i="25"/>
  <c r="F8" i="24" s="1"/>
  <c r="C44" i="25"/>
  <c r="C11" i="24" s="1"/>
  <c r="G47" i="25"/>
  <c r="F14" i="24" s="1"/>
  <c r="G46" i="25"/>
  <c r="F13" i="24" s="1"/>
  <c r="D46" i="25"/>
  <c r="H41" i="25"/>
  <c r="C43" i="25"/>
  <c r="C10" i="24" s="1"/>
  <c r="H47" i="25"/>
  <c r="G43" i="25"/>
  <c r="F10" i="24" s="1"/>
  <c r="H42" i="25"/>
  <c r="H44" i="25"/>
  <c r="D42" i="25"/>
  <c r="D45" i="25"/>
  <c r="C42" i="25"/>
  <c r="C9" i="24" s="1"/>
  <c r="G42" i="25"/>
  <c r="F9" i="24" s="1"/>
  <c r="G49" i="25"/>
  <c r="F16" i="24" s="1"/>
  <c r="D43" i="25"/>
  <c r="C47" i="25"/>
  <c r="C14" i="24" s="1"/>
  <c r="L14" i="24" s="1"/>
  <c r="C49" i="25"/>
  <c r="C16" i="24" s="1"/>
  <c r="L16" i="24" s="1"/>
  <c r="H43" i="25"/>
  <c r="H51" i="25"/>
  <c r="G48" i="25"/>
  <c r="F15" i="24" s="1"/>
  <c r="C50" i="25"/>
  <c r="C17" i="24" s="1"/>
  <c r="D48" i="25"/>
  <c r="H48" i="25"/>
  <c r="H49" i="25"/>
  <c r="C51" i="25"/>
  <c r="C18" i="24" s="1"/>
  <c r="D52" i="25"/>
  <c r="H50" i="25"/>
  <c r="D50" i="25"/>
  <c r="G50" i="25"/>
  <c r="F17" i="24" s="1"/>
  <c r="G52" i="25"/>
  <c r="F19" i="24" s="1"/>
  <c r="H52" i="25"/>
  <c r="C52" i="25"/>
  <c r="C19" i="24" s="1"/>
  <c r="L19" i="24" s="1"/>
  <c r="G51" i="25"/>
  <c r="F18" i="24" s="1"/>
  <c r="D51" i="25"/>
  <c r="AK30" i="2"/>
  <c r="W12" i="2"/>
  <c r="X12" i="2" s="1"/>
  <c r="Y12" i="2" s="1"/>
  <c r="AA12" i="2" s="1"/>
  <c r="AB12" i="2" s="1"/>
  <c r="AC12" i="2" s="1"/>
  <c r="Z10" i="36"/>
  <c r="AJ10" i="36" s="1"/>
  <c r="AP10" i="36" s="1"/>
  <c r="AR10" i="36" s="1"/>
  <c r="Z9" i="36"/>
  <c r="AJ4" i="36"/>
  <c r="AP4" i="36" s="1"/>
  <c r="B33" i="25"/>
  <c r="A32" i="25"/>
  <c r="R17" i="4"/>
  <c r="AG38" i="4"/>
  <c r="AA11" i="4"/>
  <c r="AG14" i="4" s="1"/>
  <c r="AB18" i="6"/>
  <c r="AH21" i="6" s="1"/>
  <c r="Z18" i="6"/>
  <c r="AP5" i="34"/>
  <c r="Z11" i="38"/>
  <c r="AJ11" i="38" s="1"/>
  <c r="AP11" i="38" s="1"/>
  <c r="AR11" i="38" s="1"/>
  <c r="Z10" i="38"/>
  <c r="AJ10" i="38" s="1"/>
  <c r="AP10" i="38" s="1"/>
  <c r="AR10" i="38" s="1"/>
  <c r="Z9" i="38"/>
  <c r="AJ4" i="38"/>
  <c r="AP4" i="38" s="1"/>
  <c r="AB11" i="3"/>
  <c r="AG20" i="3" s="1"/>
  <c r="Z11" i="3"/>
  <c r="AB20" i="6"/>
  <c r="AH23" i="6" s="1"/>
  <c r="Z20" i="6"/>
  <c r="AA13" i="5"/>
  <c r="AG16" i="5" s="1"/>
  <c r="AG40" i="5"/>
  <c r="R19" i="5"/>
  <c r="AA13" i="4"/>
  <c r="AG16" i="4" s="1"/>
  <c r="R19" i="4"/>
  <c r="AG40" i="4"/>
  <c r="AB19" i="6"/>
  <c r="AH22" i="6" s="1"/>
  <c r="Z19" i="6"/>
  <c r="AA12" i="5"/>
  <c r="AG15" i="5" s="1"/>
  <c r="R18" i="5"/>
  <c r="AG39" i="5"/>
  <c r="AA12" i="4"/>
  <c r="AG15" i="4" s="1"/>
  <c r="AG39" i="4"/>
  <c r="R18" i="4"/>
  <c r="AG41" i="4"/>
  <c r="R20" i="4"/>
  <c r="AA14" i="4"/>
  <c r="AG17" i="4" s="1"/>
  <c r="AD6" i="36"/>
  <c r="AD5" i="36" s="1"/>
  <c r="AD2" i="36" s="1"/>
  <c r="AD11" i="36"/>
  <c r="AB13" i="3"/>
  <c r="AG22" i="3" s="1"/>
  <c r="Z13" i="3"/>
  <c r="AK32" i="2"/>
  <c r="W14" i="2"/>
  <c r="X14" i="2" s="1"/>
  <c r="Y14" i="2" s="1"/>
  <c r="AA14" i="2" s="1"/>
  <c r="AB14" i="2" s="1"/>
  <c r="AC14" i="2" s="1"/>
  <c r="AD243" i="34"/>
  <c r="AD234" i="34"/>
  <c r="AD223" i="34"/>
  <c r="AD196" i="34"/>
  <c r="AD225" i="34"/>
  <c r="AD122" i="34"/>
  <c r="AD98" i="34"/>
  <c r="AD184" i="34"/>
  <c r="AD53" i="34"/>
  <c r="AD17" i="34"/>
  <c r="AD38" i="34"/>
  <c r="AD135" i="34"/>
  <c r="AD236" i="34"/>
  <c r="AD96" i="34"/>
  <c r="AD58" i="34"/>
  <c r="AD65" i="34"/>
  <c r="AD240" i="34"/>
  <c r="AD206" i="34"/>
  <c r="AD74" i="34"/>
  <c r="AD43" i="34"/>
  <c r="AD136" i="34"/>
  <c r="AD125" i="34"/>
  <c r="AD70" i="34"/>
  <c r="AD88" i="34"/>
  <c r="AD64" i="34"/>
  <c r="AD140" i="34"/>
  <c r="AD131" i="34"/>
  <c r="AD203" i="34"/>
  <c r="AD66" i="34"/>
  <c r="AD112" i="34"/>
  <c r="AD221" i="34"/>
  <c r="AD62" i="34"/>
  <c r="AD46" i="34"/>
  <c r="AD138" i="34"/>
  <c r="AD141" i="34"/>
  <c r="AD185" i="34"/>
  <c r="AD214" i="34"/>
  <c r="AD127" i="34"/>
  <c r="AD226" i="34"/>
  <c r="AD15" i="34"/>
  <c r="AD44" i="34"/>
  <c r="AD100" i="34"/>
  <c r="AD114" i="34"/>
  <c r="AD42" i="34"/>
  <c r="AD57" i="34"/>
  <c r="AD212" i="34"/>
  <c r="AD151" i="34"/>
  <c r="AD137" i="34"/>
  <c r="AD199" i="34"/>
  <c r="AD40" i="34"/>
  <c r="AD67" i="34"/>
  <c r="AD113" i="34"/>
  <c r="AD152" i="34"/>
  <c r="AD163" i="34"/>
  <c r="AD139" i="34"/>
  <c r="AD82" i="34"/>
  <c r="AD216" i="34"/>
  <c r="AD123" i="34"/>
  <c r="AD69" i="34"/>
  <c r="AD179" i="34"/>
  <c r="AD219" i="34"/>
  <c r="AD150" i="34"/>
  <c r="AD26" i="34"/>
  <c r="AD35" i="34"/>
  <c r="AD233" i="34"/>
  <c r="AD106" i="34"/>
  <c r="AD168" i="34" s="1"/>
  <c r="AD30" i="34"/>
  <c r="AD147" i="34"/>
  <c r="AD133" i="34"/>
  <c r="AD144" i="34"/>
  <c r="AD190" i="34"/>
  <c r="AD97" i="34"/>
  <c r="AD155" i="34"/>
  <c r="AD13" i="34"/>
  <c r="AD176" i="34"/>
  <c r="AD146" i="34"/>
  <c r="AD249" i="34"/>
  <c r="AD9" i="34" s="1"/>
  <c r="AD213" i="34"/>
  <c r="AD95" i="34"/>
  <c r="AD148" i="34"/>
  <c r="AD84" i="34"/>
  <c r="AD31" i="34"/>
  <c r="AD218" i="34"/>
  <c r="AD228" i="34"/>
  <c r="AD117" i="34"/>
  <c r="AD111" i="34"/>
  <c r="AD77" i="34"/>
  <c r="AD51" i="34"/>
  <c r="AD102" i="34"/>
  <c r="AD166" i="34"/>
  <c r="AD78" i="34"/>
  <c r="AD99" i="34"/>
  <c r="AD12" i="34"/>
  <c r="AD239" i="34"/>
  <c r="AD116" i="34"/>
  <c r="AD21" i="34"/>
  <c r="AD47" i="34"/>
  <c r="AD59" i="34"/>
  <c r="AD37" i="34"/>
  <c r="AD211" i="34"/>
  <c r="AD186" i="34"/>
  <c r="AD91" i="34"/>
  <c r="AD60" i="34"/>
  <c r="AD182" i="34"/>
  <c r="AD164" i="34"/>
  <c r="AD158" i="34"/>
  <c r="AD110" i="34"/>
  <c r="AD202" i="34"/>
  <c r="AD175" i="34"/>
  <c r="AD194" i="34"/>
  <c r="AD174" i="34"/>
  <c r="AD129" i="34"/>
  <c r="AD61" i="34"/>
  <c r="AD121" i="34"/>
  <c r="AD180" i="34"/>
  <c r="AD143" i="34"/>
  <c r="AD247" i="34"/>
  <c r="AD197" i="34"/>
  <c r="AD75" i="34"/>
  <c r="AD68" i="34"/>
  <c r="AD45" i="34"/>
  <c r="AD162" i="34"/>
  <c r="AD183" i="34"/>
  <c r="AD79" i="34"/>
  <c r="AD19" i="34"/>
  <c r="AD76" i="34"/>
  <c r="AD54" i="34"/>
  <c r="AD231" i="34"/>
  <c r="AD118" i="34"/>
  <c r="AD192" i="34"/>
  <c r="AD157" i="34"/>
  <c r="AD126" i="34"/>
  <c r="AD171" i="34"/>
  <c r="AD25" i="34"/>
  <c r="AD41" i="34"/>
  <c r="AD36" i="34"/>
  <c r="AD29" i="34"/>
  <c r="AD108" i="34"/>
  <c r="AD72" i="34"/>
  <c r="AD161" i="34"/>
  <c r="AD130" i="34"/>
  <c r="AD128" i="34"/>
  <c r="AD189" i="34"/>
  <c r="AD48" i="34"/>
  <c r="AD132" i="34"/>
  <c r="AD89" i="34"/>
  <c r="AD63" i="34"/>
  <c r="AD207" i="34"/>
  <c r="AD220" i="34"/>
  <c r="AD27" i="34"/>
  <c r="AD93" i="34"/>
  <c r="AD210" i="34"/>
  <c r="AD142" i="34"/>
  <c r="AD101" i="34"/>
  <c r="AD134" i="34"/>
  <c r="AD217" i="34"/>
  <c r="AD178" i="34"/>
  <c r="AD39" i="34"/>
  <c r="AD224" i="34"/>
  <c r="AD83" i="34"/>
  <c r="AD119" i="34"/>
  <c r="AD251" i="34"/>
  <c r="AD245" i="34"/>
  <c r="AD205" i="34"/>
  <c r="AD198" i="34"/>
  <c r="AD149" i="34"/>
  <c r="AD204" i="34"/>
  <c r="AD173" i="34"/>
  <c r="AD235" i="34"/>
  <c r="AD209" i="34"/>
  <c r="AD238" i="34"/>
  <c r="AD80" i="34"/>
  <c r="AD52" i="34"/>
  <c r="AD188" i="34"/>
  <c r="AD230" i="34"/>
  <c r="AD120" i="34"/>
  <c r="AD49" i="34"/>
  <c r="AD222" i="34"/>
  <c r="AD227" i="34"/>
  <c r="AD172" i="34"/>
  <c r="AD246" i="34"/>
  <c r="AD215" i="34"/>
  <c r="AD241" i="34"/>
  <c r="AD244" i="34"/>
  <c r="AD145" i="34"/>
  <c r="AD208" i="34"/>
  <c r="AD191" i="34"/>
  <c r="AD86" i="34"/>
  <c r="AD73" i="34"/>
  <c r="AD90" i="34"/>
  <c r="AD153" i="34"/>
  <c r="AD87" i="34"/>
  <c r="AD22" i="34"/>
  <c r="AD81" i="34"/>
  <c r="AD156" i="34"/>
  <c r="AD24" i="34"/>
  <c r="AD250" i="34"/>
  <c r="AD187" i="34"/>
  <c r="AD20" i="34"/>
  <c r="AD193" i="34"/>
  <c r="AD154" i="34"/>
  <c r="AD232" i="34"/>
  <c r="AD92" i="34"/>
  <c r="AD242" i="34"/>
  <c r="AD165" i="34"/>
  <c r="AD56" i="34"/>
  <c r="AD195" i="34"/>
  <c r="AD109" i="34"/>
  <c r="AD55" i="34"/>
  <c r="AD28" i="34"/>
  <c r="AD237" i="34"/>
  <c r="AD16" i="34"/>
  <c r="AD94" i="34"/>
  <c r="AD18" i="34"/>
  <c r="AD200" i="34"/>
  <c r="AD85" i="34"/>
  <c r="AD181" i="34"/>
  <c r="AD115" i="34"/>
  <c r="AD160" i="34"/>
  <c r="AD23" i="34"/>
  <c r="AD50" i="34"/>
  <c r="AD71" i="34"/>
  <c r="AD14" i="34"/>
  <c r="AD124" i="34"/>
  <c r="AD248" i="34"/>
  <c r="AD201" i="34"/>
  <c r="AD159" i="34"/>
  <c r="AD177" i="34"/>
  <c r="AD167" i="34"/>
  <c r="AD229" i="34"/>
  <c r="AD107" i="34"/>
  <c r="AJ4" i="34"/>
  <c r="AP4" i="34" s="1"/>
  <c r="AK31" i="2"/>
  <c r="W13" i="2"/>
  <c r="X13" i="2" s="1"/>
  <c r="Y13" i="2" s="1"/>
  <c r="AA13" i="2" s="1"/>
  <c r="AB13" i="2" s="1"/>
  <c r="AC13" i="2" s="1"/>
  <c r="AB17" i="6"/>
  <c r="AH20" i="6" s="1"/>
  <c r="Z17" i="6"/>
  <c r="AA14" i="5"/>
  <c r="AG17" i="5" s="1"/>
  <c r="R20" i="5"/>
  <c r="AG41" i="5"/>
  <c r="AG38" i="5"/>
  <c r="AA11" i="5"/>
  <c r="AG14" i="5" s="1"/>
  <c r="R17" i="5"/>
  <c r="AB12" i="3"/>
  <c r="AG21" i="3" s="1"/>
  <c r="Z12" i="3"/>
  <c r="AB14" i="3"/>
  <c r="AG23" i="3" s="1"/>
  <c r="Z14" i="3"/>
  <c r="AJ19" i="2"/>
  <c r="AJ37" i="2"/>
  <c r="AJ28" i="2"/>
  <c r="AD12" i="38"/>
  <c r="AD6" i="38"/>
  <c r="AD5" i="38" s="1"/>
  <c r="AD2" i="38" s="1"/>
  <c r="AD14" i="38"/>
  <c r="AK29" i="2"/>
  <c r="W11" i="2"/>
  <c r="X11" i="2" s="1"/>
  <c r="Y11" i="2" s="1"/>
  <c r="AA11" i="2" s="1"/>
  <c r="AB11" i="2" s="1"/>
  <c r="AC11" i="2" s="1"/>
  <c r="AG39" i="3" l="1"/>
  <c r="AA12" i="3"/>
  <c r="AG15" i="3" s="1"/>
  <c r="R18" i="3"/>
  <c r="R23" i="6"/>
  <c r="AA17" i="6"/>
  <c r="AH14" i="6" s="1"/>
  <c r="AH38" i="6"/>
  <c r="AD7" i="34"/>
  <c r="AD103" i="34"/>
  <c r="AG40" i="3"/>
  <c r="AA13" i="3"/>
  <c r="AG16" i="3" s="1"/>
  <c r="R19" i="3"/>
  <c r="AH31" i="4"/>
  <c r="S19" i="4"/>
  <c r="T19" i="4" s="1"/>
  <c r="U19" i="4" s="1"/>
  <c r="W19" i="4" s="1"/>
  <c r="X19" i="4" s="1"/>
  <c r="Y19" i="4" s="1"/>
  <c r="AG28" i="5"/>
  <c r="AG37" i="5"/>
  <c r="AG19" i="5"/>
  <c r="R24" i="6"/>
  <c r="AH39" i="6"/>
  <c r="AA18" i="6"/>
  <c r="AH15" i="6" s="1"/>
  <c r="AH29" i="4"/>
  <c r="S17" i="4"/>
  <c r="T17" i="4" s="1"/>
  <c r="U17" i="4" s="1"/>
  <c r="W17" i="4" s="1"/>
  <c r="X17" i="4" s="1"/>
  <c r="Y17" i="4" s="1"/>
  <c r="Z6" i="36"/>
  <c r="Z11" i="36"/>
  <c r="AJ9" i="36"/>
  <c r="E51" i="25"/>
  <c r="E18" i="24"/>
  <c r="D18" i="24" s="1"/>
  <c r="E19" i="24"/>
  <c r="D19" i="24" s="1"/>
  <c r="E52" i="25"/>
  <c r="E15" i="24"/>
  <c r="D15" i="24" s="1"/>
  <c r="E48" i="25"/>
  <c r="H10" i="24"/>
  <c r="I43" i="25"/>
  <c r="E42" i="25"/>
  <c r="E9" i="24"/>
  <c r="D9" i="24" s="1"/>
  <c r="H14" i="24"/>
  <c r="I47" i="25"/>
  <c r="L15" i="24"/>
  <c r="L12" i="24"/>
  <c r="C54" i="25"/>
  <c r="E8" i="24"/>
  <c r="E41" i="25"/>
  <c r="AF11" i="2"/>
  <c r="AK20" i="2" s="1"/>
  <c r="AD11" i="2"/>
  <c r="AF14" i="2"/>
  <c r="AK23" i="2" s="1"/>
  <c r="AD14" i="2"/>
  <c r="S20" i="4"/>
  <c r="T20" i="4" s="1"/>
  <c r="U20" i="4" s="1"/>
  <c r="W20" i="4" s="1"/>
  <c r="X20" i="4" s="1"/>
  <c r="Y20" i="4" s="1"/>
  <c r="AH32" i="4"/>
  <c r="R25" i="6"/>
  <c r="AH40" i="6"/>
  <c r="AA19" i="6"/>
  <c r="AH16" i="6" s="1"/>
  <c r="AG37" i="4"/>
  <c r="AG28" i="4"/>
  <c r="AG19" i="4"/>
  <c r="R26" i="6"/>
  <c r="AA20" i="6"/>
  <c r="AH17" i="6" s="1"/>
  <c r="AH41" i="6"/>
  <c r="L18" i="24"/>
  <c r="L17" i="24"/>
  <c r="I44" i="25"/>
  <c r="H11" i="24"/>
  <c r="L10" i="24"/>
  <c r="E44" i="25"/>
  <c r="E11" i="24"/>
  <c r="D11" i="24" s="1"/>
  <c r="L13" i="24"/>
  <c r="AG41" i="3"/>
  <c r="AA14" i="3"/>
  <c r="AG17" i="3" s="1"/>
  <c r="R20" i="3"/>
  <c r="S17" i="5"/>
  <c r="T17" i="5" s="1"/>
  <c r="U17" i="5" s="1"/>
  <c r="W17" i="5" s="1"/>
  <c r="X17" i="5" s="1"/>
  <c r="Y17" i="5" s="1"/>
  <c r="AH29" i="5"/>
  <c r="S20" i="5"/>
  <c r="T20" i="5" s="1"/>
  <c r="U20" i="5" s="1"/>
  <c r="W20" i="5" s="1"/>
  <c r="X20" i="5" s="1"/>
  <c r="Y20" i="5" s="1"/>
  <c r="AH32" i="5"/>
  <c r="AF13" i="2"/>
  <c r="AK22" i="2" s="1"/>
  <c r="AD13" i="2"/>
  <c r="S19" i="5"/>
  <c r="T19" i="5" s="1"/>
  <c r="U19" i="5" s="1"/>
  <c r="W19" i="5" s="1"/>
  <c r="X19" i="5" s="1"/>
  <c r="Y19" i="5" s="1"/>
  <c r="AH31" i="5"/>
  <c r="A33" i="25"/>
  <c r="B34" i="25"/>
  <c r="B58" i="25"/>
  <c r="A58" i="25" s="1"/>
  <c r="AF12" i="2"/>
  <c r="AK21" i="2" s="1"/>
  <c r="AD12" i="2"/>
  <c r="E50" i="25"/>
  <c r="E17" i="24"/>
  <c r="D17" i="24" s="1"/>
  <c r="H16" i="24"/>
  <c r="I49" i="25"/>
  <c r="L9" i="24"/>
  <c r="I42" i="25"/>
  <c r="H9" i="24"/>
  <c r="I41" i="25"/>
  <c r="H8" i="24"/>
  <c r="L11" i="24"/>
  <c r="H12" i="24"/>
  <c r="I45" i="25"/>
  <c r="L8" i="24"/>
  <c r="H13" i="24"/>
  <c r="I46" i="25"/>
  <c r="AD8" i="34"/>
  <c r="AD252" i="34"/>
  <c r="AD32" i="34"/>
  <c r="AD6" i="34"/>
  <c r="AD5" i="34" s="1"/>
  <c r="AD2" i="34" s="1"/>
  <c r="AH30" i="4"/>
  <c r="S18" i="4"/>
  <c r="T18" i="4" s="1"/>
  <c r="U18" i="4" s="1"/>
  <c r="W18" i="4" s="1"/>
  <c r="X18" i="4" s="1"/>
  <c r="Y18" i="4" s="1"/>
  <c r="AH30" i="5"/>
  <c r="S18" i="5"/>
  <c r="T18" i="5" s="1"/>
  <c r="U18" i="5" s="1"/>
  <c r="W18" i="5" s="1"/>
  <c r="X18" i="5" s="1"/>
  <c r="Y18" i="5" s="1"/>
  <c r="AA11" i="3"/>
  <c r="AG14" i="3" s="1"/>
  <c r="AG38" i="3"/>
  <c r="R17" i="3"/>
  <c r="Z6" i="38"/>
  <c r="Z12" i="38"/>
  <c r="Z14" i="38"/>
  <c r="AJ9" i="38"/>
  <c r="AP2" i="34"/>
  <c r="I52" i="25"/>
  <c r="H19" i="24"/>
  <c r="I50" i="25"/>
  <c r="H17" i="24"/>
  <c r="H15" i="24"/>
  <c r="I48" i="25"/>
  <c r="H18" i="24"/>
  <c r="I51" i="25"/>
  <c r="E10" i="24"/>
  <c r="D10" i="24" s="1"/>
  <c r="E43" i="25"/>
  <c r="E12" i="24"/>
  <c r="D12" i="24" s="1"/>
  <c r="E45" i="25"/>
  <c r="E13" i="24"/>
  <c r="D13" i="24" s="1"/>
  <c r="E46" i="25"/>
  <c r="E16" i="24"/>
  <c r="D16" i="24" s="1"/>
  <c r="E49" i="25"/>
  <c r="E47" i="25"/>
  <c r="E14" i="24"/>
  <c r="D14" i="24" s="1"/>
  <c r="AB19" i="5" l="1"/>
  <c r="AH22" i="5" s="1"/>
  <c r="Z19" i="5"/>
  <c r="G15" i="24"/>
  <c r="N15" i="24"/>
  <c r="M15" i="24" s="1"/>
  <c r="P15" i="24" s="1"/>
  <c r="G8" i="24"/>
  <c r="N8" i="24"/>
  <c r="B35" i="25"/>
  <c r="A34" i="25"/>
  <c r="V19" i="2"/>
  <c r="AE13" i="2"/>
  <c r="AK16" i="2" s="1"/>
  <c r="AK40" i="2"/>
  <c r="AH28" i="6"/>
  <c r="AH19" i="6"/>
  <c r="AH37" i="6"/>
  <c r="AK38" i="2"/>
  <c r="AE11" i="2"/>
  <c r="AK14" i="2" s="1"/>
  <c r="V17" i="2"/>
  <c r="G14" i="24"/>
  <c r="N14" i="24"/>
  <c r="M14" i="24" s="1"/>
  <c r="P14" i="24" s="1"/>
  <c r="G10" i="24"/>
  <c r="N10" i="24"/>
  <c r="M10" i="24" s="1"/>
  <c r="P10" i="24" s="1"/>
  <c r="S23" i="6"/>
  <c r="T23" i="6" s="1"/>
  <c r="U23" i="6" s="1"/>
  <c r="W23" i="6" s="1"/>
  <c r="X23" i="6" s="1"/>
  <c r="Y23" i="6" s="1"/>
  <c r="AI29" i="6"/>
  <c r="AB18" i="4"/>
  <c r="AH21" i="4" s="1"/>
  <c r="Z18" i="4"/>
  <c r="G17" i="24"/>
  <c r="N17" i="24"/>
  <c r="M17" i="24" s="1"/>
  <c r="P17" i="24" s="1"/>
  <c r="Z5" i="38"/>
  <c r="Z2" i="38" s="1"/>
  <c r="AJ6" i="38"/>
  <c r="AJ5" i="38" s="1"/>
  <c r="AE12" i="2"/>
  <c r="AK15" i="2" s="1"/>
  <c r="AK39" i="2"/>
  <c r="V18" i="2"/>
  <c r="AB17" i="5"/>
  <c r="AH20" i="5" s="1"/>
  <c r="Z17" i="5"/>
  <c r="N11" i="24"/>
  <c r="M11" i="24" s="1"/>
  <c r="P11" i="24" s="1"/>
  <c r="G11" i="24"/>
  <c r="S26" i="6"/>
  <c r="T26" i="6" s="1"/>
  <c r="U26" i="6" s="1"/>
  <c r="W26" i="6" s="1"/>
  <c r="X26" i="6" s="1"/>
  <c r="Y26" i="6" s="1"/>
  <c r="AI32" i="6"/>
  <c r="AB20" i="4"/>
  <c r="AH23" i="4" s="1"/>
  <c r="Z20" i="4"/>
  <c r="Z5" i="36"/>
  <c r="Z2" i="36" s="1"/>
  <c r="AJ6" i="36"/>
  <c r="AJ5" i="36" s="1"/>
  <c r="AH31" i="3"/>
  <c r="S19" i="3"/>
  <c r="T19" i="3" s="1"/>
  <c r="U19" i="3" s="1"/>
  <c r="W19" i="3" s="1"/>
  <c r="X19" i="3" s="1"/>
  <c r="Y19" i="3" s="1"/>
  <c r="AH30" i="3"/>
  <c r="S18" i="3"/>
  <c r="T18" i="3" s="1"/>
  <c r="U18" i="3" s="1"/>
  <c r="W18" i="3" s="1"/>
  <c r="X18" i="3" s="1"/>
  <c r="Y18" i="3" s="1"/>
  <c r="AB18" i="5"/>
  <c r="AH21" i="5" s="1"/>
  <c r="Z18" i="5"/>
  <c r="G18" i="24"/>
  <c r="N18" i="24"/>
  <c r="M18" i="24" s="1"/>
  <c r="P18" i="24" s="1"/>
  <c r="AJ12" i="38"/>
  <c r="AP9" i="38"/>
  <c r="AJ14" i="38"/>
  <c r="AP14" i="38" s="1"/>
  <c r="AR14" i="38" s="1"/>
  <c r="AH29" i="3"/>
  <c r="S17" i="3"/>
  <c r="T17" i="3" s="1"/>
  <c r="U17" i="3" s="1"/>
  <c r="W17" i="3" s="1"/>
  <c r="X17" i="3" s="1"/>
  <c r="Y17" i="3" s="1"/>
  <c r="N13" i="24"/>
  <c r="M13" i="24" s="1"/>
  <c r="P13" i="24" s="1"/>
  <c r="G13" i="24"/>
  <c r="N12" i="24"/>
  <c r="M12" i="24" s="1"/>
  <c r="P12" i="24" s="1"/>
  <c r="G12" i="24"/>
  <c r="G9" i="24"/>
  <c r="N9" i="24"/>
  <c r="M9" i="24" s="1"/>
  <c r="P9" i="24" s="1"/>
  <c r="N16" i="24"/>
  <c r="M16" i="24" s="1"/>
  <c r="P16" i="24" s="1"/>
  <c r="G16" i="24"/>
  <c r="S20" i="3"/>
  <c r="T20" i="3" s="1"/>
  <c r="U20" i="3" s="1"/>
  <c r="W20" i="3" s="1"/>
  <c r="X20" i="3" s="1"/>
  <c r="Y20" i="3" s="1"/>
  <c r="AH32" i="3"/>
  <c r="V20" i="2"/>
  <c r="AE14" i="2"/>
  <c r="AK17" i="2" s="1"/>
  <c r="AK41" i="2"/>
  <c r="AB17" i="4"/>
  <c r="AH20" i="4" s="1"/>
  <c r="Z17" i="4"/>
  <c r="S24" i="6"/>
  <c r="T24" i="6" s="1"/>
  <c r="U24" i="6" s="1"/>
  <c r="W24" i="6" s="1"/>
  <c r="X24" i="6" s="1"/>
  <c r="Y24" i="6" s="1"/>
  <c r="AI30" i="6"/>
  <c r="AG28" i="3"/>
  <c r="AG19" i="3"/>
  <c r="AG37" i="3"/>
  <c r="N19" i="24"/>
  <c r="M19" i="24" s="1"/>
  <c r="P19" i="24" s="1"/>
  <c r="G19" i="24"/>
  <c r="AB20" i="5"/>
  <c r="AH23" i="5" s="1"/>
  <c r="Z20" i="5"/>
  <c r="AI31" i="6"/>
  <c r="S25" i="6"/>
  <c r="T25" i="6" s="1"/>
  <c r="U25" i="6" s="1"/>
  <c r="W25" i="6" s="1"/>
  <c r="X25" i="6" s="1"/>
  <c r="Y25" i="6" s="1"/>
  <c r="D8" i="24"/>
  <c r="AJ11" i="36"/>
  <c r="AP9" i="36"/>
  <c r="AB19" i="4"/>
  <c r="AH22" i="4" s="1"/>
  <c r="Z19" i="4"/>
  <c r="R25" i="4" l="1"/>
  <c r="AH40" i="4"/>
  <c r="AA19" i="4"/>
  <c r="AH16" i="4" s="1"/>
  <c r="AH41" i="5"/>
  <c r="AA20" i="5"/>
  <c r="AH17" i="5" s="1"/>
  <c r="R26" i="5"/>
  <c r="AH38" i="4"/>
  <c r="AA17" i="4"/>
  <c r="AH14" i="4" s="1"/>
  <c r="R23" i="4"/>
  <c r="W20" i="2"/>
  <c r="X20" i="2" s="1"/>
  <c r="Y20" i="2" s="1"/>
  <c r="AA20" i="2" s="1"/>
  <c r="AB20" i="2" s="1"/>
  <c r="AC20" i="2" s="1"/>
  <c r="AL32" i="2"/>
  <c r="T16" i="24"/>
  <c r="R16" i="24"/>
  <c r="T12" i="24"/>
  <c r="R12" i="24"/>
  <c r="T18" i="24"/>
  <c r="R18" i="24"/>
  <c r="AB18" i="3"/>
  <c r="AH21" i="3" s="1"/>
  <c r="Z18" i="3"/>
  <c r="R23" i="5"/>
  <c r="AA17" i="5"/>
  <c r="AH14" i="5" s="1"/>
  <c r="AH38" i="5"/>
  <c r="AB23" i="6"/>
  <c r="AI20" i="6" s="1"/>
  <c r="Z23" i="6"/>
  <c r="AK37" i="2"/>
  <c r="AK28" i="2"/>
  <c r="AK19" i="2"/>
  <c r="T15" i="24"/>
  <c r="R15" i="24"/>
  <c r="AR9" i="36"/>
  <c r="AP6" i="36"/>
  <c r="AP11" i="36"/>
  <c r="AB25" i="6"/>
  <c r="AI22" i="6" s="1"/>
  <c r="Z25" i="6"/>
  <c r="T9" i="24"/>
  <c r="R9" i="24"/>
  <c r="AB26" i="6"/>
  <c r="AI23" i="6" s="1"/>
  <c r="Z26" i="6"/>
  <c r="AH39" i="4"/>
  <c r="R24" i="4"/>
  <c r="AA18" i="4"/>
  <c r="AH15" i="4" s="1"/>
  <c r="R10" i="24"/>
  <c r="T10" i="24"/>
  <c r="W17" i="2"/>
  <c r="X17" i="2" s="1"/>
  <c r="Y17" i="2" s="1"/>
  <c r="AA17" i="2" s="1"/>
  <c r="AB17" i="2" s="1"/>
  <c r="AC17" i="2" s="1"/>
  <c r="AL29" i="2"/>
  <c r="AL31" i="2"/>
  <c r="W19" i="2"/>
  <c r="X19" i="2" s="1"/>
  <c r="Y19" i="2" s="1"/>
  <c r="AA19" i="2" s="1"/>
  <c r="AB19" i="2" s="1"/>
  <c r="AC19" i="2" s="1"/>
  <c r="M8" i="24"/>
  <c r="P8" i="24" s="1"/>
  <c r="R19" i="24"/>
  <c r="T19" i="24"/>
  <c r="AB20" i="3"/>
  <c r="AH23" i="3" s="1"/>
  <c r="Z20" i="3"/>
  <c r="R13" i="24"/>
  <c r="T13" i="24"/>
  <c r="AR9" i="38"/>
  <c r="AP12" i="38"/>
  <c r="AP6" i="38"/>
  <c r="AH39" i="5"/>
  <c r="R24" i="5"/>
  <c r="AA18" i="5"/>
  <c r="AH15" i="5" s="1"/>
  <c r="AB19" i="3"/>
  <c r="AH22" i="3" s="1"/>
  <c r="Z19" i="3"/>
  <c r="AH41" i="4"/>
  <c r="R26" i="4"/>
  <c r="AA20" i="4"/>
  <c r="AH17" i="4" s="1"/>
  <c r="W18" i="2"/>
  <c r="X18" i="2" s="1"/>
  <c r="Y18" i="2" s="1"/>
  <c r="AA18" i="2" s="1"/>
  <c r="AB18" i="2" s="1"/>
  <c r="AC18" i="2" s="1"/>
  <c r="AL30" i="2"/>
  <c r="AH40" i="5"/>
  <c r="R25" i="5"/>
  <c r="AA19" i="5"/>
  <c r="AH16" i="5" s="1"/>
  <c r="AB24" i="6"/>
  <c r="AI21" i="6" s="1"/>
  <c r="Z24" i="6"/>
  <c r="AB17" i="3"/>
  <c r="AH20" i="3" s="1"/>
  <c r="Z17" i="3"/>
  <c r="T11" i="24"/>
  <c r="R11" i="24"/>
  <c r="T17" i="24"/>
  <c r="R17" i="24"/>
  <c r="T14" i="24"/>
  <c r="R14" i="24"/>
  <c r="B59" i="25"/>
  <c r="A59" i="25" s="1"/>
  <c r="B36" i="25"/>
  <c r="A35" i="25"/>
  <c r="AH19" i="5" l="1"/>
  <c r="AH28" i="5"/>
  <c r="AH37" i="5"/>
  <c r="AF18" i="2"/>
  <c r="AL21" i="2" s="1"/>
  <c r="AD18" i="2"/>
  <c r="R25" i="3"/>
  <c r="AH40" i="3"/>
  <c r="AA19" i="3"/>
  <c r="AH16" i="3" s="1"/>
  <c r="AF19" i="2"/>
  <c r="AL22" i="2" s="1"/>
  <c r="AD19" i="2"/>
  <c r="R29" i="6"/>
  <c r="AI38" i="6"/>
  <c r="AA23" i="6"/>
  <c r="AI14" i="6" s="1"/>
  <c r="S23" i="5"/>
  <c r="T23" i="5" s="1"/>
  <c r="U23" i="5" s="1"/>
  <c r="W23" i="5" s="1"/>
  <c r="X23" i="5" s="1"/>
  <c r="Y23" i="5" s="1"/>
  <c r="AI29" i="5"/>
  <c r="A36" i="25"/>
  <c r="B37" i="25"/>
  <c r="R23" i="3"/>
  <c r="AH38" i="3"/>
  <c r="AA17" i="3"/>
  <c r="AH14" i="3" s="1"/>
  <c r="AI31" i="5"/>
  <c r="S25" i="5"/>
  <c r="T25" i="5" s="1"/>
  <c r="U25" i="5" s="1"/>
  <c r="W25" i="5" s="1"/>
  <c r="X25" i="5" s="1"/>
  <c r="Y25" i="5" s="1"/>
  <c r="AP5" i="38"/>
  <c r="AP2" i="38" s="1"/>
  <c r="AI41" i="6"/>
  <c r="R32" i="6"/>
  <c r="AA26" i="6"/>
  <c r="AI17" i="6" s="1"/>
  <c r="AP5" i="36"/>
  <c r="AP2" i="36" s="1"/>
  <c r="R24" i="3"/>
  <c r="AH39" i="3"/>
  <c r="AA18" i="3"/>
  <c r="AH15" i="3" s="1"/>
  <c r="AH19" i="4"/>
  <c r="AH37" i="4"/>
  <c r="AH28" i="4"/>
  <c r="S24" i="5"/>
  <c r="T24" i="5" s="1"/>
  <c r="U24" i="5" s="1"/>
  <c r="W24" i="5" s="1"/>
  <c r="X24" i="5" s="1"/>
  <c r="Y24" i="5" s="1"/>
  <c r="AI30" i="5"/>
  <c r="AA24" i="6"/>
  <c r="AI15" i="6" s="1"/>
  <c r="R30" i="6"/>
  <c r="AI39" i="6"/>
  <c r="S26" i="4"/>
  <c r="T26" i="4" s="1"/>
  <c r="U26" i="4" s="1"/>
  <c r="W26" i="4" s="1"/>
  <c r="X26" i="4" s="1"/>
  <c r="Y26" i="4" s="1"/>
  <c r="AI32" i="4"/>
  <c r="AH41" i="3"/>
  <c r="R26" i="3"/>
  <c r="AA20" i="3"/>
  <c r="AH17" i="3" s="1"/>
  <c r="AA25" i="6"/>
  <c r="AI16" i="6" s="1"/>
  <c r="AI40" i="6"/>
  <c r="R31" i="6"/>
  <c r="AF20" i="2"/>
  <c r="AL23" i="2" s="1"/>
  <c r="AD20" i="2"/>
  <c r="AI32" i="5"/>
  <c r="S26" i="5"/>
  <c r="T26" i="5" s="1"/>
  <c r="U26" i="5" s="1"/>
  <c r="W26" i="5" s="1"/>
  <c r="X26" i="5" s="1"/>
  <c r="Y26" i="5" s="1"/>
  <c r="R8" i="24"/>
  <c r="T8" i="24"/>
  <c r="AF17" i="2"/>
  <c r="AL20" i="2" s="1"/>
  <c r="AD17" i="2"/>
  <c r="S24" i="4"/>
  <c r="T24" i="4" s="1"/>
  <c r="U24" i="4" s="1"/>
  <c r="W24" i="4" s="1"/>
  <c r="X24" i="4" s="1"/>
  <c r="Y24" i="4" s="1"/>
  <c r="AI30" i="4"/>
  <c r="S23" i="4"/>
  <c r="T23" i="4" s="1"/>
  <c r="U23" i="4" s="1"/>
  <c r="W23" i="4" s="1"/>
  <c r="X23" i="4" s="1"/>
  <c r="Y23" i="4" s="1"/>
  <c r="AI29" i="4"/>
  <c r="S25" i="4"/>
  <c r="T25" i="4" s="1"/>
  <c r="U25" i="4" s="1"/>
  <c r="W25" i="4" s="1"/>
  <c r="X25" i="4" s="1"/>
  <c r="Y25" i="4" s="1"/>
  <c r="AI31" i="4"/>
  <c r="AB24" i="4" l="1"/>
  <c r="AI21" i="4" s="1"/>
  <c r="Z24" i="4"/>
  <c r="AE20" i="2"/>
  <c r="AL17" i="2" s="1"/>
  <c r="V26" i="2"/>
  <c r="AL41" i="2"/>
  <c r="AJ30" i="6"/>
  <c r="S30" i="6"/>
  <c r="T30" i="6" s="1"/>
  <c r="U30" i="6" s="1"/>
  <c r="W30" i="6" s="1"/>
  <c r="X30" i="6" s="1"/>
  <c r="Y30" i="6" s="1"/>
  <c r="AI37" i="6"/>
  <c r="AI28" i="6"/>
  <c r="AI19" i="6"/>
  <c r="AH37" i="3"/>
  <c r="AH28" i="3"/>
  <c r="AH19" i="3"/>
  <c r="AB25" i="4"/>
  <c r="AI22" i="4" s="1"/>
  <c r="Z25" i="4"/>
  <c r="AL38" i="2"/>
  <c r="AE17" i="2"/>
  <c r="AL14" i="2" s="1"/>
  <c r="V23" i="2"/>
  <c r="AI30" i="3"/>
  <c r="S24" i="3"/>
  <c r="T24" i="3" s="1"/>
  <c r="U24" i="3" s="1"/>
  <c r="W24" i="3" s="1"/>
  <c r="X24" i="3" s="1"/>
  <c r="Y24" i="3" s="1"/>
  <c r="S32" i="6"/>
  <c r="T32" i="6" s="1"/>
  <c r="U32" i="6" s="1"/>
  <c r="W32" i="6" s="1"/>
  <c r="X32" i="6" s="1"/>
  <c r="Y32" i="6" s="1"/>
  <c r="AJ32" i="6"/>
  <c r="AB25" i="5"/>
  <c r="AI22" i="5" s="1"/>
  <c r="Z25" i="5"/>
  <c r="AI29" i="3"/>
  <c r="S23" i="3"/>
  <c r="T23" i="3" s="1"/>
  <c r="U23" i="3" s="1"/>
  <c r="W23" i="3" s="1"/>
  <c r="X23" i="3" s="1"/>
  <c r="Y23" i="3" s="1"/>
  <c r="AJ29" i="6"/>
  <c r="S29" i="6"/>
  <c r="T29" i="6" s="1"/>
  <c r="U29" i="6" s="1"/>
  <c r="W29" i="6" s="1"/>
  <c r="X29" i="6" s="1"/>
  <c r="Y29" i="6" s="1"/>
  <c r="AB23" i="4"/>
  <c r="AI20" i="4" s="1"/>
  <c r="Z23" i="4"/>
  <c r="AB26" i="4"/>
  <c r="AI23" i="4" s="1"/>
  <c r="Z26" i="4"/>
  <c r="B60" i="25"/>
  <c r="A60" i="25" s="1"/>
  <c r="A37" i="25"/>
  <c r="AB23" i="5"/>
  <c r="AI20" i="5" s="1"/>
  <c r="Z23" i="5"/>
  <c r="V25" i="2"/>
  <c r="AE19" i="2"/>
  <c r="AL16" i="2" s="1"/>
  <c r="AL40" i="2"/>
  <c r="AI31" i="3"/>
  <c r="S25" i="3"/>
  <c r="T25" i="3" s="1"/>
  <c r="U25" i="3" s="1"/>
  <c r="W25" i="3" s="1"/>
  <c r="X25" i="3" s="1"/>
  <c r="Y25" i="3" s="1"/>
  <c r="C58" i="25"/>
  <c r="C20" i="24" s="1"/>
  <c r="AB26" i="5"/>
  <c r="AI23" i="5" s="1"/>
  <c r="Z26" i="5"/>
  <c r="AJ31" i="6"/>
  <c r="S31" i="6"/>
  <c r="T31" i="6" s="1"/>
  <c r="U31" i="6" s="1"/>
  <c r="W31" i="6" s="1"/>
  <c r="X31" i="6" s="1"/>
  <c r="Y31" i="6" s="1"/>
  <c r="AI32" i="3"/>
  <c r="S26" i="3"/>
  <c r="T26" i="3" s="1"/>
  <c r="U26" i="3" s="1"/>
  <c r="W26" i="3" s="1"/>
  <c r="X26" i="3" s="1"/>
  <c r="Y26" i="3" s="1"/>
  <c r="AB24" i="5"/>
  <c r="AI21" i="5" s="1"/>
  <c r="Z24" i="5"/>
  <c r="AL39" i="2"/>
  <c r="V24" i="2"/>
  <c r="AE18" i="2"/>
  <c r="AL15" i="2" s="1"/>
  <c r="AB31" i="6" l="1"/>
  <c r="AJ22" i="6" s="1"/>
  <c r="Z31" i="6"/>
  <c r="AL19" i="2"/>
  <c r="AL28" i="2"/>
  <c r="AL37" i="2"/>
  <c r="G59" i="25"/>
  <c r="F21" i="24" s="1"/>
  <c r="H59" i="25"/>
  <c r="D59" i="25"/>
  <c r="AI38" i="4"/>
  <c r="AA23" i="4"/>
  <c r="AI14" i="4" s="1"/>
  <c r="R29" i="4"/>
  <c r="AI40" i="5"/>
  <c r="R31" i="5"/>
  <c r="AA25" i="5"/>
  <c r="AI16" i="5" s="1"/>
  <c r="AB24" i="3"/>
  <c r="AI21" i="3" s="1"/>
  <c r="Z24" i="3"/>
  <c r="H58" i="25"/>
  <c r="AB25" i="3"/>
  <c r="AI22" i="3" s="1"/>
  <c r="Z25" i="3"/>
  <c r="W25" i="2"/>
  <c r="X25" i="2" s="1"/>
  <c r="Y25" i="2" s="1"/>
  <c r="AA25" i="2" s="1"/>
  <c r="AB25" i="2" s="1"/>
  <c r="AC25" i="2" s="1"/>
  <c r="AM31" i="2"/>
  <c r="D60" i="25"/>
  <c r="H60" i="25"/>
  <c r="C60" i="25"/>
  <c r="C22" i="24" s="1"/>
  <c r="L22" i="24" s="1"/>
  <c r="G60" i="25"/>
  <c r="F22" i="24" s="1"/>
  <c r="AB23" i="3"/>
  <c r="AI20" i="3" s="1"/>
  <c r="Z23" i="3"/>
  <c r="R30" i="4"/>
  <c r="AI39" i="4"/>
  <c r="AA24" i="4"/>
  <c r="AI15" i="4" s="1"/>
  <c r="R30" i="5"/>
  <c r="AA24" i="5"/>
  <c r="AI15" i="5" s="1"/>
  <c r="AI39" i="5"/>
  <c r="AM30" i="2"/>
  <c r="W24" i="2"/>
  <c r="X24" i="2" s="1"/>
  <c r="Y24" i="2" s="1"/>
  <c r="AA24" i="2" s="1"/>
  <c r="AB24" i="2" s="1"/>
  <c r="AC24" i="2" s="1"/>
  <c r="AB26" i="3"/>
  <c r="AI23" i="3" s="1"/>
  <c r="Z26" i="3"/>
  <c r="AI41" i="5"/>
  <c r="AA26" i="5"/>
  <c r="AI17" i="5" s="1"/>
  <c r="R32" i="5"/>
  <c r="AI38" i="5"/>
  <c r="R29" i="5"/>
  <c r="AA23" i="5"/>
  <c r="AI14" i="5" s="1"/>
  <c r="AA26" i="4"/>
  <c r="AI17" i="4" s="1"/>
  <c r="AI41" i="4"/>
  <c r="R32" i="4"/>
  <c r="D58" i="25"/>
  <c r="R31" i="4"/>
  <c r="AI40" i="4"/>
  <c r="AA25" i="4"/>
  <c r="AI16" i="4" s="1"/>
  <c r="AM32" i="2"/>
  <c r="W26" i="2"/>
  <c r="X26" i="2" s="1"/>
  <c r="Y26" i="2" s="1"/>
  <c r="AA26" i="2" s="1"/>
  <c r="AB26" i="2" s="1"/>
  <c r="AC26" i="2" s="1"/>
  <c r="AB29" i="6"/>
  <c r="AJ20" i="6" s="1"/>
  <c r="Z29" i="6"/>
  <c r="C59" i="25"/>
  <c r="C21" i="24" s="1"/>
  <c r="L21" i="24" s="1"/>
  <c r="AB32" i="6"/>
  <c r="AJ23" i="6" s="1"/>
  <c r="Z32" i="6"/>
  <c r="W23" i="2"/>
  <c r="X23" i="2" s="1"/>
  <c r="Y23" i="2" s="1"/>
  <c r="AA23" i="2" s="1"/>
  <c r="AB23" i="2" s="1"/>
  <c r="AC23" i="2" s="1"/>
  <c r="AM29" i="2"/>
  <c r="AB30" i="6"/>
  <c r="AJ21" i="6" s="1"/>
  <c r="Z30" i="6"/>
  <c r="G58" i="25"/>
  <c r="F20" i="24" s="1"/>
  <c r="F23" i="24" s="1"/>
  <c r="AF26" i="2" l="1"/>
  <c r="AM23" i="2" s="1"/>
  <c r="AD26" i="2"/>
  <c r="AJ31" i="4"/>
  <c r="S31" i="4"/>
  <c r="T31" i="4" s="1"/>
  <c r="U31" i="4" s="1"/>
  <c r="W31" i="4" s="1"/>
  <c r="X31" i="4" s="1"/>
  <c r="Y31" i="4" s="1"/>
  <c r="AJ32" i="5"/>
  <c r="S32" i="5"/>
  <c r="T32" i="5" s="1"/>
  <c r="U32" i="5" s="1"/>
  <c r="W32" i="5" s="1"/>
  <c r="X32" i="5" s="1"/>
  <c r="Y32" i="5" s="1"/>
  <c r="E20" i="24"/>
  <c r="E58" i="25"/>
  <c r="AF23" i="2"/>
  <c r="AM20" i="2" s="1"/>
  <c r="AD23" i="2"/>
  <c r="R35" i="6"/>
  <c r="AA29" i="6"/>
  <c r="AJ14" i="6" s="1"/>
  <c r="AJ38" i="6"/>
  <c r="AJ32" i="4"/>
  <c r="S32" i="4"/>
  <c r="T32" i="4" s="1"/>
  <c r="U32" i="4" s="1"/>
  <c r="W32" i="4" s="1"/>
  <c r="X32" i="4" s="1"/>
  <c r="Y32" i="4" s="1"/>
  <c r="S29" i="5"/>
  <c r="T29" i="5" s="1"/>
  <c r="U29" i="5" s="1"/>
  <c r="W29" i="5" s="1"/>
  <c r="X29" i="5" s="1"/>
  <c r="Y29" i="5" s="1"/>
  <c r="AJ29" i="5"/>
  <c r="E60" i="25"/>
  <c r="E22" i="24"/>
  <c r="D22" i="24" s="1"/>
  <c r="R30" i="3"/>
  <c r="AI39" i="3"/>
  <c r="AA24" i="3"/>
  <c r="AI15" i="3" s="1"/>
  <c r="E59" i="25"/>
  <c r="E21" i="24"/>
  <c r="D21" i="24" s="1"/>
  <c r="AI37" i="4"/>
  <c r="AI28" i="4"/>
  <c r="AI19" i="4"/>
  <c r="R36" i="6"/>
  <c r="AJ39" i="6"/>
  <c r="AA30" i="6"/>
  <c r="AJ15" i="6" s="1"/>
  <c r="AA32" i="6"/>
  <c r="AJ17" i="6" s="1"/>
  <c r="R38" i="6"/>
  <c r="AJ41" i="6"/>
  <c r="AI41" i="3"/>
  <c r="R32" i="3"/>
  <c r="AA26" i="3"/>
  <c r="AI17" i="3" s="1"/>
  <c r="C23" i="24"/>
  <c r="S29" i="4"/>
  <c r="T29" i="4" s="1"/>
  <c r="U29" i="4" s="1"/>
  <c r="W29" i="4" s="1"/>
  <c r="X29" i="4" s="1"/>
  <c r="Y29" i="4" s="1"/>
  <c r="AJ29" i="4"/>
  <c r="I59" i="25"/>
  <c r="H21" i="24"/>
  <c r="AJ30" i="4"/>
  <c r="S30" i="4"/>
  <c r="T30" i="4" s="1"/>
  <c r="U30" i="4" s="1"/>
  <c r="W30" i="4" s="1"/>
  <c r="X30" i="4" s="1"/>
  <c r="Y30" i="4" s="1"/>
  <c r="AF25" i="2"/>
  <c r="AM22" i="2" s="1"/>
  <c r="AD25" i="2"/>
  <c r="L20" i="24"/>
  <c r="L23" i="24" s="1"/>
  <c r="AI28" i="5"/>
  <c r="AI37" i="5"/>
  <c r="AI19" i="5"/>
  <c r="R37" i="6"/>
  <c r="AJ40" i="6"/>
  <c r="AA31" i="6"/>
  <c r="AJ16" i="6" s="1"/>
  <c r="AF24" i="2"/>
  <c r="AM21" i="2" s="1"/>
  <c r="AD24" i="2"/>
  <c r="S30" i="5"/>
  <c r="T30" i="5" s="1"/>
  <c r="U30" i="5" s="1"/>
  <c r="W30" i="5" s="1"/>
  <c r="X30" i="5" s="1"/>
  <c r="Y30" i="5" s="1"/>
  <c r="AJ30" i="5"/>
  <c r="R29" i="3"/>
  <c r="AA23" i="3"/>
  <c r="AI14" i="3" s="1"/>
  <c r="AI38" i="3"/>
  <c r="H22" i="24"/>
  <c r="I60" i="25"/>
  <c r="AI40" i="3"/>
  <c r="AA25" i="3"/>
  <c r="AI16" i="3" s="1"/>
  <c r="R31" i="3"/>
  <c r="H20" i="24"/>
  <c r="I58" i="25"/>
  <c r="AJ31" i="5"/>
  <c r="S31" i="5"/>
  <c r="T31" i="5" s="1"/>
  <c r="U31" i="5" s="1"/>
  <c r="W31" i="5" s="1"/>
  <c r="X31" i="5" s="1"/>
  <c r="Y31" i="5" s="1"/>
  <c r="AK32" i="6" l="1"/>
  <c r="S38" i="6"/>
  <c r="T38" i="6" s="1"/>
  <c r="U38" i="6" s="1"/>
  <c r="W38" i="6" s="1"/>
  <c r="X38" i="6" s="1"/>
  <c r="Y38" i="6" s="1"/>
  <c r="AK30" i="6"/>
  <c r="S36" i="6"/>
  <c r="T36" i="6" s="1"/>
  <c r="U36" i="6" s="1"/>
  <c r="W36" i="6" s="1"/>
  <c r="X36" i="6" s="1"/>
  <c r="Y36" i="6" s="1"/>
  <c r="S30" i="3"/>
  <c r="T30" i="3" s="1"/>
  <c r="U30" i="3" s="1"/>
  <c r="W30" i="3" s="1"/>
  <c r="X30" i="3" s="1"/>
  <c r="Y30" i="3" s="1"/>
  <c r="AJ30" i="3"/>
  <c r="AB29" i="5"/>
  <c r="AJ20" i="5" s="1"/>
  <c r="Z29" i="5"/>
  <c r="AB31" i="4"/>
  <c r="AJ22" i="4" s="1"/>
  <c r="Z31" i="4"/>
  <c r="AJ31" i="3"/>
  <c r="S31" i="3"/>
  <c r="T31" i="3" s="1"/>
  <c r="U31" i="3" s="1"/>
  <c r="W31" i="3" s="1"/>
  <c r="X31" i="3" s="1"/>
  <c r="Y31" i="3" s="1"/>
  <c r="AI37" i="3"/>
  <c r="AI19" i="3"/>
  <c r="AI28" i="3"/>
  <c r="AB30" i="4"/>
  <c r="AJ21" i="4" s="1"/>
  <c r="Z30" i="4"/>
  <c r="AJ32" i="3"/>
  <c r="S32" i="3"/>
  <c r="T32" i="3" s="1"/>
  <c r="U32" i="3" s="1"/>
  <c r="W32" i="3" s="1"/>
  <c r="X32" i="3" s="1"/>
  <c r="Y32" i="3" s="1"/>
  <c r="AJ37" i="6"/>
  <c r="AJ19" i="6"/>
  <c r="AJ28" i="6"/>
  <c r="AB32" i="4"/>
  <c r="AJ23" i="4" s="1"/>
  <c r="Z32" i="4"/>
  <c r="AK29" i="6"/>
  <c r="S35" i="6"/>
  <c r="T35" i="6" s="1"/>
  <c r="U35" i="6" s="1"/>
  <c r="W35" i="6" s="1"/>
  <c r="X35" i="6" s="1"/>
  <c r="Y35" i="6" s="1"/>
  <c r="D20" i="24"/>
  <c r="E23" i="24"/>
  <c r="D23" i="24" s="1"/>
  <c r="N22" i="24"/>
  <c r="G22" i="24"/>
  <c r="AB30" i="5"/>
  <c r="AJ21" i="5" s="1"/>
  <c r="Z30" i="5"/>
  <c r="AM39" i="2"/>
  <c r="V30" i="2"/>
  <c r="AE24" i="2"/>
  <c r="AM15" i="2" s="1"/>
  <c r="AK31" i="6"/>
  <c r="S37" i="6"/>
  <c r="T37" i="6" s="1"/>
  <c r="U37" i="6" s="1"/>
  <c r="W37" i="6" s="1"/>
  <c r="X37" i="6" s="1"/>
  <c r="Y37" i="6" s="1"/>
  <c r="V29" i="2"/>
  <c r="AM38" i="2"/>
  <c r="AE23" i="2"/>
  <c r="AM14" i="2" s="1"/>
  <c r="AB32" i="5"/>
  <c r="AJ23" i="5" s="1"/>
  <c r="Z32" i="5"/>
  <c r="V32" i="2"/>
  <c r="AM41" i="2"/>
  <c r="AE26" i="2"/>
  <c r="AM17" i="2" s="1"/>
  <c r="AB31" i="5"/>
  <c r="AJ22" i="5" s="1"/>
  <c r="Z31" i="5"/>
  <c r="AB29" i="4"/>
  <c r="AJ20" i="4" s="1"/>
  <c r="Z29" i="4"/>
  <c r="G20" i="24"/>
  <c r="N20" i="24"/>
  <c r="H23" i="24"/>
  <c r="G23" i="24" s="1"/>
  <c r="AJ29" i="3"/>
  <c r="S29" i="3"/>
  <c r="T29" i="3" s="1"/>
  <c r="U29" i="3" s="1"/>
  <c r="W29" i="3" s="1"/>
  <c r="X29" i="3" s="1"/>
  <c r="Y29" i="3" s="1"/>
  <c r="V31" i="2"/>
  <c r="AM40" i="2"/>
  <c r="AE25" i="2"/>
  <c r="AM16" i="2" s="1"/>
  <c r="G21" i="24"/>
  <c r="N21" i="24"/>
  <c r="AA30" i="5" l="1"/>
  <c r="AJ15" i="5" s="1"/>
  <c r="AJ39" i="5"/>
  <c r="R36" i="5"/>
  <c r="R38" i="4"/>
  <c r="AJ41" i="4"/>
  <c r="AA32" i="4"/>
  <c r="AJ17" i="4" s="1"/>
  <c r="AB31" i="3"/>
  <c r="AJ22" i="3" s="1"/>
  <c r="Z31" i="3"/>
  <c r="R35" i="5"/>
  <c r="AJ38" i="5"/>
  <c r="AA29" i="5"/>
  <c r="AJ14" i="5" s="1"/>
  <c r="AB36" i="6"/>
  <c r="AK21" i="6" s="1"/>
  <c r="Z36" i="6"/>
  <c r="R21" i="24"/>
  <c r="M21" i="24"/>
  <c r="P21" i="24" s="1"/>
  <c r="T21" i="24" s="1"/>
  <c r="AN31" i="2"/>
  <c r="W31" i="2"/>
  <c r="X31" i="2" s="1"/>
  <c r="Y31" i="2" s="1"/>
  <c r="AA31" i="2" s="1"/>
  <c r="AB31" i="2" s="1"/>
  <c r="AC31" i="2" s="1"/>
  <c r="M20" i="24"/>
  <c r="P20" i="24" s="1"/>
  <c r="R20" i="24"/>
  <c r="N23" i="24"/>
  <c r="AJ40" i="5"/>
  <c r="R37" i="5"/>
  <c r="AA31" i="5"/>
  <c r="AJ16" i="5" s="1"/>
  <c r="W32" i="2"/>
  <c r="X32" i="2" s="1"/>
  <c r="Y32" i="2" s="1"/>
  <c r="AA32" i="2" s="1"/>
  <c r="AB32" i="2" s="1"/>
  <c r="AC32" i="2" s="1"/>
  <c r="AN32" i="2"/>
  <c r="AB32" i="3"/>
  <c r="AJ23" i="3" s="1"/>
  <c r="Z32" i="3"/>
  <c r="AB29" i="3"/>
  <c r="AJ20" i="3" s="1"/>
  <c r="Z29" i="3"/>
  <c r="AA32" i="5"/>
  <c r="AJ17" i="5" s="1"/>
  <c r="R38" i="5"/>
  <c r="AJ41" i="5"/>
  <c r="AN29" i="2"/>
  <c r="W29" i="2"/>
  <c r="X29" i="2" s="1"/>
  <c r="Y29" i="2" s="1"/>
  <c r="AA29" i="2" s="1"/>
  <c r="AB29" i="2" s="1"/>
  <c r="AC29" i="2" s="1"/>
  <c r="AN30" i="2"/>
  <c r="W30" i="2"/>
  <c r="X30" i="2" s="1"/>
  <c r="Y30" i="2" s="1"/>
  <c r="AA30" i="2" s="1"/>
  <c r="AB30" i="2" s="1"/>
  <c r="AC30" i="2" s="1"/>
  <c r="AB35" i="6"/>
  <c r="AK20" i="6" s="1"/>
  <c r="Z35" i="6"/>
  <c r="AJ40" i="4"/>
  <c r="R37" i="4"/>
  <c r="AA31" i="4"/>
  <c r="AJ16" i="4" s="1"/>
  <c r="AB38" i="6"/>
  <c r="AK23" i="6" s="1"/>
  <c r="Z38" i="6"/>
  <c r="AM28" i="2"/>
  <c r="AM19" i="2"/>
  <c r="AM37" i="2"/>
  <c r="R35" i="4"/>
  <c r="AA29" i="4"/>
  <c r="AJ14" i="4" s="1"/>
  <c r="AJ38" i="4"/>
  <c r="AB37" i="6"/>
  <c r="AK22" i="6" s="1"/>
  <c r="Z37" i="6"/>
  <c r="R22" i="24"/>
  <c r="M22" i="24"/>
  <c r="P22" i="24" s="1"/>
  <c r="T22" i="24" s="1"/>
  <c r="AJ39" i="4"/>
  <c r="AA30" i="4"/>
  <c r="AJ15" i="4" s="1"/>
  <c r="R36" i="4"/>
  <c r="AB30" i="3"/>
  <c r="AJ21" i="3" s="1"/>
  <c r="Z30" i="3"/>
  <c r="AJ28" i="4" l="1"/>
  <c r="AJ37" i="4"/>
  <c r="AJ19" i="4"/>
  <c r="AK32" i="5"/>
  <c r="S38" i="5"/>
  <c r="T38" i="5" s="1"/>
  <c r="U38" i="5" s="1"/>
  <c r="W38" i="5" s="1"/>
  <c r="X38" i="5" s="1"/>
  <c r="Y38" i="5" s="1"/>
  <c r="AJ41" i="3"/>
  <c r="AA32" i="3"/>
  <c r="AJ17" i="3" s="1"/>
  <c r="R38" i="3"/>
  <c r="AJ28" i="5"/>
  <c r="AJ19" i="5"/>
  <c r="AJ37" i="5"/>
  <c r="R23" i="24"/>
  <c r="S38" i="4"/>
  <c r="T38" i="4" s="1"/>
  <c r="U38" i="4" s="1"/>
  <c r="W38" i="4" s="1"/>
  <c r="X38" i="4" s="1"/>
  <c r="Y38" i="4" s="1"/>
  <c r="AK32" i="4"/>
  <c r="AJ39" i="3"/>
  <c r="AA30" i="3"/>
  <c r="AJ15" i="3" s="1"/>
  <c r="R36" i="3"/>
  <c r="AK31" i="4"/>
  <c r="S37" i="4"/>
  <c r="T37" i="4" s="1"/>
  <c r="U37" i="4" s="1"/>
  <c r="W37" i="4" s="1"/>
  <c r="X37" i="4" s="1"/>
  <c r="Y37" i="4" s="1"/>
  <c r="AK38" i="6"/>
  <c r="R41" i="6"/>
  <c r="AA35" i="6"/>
  <c r="AK14" i="6" s="1"/>
  <c r="AF29" i="2"/>
  <c r="AN20" i="2" s="1"/>
  <c r="AD29" i="2"/>
  <c r="AK31" i="5"/>
  <c r="S37" i="5"/>
  <c r="T37" i="5" s="1"/>
  <c r="U37" i="5" s="1"/>
  <c r="W37" i="5" s="1"/>
  <c r="X37" i="5" s="1"/>
  <c r="Y37" i="5" s="1"/>
  <c r="T20" i="24"/>
  <c r="T23" i="24" s="1"/>
  <c r="S25" i="24" s="1"/>
  <c r="P23" i="24"/>
  <c r="S24" i="24" s="1"/>
  <c r="S36" i="5"/>
  <c r="T36" i="5" s="1"/>
  <c r="U36" i="5" s="1"/>
  <c r="W36" i="5" s="1"/>
  <c r="X36" i="5" s="1"/>
  <c r="Y36" i="5" s="1"/>
  <c r="AK30" i="5"/>
  <c r="R43" i="6"/>
  <c r="AK40" i="6"/>
  <c r="AA37" i="6"/>
  <c r="AK16" i="6" s="1"/>
  <c r="AK29" i="4"/>
  <c r="S35" i="4"/>
  <c r="T35" i="4" s="1"/>
  <c r="U35" i="4" s="1"/>
  <c r="W35" i="4" s="1"/>
  <c r="X35" i="4" s="1"/>
  <c r="Y35" i="4" s="1"/>
  <c r="AK41" i="6"/>
  <c r="AA38" i="6"/>
  <c r="AK17" i="6" s="1"/>
  <c r="R44" i="6"/>
  <c r="AA29" i="3"/>
  <c r="AJ14" i="3" s="1"/>
  <c r="R35" i="3"/>
  <c r="AJ38" i="3"/>
  <c r="AF31" i="2"/>
  <c r="AN22" i="2" s="1"/>
  <c r="AD31" i="2"/>
  <c r="R42" i="6"/>
  <c r="AK39" i="6"/>
  <c r="AA36" i="6"/>
  <c r="AK15" i="6" s="1"/>
  <c r="AK29" i="5"/>
  <c r="S35" i="5"/>
  <c r="T35" i="5" s="1"/>
  <c r="U35" i="5" s="1"/>
  <c r="W35" i="5" s="1"/>
  <c r="X35" i="5" s="1"/>
  <c r="Y35" i="5" s="1"/>
  <c r="AK30" i="4"/>
  <c r="S36" i="4"/>
  <c r="T36" i="4" s="1"/>
  <c r="U36" i="4" s="1"/>
  <c r="W36" i="4" s="1"/>
  <c r="X36" i="4" s="1"/>
  <c r="Y36" i="4" s="1"/>
  <c r="AF30" i="2"/>
  <c r="AN21" i="2" s="1"/>
  <c r="AD30" i="2"/>
  <c r="AF32" i="2"/>
  <c r="AN23" i="2" s="1"/>
  <c r="AD32" i="2"/>
  <c r="M23" i="24"/>
  <c r="Q24" i="24"/>
  <c r="AJ40" i="3"/>
  <c r="AA31" i="3"/>
  <c r="AJ16" i="3" s="1"/>
  <c r="R37" i="3"/>
  <c r="AB36" i="4" l="1"/>
  <c r="AK21" i="4" s="1"/>
  <c r="Z36" i="4"/>
  <c r="V36" i="2"/>
  <c r="AE30" i="2"/>
  <c r="AN15" i="2" s="1"/>
  <c r="AN39" i="2"/>
  <c r="AB35" i="5"/>
  <c r="AK20" i="5" s="1"/>
  <c r="Z35" i="5"/>
  <c r="AL30" i="6"/>
  <c r="S42" i="6"/>
  <c r="T42" i="6" s="1"/>
  <c r="U42" i="6" s="1"/>
  <c r="W42" i="6" s="1"/>
  <c r="X42" i="6" s="1"/>
  <c r="Y42" i="6" s="1"/>
  <c r="S35" i="3"/>
  <c r="T35" i="3" s="1"/>
  <c r="U35" i="3" s="1"/>
  <c r="W35" i="3" s="1"/>
  <c r="X35" i="3" s="1"/>
  <c r="Y35" i="3" s="1"/>
  <c r="AK29" i="3"/>
  <c r="AN38" i="2"/>
  <c r="AE29" i="2"/>
  <c r="AN14" i="2" s="1"/>
  <c r="V35" i="2"/>
  <c r="S38" i="3"/>
  <c r="T38" i="3" s="1"/>
  <c r="U38" i="3" s="1"/>
  <c r="W38" i="3" s="1"/>
  <c r="X38" i="3" s="1"/>
  <c r="Y38" i="3" s="1"/>
  <c r="AK32" i="3"/>
  <c r="AB35" i="4"/>
  <c r="AK20" i="4" s="1"/>
  <c r="Z35" i="4"/>
  <c r="S43" i="6"/>
  <c r="T43" i="6" s="1"/>
  <c r="U43" i="6" s="1"/>
  <c r="W43" i="6" s="1"/>
  <c r="X43" i="6" s="1"/>
  <c r="Y43" i="6" s="1"/>
  <c r="AL31" i="6"/>
  <c r="AB37" i="4"/>
  <c r="AK22" i="4" s="1"/>
  <c r="Z37" i="4"/>
  <c r="AJ28" i="3"/>
  <c r="AJ37" i="3"/>
  <c r="AJ19" i="3"/>
  <c r="AL32" i="6"/>
  <c r="S44" i="6"/>
  <c r="T44" i="6" s="1"/>
  <c r="U44" i="6" s="1"/>
  <c r="W44" i="6" s="1"/>
  <c r="X44" i="6" s="1"/>
  <c r="Y44" i="6" s="1"/>
  <c r="AB37" i="5"/>
  <c r="AK22" i="5" s="1"/>
  <c r="Z37" i="5"/>
  <c r="S37" i="3"/>
  <c r="T37" i="3" s="1"/>
  <c r="U37" i="3" s="1"/>
  <c r="W37" i="3" s="1"/>
  <c r="X37" i="3" s="1"/>
  <c r="Y37" i="3" s="1"/>
  <c r="AK31" i="3"/>
  <c r="AE31" i="2"/>
  <c r="AN16" i="2" s="1"/>
  <c r="V37" i="2"/>
  <c r="AN40" i="2"/>
  <c r="AN41" i="2"/>
  <c r="AE32" i="2"/>
  <c r="AN17" i="2" s="1"/>
  <c r="V38" i="2"/>
  <c r="AK28" i="6"/>
  <c r="AK19" i="6"/>
  <c r="AK37" i="6"/>
  <c r="AB36" i="5"/>
  <c r="AK21" i="5" s="1"/>
  <c r="Z36" i="5"/>
  <c r="S41" i="6"/>
  <c r="T41" i="6" s="1"/>
  <c r="U41" i="6" s="1"/>
  <c r="W41" i="6" s="1"/>
  <c r="X41" i="6" s="1"/>
  <c r="Y41" i="6" s="1"/>
  <c r="AL29" i="6"/>
  <c r="AK30" i="3"/>
  <c r="S36" i="3"/>
  <c r="T36" i="3" s="1"/>
  <c r="U36" i="3" s="1"/>
  <c r="W36" i="3" s="1"/>
  <c r="X36" i="3" s="1"/>
  <c r="Y36" i="3" s="1"/>
  <c r="AB38" i="4"/>
  <c r="AK23" i="4" s="1"/>
  <c r="Z38" i="4"/>
  <c r="AB38" i="5"/>
  <c r="AK23" i="5" s="1"/>
  <c r="Z38" i="5"/>
  <c r="AB36" i="3" l="1"/>
  <c r="AK21" i="3" s="1"/>
  <c r="Z36" i="3"/>
  <c r="AK39" i="5"/>
  <c r="R42" i="5"/>
  <c r="AA36" i="5"/>
  <c r="AK15" i="5" s="1"/>
  <c r="AB37" i="3"/>
  <c r="AK22" i="3" s="1"/>
  <c r="Z37" i="3"/>
  <c r="AA37" i="5"/>
  <c r="AK16" i="5" s="1"/>
  <c r="R43" i="5"/>
  <c r="AK40" i="5"/>
  <c r="W38" i="2"/>
  <c r="X38" i="2" s="1"/>
  <c r="Y38" i="2" s="1"/>
  <c r="AA38" i="2" s="1"/>
  <c r="AB38" i="2" s="1"/>
  <c r="AC38" i="2" s="1"/>
  <c r="AO32" i="2"/>
  <c r="AO31" i="2"/>
  <c r="W37" i="2"/>
  <c r="X37" i="2" s="1"/>
  <c r="Y37" i="2" s="1"/>
  <c r="AA37" i="2" s="1"/>
  <c r="AB37" i="2" s="1"/>
  <c r="AC37" i="2" s="1"/>
  <c r="AB43" i="6"/>
  <c r="AL22" i="6" s="1"/>
  <c r="Z43" i="6"/>
  <c r="AB38" i="3"/>
  <c r="AK23" i="3" s="1"/>
  <c r="Z38" i="3"/>
  <c r="R41" i="5"/>
  <c r="AK38" i="5"/>
  <c r="AA35" i="5"/>
  <c r="AK14" i="5" s="1"/>
  <c r="AO30" i="2"/>
  <c r="W36" i="2"/>
  <c r="X36" i="2" s="1"/>
  <c r="Y36" i="2" s="1"/>
  <c r="AA36" i="2" s="1"/>
  <c r="AB36" i="2" s="1"/>
  <c r="AC36" i="2" s="1"/>
  <c r="R44" i="4"/>
  <c r="AK41" i="4"/>
  <c r="AA38" i="4"/>
  <c r="AK17" i="4" s="1"/>
  <c r="AN19" i="2"/>
  <c r="AN37" i="2"/>
  <c r="AN28" i="2"/>
  <c r="AB44" i="6"/>
  <c r="AL23" i="6" s="1"/>
  <c r="Z44" i="6"/>
  <c r="R43" i="4"/>
  <c r="AK40" i="4"/>
  <c r="AA37" i="4"/>
  <c r="AK16" i="4" s="1"/>
  <c r="R41" i="4"/>
  <c r="AA35" i="4"/>
  <c r="AK14" i="4" s="1"/>
  <c r="AK38" i="4"/>
  <c r="AO29" i="2"/>
  <c r="W35" i="2"/>
  <c r="X35" i="2" s="1"/>
  <c r="Y35" i="2" s="1"/>
  <c r="AA35" i="2" s="1"/>
  <c r="AB35" i="2" s="1"/>
  <c r="AC35" i="2" s="1"/>
  <c r="AB35" i="3"/>
  <c r="AK20" i="3" s="1"/>
  <c r="Z35" i="3"/>
  <c r="AA36" i="4"/>
  <c r="AK15" i="4" s="1"/>
  <c r="R42" i="4"/>
  <c r="AK39" i="4"/>
  <c r="AA38" i="5"/>
  <c r="AK17" i="5" s="1"/>
  <c r="R44" i="5"/>
  <c r="AK41" i="5"/>
  <c r="AB41" i="6"/>
  <c r="AL20" i="6" s="1"/>
  <c r="Z41" i="6"/>
  <c r="AB42" i="6"/>
  <c r="AL21" i="6" s="1"/>
  <c r="Z42" i="6"/>
  <c r="AF35" i="2" l="1"/>
  <c r="AO20" i="2" s="1"/>
  <c r="AD35" i="2"/>
  <c r="AL29" i="4"/>
  <c r="S41" i="4"/>
  <c r="T41" i="4" s="1"/>
  <c r="U41" i="4" s="1"/>
  <c r="W41" i="4" s="1"/>
  <c r="X41" i="4" s="1"/>
  <c r="Y41" i="4" s="1"/>
  <c r="AF37" i="2"/>
  <c r="AO22" i="2" s="1"/>
  <c r="AD37" i="2"/>
  <c r="AK19" i="5"/>
  <c r="AK37" i="5"/>
  <c r="AK28" i="5"/>
  <c r="AL30" i="5"/>
  <c r="S42" i="5"/>
  <c r="T42" i="5" s="1"/>
  <c r="U42" i="5" s="1"/>
  <c r="W42" i="5" s="1"/>
  <c r="X42" i="5" s="1"/>
  <c r="Y42" i="5" s="1"/>
  <c r="R48" i="6"/>
  <c r="AL39" i="6"/>
  <c r="AA42" i="6"/>
  <c r="AL15" i="6" s="1"/>
  <c r="S44" i="5"/>
  <c r="T44" i="5" s="1"/>
  <c r="U44" i="5" s="1"/>
  <c r="W44" i="5" s="1"/>
  <c r="X44" i="5" s="1"/>
  <c r="Y44" i="5" s="1"/>
  <c r="AL32" i="5"/>
  <c r="AK19" i="4"/>
  <c r="AK28" i="4"/>
  <c r="AK37" i="4"/>
  <c r="AL32" i="4"/>
  <c r="S44" i="4"/>
  <c r="T44" i="4" s="1"/>
  <c r="U44" i="4" s="1"/>
  <c r="W44" i="4" s="1"/>
  <c r="X44" i="4" s="1"/>
  <c r="Y44" i="4" s="1"/>
  <c r="R49" i="6"/>
  <c r="AL40" i="6"/>
  <c r="AA43" i="6"/>
  <c r="AL16" i="6" s="1"/>
  <c r="AK40" i="3"/>
  <c r="AA37" i="3"/>
  <c r="AK16" i="3" s="1"/>
  <c r="R43" i="3"/>
  <c r="AL30" i="4"/>
  <c r="S42" i="4"/>
  <c r="T42" i="4" s="1"/>
  <c r="U42" i="4" s="1"/>
  <c r="W42" i="4" s="1"/>
  <c r="X42" i="4" s="1"/>
  <c r="Y42" i="4" s="1"/>
  <c r="AA41" i="6"/>
  <c r="AL14" i="6" s="1"/>
  <c r="R47" i="6"/>
  <c r="AL38" i="6"/>
  <c r="R41" i="3"/>
  <c r="AA35" i="3"/>
  <c r="AK14" i="3" s="1"/>
  <c r="AK38" i="3"/>
  <c r="AL41" i="6"/>
  <c r="AA44" i="6"/>
  <c r="AL17" i="6" s="1"/>
  <c r="R50" i="6"/>
  <c r="AF36" i="2"/>
  <c r="AO21" i="2" s="1"/>
  <c r="AD36" i="2"/>
  <c r="AL29" i="5"/>
  <c r="S41" i="5"/>
  <c r="T41" i="5" s="1"/>
  <c r="U41" i="5" s="1"/>
  <c r="W41" i="5" s="1"/>
  <c r="X41" i="5" s="1"/>
  <c r="Y41" i="5" s="1"/>
  <c r="AK39" i="3"/>
  <c r="R42" i="3"/>
  <c r="AA36" i="3"/>
  <c r="AK15" i="3" s="1"/>
  <c r="S43" i="4"/>
  <c r="T43" i="4" s="1"/>
  <c r="U43" i="4" s="1"/>
  <c r="W43" i="4" s="1"/>
  <c r="X43" i="4" s="1"/>
  <c r="Y43" i="4" s="1"/>
  <c r="AL31" i="4"/>
  <c r="R44" i="3"/>
  <c r="AA38" i="3"/>
  <c r="AK17" i="3" s="1"/>
  <c r="AK41" i="3"/>
  <c r="AF38" i="2"/>
  <c r="AO23" i="2" s="1"/>
  <c r="AD38" i="2"/>
  <c r="S43" i="5"/>
  <c r="T43" i="5" s="1"/>
  <c r="U43" i="5" s="1"/>
  <c r="W43" i="5" s="1"/>
  <c r="X43" i="5" s="1"/>
  <c r="Y43" i="5" s="1"/>
  <c r="AL31" i="5"/>
  <c r="AE36" i="2" l="1"/>
  <c r="AO15" i="2" s="1"/>
  <c r="AO39" i="2"/>
  <c r="V42" i="2"/>
  <c r="AB42" i="4"/>
  <c r="AL21" i="4" s="1"/>
  <c r="Z42" i="4"/>
  <c r="AB44" i="4"/>
  <c r="AL23" i="4" s="1"/>
  <c r="Z44" i="4"/>
  <c r="V43" i="2"/>
  <c r="AO40" i="2"/>
  <c r="AE37" i="2"/>
  <c r="AO16" i="2" s="1"/>
  <c r="AB41" i="4"/>
  <c r="AL20" i="4" s="1"/>
  <c r="Z41" i="4"/>
  <c r="V44" i="2"/>
  <c r="AE38" i="2"/>
  <c r="AO17" i="2" s="1"/>
  <c r="AO41" i="2"/>
  <c r="AL30" i="3"/>
  <c r="S42" i="3"/>
  <c r="T42" i="3" s="1"/>
  <c r="U42" i="3" s="1"/>
  <c r="W42" i="3" s="1"/>
  <c r="X42" i="3" s="1"/>
  <c r="Y42" i="3" s="1"/>
  <c r="AM32" i="6"/>
  <c r="S50" i="6"/>
  <c r="T50" i="6" s="1"/>
  <c r="U50" i="6" s="1"/>
  <c r="W50" i="6" s="1"/>
  <c r="X50" i="6" s="1"/>
  <c r="Y50" i="6" s="1"/>
  <c r="AB43" i="4"/>
  <c r="AL22" i="4" s="1"/>
  <c r="Z43" i="4"/>
  <c r="AB41" i="5"/>
  <c r="AL20" i="5" s="1"/>
  <c r="Z41" i="5"/>
  <c r="AL19" i="6"/>
  <c r="AL28" i="6"/>
  <c r="AL37" i="6"/>
  <c r="S41" i="3"/>
  <c r="T41" i="3" s="1"/>
  <c r="U41" i="3" s="1"/>
  <c r="W41" i="3" s="1"/>
  <c r="X41" i="3" s="1"/>
  <c r="Y41" i="3" s="1"/>
  <c r="AL29" i="3"/>
  <c r="AB43" i="5"/>
  <c r="AL22" i="5" s="1"/>
  <c r="Z43" i="5"/>
  <c r="AM29" i="6"/>
  <c r="S47" i="6"/>
  <c r="T47" i="6" s="1"/>
  <c r="U47" i="6" s="1"/>
  <c r="W47" i="6" s="1"/>
  <c r="X47" i="6" s="1"/>
  <c r="Y47" i="6" s="1"/>
  <c r="AL31" i="3"/>
  <c r="S43" i="3"/>
  <c r="T43" i="3" s="1"/>
  <c r="U43" i="3" s="1"/>
  <c r="W43" i="3" s="1"/>
  <c r="X43" i="3" s="1"/>
  <c r="Y43" i="3" s="1"/>
  <c r="AM30" i="6"/>
  <c r="S48" i="6"/>
  <c r="T48" i="6" s="1"/>
  <c r="U48" i="6" s="1"/>
  <c r="W48" i="6" s="1"/>
  <c r="X48" i="6" s="1"/>
  <c r="Y48" i="6" s="1"/>
  <c r="AO38" i="2"/>
  <c r="V41" i="2"/>
  <c r="AE35" i="2"/>
  <c r="AO14" i="2" s="1"/>
  <c r="AL32" i="3"/>
  <c r="S44" i="3"/>
  <c r="T44" i="3" s="1"/>
  <c r="U44" i="3" s="1"/>
  <c r="W44" i="3" s="1"/>
  <c r="X44" i="3" s="1"/>
  <c r="Y44" i="3" s="1"/>
  <c r="AK19" i="3"/>
  <c r="AK37" i="3"/>
  <c r="AK28" i="3"/>
  <c r="AM31" i="6"/>
  <c r="S49" i="6"/>
  <c r="T49" i="6" s="1"/>
  <c r="U49" i="6" s="1"/>
  <c r="W49" i="6" s="1"/>
  <c r="X49" i="6" s="1"/>
  <c r="Y49" i="6" s="1"/>
  <c r="AB44" i="5"/>
  <c r="AL23" i="5" s="1"/>
  <c r="Z44" i="5"/>
  <c r="AB42" i="5"/>
  <c r="AL21" i="5" s="1"/>
  <c r="Z42" i="5"/>
  <c r="AL41" i="5" l="1"/>
  <c r="AA44" i="5"/>
  <c r="AL17" i="5" s="1"/>
  <c r="R50" i="5"/>
  <c r="AB48" i="6"/>
  <c r="AM21" i="6" s="1"/>
  <c r="Z48" i="6"/>
  <c r="AB47" i="6"/>
  <c r="AM20" i="6" s="1"/>
  <c r="Z47" i="6"/>
  <c r="AL38" i="4"/>
  <c r="R47" i="4"/>
  <c r="AA41" i="4"/>
  <c r="AL14" i="4" s="1"/>
  <c r="W43" i="2"/>
  <c r="X43" i="2" s="1"/>
  <c r="Y43" i="2" s="1"/>
  <c r="AA43" i="2" s="1"/>
  <c r="AB43" i="2" s="1"/>
  <c r="AC43" i="2" s="1"/>
  <c r="AP31" i="2"/>
  <c r="AL39" i="5"/>
  <c r="R48" i="5"/>
  <c r="AA42" i="5"/>
  <c r="AL15" i="5" s="1"/>
  <c r="AB41" i="3"/>
  <c r="AL20" i="3" s="1"/>
  <c r="Z41" i="3"/>
  <c r="AL38" i="5"/>
  <c r="AA41" i="5"/>
  <c r="AL14" i="5" s="1"/>
  <c r="R47" i="5"/>
  <c r="AB50" i="6"/>
  <c r="AM23" i="6" s="1"/>
  <c r="Z50" i="6"/>
  <c r="AL41" i="4"/>
  <c r="AA44" i="4"/>
  <c r="AL17" i="4" s="1"/>
  <c r="R50" i="4"/>
  <c r="W42" i="2"/>
  <c r="X42" i="2" s="1"/>
  <c r="Y42" i="2" s="1"/>
  <c r="AA42" i="2" s="1"/>
  <c r="AB42" i="2" s="1"/>
  <c r="AC42" i="2" s="1"/>
  <c r="AP30" i="2"/>
  <c r="AB43" i="3"/>
  <c r="AL22" i="3" s="1"/>
  <c r="Z43" i="3"/>
  <c r="AO37" i="2"/>
  <c r="AO28" i="2"/>
  <c r="AO19" i="2"/>
  <c r="AB49" i="6"/>
  <c r="AM22" i="6" s="1"/>
  <c r="Z49" i="6"/>
  <c r="AP29" i="2"/>
  <c r="W41" i="2"/>
  <c r="X41" i="2" s="1"/>
  <c r="Y41" i="2" s="1"/>
  <c r="AA41" i="2" s="1"/>
  <c r="AB41" i="2" s="1"/>
  <c r="AC41" i="2" s="1"/>
  <c r="AA43" i="5"/>
  <c r="AL16" i="5" s="1"/>
  <c r="R49" i="5"/>
  <c r="AL40" i="5"/>
  <c r="AB44" i="3"/>
  <c r="AL23" i="3" s="1"/>
  <c r="Z44" i="3"/>
  <c r="R49" i="4"/>
  <c r="AA43" i="4"/>
  <c r="AL16" i="4" s="1"/>
  <c r="AL40" i="4"/>
  <c r="AB42" i="3"/>
  <c r="AL21" i="3" s="1"/>
  <c r="Z42" i="3"/>
  <c r="AP32" i="2"/>
  <c r="W44" i="2"/>
  <c r="X44" i="2" s="1"/>
  <c r="Y44" i="2" s="1"/>
  <c r="AA44" i="2" s="1"/>
  <c r="AB44" i="2" s="1"/>
  <c r="AC44" i="2" s="1"/>
  <c r="AA42" i="4"/>
  <c r="AL15" i="4" s="1"/>
  <c r="AL39" i="4"/>
  <c r="R48" i="4"/>
  <c r="AM30" i="4" l="1"/>
  <c r="S48" i="4"/>
  <c r="T48" i="4" s="1"/>
  <c r="U48" i="4" s="1"/>
  <c r="W48" i="4" s="1"/>
  <c r="X48" i="4" s="1"/>
  <c r="Y48" i="4" s="1"/>
  <c r="R50" i="3"/>
  <c r="AA44" i="3"/>
  <c r="AL17" i="3" s="1"/>
  <c r="AL41" i="3"/>
  <c r="AF42" i="2"/>
  <c r="AP21" i="2" s="1"/>
  <c r="AD42" i="2"/>
  <c r="R56" i="6"/>
  <c r="AM41" i="6"/>
  <c r="AA50" i="6"/>
  <c r="AM17" i="6" s="1"/>
  <c r="S48" i="5"/>
  <c r="T48" i="5" s="1"/>
  <c r="U48" i="5" s="1"/>
  <c r="W48" i="5" s="1"/>
  <c r="X48" i="5" s="1"/>
  <c r="Y48" i="5" s="1"/>
  <c r="AM30" i="5"/>
  <c r="AL19" i="5"/>
  <c r="AL28" i="5"/>
  <c r="AL37" i="5"/>
  <c r="AA42" i="3"/>
  <c r="AL15" i="3" s="1"/>
  <c r="R48" i="3"/>
  <c r="AL39" i="3"/>
  <c r="AM31" i="4"/>
  <c r="S49" i="4"/>
  <c r="T49" i="4" s="1"/>
  <c r="U49" i="4" s="1"/>
  <c r="W49" i="4" s="1"/>
  <c r="X49" i="4" s="1"/>
  <c r="Y49" i="4" s="1"/>
  <c r="AF41" i="2"/>
  <c r="AP20" i="2" s="1"/>
  <c r="AD41" i="2"/>
  <c r="AA43" i="3"/>
  <c r="AL16" i="3" s="1"/>
  <c r="R49" i="3"/>
  <c r="AL40" i="3"/>
  <c r="S50" i="4"/>
  <c r="T50" i="4" s="1"/>
  <c r="U50" i="4" s="1"/>
  <c r="W50" i="4" s="1"/>
  <c r="X50" i="4" s="1"/>
  <c r="Y50" i="4" s="1"/>
  <c r="AM32" i="4"/>
  <c r="R47" i="3"/>
  <c r="AA41" i="3"/>
  <c r="AL14" i="3" s="1"/>
  <c r="AL38" i="3"/>
  <c r="AM29" i="4"/>
  <c r="S47" i="4"/>
  <c r="T47" i="4" s="1"/>
  <c r="U47" i="4" s="1"/>
  <c r="W47" i="4" s="1"/>
  <c r="X47" i="4" s="1"/>
  <c r="Y47" i="4" s="1"/>
  <c r="AM38" i="6"/>
  <c r="R53" i="6"/>
  <c r="AA47" i="6"/>
  <c r="AM14" i="6" s="1"/>
  <c r="AM32" i="5"/>
  <c r="S50" i="5"/>
  <c r="T50" i="5" s="1"/>
  <c r="U50" i="5" s="1"/>
  <c r="W50" i="5" s="1"/>
  <c r="X50" i="5" s="1"/>
  <c r="Y50" i="5" s="1"/>
  <c r="AL19" i="4"/>
  <c r="AL37" i="4"/>
  <c r="AL28" i="4"/>
  <c r="AM29" i="5"/>
  <c r="S47" i="5"/>
  <c r="T47" i="5" s="1"/>
  <c r="U47" i="5" s="1"/>
  <c r="W47" i="5" s="1"/>
  <c r="X47" i="5" s="1"/>
  <c r="Y47" i="5" s="1"/>
  <c r="AF44" i="2"/>
  <c r="AP23" i="2" s="1"/>
  <c r="AD44" i="2"/>
  <c r="S49" i="5"/>
  <c r="T49" i="5" s="1"/>
  <c r="U49" i="5" s="1"/>
  <c r="W49" i="5" s="1"/>
  <c r="X49" i="5" s="1"/>
  <c r="Y49" i="5" s="1"/>
  <c r="AM31" i="5"/>
  <c r="R55" i="6"/>
  <c r="AM40" i="6"/>
  <c r="AA49" i="6"/>
  <c r="AM16" i="6" s="1"/>
  <c r="AF43" i="2"/>
  <c r="AP22" i="2" s="1"/>
  <c r="AD43" i="2"/>
  <c r="AA48" i="6"/>
  <c r="AM15" i="6" s="1"/>
  <c r="AM39" i="6"/>
  <c r="R54" i="6"/>
  <c r="V50" i="2" l="1"/>
  <c r="AP41" i="2"/>
  <c r="AE44" i="2"/>
  <c r="AP17" i="2" s="1"/>
  <c r="AB47" i="4"/>
  <c r="AM20" i="4" s="1"/>
  <c r="Z47" i="4"/>
  <c r="AM29" i="3"/>
  <c r="S47" i="3"/>
  <c r="T47" i="3" s="1"/>
  <c r="U47" i="3" s="1"/>
  <c r="W47" i="3" s="1"/>
  <c r="X47" i="3" s="1"/>
  <c r="Y47" i="3" s="1"/>
  <c r="AM31" i="3"/>
  <c r="S49" i="3"/>
  <c r="T49" i="3" s="1"/>
  <c r="U49" i="3" s="1"/>
  <c r="W49" i="3" s="1"/>
  <c r="X49" i="3" s="1"/>
  <c r="Y49" i="3" s="1"/>
  <c r="AB49" i="4"/>
  <c r="AM22" i="4" s="1"/>
  <c r="Z49" i="4"/>
  <c r="AN32" i="6"/>
  <c r="S56" i="6"/>
  <c r="T56" i="6" s="1"/>
  <c r="U56" i="6" s="1"/>
  <c r="W56" i="6" s="1"/>
  <c r="X56" i="6" s="1"/>
  <c r="Y56" i="6" s="1"/>
  <c r="AP40" i="2"/>
  <c r="AE43" i="2"/>
  <c r="AP16" i="2" s="1"/>
  <c r="V49" i="2"/>
  <c r="AN31" i="6"/>
  <c r="S55" i="6"/>
  <c r="T55" i="6" s="1"/>
  <c r="U55" i="6" s="1"/>
  <c r="W55" i="6" s="1"/>
  <c r="X55" i="6" s="1"/>
  <c r="Y55" i="6" s="1"/>
  <c r="AL37" i="3"/>
  <c r="AL19" i="3"/>
  <c r="AL28" i="3"/>
  <c r="AB48" i="5"/>
  <c r="AM21" i="5" s="1"/>
  <c r="Z48" i="5"/>
  <c r="AE42" i="2"/>
  <c r="AP15" i="2" s="1"/>
  <c r="AP39" i="2"/>
  <c r="V48" i="2"/>
  <c r="AM32" i="3"/>
  <c r="S50" i="3"/>
  <c r="T50" i="3" s="1"/>
  <c r="U50" i="3" s="1"/>
  <c r="W50" i="3" s="1"/>
  <c r="X50" i="3" s="1"/>
  <c r="Y50" i="3" s="1"/>
  <c r="S54" i="6"/>
  <c r="T54" i="6" s="1"/>
  <c r="U54" i="6" s="1"/>
  <c r="W54" i="6" s="1"/>
  <c r="X54" i="6" s="1"/>
  <c r="Y54" i="6" s="1"/>
  <c r="AN30" i="6"/>
  <c r="S53" i="6"/>
  <c r="T53" i="6" s="1"/>
  <c r="U53" i="6" s="1"/>
  <c r="W53" i="6" s="1"/>
  <c r="X53" i="6" s="1"/>
  <c r="Y53" i="6" s="1"/>
  <c r="AN29" i="6"/>
  <c r="AB50" i="4"/>
  <c r="AM23" i="4" s="1"/>
  <c r="Z50" i="4"/>
  <c r="V47" i="2"/>
  <c r="AE41" i="2"/>
  <c r="AP14" i="2" s="1"/>
  <c r="AP38" i="2"/>
  <c r="AM37" i="6"/>
  <c r="AM19" i="6"/>
  <c r="AM28" i="6"/>
  <c r="AB48" i="4"/>
  <c r="AM21" i="4" s="1"/>
  <c r="Z48" i="4"/>
  <c r="AB47" i="5"/>
  <c r="AM20" i="5" s="1"/>
  <c r="Z47" i="5"/>
  <c r="AB49" i="5"/>
  <c r="AM22" i="5" s="1"/>
  <c r="Z49" i="5"/>
  <c r="AB50" i="5"/>
  <c r="AM23" i="5" s="1"/>
  <c r="Z50" i="5"/>
  <c r="S48" i="3"/>
  <c r="T48" i="3" s="1"/>
  <c r="U48" i="3" s="1"/>
  <c r="W48" i="3" s="1"/>
  <c r="X48" i="3" s="1"/>
  <c r="Y48" i="3" s="1"/>
  <c r="AM30" i="3"/>
  <c r="AB48" i="3" l="1"/>
  <c r="AM21" i="3" s="1"/>
  <c r="Z48" i="3"/>
  <c r="AB50" i="3"/>
  <c r="AM23" i="3" s="1"/>
  <c r="Z50" i="3"/>
  <c r="AB55" i="6"/>
  <c r="AN22" i="6" s="1"/>
  <c r="Z55" i="6"/>
  <c r="W47" i="2"/>
  <c r="X47" i="2" s="1"/>
  <c r="Y47" i="2" s="1"/>
  <c r="AA47" i="2" s="1"/>
  <c r="AB47" i="2" s="1"/>
  <c r="AC47" i="2" s="1"/>
  <c r="AQ29" i="2"/>
  <c r="R56" i="5"/>
  <c r="AM41" i="5"/>
  <c r="AA50" i="5"/>
  <c r="AM17" i="5" s="1"/>
  <c r="AM39" i="5"/>
  <c r="R54" i="5"/>
  <c r="AA48" i="5"/>
  <c r="AM15" i="5" s="1"/>
  <c r="AB56" i="6"/>
  <c r="AN23" i="6" s="1"/>
  <c r="Z56" i="6"/>
  <c r="AB49" i="3"/>
  <c r="AM22" i="3" s="1"/>
  <c r="Z49" i="3"/>
  <c r="AM38" i="4"/>
  <c r="AA47" i="4"/>
  <c r="AM14" i="4" s="1"/>
  <c r="R53" i="4"/>
  <c r="AM38" i="5"/>
  <c r="AA47" i="5"/>
  <c r="AM14" i="5" s="1"/>
  <c r="R53" i="5"/>
  <c r="AM41" i="4"/>
  <c r="R56" i="4"/>
  <c r="AA50" i="4"/>
  <c r="AM17" i="4" s="1"/>
  <c r="R55" i="5"/>
  <c r="AM40" i="5"/>
  <c r="AA49" i="5"/>
  <c r="AM16" i="5" s="1"/>
  <c r="AA48" i="4"/>
  <c r="AM15" i="4" s="1"/>
  <c r="R54" i="4"/>
  <c r="AM39" i="4"/>
  <c r="AQ30" i="2"/>
  <c r="W48" i="2"/>
  <c r="X48" i="2" s="1"/>
  <c r="Y48" i="2" s="1"/>
  <c r="AA48" i="2" s="1"/>
  <c r="AB48" i="2" s="1"/>
  <c r="AC48" i="2" s="1"/>
  <c r="AQ31" i="2"/>
  <c r="W49" i="2"/>
  <c r="X49" i="2" s="1"/>
  <c r="Y49" i="2" s="1"/>
  <c r="AA49" i="2" s="1"/>
  <c r="AB49" i="2" s="1"/>
  <c r="AC49" i="2" s="1"/>
  <c r="AB53" i="6"/>
  <c r="AN20" i="6" s="1"/>
  <c r="Z53" i="6"/>
  <c r="AB54" i="6"/>
  <c r="AN21" i="6" s="1"/>
  <c r="Z54" i="6"/>
  <c r="AP19" i="2"/>
  <c r="AP28" i="2"/>
  <c r="AP37" i="2"/>
  <c r="R55" i="4"/>
  <c r="AA49" i="4"/>
  <c r="AM16" i="4" s="1"/>
  <c r="AM40" i="4"/>
  <c r="AB47" i="3"/>
  <c r="AM20" i="3" s="1"/>
  <c r="Z47" i="3"/>
  <c r="AQ32" i="2"/>
  <c r="W50" i="2"/>
  <c r="X50" i="2" s="1"/>
  <c r="Y50" i="2" s="1"/>
  <c r="AA50" i="2" s="1"/>
  <c r="AB50" i="2" s="1"/>
  <c r="AC50" i="2" s="1"/>
  <c r="AM37" i="4" l="1"/>
  <c r="AM19" i="4"/>
  <c r="AM28" i="4"/>
  <c r="AF50" i="2"/>
  <c r="AQ23" i="2" s="1"/>
  <c r="AD50" i="2"/>
  <c r="AN38" i="6"/>
  <c r="AA53" i="6"/>
  <c r="AN14" i="6" s="1"/>
  <c r="S54" i="4"/>
  <c r="T54" i="4" s="1"/>
  <c r="U54" i="4" s="1"/>
  <c r="W54" i="4" s="1"/>
  <c r="X54" i="4" s="1"/>
  <c r="Y54" i="4" s="1"/>
  <c r="AN30" i="4"/>
  <c r="S55" i="5"/>
  <c r="T55" i="5" s="1"/>
  <c r="U55" i="5" s="1"/>
  <c r="W55" i="5" s="1"/>
  <c r="X55" i="5" s="1"/>
  <c r="Y55" i="5" s="1"/>
  <c r="AN31" i="5"/>
  <c r="AN32" i="4"/>
  <c r="S56" i="4"/>
  <c r="T56" i="4" s="1"/>
  <c r="U56" i="4" s="1"/>
  <c r="W56" i="4" s="1"/>
  <c r="X56" i="4" s="1"/>
  <c r="Y56" i="4" s="1"/>
  <c r="AA49" i="3"/>
  <c r="AM16" i="3" s="1"/>
  <c r="R55" i="3"/>
  <c r="AM40" i="3"/>
  <c r="AF48" i="2"/>
  <c r="AQ21" i="2" s="1"/>
  <c r="AD48" i="2"/>
  <c r="S53" i="4"/>
  <c r="T53" i="4" s="1"/>
  <c r="U53" i="4" s="1"/>
  <c r="W53" i="4" s="1"/>
  <c r="X53" i="4" s="1"/>
  <c r="Y53" i="4" s="1"/>
  <c r="AN29" i="4"/>
  <c r="AF47" i="2"/>
  <c r="AQ20" i="2" s="1"/>
  <c r="AD47" i="2"/>
  <c r="R53" i="3"/>
  <c r="AA47" i="3"/>
  <c r="AM14" i="3" s="1"/>
  <c r="AM38" i="3"/>
  <c r="AN31" i="4"/>
  <c r="S55" i="4"/>
  <c r="T55" i="4" s="1"/>
  <c r="U55" i="4" s="1"/>
  <c r="W55" i="4" s="1"/>
  <c r="X55" i="4" s="1"/>
  <c r="Y55" i="4" s="1"/>
  <c r="AN39" i="6"/>
  <c r="AA54" i="6"/>
  <c r="AN15" i="6" s="1"/>
  <c r="AM28" i="5"/>
  <c r="AM19" i="5"/>
  <c r="AM37" i="5"/>
  <c r="AN29" i="5"/>
  <c r="S53" i="5"/>
  <c r="T53" i="5" s="1"/>
  <c r="U53" i="5" s="1"/>
  <c r="W53" i="5" s="1"/>
  <c r="X53" i="5" s="1"/>
  <c r="Y53" i="5" s="1"/>
  <c r="AN41" i="6"/>
  <c r="AA56" i="6"/>
  <c r="AN17" i="6" s="1"/>
  <c r="AA55" i="6"/>
  <c r="AN16" i="6" s="1"/>
  <c r="AN40" i="6"/>
  <c r="R56" i="3"/>
  <c r="AM41" i="3"/>
  <c r="AA50" i="3"/>
  <c r="AM17" i="3" s="1"/>
  <c r="AM39" i="3"/>
  <c r="R54" i="3"/>
  <c r="AA48" i="3"/>
  <c r="AM15" i="3" s="1"/>
  <c r="AF49" i="2"/>
  <c r="AQ22" i="2" s="1"/>
  <c r="AD49" i="2"/>
  <c r="AN30" i="5"/>
  <c r="S54" i="5"/>
  <c r="T54" i="5" s="1"/>
  <c r="U54" i="5" s="1"/>
  <c r="W54" i="5" s="1"/>
  <c r="X54" i="5" s="1"/>
  <c r="Y54" i="5" s="1"/>
  <c r="AN32" i="5"/>
  <c r="S56" i="5"/>
  <c r="T56" i="5" s="1"/>
  <c r="U56" i="5" s="1"/>
  <c r="W56" i="5" s="1"/>
  <c r="X56" i="5" s="1"/>
  <c r="Y56" i="5" s="1"/>
  <c r="AN19" i="6" l="1"/>
  <c r="AN28" i="6"/>
  <c r="AN37" i="6"/>
  <c r="AQ38" i="2"/>
  <c r="AE47" i="2"/>
  <c r="AQ14" i="2" s="1"/>
  <c r="V53" i="2"/>
  <c r="V54" i="2"/>
  <c r="AQ39" i="2"/>
  <c r="AE48" i="2"/>
  <c r="AQ15" i="2" s="1"/>
  <c r="AM37" i="3"/>
  <c r="AM28" i="3"/>
  <c r="AM19" i="3"/>
  <c r="AB55" i="5"/>
  <c r="AN22" i="5" s="1"/>
  <c r="Z55" i="5"/>
  <c r="AB56" i="5"/>
  <c r="AN23" i="5" s="1"/>
  <c r="Z56" i="5"/>
  <c r="S54" i="3"/>
  <c r="T54" i="3" s="1"/>
  <c r="U54" i="3" s="1"/>
  <c r="W54" i="3" s="1"/>
  <c r="X54" i="3" s="1"/>
  <c r="Y54" i="3" s="1"/>
  <c r="AN30" i="3"/>
  <c r="S56" i="3"/>
  <c r="T56" i="3" s="1"/>
  <c r="U56" i="3" s="1"/>
  <c r="W56" i="3" s="1"/>
  <c r="X56" i="3" s="1"/>
  <c r="Y56" i="3" s="1"/>
  <c r="AN32" i="3"/>
  <c r="AF44" i="6"/>
  <c r="AB55" i="4"/>
  <c r="AN22" i="4" s="1"/>
  <c r="Z55" i="4"/>
  <c r="S53" i="3"/>
  <c r="T53" i="3" s="1"/>
  <c r="U53" i="3" s="1"/>
  <c r="W53" i="3" s="1"/>
  <c r="X53" i="3" s="1"/>
  <c r="Y53" i="3" s="1"/>
  <c r="AN29" i="3"/>
  <c r="AB56" i="4"/>
  <c r="AN23" i="4" s="1"/>
  <c r="Z56" i="4"/>
  <c r="AB54" i="5"/>
  <c r="AN21" i="5" s="1"/>
  <c r="Z54" i="5"/>
  <c r="V55" i="2"/>
  <c r="AE49" i="2"/>
  <c r="AQ16" i="2" s="1"/>
  <c r="AQ40" i="2"/>
  <c r="AB53" i="5"/>
  <c r="AN20" i="5" s="1"/>
  <c r="Z53" i="5"/>
  <c r="AB54" i="4"/>
  <c r="AN21" i="4" s="1"/>
  <c r="Z54" i="4"/>
  <c r="AB53" i="4"/>
  <c r="AN20" i="4" s="1"/>
  <c r="Z53" i="4"/>
  <c r="AN31" i="3"/>
  <c r="S55" i="3"/>
  <c r="T55" i="3" s="1"/>
  <c r="U55" i="3" s="1"/>
  <c r="W55" i="3" s="1"/>
  <c r="X55" i="3" s="1"/>
  <c r="Y55" i="3" s="1"/>
  <c r="AQ41" i="2"/>
  <c r="V56" i="2"/>
  <c r="AE50" i="2"/>
  <c r="AQ17" i="2" s="1"/>
  <c r="W56" i="2" l="1"/>
  <c r="X56" i="2" s="1"/>
  <c r="Y56" i="2" s="1"/>
  <c r="AA56" i="2" s="1"/>
  <c r="AB56" i="2" s="1"/>
  <c r="AC56" i="2" s="1"/>
  <c r="AR32" i="2"/>
  <c r="AN39" i="5"/>
  <c r="AA54" i="5"/>
  <c r="AN15" i="5" s="1"/>
  <c r="AB55" i="3"/>
  <c r="AN22" i="3" s="1"/>
  <c r="Z55" i="3"/>
  <c r="AA56" i="5"/>
  <c r="AN17" i="5" s="1"/>
  <c r="AN41" i="5"/>
  <c r="AQ19" i="2"/>
  <c r="AQ28" i="2"/>
  <c r="AQ37" i="2"/>
  <c r="AB56" i="3"/>
  <c r="AN23" i="3" s="1"/>
  <c r="Z56" i="3"/>
  <c r="W54" i="2"/>
  <c r="X54" i="2" s="1"/>
  <c r="Y54" i="2" s="1"/>
  <c r="AA54" i="2" s="1"/>
  <c r="AB54" i="2" s="1"/>
  <c r="AC54" i="2" s="1"/>
  <c r="AR30" i="2"/>
  <c r="AN39" i="4"/>
  <c r="AA54" i="4"/>
  <c r="AN15" i="4" s="1"/>
  <c r="AA53" i="5"/>
  <c r="AN14" i="5" s="1"/>
  <c r="AN38" i="5"/>
  <c r="W55" i="2"/>
  <c r="X55" i="2" s="1"/>
  <c r="Y55" i="2" s="1"/>
  <c r="AA55" i="2" s="1"/>
  <c r="AB55" i="2" s="1"/>
  <c r="AC55" i="2" s="1"/>
  <c r="AR31" i="2"/>
  <c r="AB53" i="3"/>
  <c r="AN20" i="3" s="1"/>
  <c r="Z53" i="3"/>
  <c r="AN40" i="5"/>
  <c r="AA55" i="5"/>
  <c r="AN16" i="5" s="1"/>
  <c r="AR29" i="2"/>
  <c r="W53" i="2"/>
  <c r="X53" i="2" s="1"/>
  <c r="Y53" i="2" s="1"/>
  <c r="AA53" i="2" s="1"/>
  <c r="AB53" i="2" s="1"/>
  <c r="AC53" i="2" s="1"/>
  <c r="AF35" i="6"/>
  <c r="E11" i="6"/>
  <c r="AN38" i="4"/>
  <c r="AA53" i="4"/>
  <c r="AN14" i="4" s="1"/>
  <c r="AA56" i="4"/>
  <c r="AN17" i="4" s="1"/>
  <c r="AN41" i="4"/>
  <c r="AN40" i="4"/>
  <c r="AA55" i="4"/>
  <c r="AN16" i="4" s="1"/>
  <c r="AB54" i="3"/>
  <c r="AN21" i="3" s="1"/>
  <c r="Z54" i="3"/>
  <c r="AF26" i="6"/>
  <c r="H15" i="6"/>
  <c r="AF55" i="2" l="1"/>
  <c r="AR22" i="2" s="1"/>
  <c r="AD55" i="2"/>
  <c r="AN37" i="4"/>
  <c r="AN19" i="4"/>
  <c r="AN28" i="4"/>
  <c r="AF53" i="2"/>
  <c r="AR20" i="2" s="1"/>
  <c r="AD53" i="2"/>
  <c r="AA53" i="3"/>
  <c r="AN14" i="3" s="1"/>
  <c r="AN38" i="3"/>
  <c r="AN41" i="3"/>
  <c r="AA56" i="3"/>
  <c r="AN17" i="3" s="1"/>
  <c r="AF54" i="2"/>
  <c r="AR21" i="2" s="1"/>
  <c r="AD54" i="2"/>
  <c r="AN40" i="3"/>
  <c r="AA55" i="3"/>
  <c r="AN16" i="3" s="1"/>
  <c r="X299" i="8"/>
  <c r="H25" i="6"/>
  <c r="E6" i="6"/>
  <c r="AA54" i="3"/>
  <c r="AN15" i="3" s="1"/>
  <c r="AN39" i="3"/>
  <c r="AF44" i="4"/>
  <c r="AN19" i="5"/>
  <c r="AN37" i="5"/>
  <c r="AF44" i="5" s="1"/>
  <c r="AN28" i="5"/>
  <c r="AF56" i="2"/>
  <c r="AR23" i="2" s="1"/>
  <c r="AD56" i="2"/>
  <c r="AN28" i="3" l="1"/>
  <c r="AN19" i="3"/>
  <c r="AN37" i="3"/>
  <c r="AF44" i="3" s="1"/>
  <c r="AF35" i="4"/>
  <c r="E11" i="4"/>
  <c r="H15" i="5"/>
  <c r="AF26" i="5"/>
  <c r="E15" i="13"/>
  <c r="G15" i="13" s="1"/>
  <c r="I39" i="2"/>
  <c r="K1" i="16"/>
  <c r="K3" i="16" s="1"/>
  <c r="AC8" i="29"/>
  <c r="AC15" i="29" s="1"/>
  <c r="K1" i="67"/>
  <c r="K3" i="67" s="1"/>
  <c r="X10" i="8"/>
  <c r="X20" i="8" s="1"/>
  <c r="H6" i="6"/>
  <c r="E5" i="6"/>
  <c r="AF26" i="4"/>
  <c r="H15" i="4"/>
  <c r="AE53" i="2"/>
  <c r="AR14" i="2" s="1"/>
  <c r="AR38" i="2"/>
  <c r="AR40" i="2"/>
  <c r="AE55" i="2"/>
  <c r="AR16" i="2" s="1"/>
  <c r="AR41" i="2"/>
  <c r="AE56" i="2"/>
  <c r="AR17" i="2" s="1"/>
  <c r="AR39" i="2"/>
  <c r="AE54" i="2"/>
  <c r="AR15" i="2" s="1"/>
  <c r="E11" i="5"/>
  <c r="AF35" i="5"/>
  <c r="W299" i="8" l="1"/>
  <c r="AT4" i="38"/>
  <c r="H25" i="5"/>
  <c r="E6" i="5" s="1"/>
  <c r="AF26" i="3"/>
  <c r="H15" i="3"/>
  <c r="C29" i="6"/>
  <c r="I38" i="2"/>
  <c r="I46" i="2" s="1"/>
  <c r="AR37" i="2"/>
  <c r="AJ44" i="2" s="1"/>
  <c r="AR19" i="2"/>
  <c r="AR28" i="2"/>
  <c r="AT4" i="36"/>
  <c r="V299" i="8"/>
  <c r="H25" i="4"/>
  <c r="E6" i="4"/>
  <c r="X34" i="8"/>
  <c r="X296" i="8"/>
  <c r="X297" i="8"/>
  <c r="I47" i="2"/>
  <c r="I43" i="2"/>
  <c r="I51" i="2" s="1"/>
  <c r="AF35" i="3"/>
  <c r="E11" i="3"/>
  <c r="H6" i="5" l="1"/>
  <c r="W10" i="8"/>
  <c r="W20" i="8" s="1"/>
  <c r="E13" i="13"/>
  <c r="G13" i="13" s="1"/>
  <c r="AB9" i="29"/>
  <c r="AB15" i="29" s="1"/>
  <c r="G83" i="61"/>
  <c r="H39" i="2"/>
  <c r="G83" i="14"/>
  <c r="E5" i="5"/>
  <c r="E11" i="13"/>
  <c r="G11" i="13" s="1"/>
  <c r="H6" i="4"/>
  <c r="G39" i="2"/>
  <c r="G78" i="14"/>
  <c r="V10" i="8"/>
  <c r="V20" i="8" s="1"/>
  <c r="AA9" i="29"/>
  <c r="AA15" i="29" s="1"/>
  <c r="G78" i="61"/>
  <c r="E5" i="4"/>
  <c r="AJ35" i="2"/>
  <c r="E11" i="2"/>
  <c r="AJ26" i="2"/>
  <c r="H15" i="2"/>
  <c r="H25" i="2" s="1"/>
  <c r="K5" i="67"/>
  <c r="F34" i="6"/>
  <c r="K5" i="16"/>
  <c r="F33" i="6"/>
  <c r="D29" i="6"/>
  <c r="AT4" i="34"/>
  <c r="Y299" i="8"/>
  <c r="H25" i="3"/>
  <c r="E6" i="3" s="1"/>
  <c r="AT10" i="38"/>
  <c r="AT11" i="38"/>
  <c r="AT14" i="38"/>
  <c r="AT6" i="38"/>
  <c r="AT9" i="38"/>
  <c r="AT10" i="36"/>
  <c r="AT9" i="36"/>
  <c r="AT6" i="36"/>
  <c r="E5" i="13" l="1"/>
  <c r="Y10" i="8"/>
  <c r="Y20" i="8" s="1"/>
  <c r="F39" i="2"/>
  <c r="E7" i="13"/>
  <c r="G7" i="13" s="1"/>
  <c r="E6" i="2"/>
  <c r="E6" i="13"/>
  <c r="G6" i="13" s="1"/>
  <c r="G2" i="14"/>
  <c r="G2" i="61"/>
  <c r="G6" i="3"/>
  <c r="E5" i="3"/>
  <c r="F38" i="2" s="1"/>
  <c r="AV9" i="36"/>
  <c r="AU9" i="36"/>
  <c r="F36" i="6"/>
  <c r="J65" i="14"/>
  <c r="J65" i="61"/>
  <c r="G38" i="2"/>
  <c r="G46" i="2" s="1"/>
  <c r="G81" i="14"/>
  <c r="G80" i="14"/>
  <c r="J76" i="61"/>
  <c r="J76" i="14"/>
  <c r="H38" i="2"/>
  <c r="H46" i="2" s="1"/>
  <c r="AU9" i="38"/>
  <c r="AV9" i="38"/>
  <c r="AU14" i="38"/>
  <c r="AV14" i="38"/>
  <c r="AV10" i="36"/>
  <c r="AU10" i="36"/>
  <c r="AU11" i="38"/>
  <c r="AV11" i="38"/>
  <c r="K44" i="16"/>
  <c r="K58" i="16"/>
  <c r="K18" i="68"/>
  <c r="K64" i="16"/>
  <c r="K26" i="68"/>
  <c r="L26" i="68" s="1"/>
  <c r="K59" i="16"/>
  <c r="K51" i="16"/>
  <c r="K54" i="16"/>
  <c r="K44" i="17"/>
  <c r="L44" i="17" s="1"/>
  <c r="K39" i="16"/>
  <c r="K55" i="16"/>
  <c r="K78" i="68"/>
  <c r="K60" i="68"/>
  <c r="K48" i="68"/>
  <c r="K72" i="68"/>
  <c r="K50" i="17"/>
  <c r="L50" i="17" s="1"/>
  <c r="K47" i="17"/>
  <c r="K25" i="16"/>
  <c r="J25" i="16" s="1"/>
  <c r="M25" i="16" s="1"/>
  <c r="K20" i="16"/>
  <c r="K53" i="16"/>
  <c r="J53" i="16" s="1"/>
  <c r="M53" i="16" s="1"/>
  <c r="K15" i="16"/>
  <c r="K62" i="16"/>
  <c r="K49" i="16"/>
  <c r="K23" i="17"/>
  <c r="K36" i="17"/>
  <c r="K20" i="17"/>
  <c r="L20" i="17" s="1"/>
  <c r="K38" i="17"/>
  <c r="L38" i="17" s="1"/>
  <c r="E34" i="6" s="1"/>
  <c r="K26" i="17"/>
  <c r="L26" i="17" s="1"/>
  <c r="K53" i="68"/>
  <c r="K28" i="16"/>
  <c r="J28" i="16" s="1"/>
  <c r="M28" i="16" s="1"/>
  <c r="K61" i="16"/>
  <c r="K14" i="17"/>
  <c r="L14" i="17" s="1"/>
  <c r="K40" i="16"/>
  <c r="K34" i="16"/>
  <c r="K26" i="16"/>
  <c r="J26" i="16" s="1"/>
  <c r="M26" i="16" s="1"/>
  <c r="K50" i="16"/>
  <c r="K24" i="16"/>
  <c r="J24" i="16" s="1"/>
  <c r="M24" i="16" s="1"/>
  <c r="K77" i="17"/>
  <c r="K27" i="16"/>
  <c r="J27" i="16" s="1"/>
  <c r="M27" i="16" s="1"/>
  <c r="K18" i="17"/>
  <c r="K48" i="16"/>
  <c r="K54" i="68"/>
  <c r="K41" i="17"/>
  <c r="K29" i="68"/>
  <c r="K56" i="16"/>
  <c r="K44" i="68"/>
  <c r="L44" i="68" s="1"/>
  <c r="K60" i="17"/>
  <c r="K35" i="17"/>
  <c r="K16" i="16"/>
  <c r="K77" i="68"/>
  <c r="K19" i="16"/>
  <c r="K41" i="68"/>
  <c r="K62" i="68"/>
  <c r="L62" i="68" s="1"/>
  <c r="K33" i="16"/>
  <c r="K56" i="17"/>
  <c r="L56" i="17" s="1"/>
  <c r="K53" i="17"/>
  <c r="K29" i="16"/>
  <c r="J29" i="16" s="1"/>
  <c r="M29" i="16" s="1"/>
  <c r="K68" i="17"/>
  <c r="L68" i="17" s="1"/>
  <c r="K17" i="17"/>
  <c r="K59" i="17"/>
  <c r="K60" i="16"/>
  <c r="K68" i="68"/>
  <c r="L68" i="68" s="1"/>
  <c r="K18" i="16"/>
  <c r="K14" i="68"/>
  <c r="L14" i="68" s="1"/>
  <c r="K32" i="68"/>
  <c r="L32" i="68" s="1"/>
  <c r="K30" i="68"/>
  <c r="K17" i="16"/>
  <c r="K24" i="68"/>
  <c r="K66" i="68"/>
  <c r="K43" i="16"/>
  <c r="K32" i="16"/>
  <c r="K35" i="68"/>
  <c r="K47" i="16"/>
  <c r="K42" i="16"/>
  <c r="K24" i="17"/>
  <c r="K23" i="68"/>
  <c r="K30" i="16"/>
  <c r="K74" i="17"/>
  <c r="L74" i="17" s="1"/>
  <c r="K29" i="17"/>
  <c r="K22" i="16"/>
  <c r="K45" i="16"/>
  <c r="K71" i="68"/>
  <c r="K72" i="17"/>
  <c r="K71" i="17"/>
  <c r="K54" i="17"/>
  <c r="K62" i="17"/>
  <c r="L62" i="17" s="1"/>
  <c r="K41" i="16"/>
  <c r="K38" i="68"/>
  <c r="L38" i="68" s="1"/>
  <c r="K21" i="16"/>
  <c r="K50" i="68"/>
  <c r="L50" i="68" s="1"/>
  <c r="K47" i="68"/>
  <c r="K23" i="16"/>
  <c r="K42" i="17"/>
  <c r="K74" i="68"/>
  <c r="L74" i="68" s="1"/>
  <c r="K59" i="68"/>
  <c r="K32" i="17"/>
  <c r="L32" i="17" s="1"/>
  <c r="K56" i="68"/>
  <c r="L56" i="68" s="1"/>
  <c r="K38" i="16"/>
  <c r="K65" i="68"/>
  <c r="K36" i="16"/>
  <c r="K36" i="68"/>
  <c r="K31" i="16"/>
  <c r="K35" i="16"/>
  <c r="K52" i="16"/>
  <c r="J52" i="16" s="1"/>
  <c r="M52" i="16" s="1"/>
  <c r="K30" i="17"/>
  <c r="K17" i="68"/>
  <c r="K63" i="16"/>
  <c r="K46" i="16"/>
  <c r="K42" i="68"/>
  <c r="K20" i="68"/>
  <c r="L20" i="68" s="1"/>
  <c r="K78" i="17"/>
  <c r="K66" i="17"/>
  <c r="K57" i="16"/>
  <c r="K37" i="16"/>
  <c r="K48" i="17"/>
  <c r="K65" i="17"/>
  <c r="G80" i="61"/>
  <c r="G81" i="61"/>
  <c r="G43" i="2"/>
  <c r="G51" i="2" s="1"/>
  <c r="G47" i="2"/>
  <c r="G85" i="14"/>
  <c r="G86" i="14"/>
  <c r="AT211" i="34"/>
  <c r="AT242" i="34"/>
  <c r="AT234" i="34"/>
  <c r="AT243" i="34"/>
  <c r="AT237" i="34"/>
  <c r="AT185" i="34"/>
  <c r="AT195" i="34"/>
  <c r="AT226" i="34"/>
  <c r="AT212" i="34"/>
  <c r="AT230" i="34"/>
  <c r="AT174" i="34"/>
  <c r="AT180" i="34"/>
  <c r="AT227" i="34"/>
  <c r="AT179" i="34"/>
  <c r="AT203" i="34"/>
  <c r="AT184" i="34"/>
  <c r="AT191" i="34"/>
  <c r="AT247" i="34"/>
  <c r="AT231" i="34"/>
  <c r="AT220" i="34"/>
  <c r="AT201" i="34"/>
  <c r="AT236" i="34"/>
  <c r="AT210" i="34"/>
  <c r="AT216" i="34"/>
  <c r="AT208" i="34"/>
  <c r="AT172" i="34"/>
  <c r="AT245" i="34"/>
  <c r="AT228" i="34"/>
  <c r="AT240" i="34"/>
  <c r="AT233" i="34"/>
  <c r="AT219" i="34"/>
  <c r="AT217" i="34"/>
  <c r="AT213" i="34"/>
  <c r="AT194" i="34"/>
  <c r="AT224" i="34"/>
  <c r="AT215" i="34"/>
  <c r="AT229" i="34"/>
  <c r="AT187" i="34"/>
  <c r="AT238" i="34"/>
  <c r="AT199" i="34"/>
  <c r="AT223" i="34"/>
  <c r="AT239" i="34"/>
  <c r="AT192" i="34"/>
  <c r="AT173" i="34"/>
  <c r="AT214" i="34"/>
  <c r="AT190" i="34"/>
  <c r="AT186" i="34"/>
  <c r="AT207" i="34"/>
  <c r="AT202" i="34"/>
  <c r="AT183" i="34"/>
  <c r="AT209" i="34"/>
  <c r="AT218" i="34"/>
  <c r="AT250" i="34"/>
  <c r="AT225" i="34"/>
  <c r="AT178" i="34"/>
  <c r="AT175" i="34"/>
  <c r="AT177" i="34"/>
  <c r="AT196" i="34"/>
  <c r="AT200" i="34"/>
  <c r="AT197" i="34"/>
  <c r="AT189" i="34"/>
  <c r="AT205" i="34"/>
  <c r="AT182" i="34"/>
  <c r="AT241" i="34"/>
  <c r="AT251" i="34"/>
  <c r="AT176" i="34"/>
  <c r="AT188" i="34"/>
  <c r="AT198" i="34"/>
  <c r="AT235" i="34"/>
  <c r="AT221" i="34"/>
  <c r="AT222" i="34"/>
  <c r="AT244" i="34"/>
  <c r="AT193" i="34"/>
  <c r="AT181" i="34"/>
  <c r="AT204" i="34"/>
  <c r="AT232" i="34"/>
  <c r="AT206" i="34"/>
  <c r="AT246" i="34"/>
  <c r="AT248" i="34"/>
  <c r="AT9" i="34"/>
  <c r="AV9" i="34" s="1"/>
  <c r="AT249" i="34"/>
  <c r="AT171" i="34"/>
  <c r="AT8" i="34"/>
  <c r="AV8" i="34" s="1"/>
  <c r="AT109" i="34"/>
  <c r="AT165" i="34"/>
  <c r="AT133" i="34"/>
  <c r="AT90" i="34"/>
  <c r="AT166" i="34"/>
  <c r="AT15" i="34"/>
  <c r="AT112" i="34"/>
  <c r="AT17" i="34"/>
  <c r="AT45" i="34"/>
  <c r="AT16" i="34"/>
  <c r="AT67" i="34"/>
  <c r="AT126" i="34"/>
  <c r="AT77" i="34"/>
  <c r="AT117" i="34"/>
  <c r="AT88" i="34"/>
  <c r="AT47" i="34"/>
  <c r="AT59" i="34"/>
  <c r="AT27" i="34"/>
  <c r="AT164" i="34"/>
  <c r="AT78" i="34"/>
  <c r="AT149" i="34"/>
  <c r="AT122" i="34"/>
  <c r="AT119" i="34"/>
  <c r="AT64" i="34"/>
  <c r="AT14" i="34"/>
  <c r="AT60" i="34"/>
  <c r="AT65" i="34"/>
  <c r="AT79" i="34"/>
  <c r="AT48" i="34"/>
  <c r="AT49" i="34"/>
  <c r="AT30" i="34"/>
  <c r="AT43" i="34"/>
  <c r="AT94" i="34"/>
  <c r="AT40" i="34"/>
  <c r="AT53" i="34"/>
  <c r="AT131" i="34"/>
  <c r="AT151" i="34"/>
  <c r="AT66" i="34"/>
  <c r="AT75" i="34"/>
  <c r="AT123" i="34"/>
  <c r="AT158" i="34"/>
  <c r="AT73" i="34"/>
  <c r="AT163" i="34"/>
  <c r="AT63" i="34"/>
  <c r="AT100" i="34"/>
  <c r="AT127" i="34"/>
  <c r="AT110" i="34"/>
  <c r="AT124" i="34"/>
  <c r="AT50" i="34"/>
  <c r="AT136" i="34"/>
  <c r="AT41" i="34"/>
  <c r="AT86" i="34"/>
  <c r="AT29" i="34"/>
  <c r="AT76" i="34"/>
  <c r="AT118" i="34"/>
  <c r="AT101" i="34"/>
  <c r="AT55" i="34"/>
  <c r="AT51" i="34"/>
  <c r="AT96" i="34"/>
  <c r="AT107" i="34"/>
  <c r="AT57" i="34"/>
  <c r="AT129" i="34"/>
  <c r="AT31" i="34"/>
  <c r="AT80" i="34"/>
  <c r="AT25" i="34"/>
  <c r="AT83" i="34"/>
  <c r="AT153" i="34"/>
  <c r="AT159" i="34"/>
  <c r="AT98" i="34"/>
  <c r="AT84" i="34"/>
  <c r="AT111" i="34"/>
  <c r="AT114" i="34"/>
  <c r="AT155" i="34"/>
  <c r="AT62" i="34"/>
  <c r="AT91" i="34"/>
  <c r="AT81" i="34"/>
  <c r="AT68" i="34"/>
  <c r="AT54" i="34"/>
  <c r="AT52" i="34"/>
  <c r="AT28" i="34"/>
  <c r="AT38" i="34"/>
  <c r="AT19" i="34"/>
  <c r="AT157" i="34"/>
  <c r="AT93" i="34"/>
  <c r="AT120" i="34"/>
  <c r="AT125" i="34"/>
  <c r="AT21" i="34"/>
  <c r="AT137" i="34"/>
  <c r="AT13" i="34"/>
  <c r="AT70" i="34"/>
  <c r="AT97" i="34"/>
  <c r="AT69" i="34"/>
  <c r="AT46" i="34"/>
  <c r="AT61" i="34"/>
  <c r="AT37" i="34"/>
  <c r="AT74" i="34"/>
  <c r="AT143" i="34"/>
  <c r="AT22" i="34"/>
  <c r="AT85" i="34"/>
  <c r="AT102" i="34"/>
  <c r="AT135" i="34"/>
  <c r="AT58" i="34"/>
  <c r="AT113" i="34"/>
  <c r="AT39" i="34"/>
  <c r="AT72" i="34"/>
  <c r="AT139" i="34"/>
  <c r="AT82" i="34"/>
  <c r="AT147" i="34"/>
  <c r="AT128" i="34"/>
  <c r="AT141" i="34"/>
  <c r="AT42" i="34"/>
  <c r="AT108" i="34"/>
  <c r="AT146" i="34"/>
  <c r="AT160" i="34"/>
  <c r="AT71" i="34"/>
  <c r="AT154" i="34"/>
  <c r="AT142" i="34"/>
  <c r="AT56" i="34"/>
  <c r="AT26" i="34"/>
  <c r="AT95" i="34"/>
  <c r="AT162" i="34"/>
  <c r="AT150" i="34"/>
  <c r="AT167" i="34"/>
  <c r="AT36" i="34"/>
  <c r="AT134" i="34"/>
  <c r="AT18" i="34"/>
  <c r="AT138" i="34"/>
  <c r="AT116" i="34"/>
  <c r="AT115" i="34"/>
  <c r="AT121" i="34"/>
  <c r="AT145" i="34"/>
  <c r="AT130" i="34"/>
  <c r="AT89" i="34"/>
  <c r="AT161" i="34"/>
  <c r="AT99" i="34"/>
  <c r="AT140" i="34"/>
  <c r="AT44" i="34"/>
  <c r="AT23" i="34"/>
  <c r="AT20" i="34"/>
  <c r="AT132" i="34"/>
  <c r="AT156" i="34"/>
  <c r="AT92" i="34"/>
  <c r="AT152" i="34"/>
  <c r="AT148" i="34"/>
  <c r="AT24" i="34"/>
  <c r="AT144" i="34"/>
  <c r="AT87" i="34"/>
  <c r="AT106" i="34"/>
  <c r="AT6" i="34"/>
  <c r="AT35" i="34"/>
  <c r="AT7" i="34"/>
  <c r="AV7" i="34" s="1"/>
  <c r="AT12" i="34"/>
  <c r="G33" i="61"/>
  <c r="G31" i="61"/>
  <c r="G32" i="14"/>
  <c r="G33" i="14"/>
  <c r="G32" i="61"/>
  <c r="G31" i="14"/>
  <c r="H43" i="2"/>
  <c r="H51" i="2" s="1"/>
  <c r="H47" i="2"/>
  <c r="W34" i="8"/>
  <c r="W296" i="8"/>
  <c r="W297" i="8"/>
  <c r="AV10" i="38"/>
  <c r="AU10" i="38"/>
  <c r="AV6" i="36"/>
  <c r="AT5" i="36"/>
  <c r="AT5" i="38"/>
  <c r="AV6" i="38"/>
  <c r="K24" i="67"/>
  <c r="J24" i="67" s="1"/>
  <c r="M24" i="67" s="1"/>
  <c r="K47" i="67"/>
  <c r="K45" i="67"/>
  <c r="K19" i="67"/>
  <c r="K48" i="67"/>
  <c r="K30" i="67"/>
  <c r="K28" i="67"/>
  <c r="J28" i="67" s="1"/>
  <c r="M28" i="67" s="1"/>
  <c r="K41" i="67"/>
  <c r="K29" i="67"/>
  <c r="J29" i="67" s="1"/>
  <c r="M29" i="67" s="1"/>
  <c r="K59" i="67"/>
  <c r="K32" i="67"/>
  <c r="K35" i="67"/>
  <c r="K17" i="67"/>
  <c r="K61" i="67"/>
  <c r="K38" i="67"/>
  <c r="K23" i="67"/>
  <c r="K16" i="67"/>
  <c r="K25" i="67"/>
  <c r="J25" i="67" s="1"/>
  <c r="M25" i="67" s="1"/>
  <c r="K51" i="67"/>
  <c r="K46" i="67"/>
  <c r="K18" i="67"/>
  <c r="K56" i="67"/>
  <c r="K55" i="67"/>
  <c r="K36" i="67"/>
  <c r="K27" i="67"/>
  <c r="J27" i="67" s="1"/>
  <c r="M27" i="67" s="1"/>
  <c r="K53" i="67"/>
  <c r="J53" i="67" s="1"/>
  <c r="M53" i="67" s="1"/>
  <c r="K31" i="67"/>
  <c r="K39" i="67"/>
  <c r="K33" i="67"/>
  <c r="K43" i="67"/>
  <c r="K63" i="67"/>
  <c r="K54" i="67"/>
  <c r="K42" i="67"/>
  <c r="K64" i="67"/>
  <c r="K60" i="67"/>
  <c r="K49" i="67"/>
  <c r="K20" i="67"/>
  <c r="K58" i="67"/>
  <c r="K62" i="67"/>
  <c r="K34" i="67"/>
  <c r="K21" i="67"/>
  <c r="K26" i="67"/>
  <c r="J26" i="67" s="1"/>
  <c r="M26" i="67" s="1"/>
  <c r="K15" i="67"/>
  <c r="K50" i="67"/>
  <c r="K40" i="67"/>
  <c r="K37" i="67"/>
  <c r="K44" i="67"/>
  <c r="K22" i="67"/>
  <c r="K57" i="67"/>
  <c r="K52" i="67"/>
  <c r="J52" i="67" s="1"/>
  <c r="M52" i="67" s="1"/>
  <c r="V34" i="8"/>
  <c r="V296" i="8" s="1"/>
  <c r="V297" i="8"/>
  <c r="G85" i="61"/>
  <c r="G86" i="61"/>
  <c r="G29" i="61"/>
  <c r="F32" i="5"/>
  <c r="G32" i="5" s="1"/>
  <c r="G30" i="14"/>
  <c r="F31" i="5"/>
  <c r="G31" i="5" s="1"/>
  <c r="G30" i="61"/>
  <c r="G29" i="14"/>
  <c r="J30" i="61" l="1"/>
  <c r="F30" i="61"/>
  <c r="I30" i="61" s="1"/>
  <c r="J29" i="61"/>
  <c r="F29" i="61"/>
  <c r="I29" i="61" s="1"/>
  <c r="J37" i="67"/>
  <c r="M37" i="67" s="1"/>
  <c r="N37" i="67"/>
  <c r="J58" i="67"/>
  <c r="M58" i="67" s="1"/>
  <c r="N58" i="67"/>
  <c r="J59" i="67"/>
  <c r="M59" i="67" s="1"/>
  <c r="N59" i="67"/>
  <c r="N30" i="67"/>
  <c r="J30" i="67"/>
  <c r="M30" i="67" s="1"/>
  <c r="J30" i="14"/>
  <c r="F30" i="14"/>
  <c r="I30" i="14" s="1"/>
  <c r="AY10" i="38"/>
  <c r="N57" i="67"/>
  <c r="J57" i="67"/>
  <c r="M57" i="67" s="1"/>
  <c r="J40" i="67"/>
  <c r="M40" i="67" s="1"/>
  <c r="N40" i="67"/>
  <c r="N21" i="67"/>
  <c r="J21" i="67"/>
  <c r="M21" i="67" s="1"/>
  <c r="N20" i="67"/>
  <c r="J20" i="67"/>
  <c r="M20" i="67" s="1"/>
  <c r="N42" i="67"/>
  <c r="J42" i="67"/>
  <c r="M42" i="67" s="1"/>
  <c r="N33" i="67"/>
  <c r="J33" i="67"/>
  <c r="M33" i="67" s="1"/>
  <c r="N18" i="67"/>
  <c r="J18" i="67"/>
  <c r="M18" i="67" s="1"/>
  <c r="N16" i="67"/>
  <c r="J16" i="67"/>
  <c r="M16" i="67" s="1"/>
  <c r="N17" i="67"/>
  <c r="J17" i="67"/>
  <c r="M17" i="67" s="1"/>
  <c r="N48" i="67"/>
  <c r="J48" i="67"/>
  <c r="M48" i="67" s="1"/>
  <c r="F31" i="14"/>
  <c r="I31" i="14" s="1"/>
  <c r="J31" i="14"/>
  <c r="AY9" i="36"/>
  <c r="F31" i="61"/>
  <c r="I31" i="61" s="1"/>
  <c r="J31" i="61"/>
  <c r="AU35" i="34"/>
  <c r="AV35" i="34"/>
  <c r="AU144" i="34"/>
  <c r="AV144" i="34"/>
  <c r="AU92" i="34"/>
  <c r="AV92" i="34"/>
  <c r="AV23" i="34"/>
  <c r="AU23" i="34"/>
  <c r="AU161" i="34"/>
  <c r="AV161" i="34"/>
  <c r="AU121" i="34"/>
  <c r="AV121" i="34"/>
  <c r="AU18" i="34"/>
  <c r="AV18" i="34"/>
  <c r="AU150" i="34"/>
  <c r="AV150" i="34"/>
  <c r="AU56" i="34"/>
  <c r="AV56" i="34"/>
  <c r="AU160" i="34"/>
  <c r="AV160" i="34"/>
  <c r="AU141" i="34"/>
  <c r="AV141" i="34"/>
  <c r="AV139" i="34"/>
  <c r="AU139" i="34"/>
  <c r="AV58" i="34"/>
  <c r="AU58" i="34"/>
  <c r="AU22" i="34"/>
  <c r="AV22" i="34"/>
  <c r="AU61" i="34"/>
  <c r="AV61" i="34"/>
  <c r="AV70" i="34"/>
  <c r="AU70" i="34"/>
  <c r="AU125" i="34"/>
  <c r="AV125" i="34"/>
  <c r="AU19" i="34"/>
  <c r="AV19" i="34"/>
  <c r="AU54" i="34"/>
  <c r="AV54" i="34"/>
  <c r="AV62" i="34"/>
  <c r="AU62" i="34"/>
  <c r="AU84" i="34"/>
  <c r="AV84" i="34"/>
  <c r="AV83" i="34"/>
  <c r="AU83" i="34"/>
  <c r="AU129" i="34"/>
  <c r="AV129" i="34"/>
  <c r="AV51" i="34"/>
  <c r="AU51" i="34"/>
  <c r="AV76" i="34"/>
  <c r="AU76" i="34"/>
  <c r="AU136" i="34"/>
  <c r="AV136" i="34"/>
  <c r="AV127" i="34"/>
  <c r="AU127" i="34"/>
  <c r="AV73" i="34"/>
  <c r="AU73" i="34"/>
  <c r="AU66" i="34"/>
  <c r="AV66" i="34"/>
  <c r="AU40" i="34"/>
  <c r="AV40" i="34"/>
  <c r="AV49" i="34"/>
  <c r="AU49" i="34"/>
  <c r="AV60" i="34"/>
  <c r="AU60" i="34"/>
  <c r="AU122" i="34"/>
  <c r="AV122" i="34"/>
  <c r="AU27" i="34"/>
  <c r="AV27" i="34"/>
  <c r="AV117" i="34"/>
  <c r="AU117" i="34"/>
  <c r="AV16" i="34"/>
  <c r="AU16" i="34"/>
  <c r="AU15" i="34"/>
  <c r="AV15" i="34"/>
  <c r="AU165" i="34"/>
  <c r="AV165" i="34"/>
  <c r="AV249" i="34"/>
  <c r="AU249" i="34"/>
  <c r="AU206" i="34"/>
  <c r="AV206" i="34"/>
  <c r="AV193" i="34"/>
  <c r="AU193" i="34"/>
  <c r="AU235" i="34"/>
  <c r="AV235" i="34"/>
  <c r="AV251" i="34"/>
  <c r="AU251" i="34"/>
  <c r="AV189" i="34"/>
  <c r="AU189" i="34"/>
  <c r="AV177" i="34"/>
  <c r="AU177" i="34"/>
  <c r="AV250" i="34"/>
  <c r="AU250" i="34"/>
  <c r="AV202" i="34"/>
  <c r="AU202" i="34"/>
  <c r="AV214" i="34"/>
  <c r="AU214" i="34"/>
  <c r="AU223" i="34"/>
  <c r="AV223" i="34"/>
  <c r="AV229" i="34"/>
  <c r="AU229" i="34"/>
  <c r="AU213" i="34"/>
  <c r="AV213" i="34"/>
  <c r="AV240" i="34"/>
  <c r="AU240" i="34"/>
  <c r="AV208" i="34"/>
  <c r="AU208" i="34"/>
  <c r="AV201" i="34"/>
  <c r="AU201" i="34"/>
  <c r="AV191" i="34"/>
  <c r="AU191" i="34"/>
  <c r="AU227" i="34"/>
  <c r="AV227" i="34"/>
  <c r="AU212" i="34"/>
  <c r="AV212" i="34"/>
  <c r="AV237" i="34"/>
  <c r="AU237" i="34"/>
  <c r="AV211" i="34"/>
  <c r="AU211" i="34"/>
  <c r="J63" i="16"/>
  <c r="M63" i="16" s="1"/>
  <c r="N63" i="16"/>
  <c r="J35" i="16"/>
  <c r="M35" i="16" s="1"/>
  <c r="N35" i="16"/>
  <c r="N41" i="16"/>
  <c r="J41" i="16"/>
  <c r="M41" i="16" s="1"/>
  <c r="N32" i="16"/>
  <c r="J32" i="16"/>
  <c r="M32" i="16" s="1"/>
  <c r="J17" i="16"/>
  <c r="M17" i="16" s="1"/>
  <c r="N17" i="16"/>
  <c r="N18" i="16"/>
  <c r="J18" i="16"/>
  <c r="M18" i="16" s="1"/>
  <c r="N19" i="16"/>
  <c r="J19" i="16"/>
  <c r="M19" i="16" s="1"/>
  <c r="J61" i="16"/>
  <c r="M61" i="16" s="1"/>
  <c r="N61" i="16"/>
  <c r="N49" i="16"/>
  <c r="J49" i="16"/>
  <c r="M49" i="16" s="1"/>
  <c r="J20" i="16"/>
  <c r="M20" i="16" s="1"/>
  <c r="N20" i="16"/>
  <c r="J55" i="16"/>
  <c r="M55" i="16" s="1"/>
  <c r="N55" i="16"/>
  <c r="N51" i="16"/>
  <c r="J51" i="16"/>
  <c r="M51" i="16" s="1"/>
  <c r="AU11" i="36"/>
  <c r="AU6" i="36"/>
  <c r="AU5" i="36" s="1"/>
  <c r="G5" i="61"/>
  <c r="G4" i="61"/>
  <c r="N50" i="67"/>
  <c r="J50" i="67"/>
  <c r="M50" i="67" s="1"/>
  <c r="J34" i="67"/>
  <c r="M34" i="67" s="1"/>
  <c r="N34" i="67"/>
  <c r="J49" i="67"/>
  <c r="M49" i="67" s="1"/>
  <c r="N49" i="67"/>
  <c r="J54" i="67"/>
  <c r="M54" i="67" s="1"/>
  <c r="N54" i="67"/>
  <c r="J39" i="67"/>
  <c r="M39" i="67" s="1"/>
  <c r="N39" i="67"/>
  <c r="N36" i="67"/>
  <c r="J36" i="67"/>
  <c r="M36" i="67" s="1"/>
  <c r="N46" i="67"/>
  <c r="J46" i="67"/>
  <c r="M46" i="67" s="1"/>
  <c r="N23" i="67"/>
  <c r="J23" i="67"/>
  <c r="M23" i="67" s="1"/>
  <c r="N35" i="67"/>
  <c r="J35" i="67"/>
  <c r="M35" i="67" s="1"/>
  <c r="N41" i="67"/>
  <c r="J41" i="67"/>
  <c r="M41" i="67" s="1"/>
  <c r="N19" i="67"/>
  <c r="J19" i="67"/>
  <c r="M19" i="67" s="1"/>
  <c r="J32" i="61"/>
  <c r="F32" i="61"/>
  <c r="I32" i="61" s="1"/>
  <c r="J33" i="61"/>
  <c r="F33" i="61"/>
  <c r="I33" i="61" s="1"/>
  <c r="AV6" i="34"/>
  <c r="AT5" i="34"/>
  <c r="AV24" i="34"/>
  <c r="AU24" i="34"/>
  <c r="AU156" i="34"/>
  <c r="AV156" i="34"/>
  <c r="AV44" i="34"/>
  <c r="AU44" i="34"/>
  <c r="AU89" i="34"/>
  <c r="AV89" i="34"/>
  <c r="AU115" i="34"/>
  <c r="AV115" i="34"/>
  <c r="AV134" i="34"/>
  <c r="AU134" i="34"/>
  <c r="AU162" i="34"/>
  <c r="AV162" i="34"/>
  <c r="AU142" i="34"/>
  <c r="AV142" i="34"/>
  <c r="AV146" i="34"/>
  <c r="AU146" i="34"/>
  <c r="AU128" i="34"/>
  <c r="AV128" i="34"/>
  <c r="AV72" i="34"/>
  <c r="AU72" i="34"/>
  <c r="AU135" i="34"/>
  <c r="AV135" i="34"/>
  <c r="AV143" i="34"/>
  <c r="AU143" i="34"/>
  <c r="AU46" i="34"/>
  <c r="AV46" i="34"/>
  <c r="AV13" i="34"/>
  <c r="AU13" i="34"/>
  <c r="AU120" i="34"/>
  <c r="AV120" i="34"/>
  <c r="AV38" i="34"/>
  <c r="AU38" i="34"/>
  <c r="AU68" i="34"/>
  <c r="AV68" i="34"/>
  <c r="AV155" i="34"/>
  <c r="AU155" i="34"/>
  <c r="AU98" i="34"/>
  <c r="AV98" i="34"/>
  <c r="AU25" i="34"/>
  <c r="AV25" i="34"/>
  <c r="AV57" i="34"/>
  <c r="AU57" i="34"/>
  <c r="AV55" i="34"/>
  <c r="AU55" i="34"/>
  <c r="AV29" i="34"/>
  <c r="AU29" i="34"/>
  <c r="AU50" i="34"/>
  <c r="AV50" i="34"/>
  <c r="AU100" i="34"/>
  <c r="AV100" i="34"/>
  <c r="AU158" i="34"/>
  <c r="AV158" i="34"/>
  <c r="AU151" i="34"/>
  <c r="AV151" i="34"/>
  <c r="AU94" i="34"/>
  <c r="AV94" i="34"/>
  <c r="AV48" i="34"/>
  <c r="AU48" i="34"/>
  <c r="AU14" i="34"/>
  <c r="AV14" i="34"/>
  <c r="AU149" i="34"/>
  <c r="AV149" i="34"/>
  <c r="AV59" i="34"/>
  <c r="AU59" i="34"/>
  <c r="AU77" i="34"/>
  <c r="AV77" i="34"/>
  <c r="AV45" i="34"/>
  <c r="AU45" i="34"/>
  <c r="AV166" i="34"/>
  <c r="AU166" i="34"/>
  <c r="AV109" i="34"/>
  <c r="AU109" i="34"/>
  <c r="AV232" i="34"/>
  <c r="AU232" i="34"/>
  <c r="AV244" i="34"/>
  <c r="AU244" i="34"/>
  <c r="AU198" i="34"/>
  <c r="AV198" i="34"/>
  <c r="AV241" i="34"/>
  <c r="AU241" i="34"/>
  <c r="AV197" i="34"/>
  <c r="AU197" i="34"/>
  <c r="AV175" i="34"/>
  <c r="AU175" i="34"/>
  <c r="AU218" i="34"/>
  <c r="AV218" i="34"/>
  <c r="AV207" i="34"/>
  <c r="AU207" i="34"/>
  <c r="AU173" i="34"/>
  <c r="AV173" i="34"/>
  <c r="AU199" i="34"/>
  <c r="AV199" i="34"/>
  <c r="AU215" i="34"/>
  <c r="AV215" i="34"/>
  <c r="AV217" i="34"/>
  <c r="AU217" i="34"/>
  <c r="AV228" i="34"/>
  <c r="AU228" i="34"/>
  <c r="AV216" i="34"/>
  <c r="AU216" i="34"/>
  <c r="AU220" i="34"/>
  <c r="AV220" i="34"/>
  <c r="AU184" i="34"/>
  <c r="AV184" i="34"/>
  <c r="AV180" i="34"/>
  <c r="AU180" i="34"/>
  <c r="AV226" i="34"/>
  <c r="AU226" i="34"/>
  <c r="AU243" i="34"/>
  <c r="AV243" i="34"/>
  <c r="G68" i="14"/>
  <c r="G70" i="14"/>
  <c r="G60" i="61"/>
  <c r="G62" i="61"/>
  <c r="J37" i="16"/>
  <c r="M37" i="16" s="1"/>
  <c r="N37" i="16"/>
  <c r="J31" i="16"/>
  <c r="M31" i="16" s="1"/>
  <c r="N31" i="16"/>
  <c r="N38" i="16"/>
  <c r="J38" i="16"/>
  <c r="M38" i="16" s="1"/>
  <c r="J42" i="16"/>
  <c r="M42" i="16" s="1"/>
  <c r="N42" i="16"/>
  <c r="N43" i="16"/>
  <c r="J43" i="16"/>
  <c r="M43" i="16" s="1"/>
  <c r="J33" i="16"/>
  <c r="M33" i="16" s="1"/>
  <c r="N33" i="16"/>
  <c r="N34" i="16"/>
  <c r="J34" i="16"/>
  <c r="M34" i="16" s="1"/>
  <c r="J62" i="16"/>
  <c r="M62" i="16" s="1"/>
  <c r="N62" i="16"/>
  <c r="N39" i="16"/>
  <c r="J39" i="16"/>
  <c r="M39" i="16" s="1"/>
  <c r="J59" i="16"/>
  <c r="M59" i="16" s="1"/>
  <c r="N59" i="16"/>
  <c r="J58" i="16"/>
  <c r="M58" i="16" s="1"/>
  <c r="N58" i="16"/>
  <c r="G4" i="14"/>
  <c r="G5" i="14"/>
  <c r="F43" i="2"/>
  <c r="F51" i="2" s="1"/>
  <c r="F47" i="2"/>
  <c r="J39" i="2"/>
  <c r="AY9" i="38"/>
  <c r="F29" i="14"/>
  <c r="I29" i="14" s="1"/>
  <c r="J29" i="14"/>
  <c r="N22" i="67"/>
  <c r="J22" i="67"/>
  <c r="M22" i="67" s="1"/>
  <c r="J44" i="67"/>
  <c r="M44" i="67" s="1"/>
  <c r="N44" i="67"/>
  <c r="J15" i="67"/>
  <c r="N15" i="67"/>
  <c r="J62" i="67"/>
  <c r="M62" i="67" s="1"/>
  <c r="N62" i="67"/>
  <c r="N60" i="67"/>
  <c r="J60" i="67"/>
  <c r="M60" i="67" s="1"/>
  <c r="N63" i="67"/>
  <c r="J63" i="67"/>
  <c r="M63" i="67" s="1"/>
  <c r="J31" i="67"/>
  <c r="M31" i="67" s="1"/>
  <c r="N31" i="67"/>
  <c r="N55" i="67"/>
  <c r="J55" i="67"/>
  <c r="M55" i="67" s="1"/>
  <c r="J51" i="67"/>
  <c r="M51" i="67" s="1"/>
  <c r="N51" i="67"/>
  <c r="N38" i="67"/>
  <c r="J38" i="67"/>
  <c r="M38" i="67" s="1"/>
  <c r="J32" i="67"/>
  <c r="M32" i="67" s="1"/>
  <c r="N32" i="67"/>
  <c r="N45" i="67"/>
  <c r="J45" i="67"/>
  <c r="M45" i="67" s="1"/>
  <c r="AX4" i="38"/>
  <c r="AX2" i="38" s="1"/>
  <c r="AZ4" i="38"/>
  <c r="AU4" i="38"/>
  <c r="J33" i="14"/>
  <c r="F33" i="14"/>
  <c r="I33" i="14" s="1"/>
  <c r="AV12" i="34"/>
  <c r="AU12" i="34"/>
  <c r="AU106" i="34"/>
  <c r="AV106" i="34"/>
  <c r="AU148" i="34"/>
  <c r="AV148" i="34"/>
  <c r="AU132" i="34"/>
  <c r="AV132" i="34"/>
  <c r="AV140" i="34"/>
  <c r="AU140" i="34"/>
  <c r="AU130" i="34"/>
  <c r="AV130" i="34"/>
  <c r="AU116" i="34"/>
  <c r="AV116" i="34"/>
  <c r="AV36" i="34"/>
  <c r="AU36" i="34"/>
  <c r="AU95" i="34"/>
  <c r="AV95" i="34"/>
  <c r="AU154" i="34"/>
  <c r="AV154" i="34"/>
  <c r="AU108" i="34"/>
  <c r="AV108" i="34"/>
  <c r="AV147" i="34"/>
  <c r="AU147" i="34"/>
  <c r="AU39" i="34"/>
  <c r="AV39" i="34"/>
  <c r="AV102" i="34"/>
  <c r="AU102" i="34"/>
  <c r="AU74" i="34"/>
  <c r="AV74" i="34"/>
  <c r="AU69" i="34"/>
  <c r="AV69" i="34"/>
  <c r="AU137" i="34"/>
  <c r="AV137" i="34"/>
  <c r="AV93" i="34"/>
  <c r="AU93" i="34"/>
  <c r="AU28" i="34"/>
  <c r="AV28" i="34"/>
  <c r="AU81" i="34"/>
  <c r="AV81" i="34"/>
  <c r="AU114" i="34"/>
  <c r="AV114" i="34"/>
  <c r="AV159" i="34"/>
  <c r="AU159" i="34"/>
  <c r="AU80" i="34"/>
  <c r="AV80" i="34"/>
  <c r="AV107" i="34"/>
  <c r="AU107" i="34"/>
  <c r="AV101" i="34"/>
  <c r="AU101" i="34"/>
  <c r="AU86" i="34"/>
  <c r="AV86" i="34"/>
  <c r="AU124" i="34"/>
  <c r="AV124" i="34"/>
  <c r="AU63" i="34"/>
  <c r="AV63" i="34"/>
  <c r="AU123" i="34"/>
  <c r="AV123" i="34"/>
  <c r="AV131" i="34"/>
  <c r="AU131" i="34"/>
  <c r="AV43" i="34"/>
  <c r="AU43" i="34"/>
  <c r="AV79" i="34"/>
  <c r="AU79" i="34"/>
  <c r="AU64" i="34"/>
  <c r="AV64" i="34"/>
  <c r="AV78" i="34"/>
  <c r="AU78" i="34"/>
  <c r="AU47" i="34"/>
  <c r="AV47" i="34"/>
  <c r="AV126" i="34"/>
  <c r="AU126" i="34"/>
  <c r="AU17" i="34"/>
  <c r="AV17" i="34"/>
  <c r="AV90" i="34"/>
  <c r="AU90" i="34"/>
  <c r="AV248" i="34"/>
  <c r="AU248" i="34"/>
  <c r="AU204" i="34"/>
  <c r="AV204" i="34"/>
  <c r="AU222" i="34"/>
  <c r="AV222" i="34"/>
  <c r="AV188" i="34"/>
  <c r="AU188" i="34"/>
  <c r="AU182" i="34"/>
  <c r="AV182" i="34"/>
  <c r="AU200" i="34"/>
  <c r="AV200" i="34"/>
  <c r="AU178" i="34"/>
  <c r="AV178" i="34"/>
  <c r="AU209" i="34"/>
  <c r="AV209" i="34"/>
  <c r="AV186" i="34"/>
  <c r="AU186" i="34"/>
  <c r="AU192" i="34"/>
  <c r="AV192" i="34"/>
  <c r="AV238" i="34"/>
  <c r="AU238" i="34"/>
  <c r="AU224" i="34"/>
  <c r="AV224" i="34"/>
  <c r="AV219" i="34"/>
  <c r="AU219" i="34"/>
  <c r="AV245" i="34"/>
  <c r="AU245" i="34"/>
  <c r="AU210" i="34"/>
  <c r="AV210" i="34"/>
  <c r="AU231" i="34"/>
  <c r="AV231" i="34"/>
  <c r="AV203" i="34"/>
  <c r="AU203" i="34"/>
  <c r="AV174" i="34"/>
  <c r="AU174" i="34"/>
  <c r="AU195" i="34"/>
  <c r="AV195" i="34"/>
  <c r="AU234" i="34"/>
  <c r="AV234" i="34"/>
  <c r="J57" i="16"/>
  <c r="M57" i="16" s="1"/>
  <c r="N57" i="16"/>
  <c r="N21" i="16"/>
  <c r="J21" i="16"/>
  <c r="M21" i="16" s="1"/>
  <c r="N45" i="16"/>
  <c r="J45" i="16"/>
  <c r="M45" i="16" s="1"/>
  <c r="N30" i="16"/>
  <c r="J30" i="16"/>
  <c r="M30" i="16" s="1"/>
  <c r="N47" i="16"/>
  <c r="J47" i="16"/>
  <c r="M47" i="16" s="1"/>
  <c r="J60" i="16"/>
  <c r="M60" i="16" s="1"/>
  <c r="N60" i="16"/>
  <c r="N16" i="16"/>
  <c r="J16" i="16"/>
  <c r="M16" i="16" s="1"/>
  <c r="J56" i="16"/>
  <c r="M56" i="16" s="1"/>
  <c r="N56" i="16"/>
  <c r="J48" i="16"/>
  <c r="M48" i="16" s="1"/>
  <c r="N48" i="16"/>
  <c r="J40" i="16"/>
  <c r="M40" i="16" s="1"/>
  <c r="N40" i="16"/>
  <c r="N15" i="16"/>
  <c r="J15" i="16"/>
  <c r="N44" i="16"/>
  <c r="J44" i="16"/>
  <c r="M44" i="16" s="1"/>
  <c r="AU12" i="38"/>
  <c r="AU6" i="38"/>
  <c r="AU5" i="38" s="1"/>
  <c r="AU2" i="38" s="1"/>
  <c r="F46" i="2"/>
  <c r="J38" i="2"/>
  <c r="J46" i="2" s="1"/>
  <c r="Y34" i="8"/>
  <c r="Y296" i="8"/>
  <c r="Y297" i="8"/>
  <c r="G68" i="61"/>
  <c r="G70" i="61"/>
  <c r="J64" i="67"/>
  <c r="M64" i="67" s="1"/>
  <c r="N64" i="67"/>
  <c r="N43" i="67"/>
  <c r="J43" i="67"/>
  <c r="M43" i="67" s="1"/>
  <c r="N56" i="67"/>
  <c r="J56" i="67"/>
  <c r="M56" i="67" s="1"/>
  <c r="J61" i="67"/>
  <c r="M61" i="67" s="1"/>
  <c r="N61" i="67"/>
  <c r="J47" i="67"/>
  <c r="M47" i="67" s="1"/>
  <c r="N47" i="67"/>
  <c r="AU4" i="36"/>
  <c r="AZ4" i="36"/>
  <c r="AX4" i="36"/>
  <c r="AX2" i="36" s="1"/>
  <c r="J32" i="14"/>
  <c r="AY10" i="36"/>
  <c r="F32" i="14"/>
  <c r="I32" i="14" s="1"/>
  <c r="AU87" i="34"/>
  <c r="AV87" i="34"/>
  <c r="AU152" i="34"/>
  <c r="AV152" i="34"/>
  <c r="AV20" i="34"/>
  <c r="AU20" i="34"/>
  <c r="AU99" i="34"/>
  <c r="AV99" i="34"/>
  <c r="AV145" i="34"/>
  <c r="AU145" i="34"/>
  <c r="AV138" i="34"/>
  <c r="AU138" i="34"/>
  <c r="AV167" i="34"/>
  <c r="AU167" i="34"/>
  <c r="AU26" i="34"/>
  <c r="AV26" i="34"/>
  <c r="AV71" i="34"/>
  <c r="AU71" i="34"/>
  <c r="AU42" i="34"/>
  <c r="AV42" i="34"/>
  <c r="AV82" i="34"/>
  <c r="AU82" i="34"/>
  <c r="AV113" i="34"/>
  <c r="AU113" i="34"/>
  <c r="AU85" i="34"/>
  <c r="AV85" i="34"/>
  <c r="AU37" i="34"/>
  <c r="AV37" i="34"/>
  <c r="AV97" i="34"/>
  <c r="AU97" i="34"/>
  <c r="AU21" i="34"/>
  <c r="AV21" i="34"/>
  <c r="AU157" i="34"/>
  <c r="AV157" i="34"/>
  <c r="AU52" i="34"/>
  <c r="AV52" i="34"/>
  <c r="AV91" i="34"/>
  <c r="AU91" i="34"/>
  <c r="AU111" i="34"/>
  <c r="AV111" i="34"/>
  <c r="AV153" i="34"/>
  <c r="AU153" i="34"/>
  <c r="AU31" i="34"/>
  <c r="AV31" i="34"/>
  <c r="AU96" i="34"/>
  <c r="AV96" i="34"/>
  <c r="AU118" i="34"/>
  <c r="AV118" i="34"/>
  <c r="AV41" i="34"/>
  <c r="AU41" i="34"/>
  <c r="AU110" i="34"/>
  <c r="AV110" i="34"/>
  <c r="AV163" i="34"/>
  <c r="AU163" i="34"/>
  <c r="AV75" i="34"/>
  <c r="AU75" i="34"/>
  <c r="AU53" i="34"/>
  <c r="AV53" i="34"/>
  <c r="AV30" i="34"/>
  <c r="AU30" i="34"/>
  <c r="AV65" i="34"/>
  <c r="AU65" i="34"/>
  <c r="AU119" i="34"/>
  <c r="AV119" i="34"/>
  <c r="AU164" i="34"/>
  <c r="AV164" i="34"/>
  <c r="AU88" i="34"/>
  <c r="AV88" i="34"/>
  <c r="AU67" i="34"/>
  <c r="AV67" i="34"/>
  <c r="AU112" i="34"/>
  <c r="AV112" i="34"/>
  <c r="AV133" i="34"/>
  <c r="AU133" i="34"/>
  <c r="AV171" i="34"/>
  <c r="AU171" i="34"/>
  <c r="AV246" i="34"/>
  <c r="AU246" i="34"/>
  <c r="AV181" i="34"/>
  <c r="AU181" i="34"/>
  <c r="AU221" i="34"/>
  <c r="AV221" i="34"/>
  <c r="AV176" i="34"/>
  <c r="AU176" i="34"/>
  <c r="AV205" i="34"/>
  <c r="AU205" i="34"/>
  <c r="AV196" i="34"/>
  <c r="AU196" i="34"/>
  <c r="AV225" i="34"/>
  <c r="AU225" i="34"/>
  <c r="AV183" i="34"/>
  <c r="AU183" i="34"/>
  <c r="AV190" i="34"/>
  <c r="AU190" i="34"/>
  <c r="AV239" i="34"/>
  <c r="AU239" i="34"/>
  <c r="AV187" i="34"/>
  <c r="AU187" i="34"/>
  <c r="AV194" i="34"/>
  <c r="AU194" i="34"/>
  <c r="AU233" i="34"/>
  <c r="AV233" i="34"/>
  <c r="AU172" i="34"/>
  <c r="AV172" i="34"/>
  <c r="AU236" i="34"/>
  <c r="AV236" i="34"/>
  <c r="AV247" i="34"/>
  <c r="AU247" i="34"/>
  <c r="AU179" i="34"/>
  <c r="AV179" i="34"/>
  <c r="AV230" i="34"/>
  <c r="AU230" i="34"/>
  <c r="AU185" i="34"/>
  <c r="AV185" i="34"/>
  <c r="AU242" i="34"/>
  <c r="AV242" i="34"/>
  <c r="N46" i="16"/>
  <c r="J46" i="16"/>
  <c r="M46" i="16" s="1"/>
  <c r="J36" i="16"/>
  <c r="M36" i="16" s="1"/>
  <c r="N36" i="16"/>
  <c r="J23" i="16"/>
  <c r="M23" i="16" s="1"/>
  <c r="N23" i="16"/>
  <c r="N22" i="16"/>
  <c r="J22" i="16"/>
  <c r="M22" i="16" s="1"/>
  <c r="L94" i="68"/>
  <c r="J50" i="16"/>
  <c r="M50" i="16" s="1"/>
  <c r="N50" i="16"/>
  <c r="L94" i="17"/>
  <c r="J54" i="16"/>
  <c r="M54" i="16" s="1"/>
  <c r="N54" i="16"/>
  <c r="J64" i="16"/>
  <c r="M64" i="16" s="1"/>
  <c r="N64" i="16"/>
  <c r="G62" i="14"/>
  <c r="G60" i="14"/>
  <c r="G6" i="2"/>
  <c r="H6" i="2"/>
  <c r="E39" i="2"/>
  <c r="I20" i="13"/>
  <c r="E5" i="2"/>
  <c r="E9" i="13"/>
  <c r="E17" i="13" s="1"/>
  <c r="G5" i="13"/>
  <c r="G9" i="13" s="1"/>
  <c r="G17" i="13" s="1"/>
  <c r="E47" i="2" l="1"/>
  <c r="E43" i="2"/>
  <c r="E51" i="2" s="1"/>
  <c r="BC230" i="34"/>
  <c r="BC247" i="34"/>
  <c r="BC194" i="34"/>
  <c r="BC239" i="34"/>
  <c r="BC183" i="34"/>
  <c r="BC196" i="34"/>
  <c r="BC176" i="34"/>
  <c r="BC181" i="34"/>
  <c r="AU252" i="34"/>
  <c r="BC171" i="34"/>
  <c r="AU8" i="34"/>
  <c r="BC30" i="34"/>
  <c r="BC75" i="34"/>
  <c r="BC113" i="34"/>
  <c r="BC138" i="34"/>
  <c r="G71" i="61"/>
  <c r="I71" i="61" s="1"/>
  <c r="I70" i="61"/>
  <c r="M15" i="16"/>
  <c r="J65" i="16"/>
  <c r="BC203" i="34"/>
  <c r="BC219" i="34"/>
  <c r="BC238" i="34"/>
  <c r="BC186" i="34"/>
  <c r="BC248" i="34"/>
  <c r="BC43" i="34"/>
  <c r="BC101" i="34"/>
  <c r="BC140" i="34"/>
  <c r="AU6" i="34"/>
  <c r="AU32" i="34"/>
  <c r="BC12" i="34"/>
  <c r="G69" i="14"/>
  <c r="I69" i="14" s="1"/>
  <c r="I68" i="14"/>
  <c r="BC184" i="34"/>
  <c r="BC199" i="34"/>
  <c r="BC14" i="34"/>
  <c r="BC94" i="34"/>
  <c r="BC158" i="34"/>
  <c r="BC50" i="34"/>
  <c r="BC25" i="34"/>
  <c r="BC162" i="34"/>
  <c r="BC115" i="34"/>
  <c r="BC237" i="34"/>
  <c r="BC201" i="34"/>
  <c r="BC240" i="34"/>
  <c r="BC229" i="34"/>
  <c r="BC214" i="34"/>
  <c r="BC250" i="34"/>
  <c r="BC189" i="34"/>
  <c r="BC16" i="34"/>
  <c r="BC60" i="34"/>
  <c r="BC73" i="34"/>
  <c r="BC51" i="34"/>
  <c r="BC83" i="34"/>
  <c r="BC62" i="34"/>
  <c r="BC70" i="34"/>
  <c r="BC139" i="34"/>
  <c r="BC23" i="34"/>
  <c r="G63" i="14"/>
  <c r="I63" i="14" s="1"/>
  <c r="I62" i="14"/>
  <c r="I18" i="13"/>
  <c r="E38" i="2"/>
  <c r="E46" i="2" s="1"/>
  <c r="BC242" i="34"/>
  <c r="BC172" i="34"/>
  <c r="BC112" i="34"/>
  <c r="BC88" i="34"/>
  <c r="BC119" i="34"/>
  <c r="BC110" i="34"/>
  <c r="BC118" i="34"/>
  <c r="BC31" i="34"/>
  <c r="BC111" i="34"/>
  <c r="BC52" i="34"/>
  <c r="BC21" i="34"/>
  <c r="BC37" i="34"/>
  <c r="BC42" i="34"/>
  <c r="BC26" i="34"/>
  <c r="BC99" i="34"/>
  <c r="BC152" i="34"/>
  <c r="AZ10" i="36"/>
  <c r="BA10" i="36"/>
  <c r="I68" i="61"/>
  <c r="G69" i="61"/>
  <c r="I69" i="61" s="1"/>
  <c r="BC195" i="34"/>
  <c r="BC210" i="34"/>
  <c r="BC178" i="34"/>
  <c r="BC182" i="34"/>
  <c r="BC222" i="34"/>
  <c r="BC17" i="34"/>
  <c r="BC47" i="34"/>
  <c r="BC64" i="34"/>
  <c r="BC123" i="34"/>
  <c r="BC124" i="34"/>
  <c r="BC80" i="34"/>
  <c r="BC114" i="34"/>
  <c r="BC28" i="34"/>
  <c r="BC137" i="34"/>
  <c r="BC74" i="34"/>
  <c r="BC39" i="34"/>
  <c r="BC108" i="34"/>
  <c r="BC95" i="34"/>
  <c r="BC116" i="34"/>
  <c r="BC148" i="34"/>
  <c r="AZ9" i="38"/>
  <c r="BA9" i="38"/>
  <c r="G101" i="15"/>
  <c r="G51" i="68"/>
  <c r="G58" i="68"/>
  <c r="G54" i="17"/>
  <c r="G89" i="17"/>
  <c r="G17" i="15"/>
  <c r="G11" i="15"/>
  <c r="G38" i="68"/>
  <c r="G52" i="15"/>
  <c r="G34" i="14"/>
  <c r="G73" i="15"/>
  <c r="G26" i="15"/>
  <c r="G10" i="15"/>
  <c r="G126" i="15"/>
  <c r="G36" i="68"/>
  <c r="G45" i="15"/>
  <c r="G120" i="15"/>
  <c r="G76" i="68"/>
  <c r="G18" i="17"/>
  <c r="G71" i="68"/>
  <c r="G23" i="17"/>
  <c r="G76" i="15"/>
  <c r="G57" i="15"/>
  <c r="G77" i="17"/>
  <c r="G70" i="68"/>
  <c r="G45" i="17"/>
  <c r="G22" i="14"/>
  <c r="G91" i="68"/>
  <c r="G35" i="15"/>
  <c r="G24" i="15"/>
  <c r="G31" i="68"/>
  <c r="G32" i="68"/>
  <c r="G48" i="17"/>
  <c r="G77" i="68"/>
  <c r="G79" i="17"/>
  <c r="G127" i="15"/>
  <c r="G61" i="68"/>
  <c r="G115" i="15"/>
  <c r="G19" i="15"/>
  <c r="G13" i="15"/>
  <c r="G113" i="15"/>
  <c r="G92" i="68"/>
  <c r="G16" i="14"/>
  <c r="G18" i="15"/>
  <c r="G62" i="15"/>
  <c r="G86" i="17"/>
  <c r="G123" i="15"/>
  <c r="G73" i="17"/>
  <c r="G26" i="14"/>
  <c r="G78" i="17"/>
  <c r="G69" i="17"/>
  <c r="G20" i="17"/>
  <c r="G70" i="17"/>
  <c r="G74" i="68"/>
  <c r="G25" i="17"/>
  <c r="G53" i="68"/>
  <c r="G24" i="17"/>
  <c r="G92" i="15"/>
  <c r="G83" i="15"/>
  <c r="G30" i="68"/>
  <c r="G100" i="15"/>
  <c r="G26" i="68"/>
  <c r="G135" i="15"/>
  <c r="G56" i="15"/>
  <c r="G65" i="17"/>
  <c r="G12" i="15"/>
  <c r="G59" i="15"/>
  <c r="G16" i="17"/>
  <c r="G80" i="68"/>
  <c r="G14" i="15"/>
  <c r="G39" i="68"/>
  <c r="G55" i="17"/>
  <c r="G40" i="68"/>
  <c r="G52" i="68"/>
  <c r="G87" i="15"/>
  <c r="G66" i="15"/>
  <c r="G28" i="17"/>
  <c r="G90" i="68"/>
  <c r="G37" i="15"/>
  <c r="G27" i="68"/>
  <c r="G49" i="15"/>
  <c r="G54" i="68"/>
  <c r="G93" i="15"/>
  <c r="G68" i="15"/>
  <c r="G136" i="15"/>
  <c r="G42" i="15"/>
  <c r="G47" i="68"/>
  <c r="G41" i="68"/>
  <c r="G64" i="68"/>
  <c r="G54" i="15"/>
  <c r="G66" i="17"/>
  <c r="G63" i="17"/>
  <c r="G67" i="15"/>
  <c r="G61" i="17"/>
  <c r="G71" i="15"/>
  <c r="G117" i="15"/>
  <c r="G74" i="17"/>
  <c r="G21" i="68"/>
  <c r="G65" i="15"/>
  <c r="G14" i="17"/>
  <c r="G35" i="14"/>
  <c r="G19" i="17"/>
  <c r="G37" i="14"/>
  <c r="G37" i="68"/>
  <c r="G88" i="68"/>
  <c r="G89" i="68"/>
  <c r="G59" i="17"/>
  <c r="G110" i="15"/>
  <c r="G43" i="17"/>
  <c r="G119" i="15"/>
  <c r="G62" i="68"/>
  <c r="G86" i="68"/>
  <c r="G67" i="68"/>
  <c r="G81" i="68"/>
  <c r="G72" i="68"/>
  <c r="G53" i="15"/>
  <c r="G97" i="15"/>
  <c r="G44" i="15"/>
  <c r="G34" i="68"/>
  <c r="G114" i="15"/>
  <c r="G22" i="15"/>
  <c r="G107" i="15"/>
  <c r="G31" i="17"/>
  <c r="G15" i="14"/>
  <c r="G50" i="68"/>
  <c r="G108" i="15"/>
  <c r="G46" i="17"/>
  <c r="G23" i="15"/>
  <c r="G13" i="68"/>
  <c r="G76" i="17"/>
  <c r="G132" i="15"/>
  <c r="G32" i="17"/>
  <c r="G144" i="15"/>
  <c r="G13" i="17"/>
  <c r="G24" i="14"/>
  <c r="G111" i="15"/>
  <c r="G47" i="15"/>
  <c r="G85" i="68"/>
  <c r="G59" i="68"/>
  <c r="G20" i="15"/>
  <c r="G79" i="68"/>
  <c r="G16" i="15"/>
  <c r="G33" i="17"/>
  <c r="G47" i="17"/>
  <c r="G98" i="15"/>
  <c r="G82" i="17"/>
  <c r="G85" i="17"/>
  <c r="G124" i="15"/>
  <c r="G89" i="15"/>
  <c r="G39" i="15"/>
  <c r="G41" i="15"/>
  <c r="G30" i="15"/>
  <c r="G24" i="68"/>
  <c r="G17" i="14"/>
  <c r="G31" i="15"/>
  <c r="G30" i="17"/>
  <c r="Z8" i="29"/>
  <c r="AE8" i="29" s="1"/>
  <c r="G65" i="68"/>
  <c r="G122" i="15"/>
  <c r="G105" i="15"/>
  <c r="G15" i="68"/>
  <c r="G29" i="17"/>
  <c r="G43" i="15"/>
  <c r="G46" i="68"/>
  <c r="G40" i="17"/>
  <c r="G33" i="68"/>
  <c r="G87" i="68"/>
  <c r="G55" i="68"/>
  <c r="G80" i="17"/>
  <c r="G141" i="15"/>
  <c r="G78" i="68"/>
  <c r="G18" i="14"/>
  <c r="G92" i="17"/>
  <c r="G125" i="15"/>
  <c r="G45" i="68"/>
  <c r="G84" i="68"/>
  <c r="G60" i="15"/>
  <c r="G75" i="68"/>
  <c r="G21" i="14"/>
  <c r="G118" i="15"/>
  <c r="G48" i="68"/>
  <c r="G14" i="68"/>
  <c r="G22" i="68"/>
  <c r="G66" i="68"/>
  <c r="G85" i="15"/>
  <c r="G64" i="17"/>
  <c r="G116" i="15"/>
  <c r="G52" i="17"/>
  <c r="G67" i="17"/>
  <c r="G93" i="68"/>
  <c r="G15" i="15"/>
  <c r="G112" i="15"/>
  <c r="G42" i="17"/>
  <c r="G27" i="17"/>
  <c r="G94" i="15"/>
  <c r="G72" i="15"/>
  <c r="G56" i="68"/>
  <c r="G23" i="68"/>
  <c r="G50" i="15"/>
  <c r="Z6" i="29"/>
  <c r="G58" i="17"/>
  <c r="G75" i="15"/>
  <c r="G131" i="15"/>
  <c r="G42" i="68"/>
  <c r="G19" i="14"/>
  <c r="G106" i="15"/>
  <c r="G63" i="15"/>
  <c r="G142" i="15"/>
  <c r="G84" i="15"/>
  <c r="G137" i="15"/>
  <c r="G128" i="15"/>
  <c r="G25" i="15"/>
  <c r="G57" i="68"/>
  <c r="G28" i="68"/>
  <c r="G40" i="14"/>
  <c r="G57" i="17"/>
  <c r="G140" i="15"/>
  <c r="G82" i="68"/>
  <c r="G27" i="15"/>
  <c r="G39" i="14"/>
  <c r="G19" i="68"/>
  <c r="G21" i="15"/>
  <c r="G109" i="15"/>
  <c r="G84" i="17"/>
  <c r="G96" i="15"/>
  <c r="G93" i="17"/>
  <c r="G133" i="15"/>
  <c r="G16" i="68"/>
  <c r="G44" i="68"/>
  <c r="G74" i="15"/>
  <c r="G138" i="15"/>
  <c r="G49" i="17"/>
  <c r="G49" i="68"/>
  <c r="G104" i="15"/>
  <c r="G60" i="68"/>
  <c r="G28" i="15"/>
  <c r="G36" i="15"/>
  <c r="G29" i="68"/>
  <c r="G134" i="15"/>
  <c r="G29" i="15"/>
  <c r="G90" i="15"/>
  <c r="G88" i="15"/>
  <c r="G61" i="15"/>
  <c r="G62" i="17"/>
  <c r="G25" i="14"/>
  <c r="G83" i="68"/>
  <c r="G68" i="17"/>
  <c r="G18" i="68"/>
  <c r="G82" i="15"/>
  <c r="G73" i="68"/>
  <c r="G64" i="15"/>
  <c r="G34" i="17"/>
  <c r="G58" i="15"/>
  <c r="G22" i="17"/>
  <c r="G72" i="17"/>
  <c r="G20" i="68"/>
  <c r="G99" i="15"/>
  <c r="G139" i="15"/>
  <c r="G91" i="17"/>
  <c r="G26" i="17"/>
  <c r="G32" i="15"/>
  <c r="G33" i="15"/>
  <c r="G103" i="15"/>
  <c r="G35" i="17"/>
  <c r="G81" i="17"/>
  <c r="G75" i="17"/>
  <c r="G56" i="17"/>
  <c r="G21" i="17"/>
  <c r="G60" i="17"/>
  <c r="G36" i="17"/>
  <c r="G38" i="14"/>
  <c r="G38" i="15"/>
  <c r="G90" i="17"/>
  <c r="G83" i="17"/>
  <c r="G25" i="68"/>
  <c r="G69" i="15"/>
  <c r="G28" i="14"/>
  <c r="G17" i="17"/>
  <c r="G87" i="17"/>
  <c r="G20" i="14"/>
  <c r="G27" i="14"/>
  <c r="G43" i="68"/>
  <c r="G55" i="15"/>
  <c r="G91" i="15"/>
  <c r="G48" i="15"/>
  <c r="G102" i="15"/>
  <c r="G51" i="17"/>
  <c r="G17" i="68"/>
  <c r="G23" i="14"/>
  <c r="G38" i="17"/>
  <c r="G9" i="15"/>
  <c r="G53" i="17"/>
  <c r="G51" i="15"/>
  <c r="G68" i="68"/>
  <c r="G35" i="68"/>
  <c r="G63" i="68"/>
  <c r="G15" i="17"/>
  <c r="G69" i="68"/>
  <c r="G39" i="17"/>
  <c r="G121" i="15"/>
  <c r="G46" i="15"/>
  <c r="G36" i="14"/>
  <c r="G70" i="15"/>
  <c r="G40" i="15"/>
  <c r="G50" i="17"/>
  <c r="G143" i="15"/>
  <c r="G44" i="17"/>
  <c r="G34" i="15"/>
  <c r="G86" i="15"/>
  <c r="G130" i="15"/>
  <c r="G71" i="17"/>
  <c r="G129" i="15"/>
  <c r="G37" i="17"/>
  <c r="G88" i="17"/>
  <c r="G41" i="17"/>
  <c r="G95" i="15"/>
  <c r="Z9" i="29"/>
  <c r="AE9" i="29" s="1"/>
  <c r="G63" i="61"/>
  <c r="I63" i="61" s="1"/>
  <c r="I62" i="61"/>
  <c r="BC180" i="34"/>
  <c r="BC228" i="34"/>
  <c r="BC197" i="34"/>
  <c r="BC232" i="34"/>
  <c r="BC166" i="34"/>
  <c r="BC48" i="34"/>
  <c r="BC29" i="34"/>
  <c r="BC57" i="34"/>
  <c r="BC134" i="34"/>
  <c r="AZ4" i="34"/>
  <c r="AX4" i="34"/>
  <c r="AX2" i="34" s="1"/>
  <c r="AU4" i="34"/>
  <c r="BC227" i="34"/>
  <c r="BC235" i="34"/>
  <c r="BC206" i="34"/>
  <c r="BC165" i="34"/>
  <c r="BC27" i="34"/>
  <c r="BC40" i="34"/>
  <c r="BC136" i="34"/>
  <c r="BC19" i="34"/>
  <c r="BC22" i="34"/>
  <c r="BC160" i="34"/>
  <c r="BC150" i="34"/>
  <c r="BC121" i="34"/>
  <c r="BC144" i="34"/>
  <c r="AZ10" i="38"/>
  <c r="BA10" i="38"/>
  <c r="I60" i="14"/>
  <c r="F30" i="4"/>
  <c r="G30" i="4" s="1"/>
  <c r="G32" i="4" s="1"/>
  <c r="G61" i="14"/>
  <c r="I61" i="14" s="1"/>
  <c r="BC187" i="34"/>
  <c r="BC190" i="34"/>
  <c r="BC225" i="34"/>
  <c r="BC205" i="34"/>
  <c r="BC246" i="34"/>
  <c r="BC133" i="34"/>
  <c r="BC65" i="34"/>
  <c r="BC163" i="34"/>
  <c r="BC41" i="34"/>
  <c r="BC153" i="34"/>
  <c r="BC91" i="34"/>
  <c r="BC97" i="34"/>
  <c r="BC82" i="34"/>
  <c r="BC71" i="34"/>
  <c r="BC167" i="34"/>
  <c r="BC145" i="34"/>
  <c r="BC20" i="34"/>
  <c r="BC174" i="34"/>
  <c r="BC245" i="34"/>
  <c r="BC188" i="34"/>
  <c r="BC90" i="34"/>
  <c r="BC126" i="34"/>
  <c r="BC78" i="34"/>
  <c r="BC79" i="34"/>
  <c r="BC131" i="34"/>
  <c r="BC107" i="34"/>
  <c r="BC159" i="34"/>
  <c r="BC93" i="34"/>
  <c r="BC102" i="34"/>
  <c r="BC147" i="34"/>
  <c r="BC36" i="34"/>
  <c r="M15" i="67"/>
  <c r="J65" i="67"/>
  <c r="J43" i="2"/>
  <c r="J51" i="2" s="1"/>
  <c r="J47" i="2"/>
  <c r="G61" i="61"/>
  <c r="I61" i="61" s="1"/>
  <c r="I60" i="61"/>
  <c r="I65" i="61" s="1"/>
  <c r="I11" i="13" s="1"/>
  <c r="BC243" i="34"/>
  <c r="BC220" i="34"/>
  <c r="BC215" i="34"/>
  <c r="BC173" i="34"/>
  <c r="BC218" i="34"/>
  <c r="BC198" i="34"/>
  <c r="BC77" i="34"/>
  <c r="BC149" i="34"/>
  <c r="BC151" i="34"/>
  <c r="BC100" i="34"/>
  <c r="BC98" i="34"/>
  <c r="BC68" i="34"/>
  <c r="BC120" i="34"/>
  <c r="BC46" i="34"/>
  <c r="BC135" i="34"/>
  <c r="BC128" i="34"/>
  <c r="BC142" i="34"/>
  <c r="BC89" i="34"/>
  <c r="BC156" i="34"/>
  <c r="G18" i="61"/>
  <c r="G15" i="61"/>
  <c r="G20" i="61"/>
  <c r="G19" i="61"/>
  <c r="G36" i="61"/>
  <c r="G27" i="61"/>
  <c r="G16" i="61"/>
  <c r="G1" i="66"/>
  <c r="G17" i="61"/>
  <c r="G28" i="61"/>
  <c r="G21" i="61"/>
  <c r="G26" i="61"/>
  <c r="G37" i="61"/>
  <c r="G34" i="61"/>
  <c r="G38" i="61"/>
  <c r="G22" i="61"/>
  <c r="G23" i="61"/>
  <c r="G25" i="61"/>
  <c r="G35" i="61"/>
  <c r="G24" i="61"/>
  <c r="BC211" i="34"/>
  <c r="BC191" i="34"/>
  <c r="BC208" i="34"/>
  <c r="BC202" i="34"/>
  <c r="BC177" i="34"/>
  <c r="BC251" i="34"/>
  <c r="BC193" i="34"/>
  <c r="AU9" i="34"/>
  <c r="BC249" i="34"/>
  <c r="BC117" i="34"/>
  <c r="BC49" i="34"/>
  <c r="BC127" i="34"/>
  <c r="BC76" i="34"/>
  <c r="BC58" i="34"/>
  <c r="AZ9" i="36"/>
  <c r="BA9" i="36"/>
  <c r="BC185" i="34"/>
  <c r="BC179" i="34"/>
  <c r="BC236" i="34"/>
  <c r="BC233" i="34"/>
  <c r="BC221" i="34"/>
  <c r="BC67" i="34"/>
  <c r="BC164" i="34"/>
  <c r="BC53" i="34"/>
  <c r="BC96" i="34"/>
  <c r="BC157" i="34"/>
  <c r="BC85" i="34"/>
  <c r="BC87" i="34"/>
  <c r="BC234" i="34"/>
  <c r="BC231" i="34"/>
  <c r="BC224" i="34"/>
  <c r="BC192" i="34"/>
  <c r="BC209" i="34"/>
  <c r="BC200" i="34"/>
  <c r="BC204" i="34"/>
  <c r="BC63" i="34"/>
  <c r="BC86" i="34"/>
  <c r="BC81" i="34"/>
  <c r="BC69" i="34"/>
  <c r="BC154" i="34"/>
  <c r="BC130" i="34"/>
  <c r="BC132" i="34"/>
  <c r="AU168" i="34"/>
  <c r="BC106" i="34"/>
  <c r="G71" i="14"/>
  <c r="I71" i="14" s="1"/>
  <c r="I70" i="14"/>
  <c r="BC226" i="34"/>
  <c r="BC216" i="34"/>
  <c r="BC217" i="34"/>
  <c r="BC207" i="34"/>
  <c r="BC175" i="34"/>
  <c r="BC241" i="34"/>
  <c r="BC244" i="34"/>
  <c r="BC109" i="34"/>
  <c r="BC45" i="34"/>
  <c r="BC59" i="34"/>
  <c r="BC55" i="34"/>
  <c r="BC155" i="34"/>
  <c r="BC38" i="34"/>
  <c r="BC13" i="34"/>
  <c r="BC143" i="34"/>
  <c r="BC72" i="34"/>
  <c r="BC146" i="34"/>
  <c r="BC44" i="34"/>
  <c r="BC24" i="34"/>
  <c r="AU2" i="36"/>
  <c r="BC212" i="34"/>
  <c r="BC213" i="34"/>
  <c r="BC223" i="34"/>
  <c r="BC15" i="34"/>
  <c r="BC122" i="34"/>
  <c r="BC66" i="34"/>
  <c r="BC129" i="34"/>
  <c r="BC84" i="34"/>
  <c r="BC54" i="34"/>
  <c r="BC125" i="34"/>
  <c r="BC61" i="34"/>
  <c r="BC141" i="34"/>
  <c r="BC56" i="34"/>
  <c r="BC18" i="34"/>
  <c r="BC161" i="34"/>
  <c r="BC92" i="34"/>
  <c r="BC35" i="34"/>
  <c r="BC103" i="34" s="1"/>
  <c r="AU7" i="34"/>
  <c r="AU103" i="34"/>
  <c r="BC168" i="34" l="1"/>
  <c r="J35" i="61"/>
  <c r="F35" i="61"/>
  <c r="I35" i="61" s="1"/>
  <c r="F38" i="61"/>
  <c r="I38" i="61" s="1"/>
  <c r="G39" i="61"/>
  <c r="J38" i="61"/>
  <c r="G40" i="61"/>
  <c r="F21" i="61"/>
  <c r="I21" i="61" s="1"/>
  <c r="J21" i="61"/>
  <c r="F16" i="61"/>
  <c r="I16" i="61" s="1"/>
  <c r="J16" i="61"/>
  <c r="J20" i="61"/>
  <c r="F20" i="61"/>
  <c r="I20" i="61" s="1"/>
  <c r="L95" i="15"/>
  <c r="F95" i="15"/>
  <c r="I95" i="15" s="1"/>
  <c r="AY119" i="34"/>
  <c r="AZ119" i="34" s="1"/>
  <c r="BD119" i="34" s="1"/>
  <c r="F129" i="15"/>
  <c r="I129" i="15" s="1"/>
  <c r="L129" i="15"/>
  <c r="AY153" i="34"/>
  <c r="F34" i="15"/>
  <c r="I34" i="15" s="1"/>
  <c r="L34" i="15"/>
  <c r="AY60" i="34"/>
  <c r="L40" i="15"/>
  <c r="AY66" i="34"/>
  <c r="F40" i="15"/>
  <c r="I40" i="15" s="1"/>
  <c r="L121" i="15"/>
  <c r="F121" i="15"/>
  <c r="I121" i="15" s="1"/>
  <c r="AY145" i="34"/>
  <c r="N63" i="68"/>
  <c r="O63" i="68"/>
  <c r="F63" i="68"/>
  <c r="N53" i="17"/>
  <c r="AY211" i="34"/>
  <c r="O53" i="17"/>
  <c r="F53" i="17"/>
  <c r="F17" i="68"/>
  <c r="N17" i="68"/>
  <c r="O17" i="68"/>
  <c r="L91" i="15"/>
  <c r="F91" i="15"/>
  <c r="I91" i="15" s="1"/>
  <c r="AY115" i="34"/>
  <c r="AZ115" i="34" s="1"/>
  <c r="BD115" i="34" s="1"/>
  <c r="J20" i="14"/>
  <c r="AY17" i="34"/>
  <c r="F20" i="14"/>
  <c r="I20" i="14" s="1"/>
  <c r="AY95" i="34"/>
  <c r="L69" i="15"/>
  <c r="F69" i="15"/>
  <c r="I69" i="15" s="1"/>
  <c r="AY64" i="34"/>
  <c r="L38" i="15"/>
  <c r="F38" i="15"/>
  <c r="I38" i="15" s="1"/>
  <c r="O21" i="17"/>
  <c r="AY179" i="34"/>
  <c r="F21" i="17"/>
  <c r="N21" i="17"/>
  <c r="O35" i="17"/>
  <c r="F35" i="17"/>
  <c r="N35" i="17"/>
  <c r="AY193" i="34"/>
  <c r="AZ193" i="34" s="1"/>
  <c r="BD193" i="34" s="1"/>
  <c r="N26" i="17"/>
  <c r="F26" i="17"/>
  <c r="O26" i="17"/>
  <c r="AY184" i="34"/>
  <c r="O20" i="68"/>
  <c r="N20" i="68"/>
  <c r="F20" i="68"/>
  <c r="O34" i="17"/>
  <c r="N34" i="17"/>
  <c r="F34" i="17"/>
  <c r="AY192" i="34"/>
  <c r="O18" i="68"/>
  <c r="N18" i="68"/>
  <c r="F18" i="68"/>
  <c r="N62" i="17"/>
  <c r="AY220" i="34"/>
  <c r="F62" i="17"/>
  <c r="O62" i="17"/>
  <c r="L29" i="15"/>
  <c r="AY55" i="34"/>
  <c r="F29" i="15"/>
  <c r="I29" i="15" s="1"/>
  <c r="L28" i="15"/>
  <c r="F28" i="15"/>
  <c r="I28" i="15" s="1"/>
  <c r="AY54" i="34"/>
  <c r="N49" i="17"/>
  <c r="F49" i="17"/>
  <c r="AY207" i="34"/>
  <c r="O16" i="68"/>
  <c r="N16" i="68"/>
  <c r="F16" i="68"/>
  <c r="AY242" i="34"/>
  <c r="F84" i="17"/>
  <c r="N84" i="17"/>
  <c r="J39" i="14"/>
  <c r="AY31" i="34"/>
  <c r="F39" i="14"/>
  <c r="I39" i="14" s="1"/>
  <c r="O57" i="17"/>
  <c r="N57" i="17"/>
  <c r="AY215" i="34"/>
  <c r="F57" i="17"/>
  <c r="AY51" i="34"/>
  <c r="AZ51" i="34" s="1"/>
  <c r="BD51" i="34" s="1"/>
  <c r="F25" i="15"/>
  <c r="I25" i="15" s="1"/>
  <c r="L25" i="15"/>
  <c r="L142" i="15"/>
  <c r="F142" i="15"/>
  <c r="I142" i="15" s="1"/>
  <c r="AY166" i="34"/>
  <c r="F42" i="68"/>
  <c r="N42" i="68"/>
  <c r="O42" i="68"/>
  <c r="Z15" i="29"/>
  <c r="AE6" i="29"/>
  <c r="AE15" i="29" s="1"/>
  <c r="AE43" i="29"/>
  <c r="AE45" i="29" s="1"/>
  <c r="AE51" i="29" s="1"/>
  <c r="AY98" i="34"/>
  <c r="L72" i="15"/>
  <c r="F72" i="15"/>
  <c r="I72" i="15" s="1"/>
  <c r="AY136" i="34"/>
  <c r="L112" i="15"/>
  <c r="F112" i="15"/>
  <c r="I112" i="15" s="1"/>
  <c r="AY210" i="34"/>
  <c r="O52" i="17"/>
  <c r="N52" i="17"/>
  <c r="F52" i="17"/>
  <c r="O66" i="68"/>
  <c r="F66" i="68"/>
  <c r="N66" i="68"/>
  <c r="AY142" i="34"/>
  <c r="F118" i="15"/>
  <c r="I118" i="15" s="1"/>
  <c r="L118" i="15"/>
  <c r="N84" i="68"/>
  <c r="F84" i="68"/>
  <c r="J18" i="14"/>
  <c r="F18" i="14"/>
  <c r="I18" i="14" s="1"/>
  <c r="AY15" i="34"/>
  <c r="N55" i="68"/>
  <c r="F55" i="68"/>
  <c r="O46" i="68"/>
  <c r="N46" i="68"/>
  <c r="F46" i="68"/>
  <c r="AY129" i="34"/>
  <c r="AZ129" i="34" s="1"/>
  <c r="BD129" i="34" s="1"/>
  <c r="L105" i="15"/>
  <c r="F105" i="15"/>
  <c r="I105" i="15" s="1"/>
  <c r="F30" i="17"/>
  <c r="O30" i="17"/>
  <c r="N30" i="17"/>
  <c r="AY188" i="34"/>
  <c r="L30" i="15"/>
  <c r="F30" i="15"/>
  <c r="I30" i="15" s="1"/>
  <c r="AY56" i="34"/>
  <c r="F124" i="15"/>
  <c r="I124" i="15" s="1"/>
  <c r="AY148" i="34"/>
  <c r="L124" i="15"/>
  <c r="F47" i="17"/>
  <c r="O47" i="17"/>
  <c r="AY205" i="34"/>
  <c r="N47" i="17"/>
  <c r="AY46" i="34"/>
  <c r="L20" i="15"/>
  <c r="F20" i="15"/>
  <c r="I20" i="15" s="1"/>
  <c r="L111" i="15"/>
  <c r="AY135" i="34"/>
  <c r="AZ135" i="34" s="1"/>
  <c r="BD135" i="34" s="1"/>
  <c r="F111" i="15"/>
  <c r="I111" i="15" s="1"/>
  <c r="N32" i="17"/>
  <c r="F32" i="17"/>
  <c r="O32" i="17"/>
  <c r="AY190" i="34"/>
  <c r="AZ190" i="34" s="1"/>
  <c r="BD190" i="34" s="1"/>
  <c r="F23" i="15"/>
  <c r="I23" i="15" s="1"/>
  <c r="L23" i="15"/>
  <c r="AY49" i="34"/>
  <c r="AZ49" i="34" s="1"/>
  <c r="BD49" i="34" s="1"/>
  <c r="J15" i="14"/>
  <c r="AY12" i="34"/>
  <c r="F15" i="14"/>
  <c r="AY138" i="34"/>
  <c r="L114" i="15"/>
  <c r="F114" i="15"/>
  <c r="I114" i="15" s="1"/>
  <c r="AY79" i="34"/>
  <c r="L53" i="15"/>
  <c r="F53" i="15"/>
  <c r="I53" i="15" s="1"/>
  <c r="N86" i="68"/>
  <c r="F86" i="68"/>
  <c r="AY134" i="34"/>
  <c r="F110" i="15"/>
  <c r="I110" i="15" s="1"/>
  <c r="L110" i="15"/>
  <c r="N37" i="68"/>
  <c r="F37" i="68"/>
  <c r="AY172" i="34"/>
  <c r="F14" i="17"/>
  <c r="N14" i="17"/>
  <c r="O14" i="17"/>
  <c r="L117" i="15"/>
  <c r="F117" i="15"/>
  <c r="I117" i="15" s="1"/>
  <c r="AY141" i="34"/>
  <c r="F63" i="17"/>
  <c r="N63" i="17"/>
  <c r="AY221" i="34"/>
  <c r="O63" i="17"/>
  <c r="O41" i="68"/>
  <c r="F41" i="68"/>
  <c r="N41" i="68"/>
  <c r="AY94" i="34"/>
  <c r="L68" i="15"/>
  <c r="F68" i="15"/>
  <c r="I68" i="15" s="1"/>
  <c r="F27" i="68"/>
  <c r="O27" i="68"/>
  <c r="N27" i="68"/>
  <c r="F66" i="15"/>
  <c r="I66" i="15" s="1"/>
  <c r="AY92" i="34"/>
  <c r="L66" i="15"/>
  <c r="F55" i="17"/>
  <c r="AY213" i="34"/>
  <c r="N55" i="17"/>
  <c r="O16" i="17"/>
  <c r="F16" i="17"/>
  <c r="N16" i="17"/>
  <c r="AY174" i="34"/>
  <c r="L56" i="15"/>
  <c r="AY82" i="34"/>
  <c r="F56" i="15"/>
  <c r="I56" i="15" s="1"/>
  <c r="N30" i="68"/>
  <c r="F30" i="68"/>
  <c r="O30" i="68"/>
  <c r="F53" i="68"/>
  <c r="O53" i="68"/>
  <c r="N53" i="68"/>
  <c r="F20" i="17"/>
  <c r="N20" i="17"/>
  <c r="AY178" i="34"/>
  <c r="AZ178" i="34" s="1"/>
  <c r="BD178" i="34" s="1"/>
  <c r="O20" i="17"/>
  <c r="F73" i="17"/>
  <c r="AY231" i="34"/>
  <c r="N73" i="17"/>
  <c r="L18" i="15"/>
  <c r="AY44" i="34"/>
  <c r="F18" i="15"/>
  <c r="I18" i="15" s="1"/>
  <c r="F13" i="15"/>
  <c r="I13" i="15" s="1"/>
  <c r="L13" i="15"/>
  <c r="AY39" i="34"/>
  <c r="L127" i="15"/>
  <c r="AY151" i="34"/>
  <c r="F127" i="15"/>
  <c r="I127" i="15" s="1"/>
  <c r="N32" i="68"/>
  <c r="O32" i="68"/>
  <c r="F32" i="68"/>
  <c r="N91" i="68"/>
  <c r="F91" i="68"/>
  <c r="O77" i="17"/>
  <c r="N77" i="17"/>
  <c r="F77" i="17"/>
  <c r="AY235" i="34"/>
  <c r="F71" i="68"/>
  <c r="N71" i="68"/>
  <c r="O71" i="68"/>
  <c r="F45" i="15"/>
  <c r="I45" i="15" s="1"/>
  <c r="AY71" i="34"/>
  <c r="L45" i="15"/>
  <c r="L26" i="15"/>
  <c r="AY52" i="34"/>
  <c r="AZ52" i="34" s="1"/>
  <c r="BD52" i="34" s="1"/>
  <c r="F26" i="15"/>
  <c r="I26" i="15" s="1"/>
  <c r="F38" i="68"/>
  <c r="O38" i="68"/>
  <c r="N38" i="68"/>
  <c r="F54" i="17"/>
  <c r="AY212" i="34"/>
  <c r="N54" i="17"/>
  <c r="O54" i="17"/>
  <c r="BC252" i="34"/>
  <c r="J25" i="61"/>
  <c r="F25" i="61"/>
  <c r="I25" i="61" s="1"/>
  <c r="J34" i="61"/>
  <c r="F34" i="61"/>
  <c r="I34" i="61" s="1"/>
  <c r="J28" i="61"/>
  <c r="F28" i="61"/>
  <c r="I28" i="61" s="1"/>
  <c r="J27" i="61"/>
  <c r="F27" i="61"/>
  <c r="I27" i="61" s="1"/>
  <c r="F15" i="61"/>
  <c r="J15" i="61"/>
  <c r="L11" i="13"/>
  <c r="M11" i="13" s="1"/>
  <c r="J11" i="13"/>
  <c r="M65" i="67"/>
  <c r="J66" i="67"/>
  <c r="N41" i="17"/>
  <c r="O41" i="17"/>
  <c r="AY199" i="34"/>
  <c r="F41" i="17"/>
  <c r="O71" i="17"/>
  <c r="F71" i="17"/>
  <c r="AY229" i="34"/>
  <c r="AZ229" i="34" s="1"/>
  <c r="BD229" i="34" s="1"/>
  <c r="N71" i="17"/>
  <c r="O44" i="17"/>
  <c r="F44" i="17"/>
  <c r="N44" i="17"/>
  <c r="AY202" i="34"/>
  <c r="F70" i="15"/>
  <c r="I70" i="15" s="1"/>
  <c r="AY96" i="34"/>
  <c r="AZ96" i="34" s="1"/>
  <c r="BD96" i="34" s="1"/>
  <c r="L70" i="15"/>
  <c r="O39" i="17"/>
  <c r="F39" i="17"/>
  <c r="N39" i="17"/>
  <c r="AY197" i="34"/>
  <c r="F35" i="68"/>
  <c r="O35" i="68"/>
  <c r="N35" i="68"/>
  <c r="L9" i="15"/>
  <c r="F9" i="15"/>
  <c r="AY35" i="34"/>
  <c r="N51" i="17"/>
  <c r="F51" i="17"/>
  <c r="AY209" i="34"/>
  <c r="O51" i="17"/>
  <c r="AY81" i="34"/>
  <c r="L55" i="15"/>
  <c r="F55" i="15"/>
  <c r="I55" i="15" s="1"/>
  <c r="F87" i="17"/>
  <c r="AY245" i="34"/>
  <c r="N87" i="17"/>
  <c r="N25" i="68"/>
  <c r="F25" i="68"/>
  <c r="J38" i="14"/>
  <c r="F38" i="14"/>
  <c r="I38" i="14" s="1"/>
  <c r="AY30" i="34"/>
  <c r="AY214" i="34"/>
  <c r="F56" i="17"/>
  <c r="N56" i="17"/>
  <c r="O56" i="17"/>
  <c r="L103" i="15"/>
  <c r="F103" i="15"/>
  <c r="I103" i="15" s="1"/>
  <c r="AY127" i="34"/>
  <c r="N91" i="17"/>
  <c r="F91" i="17"/>
  <c r="AY249" i="34"/>
  <c r="N72" i="17"/>
  <c r="F72" i="17"/>
  <c r="AY230" i="34"/>
  <c r="AZ230" i="34" s="1"/>
  <c r="BD230" i="34" s="1"/>
  <c r="O72" i="17"/>
  <c r="L64" i="15"/>
  <c r="AY90" i="34"/>
  <c r="F64" i="15"/>
  <c r="I64" i="15" s="1"/>
  <c r="F68" i="17"/>
  <c r="AY226" i="34"/>
  <c r="AZ226" i="34" s="1"/>
  <c r="BD226" i="34" s="1"/>
  <c r="O68" i="17"/>
  <c r="N68" i="17"/>
  <c r="L61" i="15"/>
  <c r="AY87" i="34"/>
  <c r="F61" i="15"/>
  <c r="I61" i="15" s="1"/>
  <c r="L134" i="15"/>
  <c r="F134" i="15"/>
  <c r="I134" i="15" s="1"/>
  <c r="AY158" i="34"/>
  <c r="N60" i="68"/>
  <c r="F60" i="68"/>
  <c r="O60" i="68"/>
  <c r="L138" i="15"/>
  <c r="AY162" i="34"/>
  <c r="F138" i="15"/>
  <c r="I138" i="15" s="1"/>
  <c r="F133" i="15"/>
  <c r="I133" i="15" s="1"/>
  <c r="L133" i="15"/>
  <c r="AY157" i="34"/>
  <c r="F109" i="15"/>
  <c r="I109" i="15" s="1"/>
  <c r="AY133" i="34"/>
  <c r="L109" i="15"/>
  <c r="F27" i="15"/>
  <c r="I27" i="15" s="1"/>
  <c r="AY53" i="34"/>
  <c r="AZ53" i="34" s="1"/>
  <c r="BD53" i="34" s="1"/>
  <c r="L27" i="15"/>
  <c r="G73" i="14"/>
  <c r="J40" i="14"/>
  <c r="F40" i="14"/>
  <c r="I40" i="14" s="1"/>
  <c r="AY11" i="38"/>
  <c r="F128" i="15"/>
  <c r="I128" i="15" s="1"/>
  <c r="AY152" i="34"/>
  <c r="L128" i="15"/>
  <c r="F63" i="15"/>
  <c r="I63" i="15" s="1"/>
  <c r="L63" i="15"/>
  <c r="AY89" i="34"/>
  <c r="F131" i="15"/>
  <c r="I131" i="15" s="1"/>
  <c r="AY155" i="34"/>
  <c r="L131" i="15"/>
  <c r="AY76" i="34"/>
  <c r="AZ76" i="34" s="1"/>
  <c r="BD76" i="34" s="1"/>
  <c r="L50" i="15"/>
  <c r="F50" i="15"/>
  <c r="I50" i="15" s="1"/>
  <c r="F94" i="15"/>
  <c r="I94" i="15" s="1"/>
  <c r="L94" i="15"/>
  <c r="AY118" i="34"/>
  <c r="AZ118" i="34" s="1"/>
  <c r="BD118" i="34" s="1"/>
  <c r="F15" i="15"/>
  <c r="I15" i="15" s="1"/>
  <c r="AY41" i="34"/>
  <c r="L15" i="15"/>
  <c r="AY140" i="34"/>
  <c r="L116" i="15"/>
  <c r="F116" i="15"/>
  <c r="I116" i="15" s="1"/>
  <c r="F22" i="68"/>
  <c r="O22" i="68"/>
  <c r="N22" i="68"/>
  <c r="AY18" i="34"/>
  <c r="AZ18" i="34" s="1"/>
  <c r="BD18" i="34" s="1"/>
  <c r="J21" i="14"/>
  <c r="F21" i="14"/>
  <c r="I21" i="14" s="1"/>
  <c r="N45" i="68"/>
  <c r="O45" i="68"/>
  <c r="F45" i="68"/>
  <c r="F78" i="68"/>
  <c r="O78" i="68"/>
  <c r="N78" i="68"/>
  <c r="F87" i="68"/>
  <c r="N87" i="68"/>
  <c r="L43" i="15"/>
  <c r="AY69" i="34"/>
  <c r="F43" i="15"/>
  <c r="I43" i="15" s="1"/>
  <c r="F122" i="15"/>
  <c r="I122" i="15" s="1"/>
  <c r="L122" i="15"/>
  <c r="AY146" i="34"/>
  <c r="AZ146" i="34" s="1"/>
  <c r="BD146" i="34" s="1"/>
  <c r="L31" i="15"/>
  <c r="F31" i="15"/>
  <c r="I31" i="15" s="1"/>
  <c r="AY57" i="34"/>
  <c r="AY67" i="34"/>
  <c r="F41" i="15"/>
  <c r="I41" i="15" s="1"/>
  <c r="L41" i="15"/>
  <c r="N85" i="17"/>
  <c r="AY243" i="34"/>
  <c r="F85" i="17"/>
  <c r="N33" i="17"/>
  <c r="F33" i="17"/>
  <c r="AY191" i="34"/>
  <c r="O33" i="17"/>
  <c r="O59" i="68"/>
  <c r="F59" i="68"/>
  <c r="N59" i="68"/>
  <c r="AY21" i="34"/>
  <c r="AZ21" i="34" s="1"/>
  <c r="BD21" i="34" s="1"/>
  <c r="J24" i="14"/>
  <c r="F24" i="14"/>
  <c r="I24" i="14" s="1"/>
  <c r="F132" i="15"/>
  <c r="I132" i="15" s="1"/>
  <c r="L132" i="15"/>
  <c r="AY156" i="34"/>
  <c r="N46" i="17"/>
  <c r="F46" i="17"/>
  <c r="AY204" i="34"/>
  <c r="O46" i="17"/>
  <c r="N31" i="17"/>
  <c r="F31" i="17"/>
  <c r="AY189" i="34"/>
  <c r="O34" i="68"/>
  <c r="N34" i="68"/>
  <c r="F34" i="68"/>
  <c r="F72" i="68"/>
  <c r="N72" i="68"/>
  <c r="O72" i="68"/>
  <c r="N62" i="68"/>
  <c r="O62" i="68"/>
  <c r="F62" i="68"/>
  <c r="O59" i="17"/>
  <c r="AY217" i="34"/>
  <c r="AZ217" i="34" s="1"/>
  <c r="BD217" i="34" s="1"/>
  <c r="F59" i="17"/>
  <c r="N59" i="17"/>
  <c r="J37" i="14"/>
  <c r="F37" i="14"/>
  <c r="I37" i="14" s="1"/>
  <c r="AY29" i="34"/>
  <c r="AY91" i="34"/>
  <c r="L65" i="15"/>
  <c r="F65" i="15"/>
  <c r="I65" i="15" s="1"/>
  <c r="AY97" i="34"/>
  <c r="L71" i="15"/>
  <c r="F71" i="15"/>
  <c r="I71" i="15" s="1"/>
  <c r="AY224" i="34"/>
  <c r="F66" i="17"/>
  <c r="N66" i="17"/>
  <c r="O66" i="17"/>
  <c r="F47" i="68"/>
  <c r="O47" i="68"/>
  <c r="N47" i="68"/>
  <c r="AY117" i="34"/>
  <c r="AZ117" i="34" s="1"/>
  <c r="BD117" i="34" s="1"/>
  <c r="L93" i="15"/>
  <c r="F93" i="15"/>
  <c r="I93" i="15" s="1"/>
  <c r="L37" i="15"/>
  <c r="AY63" i="34"/>
  <c r="F37" i="15"/>
  <c r="I37" i="15" s="1"/>
  <c r="F87" i="15"/>
  <c r="I87" i="15" s="1"/>
  <c r="L87" i="15"/>
  <c r="AY111" i="34"/>
  <c r="N39" i="68"/>
  <c r="F39" i="68"/>
  <c r="O39" i="68"/>
  <c r="L59" i="15"/>
  <c r="AY85" i="34"/>
  <c r="F59" i="15"/>
  <c r="I59" i="15" s="1"/>
  <c r="AY159" i="34"/>
  <c r="F135" i="15"/>
  <c r="I135" i="15" s="1"/>
  <c r="L135" i="15"/>
  <c r="F83" i="15"/>
  <c r="I83" i="15" s="1"/>
  <c r="AY107" i="34"/>
  <c r="L83" i="15"/>
  <c r="AY183" i="34"/>
  <c r="F25" i="17"/>
  <c r="N25" i="17"/>
  <c r="AY227" i="34"/>
  <c r="O69" i="17"/>
  <c r="N69" i="17"/>
  <c r="F69" i="17"/>
  <c r="L123" i="15"/>
  <c r="AY147" i="34"/>
  <c r="F123" i="15"/>
  <c r="I123" i="15" s="1"/>
  <c r="AY13" i="34"/>
  <c r="J16" i="14"/>
  <c r="F16" i="14"/>
  <c r="I16" i="14" s="1"/>
  <c r="L19" i="15"/>
  <c r="AY45" i="34"/>
  <c r="F19" i="15"/>
  <c r="I19" i="15" s="1"/>
  <c r="AY237" i="34"/>
  <c r="F79" i="17"/>
  <c r="N79" i="17"/>
  <c r="F31" i="68"/>
  <c r="N31" i="68"/>
  <c r="J22" i="14"/>
  <c r="AY19" i="34"/>
  <c r="AZ19" i="34" s="1"/>
  <c r="BD19" i="34" s="1"/>
  <c r="F22" i="14"/>
  <c r="I22" i="14" s="1"/>
  <c r="L57" i="15"/>
  <c r="AY83" i="34"/>
  <c r="F57" i="15"/>
  <c r="I57" i="15" s="1"/>
  <c r="AY176" i="34"/>
  <c r="F18" i="17"/>
  <c r="O18" i="17"/>
  <c r="N18" i="17"/>
  <c r="O36" i="68"/>
  <c r="N36" i="68"/>
  <c r="F36" i="68"/>
  <c r="AY99" i="34"/>
  <c r="F73" i="15"/>
  <c r="I73" i="15" s="1"/>
  <c r="L73" i="15"/>
  <c r="AY37" i="34"/>
  <c r="L11" i="15"/>
  <c r="F11" i="15"/>
  <c r="I11" i="15" s="1"/>
  <c r="F58" i="68"/>
  <c r="N58" i="68"/>
  <c r="O58" i="68"/>
  <c r="AU5" i="34"/>
  <c r="AU2" i="34" s="1"/>
  <c r="J23" i="61"/>
  <c r="F23" i="61"/>
  <c r="I23" i="61" s="1"/>
  <c r="J37" i="61"/>
  <c r="F37" i="61"/>
  <c r="I37" i="61" s="1"/>
  <c r="F17" i="61"/>
  <c r="I17" i="61" s="1"/>
  <c r="J17" i="61"/>
  <c r="J36" i="61"/>
  <c r="F36" i="61"/>
  <c r="I36" i="61" s="1"/>
  <c r="J18" i="61"/>
  <c r="F18" i="61"/>
  <c r="I18" i="61" s="1"/>
  <c r="F88" i="17"/>
  <c r="AY246" i="34"/>
  <c r="AZ246" i="34" s="1"/>
  <c r="BD246" i="34" s="1"/>
  <c r="N88" i="17"/>
  <c r="AY154" i="34"/>
  <c r="L130" i="15"/>
  <c r="F130" i="15"/>
  <c r="I130" i="15" s="1"/>
  <c r="L143" i="15"/>
  <c r="F143" i="15"/>
  <c r="I143" i="15" s="1"/>
  <c r="AY28" i="34"/>
  <c r="F36" i="14"/>
  <c r="I36" i="14" s="1"/>
  <c r="J36" i="14"/>
  <c r="N69" i="68"/>
  <c r="F69" i="68"/>
  <c r="O69" i="68"/>
  <c r="N68" i="68"/>
  <c r="O68" i="68"/>
  <c r="F68" i="68"/>
  <c r="O38" i="17"/>
  <c r="AY196" i="34"/>
  <c r="N38" i="17"/>
  <c r="F38" i="17"/>
  <c r="L102" i="15"/>
  <c r="AY126" i="34"/>
  <c r="F102" i="15"/>
  <c r="I102" i="15" s="1"/>
  <c r="F43" i="68"/>
  <c r="N43" i="68"/>
  <c r="O17" i="17"/>
  <c r="F17" i="17"/>
  <c r="AY175" i="34"/>
  <c r="N17" i="17"/>
  <c r="N83" i="17"/>
  <c r="AY241" i="34"/>
  <c r="F83" i="17"/>
  <c r="O36" i="17"/>
  <c r="F36" i="17"/>
  <c r="AY194" i="34"/>
  <c r="AZ194" i="34" s="1"/>
  <c r="BD194" i="34" s="1"/>
  <c r="N36" i="17"/>
  <c r="F75" i="17"/>
  <c r="AY233" i="34"/>
  <c r="N75" i="17"/>
  <c r="O75" i="17"/>
  <c r="L33" i="15"/>
  <c r="F33" i="15"/>
  <c r="I33" i="15" s="1"/>
  <c r="AY59" i="34"/>
  <c r="L139" i="15"/>
  <c r="AY163" i="34"/>
  <c r="F139" i="15"/>
  <c r="I139" i="15" s="1"/>
  <c r="F22" i="17"/>
  <c r="AY180" i="34"/>
  <c r="N22" i="17"/>
  <c r="O22" i="17"/>
  <c r="F73" i="68"/>
  <c r="N73" i="68"/>
  <c r="F83" i="68"/>
  <c r="N83" i="68"/>
  <c r="F88" i="15"/>
  <c r="I88" i="15" s="1"/>
  <c r="AY112" i="34"/>
  <c r="L88" i="15"/>
  <c r="N29" i="68"/>
  <c r="O29" i="68"/>
  <c r="F29" i="68"/>
  <c r="AY128" i="34"/>
  <c r="F104" i="15"/>
  <c r="I104" i="15" s="1"/>
  <c r="L104" i="15"/>
  <c r="F74" i="15"/>
  <c r="I74" i="15" s="1"/>
  <c r="L74" i="15"/>
  <c r="AY100" i="34"/>
  <c r="AY251" i="34"/>
  <c r="N93" i="17"/>
  <c r="F93" i="17"/>
  <c r="L21" i="15"/>
  <c r="F21" i="15"/>
  <c r="I21" i="15" s="1"/>
  <c r="AY47" i="34"/>
  <c r="AZ47" i="34" s="1"/>
  <c r="BD47" i="34" s="1"/>
  <c r="N82" i="68"/>
  <c r="F82" i="68"/>
  <c r="O28" i="68"/>
  <c r="N28" i="68"/>
  <c r="F28" i="68"/>
  <c r="F137" i="15"/>
  <c r="I137" i="15" s="1"/>
  <c r="L137" i="15"/>
  <c r="AY161" i="34"/>
  <c r="F106" i="15"/>
  <c r="I106" i="15" s="1"/>
  <c r="L106" i="15"/>
  <c r="AY130" i="34"/>
  <c r="L75" i="15"/>
  <c r="AY101" i="34"/>
  <c r="F75" i="15"/>
  <c r="I75" i="15" s="1"/>
  <c r="O23" i="68"/>
  <c r="N23" i="68"/>
  <c r="F23" i="68"/>
  <c r="O27" i="17"/>
  <c r="AY185" i="34"/>
  <c r="N27" i="17"/>
  <c r="F27" i="17"/>
  <c r="F93" i="68"/>
  <c r="N93" i="68"/>
  <c r="F64" i="17"/>
  <c r="N64" i="17"/>
  <c r="AY222" i="34"/>
  <c r="O64" i="17"/>
  <c r="F14" i="68"/>
  <c r="N14" i="68"/>
  <c r="O14" i="68"/>
  <c r="F75" i="68"/>
  <c r="N75" i="68"/>
  <c r="O75" i="68"/>
  <c r="AY149" i="34"/>
  <c r="L125" i="15"/>
  <c r="F125" i="15"/>
  <c r="I125" i="15" s="1"/>
  <c r="L141" i="15"/>
  <c r="AY165" i="34"/>
  <c r="F141" i="15"/>
  <c r="I141" i="15" s="1"/>
  <c r="F33" i="68"/>
  <c r="N33" i="68"/>
  <c r="O33" i="68"/>
  <c r="O29" i="17"/>
  <c r="F29" i="17"/>
  <c r="AY187" i="34"/>
  <c r="N29" i="17"/>
  <c r="N65" i="68"/>
  <c r="O65" i="68"/>
  <c r="F65" i="68"/>
  <c r="J17" i="14"/>
  <c r="F17" i="14"/>
  <c r="I17" i="14" s="1"/>
  <c r="AY14" i="34"/>
  <c r="F39" i="15"/>
  <c r="I39" i="15" s="1"/>
  <c r="L39" i="15"/>
  <c r="AY65" i="34"/>
  <c r="F82" i="17"/>
  <c r="AY240" i="34"/>
  <c r="AZ240" i="34" s="1"/>
  <c r="BD240" i="34" s="1"/>
  <c r="N82" i="17"/>
  <c r="AY42" i="34"/>
  <c r="F16" i="15"/>
  <c r="I16" i="15" s="1"/>
  <c r="L16" i="15"/>
  <c r="F85" i="68"/>
  <c r="N85" i="68"/>
  <c r="N13" i="17"/>
  <c r="AY171" i="34"/>
  <c r="F13" i="17"/>
  <c r="AY234" i="34"/>
  <c r="O76" i="17"/>
  <c r="N76" i="17"/>
  <c r="F76" i="17"/>
  <c r="L108" i="15"/>
  <c r="AY132" i="34"/>
  <c r="F108" i="15"/>
  <c r="I108" i="15" s="1"/>
  <c r="L107" i="15"/>
  <c r="AY131" i="34"/>
  <c r="F107" i="15"/>
  <c r="I107" i="15" s="1"/>
  <c r="L44" i="15"/>
  <c r="AY70" i="34"/>
  <c r="F44" i="15"/>
  <c r="I44" i="15" s="1"/>
  <c r="F81" i="68"/>
  <c r="N81" i="68"/>
  <c r="L119" i="15"/>
  <c r="AY143" i="34"/>
  <c r="AZ143" i="34" s="1"/>
  <c r="BD143" i="34" s="1"/>
  <c r="F119" i="15"/>
  <c r="I119" i="15" s="1"/>
  <c r="N89" i="68"/>
  <c r="F89" i="68"/>
  <c r="N19" i="17"/>
  <c r="F19" i="17"/>
  <c r="AY177" i="34"/>
  <c r="F21" i="68"/>
  <c r="N21" i="68"/>
  <c r="O21" i="68"/>
  <c r="N61" i="17"/>
  <c r="AY219" i="34"/>
  <c r="F61" i="17"/>
  <c r="AY80" i="34"/>
  <c r="L54" i="15"/>
  <c r="F54" i="15"/>
  <c r="I54" i="15" s="1"/>
  <c r="L42" i="15"/>
  <c r="F42" i="15"/>
  <c r="I42" i="15" s="1"/>
  <c r="AY68" i="34"/>
  <c r="F54" i="68"/>
  <c r="O54" i="68"/>
  <c r="N54" i="68"/>
  <c r="F90" i="68"/>
  <c r="N90" i="68"/>
  <c r="F52" i="68"/>
  <c r="N52" i="68"/>
  <c r="O52" i="68"/>
  <c r="F14" i="15"/>
  <c r="I14" i="15" s="1"/>
  <c r="AY40" i="34"/>
  <c r="L14" i="15"/>
  <c r="AY38" i="34"/>
  <c r="L12" i="15"/>
  <c r="F12" i="15"/>
  <c r="I12" i="15" s="1"/>
  <c r="F26" i="68"/>
  <c r="N26" i="68"/>
  <c r="O26" i="68"/>
  <c r="L92" i="15"/>
  <c r="F92" i="15"/>
  <c r="I92" i="15" s="1"/>
  <c r="AY116" i="34"/>
  <c r="AZ116" i="34" s="1"/>
  <c r="BD116" i="34" s="1"/>
  <c r="F74" i="68"/>
  <c r="O74" i="68"/>
  <c r="N74" i="68"/>
  <c r="O78" i="17"/>
  <c r="N78" i="17"/>
  <c r="AY236" i="34"/>
  <c r="F78" i="17"/>
  <c r="F86" i="17"/>
  <c r="N86" i="17"/>
  <c r="AY244" i="34"/>
  <c r="AZ244" i="34" s="1"/>
  <c r="BD244" i="34" s="1"/>
  <c r="N92" i="68"/>
  <c r="F92" i="68"/>
  <c r="AY139" i="34"/>
  <c r="F115" i="15"/>
  <c r="I115" i="15" s="1"/>
  <c r="L115" i="15"/>
  <c r="O77" i="68"/>
  <c r="N77" i="68"/>
  <c r="F77" i="68"/>
  <c r="L24" i="15"/>
  <c r="F24" i="15"/>
  <c r="I24" i="15" s="1"/>
  <c r="AY50" i="34"/>
  <c r="AZ50" i="34" s="1"/>
  <c r="BD50" i="34" s="1"/>
  <c r="AY203" i="34"/>
  <c r="N45" i="17"/>
  <c r="O45" i="17"/>
  <c r="F45" i="17"/>
  <c r="L76" i="15"/>
  <c r="F76" i="15"/>
  <c r="I76" i="15" s="1"/>
  <c r="AY102" i="34"/>
  <c r="N76" i="68"/>
  <c r="F76" i="68"/>
  <c r="O76" i="68"/>
  <c r="L126" i="15"/>
  <c r="AY150" i="34"/>
  <c r="F126" i="15"/>
  <c r="I126" i="15" s="1"/>
  <c r="J34" i="14"/>
  <c r="F34" i="14"/>
  <c r="I34" i="14" s="1"/>
  <c r="AY26" i="34"/>
  <c r="AY43" i="34"/>
  <c r="L17" i="15"/>
  <c r="F17" i="15"/>
  <c r="I17" i="15" s="1"/>
  <c r="F51" i="68"/>
  <c r="O51" i="68"/>
  <c r="N51" i="68"/>
  <c r="BC32" i="34"/>
  <c r="J66" i="16"/>
  <c r="M65" i="16"/>
  <c r="AZ6" i="36"/>
  <c r="AZ11" i="36"/>
  <c r="F24" i="61"/>
  <c r="I24" i="61" s="1"/>
  <c r="J24" i="61"/>
  <c r="J22" i="61"/>
  <c r="F22" i="61"/>
  <c r="I22" i="61" s="1"/>
  <c r="J26" i="61"/>
  <c r="F26" i="61"/>
  <c r="I26" i="61" s="1"/>
  <c r="G141" i="66"/>
  <c r="G144" i="66"/>
  <c r="G58" i="66"/>
  <c r="G36" i="66"/>
  <c r="G129" i="66"/>
  <c r="G132" i="66"/>
  <c r="G30" i="66"/>
  <c r="G45" i="66"/>
  <c r="G117" i="66"/>
  <c r="G120" i="66"/>
  <c r="G63" i="66"/>
  <c r="G14" i="66"/>
  <c r="G105" i="66"/>
  <c r="G108" i="66"/>
  <c r="G40" i="66"/>
  <c r="G50" i="66"/>
  <c r="G93" i="66"/>
  <c r="G96" i="66"/>
  <c r="G44" i="66"/>
  <c r="G19" i="66"/>
  <c r="G48" i="66"/>
  <c r="G84" i="66"/>
  <c r="G37" i="66"/>
  <c r="G55" i="66"/>
  <c r="G73" i="66"/>
  <c r="G135" i="66"/>
  <c r="G106" i="66"/>
  <c r="G27" i="66"/>
  <c r="G42" i="66"/>
  <c r="G123" i="66"/>
  <c r="G118" i="66"/>
  <c r="G12" i="66"/>
  <c r="G11" i="66"/>
  <c r="G111" i="66"/>
  <c r="G130" i="66"/>
  <c r="G16" i="66"/>
  <c r="G47" i="66"/>
  <c r="G99" i="66"/>
  <c r="G82" i="66"/>
  <c r="G20" i="66"/>
  <c r="G13" i="66"/>
  <c r="G87" i="66"/>
  <c r="G110" i="66"/>
  <c r="G34" i="66"/>
  <c r="G52" i="66"/>
  <c r="G137" i="66"/>
  <c r="G140" i="66"/>
  <c r="G70" i="66"/>
  <c r="G21" i="66"/>
  <c r="G125" i="66"/>
  <c r="G128" i="66"/>
  <c r="G39" i="66"/>
  <c r="G68" i="66"/>
  <c r="G113" i="66"/>
  <c r="G116" i="66"/>
  <c r="G75" i="66"/>
  <c r="G29" i="66"/>
  <c r="G101" i="66"/>
  <c r="G104" i="66"/>
  <c r="G64" i="66"/>
  <c r="G65" i="66"/>
  <c r="G89" i="66"/>
  <c r="G92" i="66"/>
  <c r="G9" i="66"/>
  <c r="G31" i="66"/>
  <c r="G49" i="66"/>
  <c r="G143" i="66"/>
  <c r="G138" i="66"/>
  <c r="G67" i="66"/>
  <c r="G18" i="66"/>
  <c r="G131" i="66"/>
  <c r="G90" i="66"/>
  <c r="G56" i="66"/>
  <c r="G57" i="66"/>
  <c r="G119" i="66"/>
  <c r="G102" i="66"/>
  <c r="G60" i="66"/>
  <c r="G26" i="66"/>
  <c r="G107" i="66"/>
  <c r="G114" i="66"/>
  <c r="G41" i="66"/>
  <c r="G62" i="66"/>
  <c r="G95" i="66"/>
  <c r="G142" i="66"/>
  <c r="G10" i="66"/>
  <c r="G24" i="66"/>
  <c r="G83" i="66"/>
  <c r="G94" i="66"/>
  <c r="G46" i="66"/>
  <c r="G28" i="66"/>
  <c r="G133" i="66"/>
  <c r="G136" i="66"/>
  <c r="G15" i="66"/>
  <c r="G32" i="66"/>
  <c r="G121" i="66"/>
  <c r="G124" i="66"/>
  <c r="G54" i="66"/>
  <c r="G69" i="66"/>
  <c r="G109" i="66"/>
  <c r="G112" i="66"/>
  <c r="G23" i="66"/>
  <c r="G38" i="66"/>
  <c r="G97" i="66"/>
  <c r="G100" i="66"/>
  <c r="G59" i="66"/>
  <c r="G74" i="66"/>
  <c r="G85" i="66"/>
  <c r="G88" i="66"/>
  <c r="G25" i="66"/>
  <c r="G43" i="66"/>
  <c r="G61" i="66"/>
  <c r="G139" i="66"/>
  <c r="G122" i="66"/>
  <c r="G76" i="66"/>
  <c r="G33" i="66"/>
  <c r="G127" i="66"/>
  <c r="G134" i="66"/>
  <c r="G51" i="66"/>
  <c r="G66" i="66"/>
  <c r="G115" i="66"/>
  <c r="G86" i="66"/>
  <c r="G17" i="66"/>
  <c r="G35" i="66"/>
  <c r="G103" i="66"/>
  <c r="G98" i="66"/>
  <c r="G53" i="66"/>
  <c r="G71" i="66"/>
  <c r="G91" i="66"/>
  <c r="G126" i="66"/>
  <c r="G22" i="66"/>
  <c r="G72" i="66"/>
  <c r="F19" i="61"/>
  <c r="I19" i="61" s="1"/>
  <c r="J19" i="61"/>
  <c r="I65" i="14"/>
  <c r="F37" i="17"/>
  <c r="N37" i="17"/>
  <c r="AY195" i="34"/>
  <c r="L86" i="15"/>
  <c r="AY110" i="34"/>
  <c r="F86" i="15"/>
  <c r="I86" i="15" s="1"/>
  <c r="AY208" i="34"/>
  <c r="F50" i="17"/>
  <c r="N50" i="17"/>
  <c r="O50" i="17"/>
  <c r="AY72" i="34"/>
  <c r="F46" i="15"/>
  <c r="I46" i="15" s="1"/>
  <c r="L46" i="15"/>
  <c r="N15" i="17"/>
  <c r="F15" i="17"/>
  <c r="O15" i="17"/>
  <c r="AY173" i="34"/>
  <c r="F51" i="15"/>
  <c r="I51" i="15" s="1"/>
  <c r="AY77" i="34"/>
  <c r="AZ77" i="34" s="1"/>
  <c r="BD77" i="34" s="1"/>
  <c r="L51" i="15"/>
  <c r="F23" i="14"/>
  <c r="I23" i="14" s="1"/>
  <c r="J23" i="14"/>
  <c r="AY20" i="34"/>
  <c r="AZ20" i="34" s="1"/>
  <c r="BD20" i="34" s="1"/>
  <c r="AY74" i="34"/>
  <c r="L48" i="15"/>
  <c r="F48" i="15"/>
  <c r="I48" i="15" s="1"/>
  <c r="F27" i="14"/>
  <c r="I27" i="14" s="1"/>
  <c r="J27" i="14"/>
  <c r="AY24" i="34"/>
  <c r="F28" i="14"/>
  <c r="I28" i="14" s="1"/>
  <c r="J28" i="14"/>
  <c r="AY25" i="34"/>
  <c r="AY248" i="34"/>
  <c r="N90" i="17"/>
  <c r="F90" i="17"/>
  <c r="O60" i="17"/>
  <c r="AY218" i="34"/>
  <c r="AZ218" i="34" s="1"/>
  <c r="BD218" i="34" s="1"/>
  <c r="F60" i="17"/>
  <c r="N60" i="17"/>
  <c r="F81" i="17"/>
  <c r="AY239" i="34"/>
  <c r="N81" i="17"/>
  <c r="AY58" i="34"/>
  <c r="L32" i="15"/>
  <c r="F32" i="15"/>
  <c r="I32" i="15" s="1"/>
  <c r="F99" i="15"/>
  <c r="I99" i="15" s="1"/>
  <c r="L99" i="15"/>
  <c r="AY123" i="34"/>
  <c r="F58" i="15"/>
  <c r="I58" i="15" s="1"/>
  <c r="AY84" i="34"/>
  <c r="L58" i="15"/>
  <c r="F82" i="15"/>
  <c r="AY106" i="34"/>
  <c r="L82" i="15"/>
  <c r="AY22" i="34"/>
  <c r="J25" i="14"/>
  <c r="F25" i="14"/>
  <c r="I25" i="14" s="1"/>
  <c r="F90" i="15"/>
  <c r="I90" i="15" s="1"/>
  <c r="AY114" i="34"/>
  <c r="L90" i="15"/>
  <c r="AY62" i="34"/>
  <c r="L36" i="15"/>
  <c r="F36" i="15"/>
  <c r="I36" i="15" s="1"/>
  <c r="F49" i="68"/>
  <c r="N49" i="68"/>
  <c r="N44" i="68"/>
  <c r="O44" i="68"/>
  <c r="F44" i="68"/>
  <c r="L96" i="15"/>
  <c r="F96" i="15"/>
  <c r="I96" i="15" s="1"/>
  <c r="AY120" i="34"/>
  <c r="AZ120" i="34" s="1"/>
  <c r="BD120" i="34" s="1"/>
  <c r="N19" i="68"/>
  <c r="F19" i="68"/>
  <c r="AY164" i="34"/>
  <c r="L140" i="15"/>
  <c r="F140" i="15"/>
  <c r="I140" i="15" s="1"/>
  <c r="F57" i="68"/>
  <c r="N57" i="68"/>
  <c r="O57" i="68"/>
  <c r="F84" i="15"/>
  <c r="I84" i="15" s="1"/>
  <c r="AY108" i="34"/>
  <c r="L84" i="15"/>
  <c r="F19" i="14"/>
  <c r="I19" i="14" s="1"/>
  <c r="AY16" i="34"/>
  <c r="J19" i="14"/>
  <c r="O58" i="17"/>
  <c r="F58" i="17"/>
  <c r="N58" i="17"/>
  <c r="AY216" i="34"/>
  <c r="O56" i="68"/>
  <c r="F56" i="68"/>
  <c r="N56" i="68"/>
  <c r="AY200" i="34"/>
  <c r="F42" i="17"/>
  <c r="O42" i="17"/>
  <c r="N42" i="17"/>
  <c r="F67" i="17"/>
  <c r="N67" i="17"/>
  <c r="AY225" i="34"/>
  <c r="AY109" i="34"/>
  <c r="L85" i="15"/>
  <c r="F85" i="15"/>
  <c r="I85" i="15" s="1"/>
  <c r="F48" i="68"/>
  <c r="N48" i="68"/>
  <c r="O48" i="68"/>
  <c r="L60" i="15"/>
  <c r="F60" i="15"/>
  <c r="I60" i="15" s="1"/>
  <c r="AY86" i="34"/>
  <c r="F92" i="17"/>
  <c r="AY250" i="34"/>
  <c r="AZ250" i="34" s="1"/>
  <c r="BD250" i="34" s="1"/>
  <c r="N92" i="17"/>
  <c r="AY238" i="34"/>
  <c r="AZ238" i="34" s="1"/>
  <c r="BD238" i="34" s="1"/>
  <c r="F80" i="17"/>
  <c r="N80" i="17"/>
  <c r="AY198" i="34"/>
  <c r="F40" i="17"/>
  <c r="O40" i="17"/>
  <c r="N40" i="17"/>
  <c r="N15" i="68"/>
  <c r="F15" i="68"/>
  <c r="O15" i="68"/>
  <c r="F24" i="68"/>
  <c r="O24" i="68"/>
  <c r="N24" i="68"/>
  <c r="AY113" i="34"/>
  <c r="L89" i="15"/>
  <c r="F89" i="15"/>
  <c r="I89" i="15" s="1"/>
  <c r="F98" i="15"/>
  <c r="I98" i="15" s="1"/>
  <c r="L98" i="15"/>
  <c r="AY122" i="34"/>
  <c r="N79" i="68"/>
  <c r="F79" i="68"/>
  <c r="F47" i="15"/>
  <c r="I47" i="15" s="1"/>
  <c r="AY73" i="34"/>
  <c r="L47" i="15"/>
  <c r="AY167" i="34"/>
  <c r="AZ167" i="34" s="1"/>
  <c r="BD167" i="34" s="1"/>
  <c r="L144" i="15"/>
  <c r="F144" i="15"/>
  <c r="I144" i="15" s="1"/>
  <c r="F13" i="68"/>
  <c r="N13" i="68"/>
  <c r="O50" i="68"/>
  <c r="F50" i="68"/>
  <c r="N50" i="68"/>
  <c r="L22" i="15"/>
  <c r="AY48" i="34"/>
  <c r="AZ48" i="34" s="1"/>
  <c r="BD48" i="34" s="1"/>
  <c r="F22" i="15"/>
  <c r="I22" i="15" s="1"/>
  <c r="L97" i="15"/>
  <c r="AY121" i="34"/>
  <c r="F97" i="15"/>
  <c r="I97" i="15" s="1"/>
  <c r="F67" i="68"/>
  <c r="N67" i="68"/>
  <c r="N43" i="17"/>
  <c r="F43" i="17"/>
  <c r="AY201" i="34"/>
  <c r="N88" i="68"/>
  <c r="F88" i="68"/>
  <c r="J35" i="14"/>
  <c r="F35" i="14"/>
  <c r="I35" i="14" s="1"/>
  <c r="AY27" i="34"/>
  <c r="N74" i="17"/>
  <c r="O74" i="17"/>
  <c r="AY232" i="34"/>
  <c r="AZ232" i="34" s="1"/>
  <c r="BD232" i="34" s="1"/>
  <c r="F74" i="17"/>
  <c r="AY93" i="34"/>
  <c r="F67" i="15"/>
  <c r="I67" i="15" s="1"/>
  <c r="L67" i="15"/>
  <c r="O64" i="68"/>
  <c r="F64" i="68"/>
  <c r="N64" i="68"/>
  <c r="L136" i="15"/>
  <c r="F136" i="15"/>
  <c r="I136" i="15" s="1"/>
  <c r="AY160" i="34"/>
  <c r="AY75" i="34"/>
  <c r="L49" i="15"/>
  <c r="F49" i="15"/>
  <c r="I49" i="15" s="1"/>
  <c r="AY186" i="34"/>
  <c r="N28" i="17"/>
  <c r="F28" i="17"/>
  <c r="O28" i="17"/>
  <c r="O40" i="68"/>
  <c r="N40" i="68"/>
  <c r="F40" i="68"/>
  <c r="F80" i="68"/>
  <c r="N80" i="68"/>
  <c r="F65" i="17"/>
  <c r="N65" i="17"/>
  <c r="AY223" i="34"/>
  <c r="O65" i="17"/>
  <c r="AY124" i="34"/>
  <c r="L100" i="15"/>
  <c r="F100" i="15"/>
  <c r="I100" i="15" s="1"/>
  <c r="N24" i="17"/>
  <c r="O24" i="17"/>
  <c r="AY182" i="34"/>
  <c r="AZ182" i="34" s="1"/>
  <c r="BD182" i="34" s="1"/>
  <c r="F24" i="17"/>
  <c r="AY228" i="34"/>
  <c r="N70" i="17"/>
  <c r="F70" i="17"/>
  <c r="O70" i="17"/>
  <c r="AY23" i="34"/>
  <c r="J26" i="14"/>
  <c r="F26" i="14"/>
  <c r="I26" i="14" s="1"/>
  <c r="L62" i="15"/>
  <c r="AY88" i="34"/>
  <c r="F62" i="15"/>
  <c r="I62" i="15" s="1"/>
  <c r="L113" i="15"/>
  <c r="AY137" i="34"/>
  <c r="F113" i="15"/>
  <c r="I113" i="15" s="1"/>
  <c r="N61" i="68"/>
  <c r="F61" i="68"/>
  <c r="N48" i="17"/>
  <c r="F48" i="17"/>
  <c r="AY206" i="34"/>
  <c r="O48" i="17"/>
  <c r="AY61" i="34"/>
  <c r="L35" i="15"/>
  <c r="F35" i="15"/>
  <c r="I35" i="15" s="1"/>
  <c r="N70" i="68"/>
  <c r="F70" i="68"/>
  <c r="O70" i="68"/>
  <c r="F23" i="17"/>
  <c r="O23" i="17"/>
  <c r="AY181" i="34"/>
  <c r="AZ181" i="34" s="1"/>
  <c r="BD181" i="34" s="1"/>
  <c r="N23" i="17"/>
  <c r="L120" i="15"/>
  <c r="AY144" i="34"/>
  <c r="AZ144" i="34" s="1"/>
  <c r="BD144" i="34" s="1"/>
  <c r="F120" i="15"/>
  <c r="I120" i="15" s="1"/>
  <c r="AY36" i="34"/>
  <c r="L10" i="15"/>
  <c r="F10" i="15"/>
  <c r="I10" i="15" s="1"/>
  <c r="L52" i="15"/>
  <c r="F52" i="15"/>
  <c r="I52" i="15" s="1"/>
  <c r="AY78" i="34"/>
  <c r="N89" i="17"/>
  <c r="F89" i="17"/>
  <c r="AY247" i="34"/>
  <c r="L101" i="15"/>
  <c r="F101" i="15"/>
  <c r="I101" i="15" s="1"/>
  <c r="AY125" i="34"/>
  <c r="BA201" i="34" l="1"/>
  <c r="AZ201" i="34"/>
  <c r="BD201" i="34" s="1"/>
  <c r="BA73" i="34"/>
  <c r="AZ73" i="34"/>
  <c r="BD73" i="34" s="1"/>
  <c r="BA122" i="34"/>
  <c r="AZ122" i="34"/>
  <c r="BD122" i="34" s="1"/>
  <c r="BA164" i="34"/>
  <c r="AZ164" i="34"/>
  <c r="BD164" i="34" s="1"/>
  <c r="BA84" i="34"/>
  <c r="AZ84" i="34"/>
  <c r="BD84" i="34" s="1"/>
  <c r="L91" i="66"/>
  <c r="F91" i="66"/>
  <c r="I91" i="66" s="1"/>
  <c r="L103" i="66"/>
  <c r="F103" i="66"/>
  <c r="I103" i="66" s="1"/>
  <c r="L115" i="66"/>
  <c r="F115" i="66"/>
  <c r="I115" i="66" s="1"/>
  <c r="L127" i="66"/>
  <c r="F127" i="66"/>
  <c r="I127" i="66" s="1"/>
  <c r="F139" i="66"/>
  <c r="I139" i="66" s="1"/>
  <c r="L139" i="66"/>
  <c r="F88" i="66"/>
  <c r="I88" i="66" s="1"/>
  <c r="L88" i="66"/>
  <c r="F100" i="66"/>
  <c r="I100" i="66" s="1"/>
  <c r="L100" i="66"/>
  <c r="L112" i="66"/>
  <c r="F112" i="66"/>
  <c r="I112" i="66" s="1"/>
  <c r="L124" i="66"/>
  <c r="F124" i="66"/>
  <c r="I124" i="66" s="1"/>
  <c r="L136" i="66"/>
  <c r="F136" i="66"/>
  <c r="I136" i="66" s="1"/>
  <c r="L94" i="66"/>
  <c r="F94" i="66"/>
  <c r="I94" i="66" s="1"/>
  <c r="L142" i="66"/>
  <c r="F142" i="66"/>
  <c r="I142" i="66" s="1"/>
  <c r="L114" i="66"/>
  <c r="F114" i="66"/>
  <c r="I114" i="66" s="1"/>
  <c r="L102" i="66"/>
  <c r="F102" i="66"/>
  <c r="I102" i="66" s="1"/>
  <c r="L90" i="66"/>
  <c r="F90" i="66"/>
  <c r="I90" i="66" s="1"/>
  <c r="L138" i="66"/>
  <c r="F138" i="66"/>
  <c r="I138" i="66" s="1"/>
  <c r="L9" i="66"/>
  <c r="F9" i="66"/>
  <c r="F64" i="66"/>
  <c r="I64" i="66" s="1"/>
  <c r="L64" i="66"/>
  <c r="F75" i="66"/>
  <c r="I75" i="66" s="1"/>
  <c r="L75" i="66"/>
  <c r="F39" i="66"/>
  <c r="I39" i="66" s="1"/>
  <c r="L39" i="66"/>
  <c r="L70" i="66"/>
  <c r="F70" i="66"/>
  <c r="I70" i="66" s="1"/>
  <c r="L34" i="66"/>
  <c r="F34" i="66"/>
  <c r="I34" i="66" s="1"/>
  <c r="F20" i="66"/>
  <c r="I20" i="66" s="1"/>
  <c r="L20" i="66"/>
  <c r="L16" i="66"/>
  <c r="F16" i="66"/>
  <c r="I16" i="66" s="1"/>
  <c r="F12" i="66"/>
  <c r="I12" i="66" s="1"/>
  <c r="L12" i="66"/>
  <c r="F27" i="66"/>
  <c r="I27" i="66" s="1"/>
  <c r="L27" i="66"/>
  <c r="F55" i="66"/>
  <c r="I55" i="66" s="1"/>
  <c r="L55" i="66"/>
  <c r="F19" i="66"/>
  <c r="I19" i="66" s="1"/>
  <c r="L19" i="66"/>
  <c r="F50" i="66"/>
  <c r="I50" i="66" s="1"/>
  <c r="L50" i="66"/>
  <c r="L14" i="66"/>
  <c r="F14" i="66"/>
  <c r="I14" i="66" s="1"/>
  <c r="F45" i="66"/>
  <c r="I45" i="66" s="1"/>
  <c r="L45" i="66"/>
  <c r="L36" i="66"/>
  <c r="F36" i="66"/>
  <c r="I36" i="66" s="1"/>
  <c r="E33" i="6"/>
  <c r="E36" i="6" s="1"/>
  <c r="M66" i="16"/>
  <c r="BA43" i="34"/>
  <c r="AZ43" i="34"/>
  <c r="BD43" i="34" s="1"/>
  <c r="BA203" i="34"/>
  <c r="AZ203" i="34"/>
  <c r="BD203" i="34" s="1"/>
  <c r="AZ236" i="34"/>
  <c r="BD236" i="34" s="1"/>
  <c r="BA236" i="34"/>
  <c r="AZ40" i="34"/>
  <c r="BD40" i="34" s="1"/>
  <c r="BA40" i="34"/>
  <c r="BA131" i="34"/>
  <c r="AZ131" i="34"/>
  <c r="BD131" i="34" s="1"/>
  <c r="AZ234" i="34"/>
  <c r="BD234" i="34" s="1"/>
  <c r="BA234" i="34"/>
  <c r="AZ42" i="34"/>
  <c r="BD42" i="34" s="1"/>
  <c r="BA42" i="34"/>
  <c r="AZ65" i="34"/>
  <c r="BD65" i="34" s="1"/>
  <c r="BA65" i="34"/>
  <c r="BA185" i="34"/>
  <c r="AZ185" i="34"/>
  <c r="BD185" i="34" s="1"/>
  <c r="AZ130" i="34"/>
  <c r="BD130" i="34" s="1"/>
  <c r="BA130" i="34"/>
  <c r="BA251" i="34"/>
  <c r="AZ251" i="34"/>
  <c r="BD251" i="34" s="1"/>
  <c r="AZ59" i="34"/>
  <c r="BD59" i="34" s="1"/>
  <c r="BA59" i="34"/>
  <c r="BA241" i="34"/>
  <c r="AZ241" i="34"/>
  <c r="BD241" i="34" s="1"/>
  <c r="BA154" i="34"/>
  <c r="AZ154" i="34"/>
  <c r="BD154" i="34" s="1"/>
  <c r="AZ176" i="34"/>
  <c r="BD176" i="34" s="1"/>
  <c r="BA176" i="34"/>
  <c r="AZ227" i="34"/>
  <c r="BD227" i="34" s="1"/>
  <c r="BA227" i="34"/>
  <c r="AZ111" i="34"/>
  <c r="BD111" i="34" s="1"/>
  <c r="BA111" i="34"/>
  <c r="BA63" i="34"/>
  <c r="AZ63" i="34"/>
  <c r="BD63" i="34" s="1"/>
  <c r="BA57" i="34"/>
  <c r="AZ57" i="34"/>
  <c r="BD57" i="34" s="1"/>
  <c r="AZ155" i="34"/>
  <c r="BD155" i="34" s="1"/>
  <c r="BA155" i="34"/>
  <c r="AZ11" i="38"/>
  <c r="BA11" i="38"/>
  <c r="AZ133" i="34"/>
  <c r="BD133" i="34" s="1"/>
  <c r="BA133" i="34"/>
  <c r="BA249" i="34"/>
  <c r="AZ249" i="34"/>
  <c r="BA245" i="34"/>
  <c r="AZ245" i="34"/>
  <c r="BD245" i="34" s="1"/>
  <c r="BA81" i="34"/>
  <c r="AZ81" i="34"/>
  <c r="BD81" i="34" s="1"/>
  <c r="BA212" i="34"/>
  <c r="AZ212" i="34"/>
  <c r="BD212" i="34" s="1"/>
  <c r="AZ151" i="34"/>
  <c r="BD151" i="34" s="1"/>
  <c r="BA151" i="34"/>
  <c r="AZ174" i="34"/>
  <c r="BD174" i="34" s="1"/>
  <c r="BA174" i="34"/>
  <c r="AZ92" i="34"/>
  <c r="BD92" i="34" s="1"/>
  <c r="BA92" i="34"/>
  <c r="BA221" i="34"/>
  <c r="AZ221" i="34"/>
  <c r="BD221" i="34" s="1"/>
  <c r="AZ12" i="34"/>
  <c r="BA12" i="34"/>
  <c r="BA205" i="34"/>
  <c r="AZ205" i="34"/>
  <c r="BD205" i="34" s="1"/>
  <c r="BA148" i="34"/>
  <c r="AZ148" i="34"/>
  <c r="BD148" i="34" s="1"/>
  <c r="BA142" i="34"/>
  <c r="AZ142" i="34"/>
  <c r="BD142" i="34" s="1"/>
  <c r="AZ166" i="34"/>
  <c r="BD166" i="34" s="1"/>
  <c r="BA166" i="34"/>
  <c r="BA179" i="34"/>
  <c r="AZ179" i="34"/>
  <c r="BD179" i="34" s="1"/>
  <c r="BA64" i="34"/>
  <c r="AZ64" i="34"/>
  <c r="BD64" i="34" s="1"/>
  <c r="AZ145" i="34"/>
  <c r="BD145" i="34" s="1"/>
  <c r="BA145" i="34"/>
  <c r="AZ66" i="34"/>
  <c r="BD66" i="34" s="1"/>
  <c r="BA66" i="34"/>
  <c r="BA247" i="34"/>
  <c r="AZ247" i="34"/>
  <c r="BD247" i="34" s="1"/>
  <c r="AZ78" i="34"/>
  <c r="BD78" i="34" s="1"/>
  <c r="BA78" i="34"/>
  <c r="BA206" i="34"/>
  <c r="AZ206" i="34"/>
  <c r="BD206" i="34" s="1"/>
  <c r="AZ124" i="34"/>
  <c r="BD124" i="34" s="1"/>
  <c r="BA124" i="34"/>
  <c r="BA75" i="34"/>
  <c r="AZ75" i="34"/>
  <c r="BD75" i="34" s="1"/>
  <c r="AZ113" i="34"/>
  <c r="BD113" i="34" s="1"/>
  <c r="BA113" i="34"/>
  <c r="BA200" i="34"/>
  <c r="AZ200" i="34"/>
  <c r="BD200" i="34" s="1"/>
  <c r="AZ216" i="34"/>
  <c r="BD216" i="34" s="1"/>
  <c r="BA216" i="34"/>
  <c r="BA108" i="34"/>
  <c r="AZ108" i="34"/>
  <c r="BD108" i="34" s="1"/>
  <c r="BA62" i="34"/>
  <c r="AZ62" i="34"/>
  <c r="BD62" i="34" s="1"/>
  <c r="AZ106" i="34"/>
  <c r="BA106" i="34"/>
  <c r="AZ239" i="34"/>
  <c r="BD239" i="34" s="1"/>
  <c r="BA239" i="34"/>
  <c r="BA248" i="34"/>
  <c r="AZ248" i="34"/>
  <c r="BD248" i="34" s="1"/>
  <c r="BA24" i="34"/>
  <c r="AZ24" i="34"/>
  <c r="BD24" i="34" s="1"/>
  <c r="BA173" i="34"/>
  <c r="AZ173" i="34"/>
  <c r="BD173" i="34" s="1"/>
  <c r="AZ110" i="34"/>
  <c r="BD110" i="34" s="1"/>
  <c r="BA110" i="34"/>
  <c r="F72" i="66"/>
  <c r="I72" i="66" s="1"/>
  <c r="L72" i="66"/>
  <c r="L71" i="66"/>
  <c r="F71" i="66"/>
  <c r="I71" i="66" s="1"/>
  <c r="F35" i="66"/>
  <c r="I35" i="66" s="1"/>
  <c r="L35" i="66"/>
  <c r="F66" i="66"/>
  <c r="I66" i="66" s="1"/>
  <c r="L66" i="66"/>
  <c r="L33" i="66"/>
  <c r="F33" i="66"/>
  <c r="I33" i="66" s="1"/>
  <c r="L61" i="66"/>
  <c r="F61" i="66"/>
  <c r="I61" i="66" s="1"/>
  <c r="L85" i="66"/>
  <c r="F85" i="66"/>
  <c r="I85" i="66" s="1"/>
  <c r="L97" i="66"/>
  <c r="F97" i="66"/>
  <c r="I97" i="66" s="1"/>
  <c r="L109" i="66"/>
  <c r="F109" i="66"/>
  <c r="I109" i="66" s="1"/>
  <c r="F121" i="66"/>
  <c r="I121" i="66" s="1"/>
  <c r="L121" i="66"/>
  <c r="L133" i="66"/>
  <c r="F133" i="66"/>
  <c r="I133" i="66" s="1"/>
  <c r="L83" i="66"/>
  <c r="F83" i="66"/>
  <c r="I83" i="66" s="1"/>
  <c r="F95" i="66"/>
  <c r="I95" i="66" s="1"/>
  <c r="L95" i="66"/>
  <c r="F107" i="66"/>
  <c r="I107" i="66" s="1"/>
  <c r="L107" i="66"/>
  <c r="F119" i="66"/>
  <c r="I119" i="66" s="1"/>
  <c r="L119" i="66"/>
  <c r="F131" i="66"/>
  <c r="I131" i="66" s="1"/>
  <c r="L131" i="66"/>
  <c r="F143" i="66"/>
  <c r="I143" i="66" s="1"/>
  <c r="L143" i="66"/>
  <c r="L92" i="66"/>
  <c r="F92" i="66"/>
  <c r="I92" i="66" s="1"/>
  <c r="L104" i="66"/>
  <c r="F104" i="66"/>
  <c r="I104" i="66" s="1"/>
  <c r="L116" i="66"/>
  <c r="F116" i="66"/>
  <c r="I116" i="66" s="1"/>
  <c r="L128" i="66"/>
  <c r="F128" i="66"/>
  <c r="I128" i="66" s="1"/>
  <c r="L140" i="66"/>
  <c r="F140" i="66"/>
  <c r="I140" i="66" s="1"/>
  <c r="L110" i="66"/>
  <c r="F110" i="66"/>
  <c r="I110" i="66" s="1"/>
  <c r="L82" i="66"/>
  <c r="F82" i="66"/>
  <c r="F130" i="66"/>
  <c r="I130" i="66" s="1"/>
  <c r="L130" i="66"/>
  <c r="L118" i="66"/>
  <c r="F118" i="66"/>
  <c r="I118" i="66" s="1"/>
  <c r="L106" i="66"/>
  <c r="F106" i="66"/>
  <c r="I106" i="66" s="1"/>
  <c r="L37" i="66"/>
  <c r="F37" i="66"/>
  <c r="I37" i="66" s="1"/>
  <c r="L44" i="66"/>
  <c r="F44" i="66"/>
  <c r="I44" i="66" s="1"/>
  <c r="F40" i="66"/>
  <c r="I40" i="66" s="1"/>
  <c r="L40" i="66"/>
  <c r="L63" i="66"/>
  <c r="F63" i="66"/>
  <c r="I63" i="66" s="1"/>
  <c r="L30" i="66"/>
  <c r="F30" i="66"/>
  <c r="I30" i="66" s="1"/>
  <c r="L58" i="66"/>
  <c r="F58" i="66"/>
  <c r="I58" i="66" s="1"/>
  <c r="AZ26" i="34"/>
  <c r="BD26" i="34" s="1"/>
  <c r="BA26" i="34"/>
  <c r="AZ150" i="34"/>
  <c r="BD150" i="34" s="1"/>
  <c r="BA150" i="34"/>
  <c r="BA139" i="34"/>
  <c r="AZ139" i="34"/>
  <c r="BD139" i="34" s="1"/>
  <c r="BA219" i="34"/>
  <c r="AZ219" i="34"/>
  <c r="BD219" i="34" s="1"/>
  <c r="AZ70" i="34"/>
  <c r="BD70" i="34" s="1"/>
  <c r="BA70" i="34"/>
  <c r="F94" i="17"/>
  <c r="F95" i="17" s="1"/>
  <c r="BA165" i="34"/>
  <c r="AZ165" i="34"/>
  <c r="BD165" i="34" s="1"/>
  <c r="BA149" i="34"/>
  <c r="AZ149" i="34"/>
  <c r="BD149" i="34" s="1"/>
  <c r="BA222" i="34"/>
  <c r="AZ222" i="34"/>
  <c r="BD222" i="34" s="1"/>
  <c r="BA100" i="34"/>
  <c r="AZ100" i="34"/>
  <c r="BD100" i="34" s="1"/>
  <c r="BA233" i="34"/>
  <c r="AZ233" i="34"/>
  <c r="BD233" i="34" s="1"/>
  <c r="AZ126" i="34"/>
  <c r="BD126" i="34" s="1"/>
  <c r="BA126" i="34"/>
  <c r="AZ196" i="34"/>
  <c r="BD196" i="34" s="1"/>
  <c r="BA196" i="34"/>
  <c r="AZ99" i="34"/>
  <c r="BD99" i="34" s="1"/>
  <c r="BA99" i="34"/>
  <c r="AZ45" i="34"/>
  <c r="BD45" i="34" s="1"/>
  <c r="BA45" i="34"/>
  <c r="AZ13" i="34"/>
  <c r="BD13" i="34" s="1"/>
  <c r="BA13" i="34"/>
  <c r="BA107" i="34"/>
  <c r="AZ107" i="34"/>
  <c r="BD107" i="34" s="1"/>
  <c r="BA159" i="34"/>
  <c r="AZ159" i="34"/>
  <c r="BD159" i="34" s="1"/>
  <c r="AZ91" i="34"/>
  <c r="BD91" i="34" s="1"/>
  <c r="BA91" i="34"/>
  <c r="AZ156" i="34"/>
  <c r="BD156" i="34" s="1"/>
  <c r="BA156" i="34"/>
  <c r="AZ140" i="34"/>
  <c r="BD140" i="34" s="1"/>
  <c r="BA140" i="34"/>
  <c r="AZ214" i="34"/>
  <c r="BD214" i="34" s="1"/>
  <c r="BA214" i="34"/>
  <c r="AZ35" i="34"/>
  <c r="BA35" i="34"/>
  <c r="BA71" i="34"/>
  <c r="AZ71" i="34"/>
  <c r="BD71" i="34" s="1"/>
  <c r="BA231" i="34"/>
  <c r="AZ231" i="34"/>
  <c r="BD231" i="34" s="1"/>
  <c r="BA213" i="34"/>
  <c r="AZ213" i="34"/>
  <c r="BD213" i="34" s="1"/>
  <c r="AZ172" i="34"/>
  <c r="BD172" i="34" s="1"/>
  <c r="BA172" i="34"/>
  <c r="AZ188" i="34"/>
  <c r="BD188" i="34" s="1"/>
  <c r="BA188" i="34"/>
  <c r="AZ15" i="34"/>
  <c r="BD15" i="34" s="1"/>
  <c r="BA15" i="34"/>
  <c r="BA98" i="34"/>
  <c r="AZ98" i="34"/>
  <c r="BD98" i="34" s="1"/>
  <c r="BA17" i="34"/>
  <c r="AZ17" i="34"/>
  <c r="BD17" i="34" s="1"/>
  <c r="AZ153" i="34"/>
  <c r="BD153" i="34" s="1"/>
  <c r="BA153" i="34"/>
  <c r="G73" i="61"/>
  <c r="I73" i="61" s="1"/>
  <c r="I76" i="61" s="1"/>
  <c r="J40" i="61"/>
  <c r="F40" i="61"/>
  <c r="I40" i="61" s="1"/>
  <c r="AZ228" i="34"/>
  <c r="BD228" i="34" s="1"/>
  <c r="BA228" i="34"/>
  <c r="AZ186" i="34"/>
  <c r="BD186" i="34" s="1"/>
  <c r="BA186" i="34"/>
  <c r="AZ160" i="34"/>
  <c r="BD160" i="34" s="1"/>
  <c r="BA160" i="34"/>
  <c r="BA93" i="34"/>
  <c r="AZ93" i="34"/>
  <c r="BD93" i="34" s="1"/>
  <c r="AZ121" i="34"/>
  <c r="BD121" i="34" s="1"/>
  <c r="BA121" i="34"/>
  <c r="AZ86" i="34"/>
  <c r="BD86" i="34" s="1"/>
  <c r="BA86" i="34"/>
  <c r="AZ109" i="34"/>
  <c r="BD109" i="34" s="1"/>
  <c r="BA109" i="34"/>
  <c r="BA16" i="34"/>
  <c r="AZ16" i="34"/>
  <c r="BD16" i="34" s="1"/>
  <c r="F145" i="15"/>
  <c r="I82" i="15"/>
  <c r="I145" i="15" s="1"/>
  <c r="AZ123" i="34"/>
  <c r="BD123" i="34" s="1"/>
  <c r="BA123" i="34"/>
  <c r="AZ25" i="34"/>
  <c r="BD25" i="34" s="1"/>
  <c r="BA25" i="34"/>
  <c r="AZ74" i="34"/>
  <c r="BD74" i="34" s="1"/>
  <c r="BA74" i="34"/>
  <c r="L22" i="66"/>
  <c r="F22" i="66"/>
  <c r="I22" i="66" s="1"/>
  <c r="F53" i="66"/>
  <c r="I53" i="66" s="1"/>
  <c r="L53" i="66"/>
  <c r="L17" i="66"/>
  <c r="F17" i="66"/>
  <c r="I17" i="66" s="1"/>
  <c r="L51" i="66"/>
  <c r="F51" i="66"/>
  <c r="I51" i="66" s="1"/>
  <c r="F76" i="66"/>
  <c r="I76" i="66" s="1"/>
  <c r="L76" i="66"/>
  <c r="F43" i="66"/>
  <c r="I43" i="66" s="1"/>
  <c r="L43" i="66"/>
  <c r="F74" i="66"/>
  <c r="I74" i="66" s="1"/>
  <c r="L74" i="66"/>
  <c r="L38" i="66"/>
  <c r="F38" i="66"/>
  <c r="I38" i="66" s="1"/>
  <c r="L69" i="66"/>
  <c r="F69" i="66"/>
  <c r="I69" i="66" s="1"/>
  <c r="L32" i="66"/>
  <c r="F32" i="66"/>
  <c r="I32" i="66" s="1"/>
  <c r="L28" i="66"/>
  <c r="F28" i="66"/>
  <c r="I28" i="66" s="1"/>
  <c r="L24" i="66"/>
  <c r="F24" i="66"/>
  <c r="I24" i="66" s="1"/>
  <c r="L62" i="66"/>
  <c r="F62" i="66"/>
  <c r="I62" i="66" s="1"/>
  <c r="L26" i="66"/>
  <c r="F26" i="66"/>
  <c r="I26" i="66" s="1"/>
  <c r="L57" i="66"/>
  <c r="F57" i="66"/>
  <c r="I57" i="66" s="1"/>
  <c r="L18" i="66"/>
  <c r="F18" i="66"/>
  <c r="I18" i="66" s="1"/>
  <c r="L49" i="66"/>
  <c r="F49" i="66"/>
  <c r="I49" i="66" s="1"/>
  <c r="F89" i="66"/>
  <c r="I89" i="66" s="1"/>
  <c r="L89" i="66"/>
  <c r="F101" i="66"/>
  <c r="I101" i="66" s="1"/>
  <c r="L101" i="66"/>
  <c r="F113" i="66"/>
  <c r="I113" i="66" s="1"/>
  <c r="L113" i="66"/>
  <c r="F125" i="66"/>
  <c r="I125" i="66" s="1"/>
  <c r="L125" i="66"/>
  <c r="L137" i="66"/>
  <c r="F137" i="66"/>
  <c r="I137" i="66" s="1"/>
  <c r="L87" i="66"/>
  <c r="F87" i="66"/>
  <c r="I87" i="66" s="1"/>
  <c r="L99" i="66"/>
  <c r="F99" i="66"/>
  <c r="I99" i="66" s="1"/>
  <c r="L111" i="66"/>
  <c r="F111" i="66"/>
  <c r="I111" i="66" s="1"/>
  <c r="F123" i="66"/>
  <c r="I123" i="66" s="1"/>
  <c r="L123" i="66"/>
  <c r="F135" i="66"/>
  <c r="I135" i="66" s="1"/>
  <c r="L135" i="66"/>
  <c r="F84" i="66"/>
  <c r="I84" i="66" s="1"/>
  <c r="L84" i="66"/>
  <c r="F96" i="66"/>
  <c r="I96" i="66" s="1"/>
  <c r="L96" i="66"/>
  <c r="L108" i="66"/>
  <c r="F108" i="66"/>
  <c r="I108" i="66" s="1"/>
  <c r="L120" i="66"/>
  <c r="F120" i="66"/>
  <c r="I120" i="66" s="1"/>
  <c r="L132" i="66"/>
  <c r="F132" i="66"/>
  <c r="I132" i="66" s="1"/>
  <c r="L144" i="66"/>
  <c r="F144" i="66"/>
  <c r="I144" i="66" s="1"/>
  <c r="BA102" i="34"/>
  <c r="AZ102" i="34"/>
  <c r="BD102" i="34" s="1"/>
  <c r="AZ38" i="34"/>
  <c r="BD38" i="34" s="1"/>
  <c r="BA38" i="34"/>
  <c r="AZ68" i="34"/>
  <c r="BD68" i="34" s="1"/>
  <c r="BA68" i="34"/>
  <c r="BA177" i="34"/>
  <c r="AZ177" i="34"/>
  <c r="BD177" i="34" s="1"/>
  <c r="BA171" i="34"/>
  <c r="AZ171" i="34"/>
  <c r="BA187" i="34"/>
  <c r="AZ187" i="34"/>
  <c r="BD187" i="34" s="1"/>
  <c r="AZ101" i="34"/>
  <c r="BD101" i="34" s="1"/>
  <c r="BA101" i="34"/>
  <c r="BA128" i="34"/>
  <c r="AZ128" i="34"/>
  <c r="BD128" i="34" s="1"/>
  <c r="BA163" i="34"/>
  <c r="AZ163" i="34"/>
  <c r="BD163" i="34" s="1"/>
  <c r="AZ37" i="34"/>
  <c r="BD37" i="34" s="1"/>
  <c r="BA37" i="34"/>
  <c r="AZ83" i="34"/>
  <c r="BD83" i="34" s="1"/>
  <c r="BA83" i="34"/>
  <c r="BA97" i="34"/>
  <c r="AZ97" i="34"/>
  <c r="BD97" i="34" s="1"/>
  <c r="BA29" i="34"/>
  <c r="AZ29" i="34"/>
  <c r="BD29" i="34" s="1"/>
  <c r="BA189" i="34"/>
  <c r="AZ189" i="34"/>
  <c r="BD189" i="34" s="1"/>
  <c r="AZ204" i="34"/>
  <c r="BD204" i="34" s="1"/>
  <c r="BA204" i="34"/>
  <c r="AZ89" i="34"/>
  <c r="BD89" i="34" s="1"/>
  <c r="BA89" i="34"/>
  <c r="BA152" i="34"/>
  <c r="AZ152" i="34"/>
  <c r="BD152" i="34" s="1"/>
  <c r="BA157" i="34"/>
  <c r="AZ157" i="34"/>
  <c r="BD157" i="34" s="1"/>
  <c r="BA162" i="34"/>
  <c r="AZ162" i="34"/>
  <c r="BD162" i="34" s="1"/>
  <c r="BA90" i="34"/>
  <c r="AZ90" i="34"/>
  <c r="BD90" i="34" s="1"/>
  <c r="AZ30" i="34"/>
  <c r="BD30" i="34" s="1"/>
  <c r="BA30" i="34"/>
  <c r="BA209" i="34"/>
  <c r="AZ209" i="34"/>
  <c r="BD209" i="34" s="1"/>
  <c r="F77" i="15"/>
  <c r="I9" i="15"/>
  <c r="I77" i="15" s="1"/>
  <c r="AZ202" i="34"/>
  <c r="BD202" i="34" s="1"/>
  <c r="BA202" i="34"/>
  <c r="BA235" i="34"/>
  <c r="AZ235" i="34"/>
  <c r="BD235" i="34" s="1"/>
  <c r="AZ39" i="34"/>
  <c r="BD39" i="34" s="1"/>
  <c r="BA39" i="34"/>
  <c r="BA44" i="34"/>
  <c r="AZ44" i="34"/>
  <c r="BD44" i="34" s="1"/>
  <c r="BA82" i="34"/>
  <c r="AZ82" i="34"/>
  <c r="BD82" i="34" s="1"/>
  <c r="AZ134" i="34"/>
  <c r="BD134" i="34" s="1"/>
  <c r="BA134" i="34"/>
  <c r="AZ138" i="34"/>
  <c r="BD138" i="34" s="1"/>
  <c r="BA138" i="34"/>
  <c r="AZ46" i="34"/>
  <c r="BD46" i="34" s="1"/>
  <c r="BA46" i="34"/>
  <c r="AZ56" i="34"/>
  <c r="BD56" i="34" s="1"/>
  <c r="BA56" i="34"/>
  <c r="BA136" i="34"/>
  <c r="AZ136" i="34"/>
  <c r="BD136" i="34" s="1"/>
  <c r="AZ54" i="34"/>
  <c r="BD54" i="34" s="1"/>
  <c r="BA54" i="34"/>
  <c r="BA55" i="34"/>
  <c r="AZ55" i="34"/>
  <c r="BD55" i="34" s="1"/>
  <c r="AZ220" i="34"/>
  <c r="BD220" i="34" s="1"/>
  <c r="BA220" i="34"/>
  <c r="BA184" i="34"/>
  <c r="AZ184" i="34"/>
  <c r="BD184" i="34" s="1"/>
  <c r="BA60" i="34"/>
  <c r="AZ60" i="34"/>
  <c r="BD60" i="34" s="1"/>
  <c r="AZ36" i="34"/>
  <c r="BD36" i="34" s="1"/>
  <c r="BA36" i="34"/>
  <c r="BA88" i="34"/>
  <c r="AZ88" i="34"/>
  <c r="BD88" i="34" s="1"/>
  <c r="AZ23" i="34"/>
  <c r="BD23" i="34" s="1"/>
  <c r="BA23" i="34"/>
  <c r="AZ125" i="34"/>
  <c r="BD125" i="34" s="1"/>
  <c r="BA125" i="34"/>
  <c r="BA61" i="34"/>
  <c r="AZ61" i="34"/>
  <c r="BD61" i="34" s="1"/>
  <c r="BA137" i="34"/>
  <c r="AZ137" i="34"/>
  <c r="BD137" i="34" s="1"/>
  <c r="BA223" i="34"/>
  <c r="AZ223" i="34"/>
  <c r="BD223" i="34" s="1"/>
  <c r="AZ27" i="34"/>
  <c r="BD27" i="34" s="1"/>
  <c r="BA27" i="34"/>
  <c r="F94" i="68"/>
  <c r="F95" i="68" s="1"/>
  <c r="I7" i="13" s="1"/>
  <c r="BA198" i="34"/>
  <c r="AZ198" i="34"/>
  <c r="BD198" i="34" s="1"/>
  <c r="BA225" i="34"/>
  <c r="AZ225" i="34"/>
  <c r="BD225" i="34" s="1"/>
  <c r="BA114" i="34"/>
  <c r="AZ114" i="34"/>
  <c r="BD114" i="34" s="1"/>
  <c r="BA22" i="34"/>
  <c r="AZ22" i="34"/>
  <c r="BD22" i="34" s="1"/>
  <c r="BA58" i="34"/>
  <c r="AZ58" i="34"/>
  <c r="BD58" i="34" s="1"/>
  <c r="BA72" i="34"/>
  <c r="AZ72" i="34"/>
  <c r="BD72" i="34" s="1"/>
  <c r="AZ208" i="34"/>
  <c r="BD208" i="34" s="1"/>
  <c r="BA208" i="34"/>
  <c r="BA195" i="34"/>
  <c r="AZ195" i="34"/>
  <c r="BD195" i="34" s="1"/>
  <c r="F126" i="66"/>
  <c r="I126" i="66" s="1"/>
  <c r="L126" i="66"/>
  <c r="L98" i="66"/>
  <c r="F98" i="66"/>
  <c r="I98" i="66" s="1"/>
  <c r="F86" i="66"/>
  <c r="I86" i="66" s="1"/>
  <c r="L86" i="66"/>
  <c r="F134" i="66"/>
  <c r="I134" i="66" s="1"/>
  <c r="L134" i="66"/>
  <c r="L122" i="66"/>
  <c r="F122" i="66"/>
  <c r="I122" i="66" s="1"/>
  <c r="L25" i="66"/>
  <c r="F25" i="66"/>
  <c r="I25" i="66" s="1"/>
  <c r="L59" i="66"/>
  <c r="F59" i="66"/>
  <c r="I59" i="66" s="1"/>
  <c r="L23" i="66"/>
  <c r="F23" i="66"/>
  <c r="I23" i="66" s="1"/>
  <c r="L54" i="66"/>
  <c r="F54" i="66"/>
  <c r="I54" i="66" s="1"/>
  <c r="L15" i="66"/>
  <c r="F15" i="66"/>
  <c r="I15" i="66" s="1"/>
  <c r="F46" i="66"/>
  <c r="I46" i="66" s="1"/>
  <c r="L46" i="66"/>
  <c r="F10" i="66"/>
  <c r="I10" i="66" s="1"/>
  <c r="L10" i="66"/>
  <c r="F41" i="66"/>
  <c r="I41" i="66" s="1"/>
  <c r="L41" i="66"/>
  <c r="F60" i="66"/>
  <c r="I60" i="66" s="1"/>
  <c r="L60" i="66"/>
  <c r="F56" i="66"/>
  <c r="I56" i="66" s="1"/>
  <c r="L56" i="66"/>
  <c r="F67" i="66"/>
  <c r="I67" i="66" s="1"/>
  <c r="L67" i="66"/>
  <c r="F31" i="66"/>
  <c r="I31" i="66" s="1"/>
  <c r="L31" i="66"/>
  <c r="L65" i="66"/>
  <c r="F65" i="66"/>
  <c r="I65" i="66" s="1"/>
  <c r="L29" i="66"/>
  <c r="F29" i="66"/>
  <c r="I29" i="66" s="1"/>
  <c r="L68" i="66"/>
  <c r="F68" i="66"/>
  <c r="I68" i="66" s="1"/>
  <c r="L21" i="66"/>
  <c r="F21" i="66"/>
  <c r="I21" i="66" s="1"/>
  <c r="L52" i="66"/>
  <c r="F52" i="66"/>
  <c r="I52" i="66" s="1"/>
  <c r="L13" i="66"/>
  <c r="F13" i="66"/>
  <c r="I13" i="66" s="1"/>
  <c r="F47" i="66"/>
  <c r="I47" i="66" s="1"/>
  <c r="L47" i="66"/>
  <c r="L11" i="66"/>
  <c r="F11" i="66"/>
  <c r="I11" i="66" s="1"/>
  <c r="L42" i="66"/>
  <c r="F42" i="66"/>
  <c r="I42" i="66" s="1"/>
  <c r="L73" i="66"/>
  <c r="F73" i="66"/>
  <c r="I73" i="66" s="1"/>
  <c r="L48" i="66"/>
  <c r="F48" i="66"/>
  <c r="I48" i="66" s="1"/>
  <c r="L93" i="66"/>
  <c r="F93" i="66"/>
  <c r="I93" i="66" s="1"/>
  <c r="F105" i="66"/>
  <c r="I105" i="66" s="1"/>
  <c r="L105" i="66"/>
  <c r="L117" i="66"/>
  <c r="F117" i="66"/>
  <c r="I117" i="66" s="1"/>
  <c r="F129" i="66"/>
  <c r="I129" i="66" s="1"/>
  <c r="L129" i="66"/>
  <c r="F141" i="66"/>
  <c r="I141" i="66" s="1"/>
  <c r="L141" i="66"/>
  <c r="AZ5" i="36"/>
  <c r="AZ2" i="36" s="1"/>
  <c r="BB2" i="36" s="1"/>
  <c r="BA6" i="36"/>
  <c r="BA80" i="34"/>
  <c r="AZ80" i="34"/>
  <c r="BD80" i="34" s="1"/>
  <c r="AZ132" i="34"/>
  <c r="BD132" i="34" s="1"/>
  <c r="BA132" i="34"/>
  <c r="BA14" i="34"/>
  <c r="AZ14" i="34"/>
  <c r="BD14" i="34" s="1"/>
  <c r="BA161" i="34"/>
  <c r="AZ161" i="34"/>
  <c r="BD161" i="34" s="1"/>
  <c r="BA112" i="34"/>
  <c r="AZ112" i="34"/>
  <c r="BD112" i="34" s="1"/>
  <c r="AZ180" i="34"/>
  <c r="BD180" i="34" s="1"/>
  <c r="BA180" i="34"/>
  <c r="AZ175" i="34"/>
  <c r="BD175" i="34" s="1"/>
  <c r="BA175" i="34"/>
  <c r="AZ28" i="34"/>
  <c r="BD28" i="34" s="1"/>
  <c r="BA28" i="34"/>
  <c r="BA237" i="34"/>
  <c r="AZ237" i="34"/>
  <c r="BD237" i="34" s="1"/>
  <c r="AZ147" i="34"/>
  <c r="BD147" i="34" s="1"/>
  <c r="BA147" i="34"/>
  <c r="BA183" i="34"/>
  <c r="AZ183" i="34"/>
  <c r="BD183" i="34" s="1"/>
  <c r="BA85" i="34"/>
  <c r="AZ85" i="34"/>
  <c r="BD85" i="34" s="1"/>
  <c r="BA224" i="34"/>
  <c r="AZ224" i="34"/>
  <c r="BD224" i="34" s="1"/>
  <c r="BA191" i="34"/>
  <c r="AZ191" i="34"/>
  <c r="BD191" i="34" s="1"/>
  <c r="BA243" i="34"/>
  <c r="AZ243" i="34"/>
  <c r="BD243" i="34" s="1"/>
  <c r="BA67" i="34"/>
  <c r="AZ67" i="34"/>
  <c r="BD67" i="34" s="1"/>
  <c r="AZ69" i="34"/>
  <c r="BD69" i="34" s="1"/>
  <c r="BA69" i="34"/>
  <c r="AZ41" i="34"/>
  <c r="BD41" i="34" s="1"/>
  <c r="BA41" i="34"/>
  <c r="F33" i="5"/>
  <c r="G33" i="5" s="1"/>
  <c r="G34" i="5" s="1"/>
  <c r="H34" i="5" s="1"/>
  <c r="I73" i="14"/>
  <c r="I76" i="14" s="1"/>
  <c r="J77" i="14" s="1"/>
  <c r="AZ158" i="34"/>
  <c r="BD158" i="34" s="1"/>
  <c r="BA158" i="34"/>
  <c r="BA87" i="34"/>
  <c r="AZ87" i="34"/>
  <c r="BD87" i="34" s="1"/>
  <c r="BA127" i="34"/>
  <c r="AZ127" i="34"/>
  <c r="BD127" i="34" s="1"/>
  <c r="AZ197" i="34"/>
  <c r="BD197" i="34" s="1"/>
  <c r="BA197" i="34"/>
  <c r="BA199" i="34"/>
  <c r="AZ199" i="34"/>
  <c r="BD199" i="34" s="1"/>
  <c r="M66" i="67"/>
  <c r="I15" i="13"/>
  <c r="I15" i="61"/>
  <c r="AZ94" i="34"/>
  <c r="BD94" i="34" s="1"/>
  <c r="BA94" i="34"/>
  <c r="AZ141" i="34"/>
  <c r="BD141" i="34" s="1"/>
  <c r="BA141" i="34"/>
  <c r="AZ79" i="34"/>
  <c r="BD79" i="34" s="1"/>
  <c r="BA79" i="34"/>
  <c r="I15" i="14"/>
  <c r="I42" i="14" s="1"/>
  <c r="F42" i="14"/>
  <c r="F43" i="14" s="1"/>
  <c r="AZ210" i="34"/>
  <c r="BD210" i="34" s="1"/>
  <c r="BA210" i="34"/>
  <c r="AE69" i="29"/>
  <c r="AE71" i="29" s="1"/>
  <c r="AE22" i="29"/>
  <c r="AE23" i="29" s="1"/>
  <c r="AE66" i="29" s="1"/>
  <c r="AE25" i="29"/>
  <c r="AE53" i="29" s="1"/>
  <c r="AZ215" i="34"/>
  <c r="BD215" i="34" s="1"/>
  <c r="BA215" i="34"/>
  <c r="AZ31" i="34"/>
  <c r="BD31" i="34" s="1"/>
  <c r="BA31" i="34"/>
  <c r="BA242" i="34"/>
  <c r="AZ242" i="34"/>
  <c r="BD242" i="34" s="1"/>
  <c r="AZ207" i="34"/>
  <c r="BD207" i="34" s="1"/>
  <c r="BA207" i="34"/>
  <c r="AZ192" i="34"/>
  <c r="BD192" i="34" s="1"/>
  <c r="BA192" i="34"/>
  <c r="BA95" i="34"/>
  <c r="AZ95" i="34"/>
  <c r="BD95" i="34" s="1"/>
  <c r="BA211" i="34"/>
  <c r="AZ211" i="34"/>
  <c r="BD211" i="34" s="1"/>
  <c r="F39" i="61"/>
  <c r="I39" i="61" s="1"/>
  <c r="J39" i="61"/>
  <c r="I42" i="61" l="1"/>
  <c r="I80" i="61" s="1"/>
  <c r="I13" i="13"/>
  <c r="I77" i="61"/>
  <c r="AZ103" i="34"/>
  <c r="AZ7" i="34"/>
  <c r="BA7" i="34" s="1"/>
  <c r="BD35" i="34"/>
  <c r="BD103" i="34" s="1"/>
  <c r="I9" i="66"/>
  <c r="I77" i="66" s="1"/>
  <c r="F77" i="66"/>
  <c r="F147" i="15"/>
  <c r="F148" i="15" s="1"/>
  <c r="F159" i="15" s="1"/>
  <c r="F160" i="15" s="1"/>
  <c r="AZ168" i="34"/>
  <c r="BD106" i="34"/>
  <c r="BD168" i="34" s="1"/>
  <c r="L15" i="13"/>
  <c r="M15" i="13" s="1"/>
  <c r="J15" i="13"/>
  <c r="AZ8" i="34"/>
  <c r="BA8" i="34" s="1"/>
  <c r="AZ252" i="34"/>
  <c r="BD171" i="34"/>
  <c r="I82" i="66"/>
  <c r="I145" i="66" s="1"/>
  <c r="F145" i="66"/>
  <c r="F147" i="66" s="1"/>
  <c r="F148" i="66" s="1"/>
  <c r="F159" i="66" s="1"/>
  <c r="AZ9" i="34"/>
  <c r="BA9" i="34" s="1"/>
  <c r="BD249" i="34"/>
  <c r="H43" i="14"/>
  <c r="F46" i="14"/>
  <c r="I3" i="14" s="1"/>
  <c r="J4" i="14" s="1"/>
  <c r="F42" i="61"/>
  <c r="F43" i="61" s="1"/>
  <c r="L7" i="13"/>
  <c r="M7" i="13" s="1"/>
  <c r="J7" i="13"/>
  <c r="AZ6" i="34"/>
  <c r="AZ32" i="34"/>
  <c r="BD12" i="34"/>
  <c r="BD32" i="34" s="1"/>
  <c r="AZ12" i="38"/>
  <c r="AZ6" i="38"/>
  <c r="AZ5" i="34" l="1"/>
  <c r="AZ2" i="34" s="1"/>
  <c r="BB2" i="34" s="1"/>
  <c r="BA6" i="34"/>
  <c r="BD252" i="34"/>
  <c r="H43" i="61"/>
  <c r="F46" i="61"/>
  <c r="I6" i="13"/>
  <c r="F160" i="66"/>
  <c r="L13" i="13"/>
  <c r="M13" i="13" s="1"/>
  <c r="J13" i="13"/>
  <c r="AZ5" i="38"/>
  <c r="AZ2" i="38" s="1"/>
  <c r="BB2" i="38" s="1"/>
  <c r="BA6" i="38"/>
  <c r="J6" i="13" l="1"/>
  <c r="L6" i="13"/>
  <c r="M6" i="13" s="1"/>
  <c r="I5" i="13"/>
  <c r="I3" i="61"/>
  <c r="J4" i="61" s="1"/>
  <c r="I9" i="13" l="1"/>
  <c r="J5" i="13"/>
  <c r="L5" i="13"/>
  <c r="L9" i="13" l="1"/>
  <c r="M5" i="13"/>
  <c r="J9" i="13"/>
  <c r="I17" i="13"/>
  <c r="I19" i="13" s="1"/>
  <c r="I21" i="13" s="1"/>
  <c r="M9" i="13" l="1"/>
  <c r="L17" i="13"/>
  <c r="M17" i="13" s="1"/>
</calcChain>
</file>

<file path=xl/comments1.xml><?xml version="1.0" encoding="utf-8"?>
<comments xmlns="http://schemas.openxmlformats.org/spreadsheetml/2006/main">
  <authors>
    <author>Hammond, Greg (UTC)</author>
  </authors>
  <commentList>
    <comment ref="E9" authorId="0" shapeId="0">
      <text>
        <r>
          <rPr>
            <b/>
            <sz val="9"/>
            <color indexed="81"/>
            <rFont val="Tahoma"/>
            <family val="2"/>
          </rPr>
          <t>Hammond, Greg (UTC):</t>
        </r>
        <r>
          <rPr>
            <sz val="9"/>
            <color indexed="81"/>
            <rFont val="Tahoma"/>
            <family val="2"/>
          </rPr>
          <t xml:space="preserve">
From Summary (Staff)</t>
        </r>
      </text>
    </comment>
  </commentList>
</comments>
</file>

<file path=xl/comments10.xml><?xml version="1.0" encoding="utf-8"?>
<comments xmlns="http://schemas.openxmlformats.org/spreadsheetml/2006/main">
  <authors>
    <author>mg00005</author>
    <author>Vander Zalm, Connor</author>
    <author>Brenner, Alex</author>
    <author>Amy White</author>
  </authors>
  <commentList>
    <comment ref="C12" authorId="0" shapeId="0">
      <text>
        <r>
          <rPr>
            <b/>
            <sz val="8"/>
            <color indexed="81"/>
            <rFont val="Tahoma"/>
            <family val="2"/>
          </rPr>
          <t>mg00005:</t>
        </r>
        <r>
          <rPr>
            <sz val="8"/>
            <color indexed="81"/>
            <rFont val="Tahoma"/>
            <family val="2"/>
          </rPr>
          <t xml:space="preserve">
from disposal analysis spreadsheet</t>
        </r>
      </text>
    </comment>
    <comment ref="F149" authorId="1" shapeId="0">
      <text>
        <r>
          <rPr>
            <b/>
            <sz val="9"/>
            <color indexed="81"/>
            <rFont val="Tahoma"/>
            <family val="2"/>
          </rPr>
          <t>Vander Zalm, Connor:</t>
        </r>
        <r>
          <rPr>
            <sz val="9"/>
            <color indexed="81"/>
            <rFont val="Tahoma"/>
            <family val="2"/>
          </rPr>
          <t xml:space="preserve">
See PDFs in support workpapers:
May 2013 L&amp;I Credit JE, June 2013 L&amp;I - PITB Credit JE, &amp; Oct PITB Credit - Allocate Final PITB
L&amp;I Credit for 2013 ($174,372)
L&amp;I Credit from closeout of Group PITB RETRO program associated with years 2011 &amp; 2012 ($41,037)</t>
        </r>
      </text>
    </comment>
    <comment ref="F176" authorId="2" shapeId="0">
      <text>
        <r>
          <rPr>
            <b/>
            <sz val="8"/>
            <color indexed="81"/>
            <rFont val="Tahoma"/>
            <family val="2"/>
          </rPr>
          <t>Brenner, Alex:</t>
        </r>
        <r>
          <rPr>
            <sz val="8"/>
            <color indexed="81"/>
            <rFont val="Tahoma"/>
            <family val="2"/>
          </rPr>
          <t xml:space="preserve">
One-time federal credit for CNG fuel</t>
        </r>
      </text>
    </comment>
    <comment ref="D209" authorId="3" shapeId="0">
      <text>
        <r>
          <rPr>
            <b/>
            <sz val="9"/>
            <color indexed="81"/>
            <rFont val="Tahoma"/>
            <family val="2"/>
          </rPr>
          <t>Amy White:</t>
        </r>
        <r>
          <rPr>
            <sz val="9"/>
            <color indexed="81"/>
            <rFont val="Tahoma"/>
            <family val="2"/>
          </rPr>
          <t xml:space="preserve">
Entire expense (since it is sales) is deleted 
</t>
        </r>
      </text>
    </comment>
    <comment ref="D213" authorId="3" shapeId="0">
      <text>
        <r>
          <rPr>
            <b/>
            <sz val="9"/>
            <color indexed="81"/>
            <rFont val="Tahoma"/>
            <family val="2"/>
          </rPr>
          <t>Amy White:</t>
        </r>
        <r>
          <rPr>
            <sz val="9"/>
            <color indexed="81"/>
            <rFont val="Tahoma"/>
            <family val="2"/>
          </rPr>
          <t xml:space="preserve">
Percent related to sales is calculated and deleted</t>
        </r>
      </text>
    </comment>
    <comment ref="D223" authorId="3" shapeId="0">
      <text>
        <r>
          <rPr>
            <b/>
            <sz val="9"/>
            <color indexed="81"/>
            <rFont val="Tahoma"/>
            <family val="2"/>
          </rPr>
          <t>Amy White:</t>
        </r>
        <r>
          <rPr>
            <sz val="9"/>
            <color indexed="81"/>
            <rFont val="Tahoma"/>
            <family val="2"/>
          </rPr>
          <t xml:space="preserve">
hardcoded by staff with company number to correct a formula error 
</t>
        </r>
      </text>
    </comment>
  </commentList>
</comments>
</file>

<file path=xl/comments11.xml><?xml version="1.0" encoding="utf-8"?>
<comments xmlns="http://schemas.openxmlformats.org/spreadsheetml/2006/main">
  <authors>
    <author>Vander Zalm, Connor</author>
  </authors>
  <commentList>
    <comment ref="I26" authorId="0" shapeId="0">
      <text>
        <r>
          <rPr>
            <b/>
            <sz val="9"/>
            <color indexed="81"/>
            <rFont val="Tahoma"/>
            <family val="2"/>
          </rPr>
          <t>Vander Zalm, Connor:</t>
        </r>
        <r>
          <rPr>
            <sz val="9"/>
            <color indexed="81"/>
            <rFont val="Tahoma"/>
            <family val="2"/>
          </rPr>
          <t xml:space="preserve">
See Docket #TG-131756 for increase in YW Disposal fee/ton at Cedar grove to $39.54 from $34, an increase of $5.54.
In November of 2013 Republic Services agreed to pay half of outstanding assessed contamination fees applied to YW disposal tonnage effective May, 2013 through October, 2013 (see most recent Lynnwood rate case)</t>
        </r>
      </text>
    </comment>
    <comment ref="H100" authorId="0" shapeId="0">
      <text>
        <r>
          <rPr>
            <b/>
            <sz val="9"/>
            <color indexed="81"/>
            <rFont val="Tahoma"/>
            <family val="2"/>
          </rPr>
          <t>Vander Zalm, Connor:</t>
        </r>
        <r>
          <rPr>
            <sz val="9"/>
            <color indexed="81"/>
            <rFont val="Tahoma"/>
            <family val="2"/>
          </rPr>
          <t xml:space="preserve">
For each LOB:
2013 Account Balance less Jan, Feb, Mar, Apr. PLUS ZERO for 2014 as there is no more Federal CNG Tax Credit</t>
        </r>
      </text>
    </comment>
    <comment ref="G163" authorId="0" shapeId="0">
      <text>
        <r>
          <rPr>
            <b/>
            <sz val="9"/>
            <color indexed="81"/>
            <rFont val="Tahoma"/>
            <family val="2"/>
          </rPr>
          <t>Vander Zalm, Connor:</t>
        </r>
        <r>
          <rPr>
            <sz val="9"/>
            <color indexed="81"/>
            <rFont val="Tahoma"/>
            <family val="2"/>
          </rPr>
          <t xml:space="preserve">
Rent Increase Jan 1, 2014 - see attachment "Rent Expense GL290.pdf"</t>
        </r>
      </text>
    </comment>
  </commentList>
</comments>
</file>

<file path=xl/comments12.xml><?xml version="1.0" encoding="utf-8"?>
<comments xmlns="http://schemas.openxmlformats.org/spreadsheetml/2006/main">
  <authors>
    <author>Layne Demas</author>
    <author>Allied Waste</author>
  </authors>
  <commentList>
    <comment ref="N16" authorId="0" shapeId="0">
      <text>
        <r>
          <rPr>
            <b/>
            <sz val="8"/>
            <color indexed="81"/>
            <rFont val="Tahoma"/>
            <family val="2"/>
          </rPr>
          <t>AB:</t>
        </r>
        <r>
          <rPr>
            <sz val="8"/>
            <color indexed="81"/>
            <rFont val="Tahoma"/>
            <family val="2"/>
          </rPr>
          <t xml:space="preserve">
Total container repair x Drop Box Container %</t>
        </r>
      </text>
    </comment>
    <comment ref="H27" authorId="0" shapeId="0">
      <text>
        <r>
          <rPr>
            <b/>
            <sz val="8"/>
            <color indexed="81"/>
            <rFont val="Tahoma"/>
            <family val="2"/>
          </rPr>
          <t>Layne Demas:</t>
        </r>
        <r>
          <rPr>
            <sz val="8"/>
            <color indexed="81"/>
            <rFont val="Tahoma"/>
            <family val="2"/>
          </rPr>
          <t xml:space="preserve">
Truck Shop vacation/expense</t>
        </r>
      </text>
    </comment>
    <comment ref="K36" authorId="1" shapeId="0">
      <text>
        <r>
          <rPr>
            <b/>
            <sz val="8"/>
            <color indexed="81"/>
            <rFont val="Tahoma"/>
            <family val="2"/>
          </rPr>
          <t>Allied Waste:</t>
        </r>
        <r>
          <rPr>
            <sz val="8"/>
            <color indexed="81"/>
            <rFont val="Tahoma"/>
            <family val="2"/>
          </rPr>
          <t xml:space="preserve">
From Average Investment Model</t>
        </r>
      </text>
    </comment>
    <comment ref="O37" authorId="1" shapeId="0">
      <text>
        <r>
          <rPr>
            <b/>
            <sz val="8"/>
            <color indexed="81"/>
            <rFont val="Tahoma"/>
            <family val="2"/>
          </rPr>
          <t>Allied Waste:</t>
        </r>
        <r>
          <rPr>
            <sz val="8"/>
            <color indexed="81"/>
            <rFont val="Tahoma"/>
            <family val="2"/>
          </rPr>
          <t xml:space="preserve">
From Average Investment Model</t>
        </r>
      </text>
    </comment>
  </commentList>
</comments>
</file>

<file path=xl/comments13.xml><?xml version="1.0" encoding="utf-8"?>
<comments xmlns="http://schemas.openxmlformats.org/spreadsheetml/2006/main">
  <authors>
    <author>Layne Demas</author>
    <author>Allied Waste</author>
  </authors>
  <commentList>
    <comment ref="N16" authorId="0" shapeId="0">
      <text>
        <r>
          <rPr>
            <b/>
            <sz val="8"/>
            <color indexed="81"/>
            <rFont val="Tahoma"/>
            <family val="2"/>
          </rPr>
          <t>AB:</t>
        </r>
        <r>
          <rPr>
            <sz val="8"/>
            <color indexed="81"/>
            <rFont val="Tahoma"/>
            <family val="2"/>
          </rPr>
          <t xml:space="preserve">
Total container repair x Drop Box Container %</t>
        </r>
      </text>
    </comment>
    <comment ref="H27" authorId="0" shapeId="0">
      <text>
        <r>
          <rPr>
            <b/>
            <sz val="8"/>
            <color indexed="81"/>
            <rFont val="Tahoma"/>
            <family val="2"/>
          </rPr>
          <t>Layne Demas:</t>
        </r>
        <r>
          <rPr>
            <sz val="8"/>
            <color indexed="81"/>
            <rFont val="Tahoma"/>
            <family val="2"/>
          </rPr>
          <t xml:space="preserve">
Truck Shop vacation/expense</t>
        </r>
      </text>
    </comment>
    <comment ref="K36" authorId="1" shapeId="0">
      <text>
        <r>
          <rPr>
            <b/>
            <sz val="8"/>
            <color indexed="81"/>
            <rFont val="Tahoma"/>
            <family val="2"/>
          </rPr>
          <t>Allied Waste:</t>
        </r>
        <r>
          <rPr>
            <sz val="8"/>
            <color indexed="81"/>
            <rFont val="Tahoma"/>
            <family val="2"/>
          </rPr>
          <t xml:space="preserve">
From Average Investment Model</t>
        </r>
      </text>
    </comment>
    <comment ref="O37" authorId="1" shapeId="0">
      <text>
        <r>
          <rPr>
            <b/>
            <sz val="8"/>
            <color indexed="81"/>
            <rFont val="Tahoma"/>
            <family val="2"/>
          </rPr>
          <t>Allied Waste:</t>
        </r>
        <r>
          <rPr>
            <sz val="8"/>
            <color indexed="81"/>
            <rFont val="Tahoma"/>
            <family val="2"/>
          </rPr>
          <t xml:space="preserve">
From Average Investment Model</t>
        </r>
      </text>
    </comment>
  </commentList>
</comments>
</file>

<file path=xl/comments14.xml><?xml version="1.0" encoding="utf-8"?>
<comments xmlns="http://schemas.openxmlformats.org/spreadsheetml/2006/main">
  <authors>
    <author>Vander Zalm, Connor</author>
  </authors>
  <commentList>
    <comment ref="L9" authorId="0" shapeId="0">
      <text>
        <r>
          <rPr>
            <b/>
            <sz val="9"/>
            <color indexed="81"/>
            <rFont val="Tahoma"/>
            <family val="2"/>
          </rPr>
          <t>Vander Zalm, Connor:</t>
        </r>
        <r>
          <rPr>
            <sz val="9"/>
            <color indexed="81"/>
            <rFont val="Tahoma"/>
            <family val="2"/>
          </rPr>
          <t xml:space="preserve">
Calculated Weight of an average Reycling Container collected as pre previous filing (Lynnwood)
</t>
        </r>
      </text>
    </comment>
  </commentList>
</comments>
</file>

<file path=xl/comments15.xml><?xml version="1.0" encoding="utf-8"?>
<comments xmlns="http://schemas.openxmlformats.org/spreadsheetml/2006/main">
  <authors>
    <author>Layne Demas</author>
    <author>Allied Waste</author>
  </authors>
  <commentList>
    <comment ref="N16" authorId="0" shapeId="0">
      <text>
        <r>
          <rPr>
            <b/>
            <sz val="8"/>
            <color indexed="81"/>
            <rFont val="Tahoma"/>
            <family val="2"/>
          </rPr>
          <t>AB:</t>
        </r>
        <r>
          <rPr>
            <sz val="8"/>
            <color indexed="81"/>
            <rFont val="Tahoma"/>
            <family val="2"/>
          </rPr>
          <t xml:space="preserve">
Total container repair x Drop Box Container %</t>
        </r>
      </text>
    </comment>
    <comment ref="H27" authorId="0" shapeId="0">
      <text>
        <r>
          <rPr>
            <b/>
            <sz val="8"/>
            <color indexed="81"/>
            <rFont val="Tahoma"/>
            <family val="2"/>
          </rPr>
          <t>Layne Demas:</t>
        </r>
        <r>
          <rPr>
            <sz val="8"/>
            <color indexed="81"/>
            <rFont val="Tahoma"/>
            <family val="2"/>
          </rPr>
          <t xml:space="preserve">
Truck Shop vacation/expense</t>
        </r>
      </text>
    </comment>
    <comment ref="K36" authorId="1" shapeId="0">
      <text>
        <r>
          <rPr>
            <b/>
            <sz val="8"/>
            <color indexed="81"/>
            <rFont val="Tahoma"/>
            <family val="2"/>
          </rPr>
          <t>Allied Waste:</t>
        </r>
        <r>
          <rPr>
            <sz val="8"/>
            <color indexed="81"/>
            <rFont val="Tahoma"/>
            <family val="2"/>
          </rPr>
          <t xml:space="preserve">
From Average Investment Model</t>
        </r>
      </text>
    </comment>
    <comment ref="O37" authorId="1" shapeId="0">
      <text>
        <r>
          <rPr>
            <b/>
            <sz val="8"/>
            <color indexed="81"/>
            <rFont val="Tahoma"/>
            <family val="2"/>
          </rPr>
          <t>Allied Waste:</t>
        </r>
        <r>
          <rPr>
            <sz val="8"/>
            <color indexed="81"/>
            <rFont val="Tahoma"/>
            <family val="2"/>
          </rPr>
          <t xml:space="preserve">
From Average Investment Model</t>
        </r>
      </text>
    </comment>
  </commentList>
</comments>
</file>

<file path=xl/comments16.xml><?xml version="1.0" encoding="utf-8"?>
<comments xmlns="http://schemas.openxmlformats.org/spreadsheetml/2006/main">
  <authors>
    <author>Vander Zalm, Connor</author>
  </authors>
  <commentList>
    <comment ref="L9" authorId="0" shapeId="0">
      <text>
        <r>
          <rPr>
            <b/>
            <sz val="9"/>
            <color indexed="81"/>
            <rFont val="Tahoma"/>
            <family val="2"/>
          </rPr>
          <t>Vander Zalm, Connor:</t>
        </r>
        <r>
          <rPr>
            <sz val="9"/>
            <color indexed="81"/>
            <rFont val="Tahoma"/>
            <family val="2"/>
          </rPr>
          <t xml:space="preserve">
Meeks</t>
        </r>
      </text>
    </comment>
    <comment ref="Q9" authorId="0" shapeId="0">
      <text>
        <r>
          <rPr>
            <b/>
            <sz val="9"/>
            <color indexed="81"/>
            <rFont val="Tahoma"/>
            <family val="2"/>
          </rPr>
          <t>Vander Zalm, Connor:</t>
        </r>
        <r>
          <rPr>
            <sz val="9"/>
            <color indexed="81"/>
            <rFont val="Tahoma"/>
            <family val="2"/>
          </rPr>
          <t xml:space="preserve">
Meeks</t>
        </r>
      </text>
    </comment>
  </commentList>
</comments>
</file>

<file path=xl/comments17.xml><?xml version="1.0" encoding="utf-8"?>
<comments xmlns="http://schemas.openxmlformats.org/spreadsheetml/2006/main">
  <authors>
    <author>Vander Zalm, Connor</author>
  </authors>
  <commentList>
    <comment ref="D29" authorId="0" shapeId="0">
      <text>
        <r>
          <rPr>
            <b/>
            <sz val="9"/>
            <color indexed="81"/>
            <rFont val="Tahoma"/>
            <family val="2"/>
          </rPr>
          <t>Vander Zalm, Connor:</t>
        </r>
        <r>
          <rPr>
            <sz val="9"/>
            <color indexed="81"/>
            <rFont val="Tahoma"/>
            <family val="2"/>
          </rPr>
          <t xml:space="preserve">
YW rate (w/garb svc) $ 8.00
RCY rate (w/garb svc) $ 8.39
YW only rate $ 9.00
YW only rate $ 9.39</t>
        </r>
      </text>
    </comment>
  </commentList>
</comments>
</file>

<file path=xl/comments18.xml><?xml version="1.0" encoding="utf-8"?>
<comments xmlns="http://schemas.openxmlformats.org/spreadsheetml/2006/main">
  <authors>
    <author>Vander Zalm, Connor</author>
  </authors>
  <commentList>
    <comment ref="D29" authorId="0" shapeId="0">
      <text>
        <r>
          <rPr>
            <b/>
            <sz val="9"/>
            <color indexed="81"/>
            <rFont val="Tahoma"/>
            <family val="2"/>
          </rPr>
          <t>Vander Zalm, Connor:</t>
        </r>
        <r>
          <rPr>
            <sz val="9"/>
            <color indexed="81"/>
            <rFont val="Tahoma"/>
            <family val="2"/>
          </rPr>
          <t xml:space="preserve">
YW rate (w/garb svc) $ 8.00
RCY rate (w/garb svc) $ 8.39
YW only rate $ 9.00
YW only rate $ 9.39</t>
        </r>
      </text>
    </comment>
  </commentList>
</comments>
</file>

<file path=xl/comments19.xml><?xml version="1.0" encoding="utf-8"?>
<comments xmlns="http://schemas.openxmlformats.org/spreadsheetml/2006/main">
  <authors>
    <author>Vander Zalm, Connor</author>
  </authors>
  <commentList>
    <comment ref="D144" authorId="0" shapeId="0">
      <text>
        <r>
          <rPr>
            <b/>
            <sz val="9"/>
            <color indexed="81"/>
            <rFont val="Tahoma"/>
            <family val="2"/>
          </rPr>
          <t>Vander Zalm, Connor:</t>
        </r>
        <r>
          <rPr>
            <sz val="9"/>
            <color indexed="81"/>
            <rFont val="Tahoma"/>
            <family val="2"/>
          </rPr>
          <t xml:space="preserve">
What rate goes in here?</t>
        </r>
      </text>
    </comment>
  </commentList>
</comments>
</file>

<file path=xl/comments2.xml><?xml version="1.0" encoding="utf-8"?>
<comments xmlns="http://schemas.openxmlformats.org/spreadsheetml/2006/main">
  <authors>
    <author>Hammond, Greg (UTC)</author>
  </authors>
  <commentList>
    <comment ref="E9" authorId="0" shapeId="0">
      <text>
        <r>
          <rPr>
            <b/>
            <sz val="9"/>
            <color indexed="81"/>
            <rFont val="Tahoma"/>
            <family val="2"/>
          </rPr>
          <t>Hammond, Greg (UTC):</t>
        </r>
        <r>
          <rPr>
            <sz val="9"/>
            <color indexed="81"/>
            <rFont val="Tahoma"/>
            <family val="2"/>
          </rPr>
          <t xml:space="preserve">
See Summary (Staff)</t>
        </r>
      </text>
    </comment>
  </commentList>
</comments>
</file>

<file path=xl/comments20.xml><?xml version="1.0" encoding="utf-8"?>
<comments xmlns="http://schemas.openxmlformats.org/spreadsheetml/2006/main">
  <authors>
    <author>Vander Zalm, Connor</author>
  </authors>
  <commentList>
    <comment ref="D144" authorId="0" shapeId="0">
      <text>
        <r>
          <rPr>
            <b/>
            <sz val="9"/>
            <color indexed="81"/>
            <rFont val="Tahoma"/>
            <family val="2"/>
          </rPr>
          <t>Vander Zalm, Connor:</t>
        </r>
        <r>
          <rPr>
            <sz val="9"/>
            <color indexed="81"/>
            <rFont val="Tahoma"/>
            <family val="2"/>
          </rPr>
          <t xml:space="preserve">
What rate goes in here?</t>
        </r>
      </text>
    </comment>
  </commentList>
</comments>
</file>

<file path=xl/comments21.xml><?xml version="1.0" encoding="utf-8"?>
<comments xmlns="http://schemas.openxmlformats.org/spreadsheetml/2006/main">
  <authors>
    <author>Alex Brenner</author>
    <author>mg00005</author>
  </authors>
  <commentList>
    <comment ref="A4" authorId="0" shapeId="0">
      <text>
        <r>
          <rPr>
            <b/>
            <sz val="8"/>
            <color indexed="81"/>
            <rFont val="Tahoma"/>
            <family val="2"/>
          </rPr>
          <t>Alex Brenner:</t>
        </r>
        <r>
          <rPr>
            <sz val="8"/>
            <color indexed="81"/>
            <rFont val="Tahoma"/>
            <family val="2"/>
          </rPr>
          <t xml:space="preserve">
from InfoPro Revenue by GL Period reports. The actual LOB #'s will vary from division to division</t>
        </r>
      </text>
    </comment>
    <comment ref="B7" authorId="0" shapeId="0">
      <text>
        <r>
          <rPr>
            <b/>
            <sz val="8"/>
            <color indexed="81"/>
            <rFont val="Tahoma"/>
            <family val="2"/>
          </rPr>
          <t>Alex Brenner:</t>
        </r>
        <r>
          <rPr>
            <sz val="8"/>
            <color indexed="81"/>
            <rFont val="Tahoma"/>
            <family val="2"/>
          </rPr>
          <t xml:space="preserve">
data will come from SQL charge code report (HWF charge code)</t>
        </r>
      </text>
    </comment>
    <comment ref="B8" authorId="0" shapeId="0">
      <text>
        <r>
          <rPr>
            <b/>
            <sz val="8"/>
            <color indexed="81"/>
            <rFont val="Tahoma"/>
            <family val="2"/>
          </rPr>
          <t>Alex Brenner:</t>
        </r>
        <r>
          <rPr>
            <sz val="8"/>
            <color indexed="81"/>
            <rFont val="Tahoma"/>
            <family val="2"/>
          </rPr>
          <t xml:space="preserve">
data will come SQL charge code report (ADF charge code)</t>
        </r>
      </text>
    </comment>
    <comment ref="B10" authorId="0" shapeId="0">
      <text>
        <r>
          <rPr>
            <b/>
            <sz val="8"/>
            <color indexed="81"/>
            <rFont val="Tahoma"/>
            <family val="2"/>
          </rPr>
          <t>Alex Brenner:</t>
        </r>
        <r>
          <rPr>
            <sz val="8"/>
            <color indexed="81"/>
            <rFont val="Tahoma"/>
            <family val="2"/>
          </rPr>
          <t xml:space="preserve">
data will come SQL charge code report (VRS or VMF charge code)</t>
        </r>
      </text>
    </comment>
    <comment ref="B11" authorId="0" shapeId="0">
      <text>
        <r>
          <rPr>
            <b/>
            <sz val="8"/>
            <color indexed="81"/>
            <rFont val="Tahoma"/>
            <family val="2"/>
          </rPr>
          <t>Alex Brenner:</t>
        </r>
        <r>
          <rPr>
            <sz val="8"/>
            <color indexed="81"/>
            <rFont val="Tahoma"/>
            <family val="2"/>
          </rPr>
          <t xml:space="preserve">
data will come SQL charge code report (CBB &amp; EXY charge codes)</t>
        </r>
      </text>
    </comment>
    <comment ref="O14" authorId="1" shapeId="0">
      <text>
        <r>
          <rPr>
            <b/>
            <sz val="8"/>
            <color indexed="81"/>
            <rFont val="Tahoma"/>
            <family val="2"/>
          </rPr>
          <t>mg00005:</t>
        </r>
        <r>
          <rPr>
            <sz val="8"/>
            <color indexed="81"/>
            <rFont val="Tahoma"/>
            <family val="2"/>
          </rPr>
          <t xml:space="preserve">
base revenue excluding 30% revenue retention adjustment
This number becomes regulated revenue on proforma</t>
        </r>
      </text>
    </comment>
    <comment ref="A16" authorId="0" shapeId="0">
      <text>
        <r>
          <rPr>
            <b/>
            <sz val="8"/>
            <color indexed="81"/>
            <rFont val="Tahoma"/>
            <family val="2"/>
          </rPr>
          <t>Alex Brenner:</t>
        </r>
        <r>
          <rPr>
            <sz val="8"/>
            <color indexed="81"/>
            <rFont val="Tahoma"/>
            <family val="2"/>
          </rPr>
          <t xml:space="preserve">
from InfoPro Revenue by GL Period reports. The actual LOB #'s will vary from division to division</t>
        </r>
      </text>
    </comment>
    <comment ref="B22" authorId="0" shapeId="0">
      <text>
        <r>
          <rPr>
            <b/>
            <sz val="8"/>
            <color indexed="81"/>
            <rFont val="Tahoma"/>
            <family val="2"/>
          </rPr>
          <t>Alex Brenner:</t>
        </r>
        <r>
          <rPr>
            <sz val="8"/>
            <color indexed="81"/>
            <rFont val="Tahoma"/>
            <family val="2"/>
          </rPr>
          <t xml:space="preserve">
data will come SQL charge code report (CBB &amp; EXY charge codes)</t>
        </r>
      </text>
    </comment>
    <comment ref="B23" authorId="0" shapeId="0">
      <text>
        <r>
          <rPr>
            <b/>
            <sz val="8"/>
            <color indexed="81"/>
            <rFont val="Tahoma"/>
            <family val="2"/>
          </rPr>
          <t>Alex Brenner:</t>
        </r>
        <r>
          <rPr>
            <sz val="8"/>
            <color indexed="81"/>
            <rFont val="Tahoma"/>
            <family val="2"/>
          </rPr>
          <t xml:space="preserve">
data will come SQL charge code report (LOB 70 &amp; 7E). </t>
        </r>
      </text>
    </comment>
    <comment ref="B24" authorId="0" shapeId="0">
      <text>
        <r>
          <rPr>
            <b/>
            <sz val="8"/>
            <color indexed="81"/>
            <rFont val="Tahoma"/>
            <family val="2"/>
          </rPr>
          <t>Alex Brenner:</t>
        </r>
        <r>
          <rPr>
            <sz val="8"/>
            <color indexed="81"/>
            <rFont val="Tahoma"/>
            <family val="2"/>
          </rPr>
          <t xml:space="preserve">
data will come SQL charge code report (VRS or VMF charge code)</t>
        </r>
      </text>
    </comment>
    <comment ref="B25" authorId="0" shapeId="0">
      <text>
        <r>
          <rPr>
            <b/>
            <sz val="8"/>
            <color indexed="81"/>
            <rFont val="Tahoma"/>
            <family val="2"/>
          </rPr>
          <t>Alex Brenner:</t>
        </r>
        <r>
          <rPr>
            <sz val="8"/>
            <color indexed="81"/>
            <rFont val="Tahoma"/>
            <family val="2"/>
          </rPr>
          <t xml:space="preserve">
data will come from SQL charge code report (HWF charge code)</t>
        </r>
      </text>
    </comment>
    <comment ref="B26" authorId="0" shapeId="0">
      <text>
        <r>
          <rPr>
            <b/>
            <sz val="8"/>
            <color indexed="81"/>
            <rFont val="Tahoma"/>
            <family val="2"/>
          </rPr>
          <t>Alex Brenner:</t>
        </r>
        <r>
          <rPr>
            <sz val="8"/>
            <color indexed="81"/>
            <rFont val="Tahoma"/>
            <family val="2"/>
          </rPr>
          <t xml:space="preserve">
data will come SQL charge code report (ADF charge code)</t>
        </r>
      </text>
    </comment>
    <comment ref="O29" authorId="1" shapeId="0">
      <text>
        <r>
          <rPr>
            <b/>
            <sz val="8"/>
            <color indexed="81"/>
            <rFont val="Tahoma"/>
            <family val="2"/>
          </rPr>
          <t>mg00005:</t>
        </r>
        <r>
          <rPr>
            <sz val="8"/>
            <color indexed="81"/>
            <rFont val="Tahoma"/>
            <family val="2"/>
          </rPr>
          <t xml:space="preserve">
base revenue excluding 30% revenue retention adjustment
This number becomes regulated revenue on proforma</t>
        </r>
      </text>
    </comment>
    <comment ref="B31" authorId="0" shapeId="0">
      <text>
        <r>
          <rPr>
            <b/>
            <sz val="8"/>
            <color indexed="81"/>
            <rFont val="Tahoma"/>
            <family val="2"/>
          </rPr>
          <t>Alex Brenner:</t>
        </r>
        <r>
          <rPr>
            <sz val="8"/>
            <color indexed="81"/>
            <rFont val="Tahoma"/>
            <family val="2"/>
          </rPr>
          <t xml:space="preserve">
This comes from an internal report generated by customer service. (Can be requested from DVC)</t>
        </r>
      </text>
    </comment>
    <comment ref="A32" authorId="0" shapeId="0">
      <text>
        <r>
          <rPr>
            <b/>
            <sz val="8"/>
            <color indexed="81"/>
            <rFont val="Tahoma"/>
            <family val="2"/>
          </rPr>
          <t>Alex Brenner:</t>
        </r>
        <r>
          <rPr>
            <sz val="8"/>
            <color indexed="81"/>
            <rFont val="Tahoma"/>
            <family val="2"/>
          </rPr>
          <t xml:space="preserve">
from InfoPro Revenue by GL Period reports. The actual LOB #'s will vary from division to division</t>
        </r>
      </text>
    </comment>
    <comment ref="B35" authorId="0" shapeId="0">
      <text>
        <r>
          <rPr>
            <b/>
            <sz val="8"/>
            <color indexed="81"/>
            <rFont val="Tahoma"/>
            <family val="2"/>
          </rPr>
          <t>Alex Brenner:</t>
        </r>
        <r>
          <rPr>
            <sz val="8"/>
            <color indexed="81"/>
            <rFont val="Tahoma"/>
            <family val="2"/>
          </rPr>
          <t xml:space="preserve">
This is the regulated tonnage multiplied by the disposal rate in the month</t>
        </r>
      </text>
    </comment>
    <comment ref="O35" authorId="0" shapeId="0">
      <text>
        <r>
          <rPr>
            <b/>
            <sz val="8"/>
            <color indexed="81"/>
            <rFont val="Tahoma"/>
            <family val="2"/>
          </rPr>
          <t>Alex Brenner:</t>
        </r>
        <r>
          <rPr>
            <sz val="8"/>
            <color indexed="81"/>
            <rFont val="Tahoma"/>
            <family val="2"/>
          </rPr>
          <t xml:space="preserve">
The positive of this number becomes the disposal component of regulated revenue on the proforma</t>
        </r>
      </text>
    </comment>
    <comment ref="B36" authorId="0" shapeId="0">
      <text>
        <r>
          <rPr>
            <b/>
            <sz val="8"/>
            <color indexed="81"/>
            <rFont val="Tahoma"/>
            <family val="2"/>
          </rPr>
          <t>Alex Brenner:</t>
        </r>
        <r>
          <rPr>
            <sz val="8"/>
            <color indexed="81"/>
            <rFont val="Tahoma"/>
            <family val="2"/>
          </rPr>
          <t xml:space="preserve">
data will come SQL charge code report (Container type IR). Remove charge codes</t>
        </r>
      </text>
    </comment>
    <comment ref="B37" authorId="0" shapeId="0">
      <text>
        <r>
          <rPr>
            <b/>
            <sz val="8"/>
            <color indexed="81"/>
            <rFont val="Tahoma"/>
            <family val="2"/>
          </rPr>
          <t>Alex Brenner:</t>
        </r>
        <r>
          <rPr>
            <sz val="8"/>
            <color indexed="81"/>
            <rFont val="Tahoma"/>
            <family val="2"/>
          </rPr>
          <t xml:space="preserve">
data will come SQL charge code report (CBB &amp; EXY charge codes)</t>
        </r>
      </text>
    </comment>
    <comment ref="B39" authorId="0" shapeId="0">
      <text>
        <r>
          <rPr>
            <b/>
            <sz val="8"/>
            <color indexed="81"/>
            <rFont val="Tahoma"/>
            <family val="2"/>
          </rPr>
          <t>Alex Brenner:</t>
        </r>
        <r>
          <rPr>
            <sz val="8"/>
            <color indexed="81"/>
            <rFont val="Tahoma"/>
            <family val="2"/>
          </rPr>
          <t xml:space="preserve">
data will come SQL charge code report (VRS or VMF charge code)</t>
        </r>
      </text>
    </comment>
    <comment ref="B40" authorId="0" shapeId="0">
      <text>
        <r>
          <rPr>
            <b/>
            <sz val="8"/>
            <color indexed="81"/>
            <rFont val="Tahoma"/>
            <family val="2"/>
          </rPr>
          <t>Alex Brenner:</t>
        </r>
        <r>
          <rPr>
            <sz val="8"/>
            <color indexed="81"/>
            <rFont val="Tahoma"/>
            <family val="2"/>
          </rPr>
          <t xml:space="preserve">
data will come from SQL charge code report (HWF charge code)</t>
        </r>
      </text>
    </comment>
    <comment ref="O41" authorId="0" shapeId="0">
      <text>
        <r>
          <rPr>
            <b/>
            <sz val="8"/>
            <color indexed="81"/>
            <rFont val="Tahoma"/>
            <family val="2"/>
          </rPr>
          <t>Alex Brenner:</t>
        </r>
        <r>
          <rPr>
            <sz val="8"/>
            <color indexed="81"/>
            <rFont val="Tahoma"/>
            <family val="2"/>
          </rPr>
          <t xml:space="preserve">
This number goes to the proforma</t>
        </r>
      </text>
    </comment>
    <comment ref="B45" authorId="0" shapeId="0">
      <text>
        <r>
          <rPr>
            <b/>
            <sz val="8"/>
            <color indexed="81"/>
            <rFont val="Tahoma"/>
            <family val="2"/>
          </rPr>
          <t>Alex Brenner:</t>
        </r>
        <r>
          <rPr>
            <sz val="8"/>
            <color indexed="81"/>
            <rFont val="Tahoma"/>
            <family val="2"/>
          </rPr>
          <t xml:space="preserve">
for comparison purposes only. Data comes from SQL Report, 'DSP' charge code</t>
        </r>
      </text>
    </comment>
  </commentList>
</comments>
</file>

<file path=xl/comments22.xml><?xml version="1.0" encoding="utf-8"?>
<comments xmlns="http://schemas.openxmlformats.org/spreadsheetml/2006/main">
  <authors>
    <author>Alex Brenner</author>
    <author>joannewright</author>
    <author>Vander Zalm, Connor</author>
  </authors>
  <commentList>
    <comment ref="B12" authorId="0" shapeId="0">
      <text>
        <r>
          <rPr>
            <b/>
            <sz val="8"/>
            <color indexed="81"/>
            <rFont val="Tahoma"/>
            <family val="2"/>
          </rPr>
          <t>Source:</t>
        </r>
        <r>
          <rPr>
            <sz val="8"/>
            <color indexed="81"/>
            <rFont val="Tahoma"/>
            <family val="2"/>
          </rPr>
          <t xml:space="preserve">
'Commercial Op Stat Trend Report' - Total Disposal Tons + SOM (Sale of Material) Tons</t>
        </r>
      </text>
    </comment>
    <comment ref="B15" authorId="0" shapeId="0">
      <text>
        <r>
          <rPr>
            <b/>
            <sz val="8"/>
            <color indexed="81"/>
            <rFont val="Tahoma"/>
            <family val="2"/>
          </rPr>
          <t>Source:</t>
        </r>
        <r>
          <rPr>
            <sz val="8"/>
            <color indexed="81"/>
            <rFont val="Tahoma"/>
            <family val="2"/>
          </rPr>
          <t xml:space="preserve">
'Residential Op Stat Trend Report' - Total Disposal Tons + SOM (Sale of Material) Tons</t>
        </r>
      </text>
    </comment>
    <comment ref="B16" authorId="0" shapeId="0">
      <text>
        <r>
          <rPr>
            <b/>
            <sz val="8"/>
            <color indexed="81"/>
            <rFont val="Tahoma"/>
            <family val="2"/>
          </rPr>
          <t>Source:</t>
        </r>
        <r>
          <rPr>
            <sz val="8"/>
            <color indexed="81"/>
            <rFont val="Tahoma"/>
            <family val="2"/>
          </rPr>
          <t xml:space="preserve">
'Industrial Op Stat Trend Report' - Total Disposal Tons + SOM (Sale of Material) Tons</t>
        </r>
      </text>
    </comment>
    <comment ref="D23" authorId="1" shapeId="0">
      <text>
        <r>
          <rPr>
            <b/>
            <sz val="8"/>
            <color indexed="81"/>
            <rFont val="Tahoma"/>
            <family val="2"/>
          </rPr>
          <t xml:space="preserve">Source:
</t>
        </r>
        <r>
          <rPr>
            <sz val="8"/>
            <color indexed="81"/>
            <rFont val="Tahoma"/>
            <family val="2"/>
          </rPr>
          <t>"ESMMYYTONS" Report (MMYY represents the month and year of report, this report is produced monthly)</t>
        </r>
      </text>
    </comment>
    <comment ref="D24" authorId="1" shapeId="0">
      <text>
        <r>
          <rPr>
            <b/>
            <sz val="8"/>
            <color indexed="81"/>
            <rFont val="Tahoma"/>
            <family val="2"/>
          </rPr>
          <t xml:space="preserve">Source:
</t>
        </r>
        <r>
          <rPr>
            <sz val="8"/>
            <color indexed="81"/>
            <rFont val="Tahoma"/>
            <family val="2"/>
          </rPr>
          <t>"ESMMYYTONS" Report (MMYY represents the month and year of report, this report is produced monthly)</t>
        </r>
      </text>
    </comment>
    <comment ref="D27" authorId="1" shapeId="0">
      <text>
        <r>
          <rPr>
            <b/>
            <sz val="8"/>
            <color indexed="81"/>
            <rFont val="Tahoma"/>
            <family val="2"/>
          </rPr>
          <t>Source:</t>
        </r>
        <r>
          <rPr>
            <sz val="8"/>
            <color indexed="81"/>
            <rFont val="Tahoma"/>
            <family val="2"/>
          </rPr>
          <t xml:space="preserve">
King County report
</t>
        </r>
      </text>
    </comment>
    <comment ref="D28" authorId="1" shapeId="0">
      <text>
        <r>
          <rPr>
            <b/>
            <sz val="8"/>
            <color indexed="81"/>
            <rFont val="Tahoma"/>
            <family val="2"/>
          </rPr>
          <t>Source:</t>
        </r>
        <r>
          <rPr>
            <sz val="8"/>
            <color indexed="81"/>
            <rFont val="Tahoma"/>
            <family val="2"/>
          </rPr>
          <t xml:space="preserve">
King County report
</t>
        </r>
      </text>
    </comment>
    <comment ref="D34" authorId="1" shapeId="0">
      <text>
        <r>
          <rPr>
            <b/>
            <sz val="8"/>
            <color indexed="81"/>
            <rFont val="Tahoma"/>
            <family val="2"/>
          </rPr>
          <t xml:space="preserve">Source:
</t>
        </r>
        <r>
          <rPr>
            <sz val="8"/>
            <color indexed="81"/>
            <rFont val="Tahoma"/>
            <family val="2"/>
          </rPr>
          <t>"ESMMYYTONS" Report (MMYY represents the month and year of report, this report is produced monthly)</t>
        </r>
      </text>
    </comment>
    <comment ref="D35" authorId="1" shapeId="0">
      <text>
        <r>
          <rPr>
            <b/>
            <sz val="8"/>
            <color indexed="81"/>
            <rFont val="Tahoma"/>
            <family val="2"/>
          </rPr>
          <t xml:space="preserve">Source:
</t>
        </r>
        <r>
          <rPr>
            <sz val="8"/>
            <color indexed="81"/>
            <rFont val="Tahoma"/>
            <family val="2"/>
          </rPr>
          <t>"ESMMYYTONS" Report (MMYY represents the month and year of report, this report is produced monthly)</t>
        </r>
      </text>
    </comment>
    <comment ref="D38" authorId="1" shapeId="0">
      <text>
        <r>
          <rPr>
            <b/>
            <sz val="8"/>
            <color indexed="81"/>
            <rFont val="Tahoma"/>
            <family val="2"/>
          </rPr>
          <t xml:space="preserve">Source:
</t>
        </r>
        <r>
          <rPr>
            <sz val="8"/>
            <color indexed="81"/>
            <rFont val="Tahoma"/>
            <family val="2"/>
          </rPr>
          <t>"ESMMYYTONS" Report (MMYY represents the month and year of report, this report is produced monthly)</t>
        </r>
      </text>
    </comment>
    <comment ref="D39" authorId="1" shapeId="0">
      <text>
        <r>
          <rPr>
            <b/>
            <sz val="8"/>
            <color indexed="81"/>
            <rFont val="Tahoma"/>
            <family val="2"/>
          </rPr>
          <t xml:space="preserve">Source:
</t>
        </r>
        <r>
          <rPr>
            <sz val="8"/>
            <color indexed="81"/>
            <rFont val="Tahoma"/>
            <family val="2"/>
          </rPr>
          <t>"ESMMYYTONS" Report (MMYY represents the month and year of report, this report is produced monthly)</t>
        </r>
      </text>
    </comment>
    <comment ref="D42" authorId="1" shapeId="0">
      <text>
        <r>
          <rPr>
            <b/>
            <sz val="8"/>
            <color indexed="81"/>
            <rFont val="Tahoma"/>
            <family val="2"/>
          </rPr>
          <t xml:space="preserve">Source:
</t>
        </r>
        <r>
          <rPr>
            <sz val="8"/>
            <color indexed="81"/>
            <rFont val="Tahoma"/>
            <family val="2"/>
          </rPr>
          <t>"ESMMYYTONS" Report (MMYY represents the month and year of report, this report is produced monthly)</t>
        </r>
      </text>
    </comment>
    <comment ref="D43" authorId="1" shapeId="0">
      <text>
        <r>
          <rPr>
            <b/>
            <sz val="8"/>
            <color indexed="81"/>
            <rFont val="Tahoma"/>
            <family val="2"/>
          </rPr>
          <t xml:space="preserve">Source:
</t>
        </r>
        <r>
          <rPr>
            <sz val="8"/>
            <color indexed="81"/>
            <rFont val="Tahoma"/>
            <family val="2"/>
          </rPr>
          <t>"ESMMYYTONS" Report (MMYY represents the month and year of report, this report is produced monthly)</t>
        </r>
      </text>
    </comment>
    <comment ref="C48" authorId="1" shapeId="0">
      <text>
        <r>
          <rPr>
            <b/>
            <sz val="8"/>
            <color indexed="81"/>
            <rFont val="Tahoma"/>
            <family val="2"/>
          </rPr>
          <t>Source:</t>
        </r>
        <r>
          <rPr>
            <sz val="8"/>
            <color indexed="81"/>
            <rFont val="Tahoma"/>
            <family val="2"/>
          </rPr>
          <t xml:space="preserve">
From daily disposal reports.</t>
        </r>
      </text>
    </comment>
    <comment ref="C49" authorId="1" shapeId="0">
      <text>
        <r>
          <rPr>
            <b/>
            <sz val="8"/>
            <color indexed="81"/>
            <rFont val="Tahoma"/>
            <family val="2"/>
          </rPr>
          <t>Source:</t>
        </r>
        <r>
          <rPr>
            <sz val="8"/>
            <color indexed="81"/>
            <rFont val="Tahoma"/>
            <family val="2"/>
          </rPr>
          <t xml:space="preserve">
From daily disposal reports.</t>
        </r>
      </text>
    </comment>
    <comment ref="F80" authorId="2" shapeId="0">
      <text>
        <r>
          <rPr>
            <b/>
            <sz val="9"/>
            <color indexed="81"/>
            <rFont val="Tahoma"/>
            <family val="2"/>
          </rPr>
          <t>Vander Zalm, Connor:</t>
        </r>
        <r>
          <rPr>
            <sz val="9"/>
            <color indexed="81"/>
            <rFont val="Tahoma"/>
            <family val="2"/>
          </rPr>
          <t xml:space="preserve">
King County Solid Waste Disposal Fee</t>
        </r>
      </text>
    </comment>
    <comment ref="F82" authorId="2" shapeId="0">
      <text>
        <r>
          <rPr>
            <b/>
            <sz val="9"/>
            <color indexed="81"/>
            <rFont val="Tahoma"/>
            <family val="2"/>
          </rPr>
          <t>Vander Zalm, Connor:</t>
        </r>
        <r>
          <rPr>
            <sz val="9"/>
            <color indexed="81"/>
            <rFont val="Tahoma"/>
            <family val="2"/>
          </rPr>
          <t xml:space="preserve">
Third &amp; Lander Recycling Material Disposal fee for Residential Material</t>
        </r>
      </text>
    </comment>
    <comment ref="F84" authorId="2" shapeId="0">
      <text>
        <r>
          <rPr>
            <b/>
            <sz val="9"/>
            <color indexed="81"/>
            <rFont val="Tahoma"/>
            <family val="2"/>
          </rPr>
          <t>Vander Zalm, Connor:</t>
        </r>
        <r>
          <rPr>
            <sz val="9"/>
            <color indexed="81"/>
            <rFont val="Tahoma"/>
            <family val="2"/>
          </rPr>
          <t xml:space="preserve">
Third &amp; Lander Recycling Material Disposal fee for Commercial Material. Slightly lower than residential rate due to nigher clenliness rate of commercial accounts for ONP (newsprint) and OCC (cardboard).</t>
        </r>
      </text>
    </comment>
  </commentList>
</comments>
</file>

<file path=xl/comments23.xml><?xml version="1.0" encoding="utf-8"?>
<comments xmlns="http://schemas.openxmlformats.org/spreadsheetml/2006/main">
  <authors>
    <author>Vander Zalm, Connor</author>
  </authors>
  <commentList>
    <comment ref="B13" authorId="0" shapeId="0">
      <text>
        <r>
          <rPr>
            <b/>
            <sz val="9"/>
            <color indexed="81"/>
            <rFont val="Tahoma"/>
            <family val="2"/>
          </rPr>
          <t>Vander Zalm, Connor:</t>
        </r>
        <r>
          <rPr>
            <sz val="9"/>
            <color indexed="81"/>
            <rFont val="Tahoma"/>
            <family val="2"/>
          </rPr>
          <t xml:space="preserve">
$34.00 = Original Cedar Grove YW Disposal rate; $5.54 increase in rates effective 11/2013; for a months before the increase was effective Cedar Grove charged us extrememly high contamination fees and we eventually settled on paying a single sum set at 50% of charges.
See Below for snapshot of Lynnwood rate case. Happy to provide Lynnwood rate case and supporting info upon request if previously reviewed documentation is not already available to staff.</t>
        </r>
      </text>
    </comment>
    <comment ref="H13" authorId="0" shapeId="0">
      <text>
        <r>
          <rPr>
            <b/>
            <sz val="9"/>
            <color indexed="81"/>
            <rFont val="Tahoma"/>
            <family val="2"/>
          </rPr>
          <t>Vander Zalm, Connor:</t>
        </r>
        <r>
          <rPr>
            <sz val="9"/>
            <color indexed="81"/>
            <rFont val="Tahoma"/>
            <family val="2"/>
          </rPr>
          <t xml:space="preserve">
$34.00 = Original Cedar Grove YW Disposal rate; $5.54 increase in rates effective 11/2013; for a months before the increase was effective Cedar Grove charged us extrememly high contamination fees and we eventually settled on paying a single sum set at 50% of charges.
See Below for snapshot of Lynnwood rate case. Happy to provide Lynnwood rate case and supporting info upon request if previously reviewed documentation is not already available to staff.</t>
        </r>
      </text>
    </comment>
  </commentList>
</comments>
</file>

<file path=xl/comments24.xml><?xml version="1.0" encoding="utf-8"?>
<comments xmlns="http://schemas.openxmlformats.org/spreadsheetml/2006/main">
  <authors>
    <author>Alex Brenner</author>
  </authors>
  <commentList>
    <comment ref="A10" authorId="0" shapeId="0">
      <text>
        <r>
          <rPr>
            <b/>
            <sz val="8"/>
            <color indexed="81"/>
            <rFont val="Tahoma"/>
            <family val="2"/>
          </rPr>
          <t>Source:</t>
        </r>
        <r>
          <rPr>
            <sz val="8"/>
            <color indexed="81"/>
            <rFont val="Tahoma"/>
            <family val="2"/>
          </rPr>
          <t xml:space="preserve">
</t>
        </r>
      </text>
    </comment>
    <comment ref="A11" authorId="0" shapeId="0">
      <text>
        <r>
          <rPr>
            <b/>
            <sz val="8"/>
            <color indexed="81"/>
            <rFont val="Tahoma"/>
            <family val="2"/>
          </rPr>
          <t>Source:</t>
        </r>
        <r>
          <rPr>
            <sz val="8"/>
            <color indexed="81"/>
            <rFont val="Tahoma"/>
            <family val="2"/>
          </rPr>
          <t xml:space="preserve">
</t>
        </r>
      </text>
    </comment>
  </commentList>
</comments>
</file>

<file path=xl/comments25.xml><?xml version="1.0" encoding="utf-8"?>
<comments xmlns="http://schemas.openxmlformats.org/spreadsheetml/2006/main">
  <authors>
    <author>Allied Waste</author>
  </authors>
  <commentList>
    <comment ref="D6" authorId="0" shapeId="0">
      <text>
        <r>
          <rPr>
            <b/>
            <sz val="8"/>
            <color indexed="81"/>
            <rFont val="Tahoma"/>
            <family val="2"/>
          </rPr>
          <t>Marianne:</t>
        </r>
        <r>
          <rPr>
            <sz val="8"/>
            <color indexed="81"/>
            <rFont val="Tahoma"/>
            <family val="2"/>
          </rPr>
          <t xml:space="preserve">
Transmontaigne do no have stats like average fuel price per month according to the conversation I had with their representative.</t>
        </r>
      </text>
    </comment>
  </commentList>
</comments>
</file>

<file path=xl/comments26.xml><?xml version="1.0" encoding="utf-8"?>
<comments xmlns="http://schemas.openxmlformats.org/spreadsheetml/2006/main">
  <authors>
    <author>Amy White</author>
    <author>White, Amy (UTC)</author>
  </authors>
  <commentList>
    <comment ref="B58" authorId="0" shapeId="0">
      <text>
        <r>
          <rPr>
            <b/>
            <sz val="9"/>
            <color indexed="81"/>
            <rFont val="Tahoma"/>
            <family val="2"/>
          </rPr>
          <t>Amy White:</t>
        </r>
        <r>
          <rPr>
            <sz val="9"/>
            <color indexed="81"/>
            <rFont val="Tahoma"/>
            <family val="2"/>
          </rPr>
          <t xml:space="preserve">
Adjust to reflect disallowed compensation, mainly in sales </t>
        </r>
      </text>
    </comment>
    <comment ref="B65" authorId="0" shapeId="0">
      <text>
        <r>
          <rPr>
            <b/>
            <sz val="9"/>
            <color indexed="81"/>
            <rFont val="Tahoma"/>
            <family val="2"/>
          </rPr>
          <t>Amy White:</t>
        </r>
        <r>
          <rPr>
            <sz val="9"/>
            <color indexed="81"/>
            <rFont val="Tahoma"/>
            <family val="2"/>
          </rPr>
          <t xml:space="preserve">
NORMALIZE: 3-year life 
</t>
        </r>
      </text>
    </comment>
    <comment ref="C130" authorId="0" shapeId="0">
      <text>
        <r>
          <rPr>
            <b/>
            <sz val="9"/>
            <color indexed="81"/>
            <rFont val="Tahoma"/>
            <family val="2"/>
          </rPr>
          <t>Amy White:</t>
        </r>
        <r>
          <rPr>
            <sz val="9"/>
            <color indexed="81"/>
            <rFont val="Tahoma"/>
            <family val="2"/>
          </rPr>
          <t xml:space="preserve">
Added C25 to calculation</t>
        </r>
      </text>
    </comment>
    <comment ref="D130" authorId="0" shapeId="0">
      <text>
        <r>
          <rPr>
            <b/>
            <sz val="9"/>
            <color indexed="81"/>
            <rFont val="Tahoma"/>
            <family val="2"/>
          </rPr>
          <t>Amy White:</t>
        </r>
        <r>
          <rPr>
            <sz val="9"/>
            <color indexed="81"/>
            <rFont val="Tahoma"/>
            <family val="2"/>
          </rPr>
          <t xml:space="preserve">
Added D25 to calculation</t>
        </r>
      </text>
    </comment>
    <comment ref="E130" authorId="0" shapeId="0">
      <text>
        <r>
          <rPr>
            <b/>
            <sz val="9"/>
            <color indexed="81"/>
            <rFont val="Tahoma"/>
            <family val="2"/>
          </rPr>
          <t>Amy White:</t>
        </r>
        <r>
          <rPr>
            <sz val="9"/>
            <color indexed="81"/>
            <rFont val="Tahoma"/>
            <family val="2"/>
          </rPr>
          <t xml:space="preserve">
Company, $560,329.41
added e25 to calculation
</t>
        </r>
      </text>
    </comment>
    <comment ref="B146" authorId="0" shapeId="0">
      <text>
        <r>
          <rPr>
            <b/>
            <sz val="9"/>
            <color indexed="81"/>
            <rFont val="Tahoma"/>
            <family val="2"/>
          </rPr>
          <t>Amy White:</t>
        </r>
        <r>
          <rPr>
            <sz val="9"/>
            <color indexed="81"/>
            <rFont val="Tahoma"/>
            <family val="2"/>
          </rPr>
          <t xml:space="preserve">
Long-Term Incentive Plan</t>
        </r>
      </text>
    </comment>
    <comment ref="B155" authorId="1" shapeId="0">
      <text>
        <r>
          <rPr>
            <b/>
            <sz val="9"/>
            <color indexed="81"/>
            <rFont val="Tahoma"/>
            <family val="2"/>
          </rPr>
          <t>White, Amy (UTC):</t>
        </r>
        <r>
          <rPr>
            <sz val="9"/>
            <color indexed="81"/>
            <rFont val="Tahoma"/>
            <family val="2"/>
          </rPr>
          <t xml:space="preserve">
ADJUST to reflect disallowed compensation
</t>
        </r>
      </text>
    </comment>
  </commentList>
</comments>
</file>

<file path=xl/comments27.xml><?xml version="1.0" encoding="utf-8"?>
<comments xmlns="http://schemas.openxmlformats.org/spreadsheetml/2006/main">
  <authors>
    <author>Sevall, Scott (UTC)</author>
    <author>Amy White</author>
    <author>White, Amy (UTC)</author>
  </authors>
  <commentList>
    <comment ref="E26" authorId="0" shapeId="0">
      <text>
        <r>
          <rPr>
            <b/>
            <sz val="9"/>
            <color indexed="81"/>
            <rFont val="Tahoma"/>
            <family val="2"/>
          </rPr>
          <t>Sevall, Scott (UTC):</t>
        </r>
        <r>
          <rPr>
            <sz val="9"/>
            <color indexed="81"/>
            <rFont val="Tahoma"/>
            <family val="2"/>
          </rPr>
          <t xml:space="preserve">
Regulated rate payers don't need marketing. This salary was included in sales last rate case.</t>
        </r>
      </text>
    </comment>
    <comment ref="B58" authorId="1" shapeId="0">
      <text>
        <r>
          <rPr>
            <b/>
            <sz val="9"/>
            <color indexed="81"/>
            <rFont val="Tahoma"/>
            <family val="2"/>
          </rPr>
          <t>Amy White:</t>
        </r>
        <r>
          <rPr>
            <sz val="9"/>
            <color indexed="81"/>
            <rFont val="Tahoma"/>
            <family val="2"/>
          </rPr>
          <t xml:space="preserve">
Adjust to reflect disallowed compensation, mainly in sales </t>
        </r>
      </text>
    </comment>
    <comment ref="B65" authorId="1" shapeId="0">
      <text>
        <r>
          <rPr>
            <b/>
            <sz val="9"/>
            <color indexed="81"/>
            <rFont val="Tahoma"/>
            <family val="2"/>
          </rPr>
          <t>Amy White:</t>
        </r>
        <r>
          <rPr>
            <sz val="9"/>
            <color indexed="81"/>
            <rFont val="Tahoma"/>
            <family val="2"/>
          </rPr>
          <t xml:space="preserve">
NORMALIZE: 3-year life 
</t>
        </r>
      </text>
    </comment>
    <comment ref="E76" authorId="0" shapeId="0">
      <text>
        <r>
          <rPr>
            <b/>
            <sz val="9"/>
            <color indexed="81"/>
            <rFont val="Tahoma"/>
            <family val="2"/>
          </rPr>
          <t>Sevall, Scott (UTC):</t>
        </r>
        <r>
          <rPr>
            <sz val="9"/>
            <color indexed="81"/>
            <rFont val="Tahoma"/>
            <family val="2"/>
          </rPr>
          <t xml:space="preserve">
WRRA is already in the rate case under acct 751114 on the proforma. The rest of this amount is made up of chamber dues, rotary dues etc. See DR 3 question 3 &amp; 4.</t>
        </r>
      </text>
    </comment>
    <comment ref="E112" authorId="0" shapeId="0">
      <text>
        <r>
          <rPr>
            <b/>
            <sz val="9"/>
            <color indexed="81"/>
            <rFont val="Tahoma"/>
            <family val="2"/>
          </rPr>
          <t>Sevall, Scott (UTC):</t>
        </r>
        <r>
          <rPr>
            <sz val="9"/>
            <color indexed="81"/>
            <rFont val="Tahoma"/>
            <family val="2"/>
          </rPr>
          <t xml:space="preserve">
This acct includes WRRA too, and money given to help send an olympic athlete to the olympics. Disallow all</t>
        </r>
      </text>
    </comment>
    <comment ref="C130" authorId="1" shapeId="0">
      <text>
        <r>
          <rPr>
            <b/>
            <sz val="9"/>
            <color indexed="81"/>
            <rFont val="Tahoma"/>
            <family val="2"/>
          </rPr>
          <t>Amy White:</t>
        </r>
        <r>
          <rPr>
            <sz val="9"/>
            <color indexed="81"/>
            <rFont val="Tahoma"/>
            <family val="2"/>
          </rPr>
          <t xml:space="preserve">
Added C25 to calculation</t>
        </r>
      </text>
    </comment>
    <comment ref="D130" authorId="1" shapeId="0">
      <text>
        <r>
          <rPr>
            <b/>
            <sz val="9"/>
            <color indexed="81"/>
            <rFont val="Tahoma"/>
            <family val="2"/>
          </rPr>
          <t>Amy White:</t>
        </r>
        <r>
          <rPr>
            <sz val="9"/>
            <color indexed="81"/>
            <rFont val="Tahoma"/>
            <family val="2"/>
          </rPr>
          <t xml:space="preserve">
Added D25 to calculation</t>
        </r>
      </text>
    </comment>
    <comment ref="E130" authorId="1" shapeId="0">
      <text>
        <r>
          <rPr>
            <b/>
            <sz val="9"/>
            <color indexed="81"/>
            <rFont val="Tahoma"/>
            <family val="2"/>
          </rPr>
          <t>Amy White:</t>
        </r>
        <r>
          <rPr>
            <sz val="9"/>
            <color indexed="81"/>
            <rFont val="Tahoma"/>
            <family val="2"/>
          </rPr>
          <t xml:space="preserve">
Company, $560,329.41
added e25 to calculation
</t>
        </r>
      </text>
    </comment>
    <comment ref="B146" authorId="1" shapeId="0">
      <text>
        <r>
          <rPr>
            <b/>
            <sz val="9"/>
            <color indexed="81"/>
            <rFont val="Tahoma"/>
            <family val="2"/>
          </rPr>
          <t>Amy White:</t>
        </r>
        <r>
          <rPr>
            <sz val="9"/>
            <color indexed="81"/>
            <rFont val="Tahoma"/>
            <family val="2"/>
          </rPr>
          <t xml:space="preserve">
Long-Term Incentive Plan</t>
        </r>
      </text>
    </comment>
    <comment ref="B155" authorId="2" shapeId="0">
      <text>
        <r>
          <rPr>
            <b/>
            <sz val="9"/>
            <color indexed="81"/>
            <rFont val="Tahoma"/>
            <family val="2"/>
          </rPr>
          <t>White, Amy (UTC):</t>
        </r>
        <r>
          <rPr>
            <sz val="9"/>
            <color indexed="81"/>
            <rFont val="Tahoma"/>
            <family val="2"/>
          </rPr>
          <t xml:space="preserve">
ADJUST to reflect disallowed compensation
</t>
        </r>
      </text>
    </comment>
  </commentList>
</comments>
</file>

<file path=xl/comments28.xml><?xml version="1.0" encoding="utf-8"?>
<comments xmlns="http://schemas.openxmlformats.org/spreadsheetml/2006/main">
  <authors>
    <author>Amy White</author>
  </authors>
  <commentList>
    <comment ref="G3" authorId="0" shapeId="0">
      <text>
        <r>
          <rPr>
            <b/>
            <sz val="9"/>
            <color indexed="81"/>
            <rFont val="Tahoma"/>
            <family val="2"/>
          </rPr>
          <t>Amy White:</t>
        </r>
        <r>
          <rPr>
            <sz val="9"/>
            <color indexed="81"/>
            <rFont val="Tahoma"/>
            <family val="2"/>
          </rPr>
          <t xml:space="preserve">
These amounts include container parts and labor. </t>
        </r>
      </text>
    </comment>
    <comment ref="J10" authorId="0" shapeId="0">
      <text>
        <r>
          <rPr>
            <b/>
            <sz val="9"/>
            <color indexed="81"/>
            <rFont val="Tahoma"/>
            <family val="2"/>
          </rPr>
          <t>Amy White:</t>
        </r>
        <r>
          <rPr>
            <sz val="9"/>
            <color indexed="81"/>
            <rFont val="Tahoma"/>
            <family val="2"/>
          </rPr>
          <t xml:space="preserve">
This is the test period actual expense 
</t>
        </r>
      </text>
    </comment>
    <comment ref="J12" authorId="0" shapeId="0">
      <text>
        <r>
          <rPr>
            <b/>
            <sz val="9"/>
            <color indexed="81"/>
            <rFont val="Tahoma"/>
            <family val="2"/>
          </rPr>
          <t>Amy White:</t>
        </r>
        <r>
          <rPr>
            <sz val="9"/>
            <color indexed="81"/>
            <rFont val="Tahoma"/>
            <family val="2"/>
          </rPr>
          <t xml:space="preserve">
</t>
        </r>
      </text>
    </comment>
    <comment ref="K43" authorId="0" shapeId="0">
      <text>
        <r>
          <rPr>
            <b/>
            <sz val="9"/>
            <color indexed="81"/>
            <rFont val="Tahoma"/>
            <family val="2"/>
          </rPr>
          <t>Amy White:</t>
        </r>
        <r>
          <rPr>
            <sz val="9"/>
            <color indexed="81"/>
            <rFont val="Tahoma"/>
            <family val="2"/>
          </rPr>
          <t xml:space="preserve">
This is the test period actual expense 
</t>
        </r>
      </text>
    </comment>
  </commentList>
</comments>
</file>

<file path=xl/comments3.xml><?xml version="1.0" encoding="utf-8"?>
<comments xmlns="http://schemas.openxmlformats.org/spreadsheetml/2006/main">
  <authors>
    <author>Amy White</author>
  </authors>
  <commentList>
    <comment ref="H10" authorId="0" shapeId="0">
      <text>
        <r>
          <rPr>
            <b/>
            <sz val="9"/>
            <color indexed="81"/>
            <rFont val="Tahoma"/>
            <family val="2"/>
          </rPr>
          <t>Amy White:</t>
        </r>
        <r>
          <rPr>
            <sz val="9"/>
            <color indexed="81"/>
            <rFont val="Tahoma"/>
            <family val="2"/>
          </rPr>
          <t xml:space="preserve">
Hardcodes in this column added by staff referring to the company's calculated values in its original filing; adding a column in the pro forma for analysis has somehow disrupted the very complex formula used by the company.</t>
        </r>
      </text>
    </comment>
  </commentList>
</comments>
</file>

<file path=xl/comments4.xml><?xml version="1.0" encoding="utf-8"?>
<comments xmlns="http://schemas.openxmlformats.org/spreadsheetml/2006/main">
  <authors>
    <author>Alex Brenner</author>
    <author>Amy White</author>
    <author>Sevall, Scott (UTC)</author>
    <author>Vander Zalm, Connor</author>
  </authors>
  <commentList>
    <comment ref="V10" authorId="0" shapeId="0">
      <text>
        <r>
          <rPr>
            <b/>
            <sz val="8"/>
            <color indexed="81"/>
            <rFont val="Tahoma"/>
            <family val="2"/>
          </rPr>
          <t>From L-G Curve</t>
        </r>
        <r>
          <rPr>
            <sz val="8"/>
            <color indexed="81"/>
            <rFont val="Tahoma"/>
            <family val="2"/>
          </rPr>
          <t xml:space="preserve">
</t>
        </r>
      </text>
    </comment>
    <comment ref="E22" authorId="1" shapeId="0">
      <text>
        <r>
          <rPr>
            <b/>
            <sz val="9"/>
            <color indexed="81"/>
            <rFont val="Tahoma"/>
            <family val="2"/>
          </rPr>
          <t>Amy White:</t>
        </r>
        <r>
          <rPr>
            <sz val="9"/>
            <color indexed="81"/>
            <rFont val="Tahoma"/>
            <family val="2"/>
          </rPr>
          <t xml:space="preserve">
5868866 in 2012 case
</t>
        </r>
      </text>
    </comment>
    <comment ref="L22" authorId="2" shapeId="0">
      <text>
        <r>
          <rPr>
            <b/>
            <sz val="9"/>
            <color indexed="81"/>
            <rFont val="Tahoma"/>
            <family val="2"/>
          </rPr>
          <t>Sevall, Scott (UTC):</t>
        </r>
        <r>
          <rPr>
            <sz val="9"/>
            <color indexed="81"/>
            <rFont val="Tahoma"/>
            <family val="2"/>
          </rPr>
          <t xml:space="preserve">
This is lower than company original submittion, because the company adjusted disposal rates in this version.</t>
        </r>
      </text>
    </comment>
    <comment ref="B29" authorId="1" shapeId="0">
      <text>
        <r>
          <rPr>
            <b/>
            <sz val="9"/>
            <color indexed="81"/>
            <rFont val="Tahoma"/>
            <family val="2"/>
          </rPr>
          <t>Amy White:</t>
        </r>
        <r>
          <rPr>
            <sz val="9"/>
            <color indexed="81"/>
            <rFont val="Tahoma"/>
            <family val="2"/>
          </rPr>
          <t xml:space="preserve">
Make sure we know what this is. Franchise fees would be a cost of working in a non-regulated city if the terminology is used correctly. </t>
        </r>
      </text>
    </comment>
    <comment ref="B42" authorId="1" shapeId="0">
      <text>
        <r>
          <rPr>
            <b/>
            <sz val="9"/>
            <color indexed="81"/>
            <rFont val="Tahoma"/>
            <family val="2"/>
          </rPr>
          <t>Amy White:</t>
        </r>
        <r>
          <rPr>
            <sz val="9"/>
            <color indexed="81"/>
            <rFont val="Tahoma"/>
            <family val="2"/>
          </rPr>
          <t xml:space="preserve">
Staff has confirmed that in original file these #N/A lines exist and that there is no pertinent data in the source tab related to these accounts.</t>
        </r>
      </text>
    </comment>
    <comment ref="B43" authorId="1" shapeId="0">
      <text>
        <r>
          <rPr>
            <b/>
            <sz val="9"/>
            <color indexed="81"/>
            <rFont val="Tahoma"/>
            <family val="2"/>
          </rPr>
          <t>Amy White:</t>
        </r>
        <r>
          <rPr>
            <sz val="9"/>
            <color indexed="81"/>
            <rFont val="Tahoma"/>
            <family val="2"/>
          </rPr>
          <t xml:space="preserve">
This was bonus pay in 2012, which was adjusted out</t>
        </r>
      </text>
    </comment>
    <comment ref="B57" authorId="1" shapeId="0">
      <text>
        <r>
          <rPr>
            <b/>
            <sz val="9"/>
            <color indexed="81"/>
            <rFont val="Tahoma"/>
            <family val="2"/>
          </rPr>
          <t>Amy White:</t>
        </r>
        <r>
          <rPr>
            <sz val="9"/>
            <color indexed="81"/>
            <rFont val="Tahoma"/>
            <family val="2"/>
          </rPr>
          <t xml:space="preserve">
Temporary Labor in the last rate case
</t>
        </r>
      </text>
    </comment>
    <comment ref="B59" authorId="1" shapeId="0">
      <text>
        <r>
          <rPr>
            <b/>
            <sz val="9"/>
            <color indexed="81"/>
            <rFont val="Tahoma"/>
            <family val="2"/>
          </rPr>
          <t>Amy White:</t>
        </r>
        <r>
          <rPr>
            <sz val="9"/>
            <color indexed="81"/>
            <rFont val="Tahoma"/>
            <family val="2"/>
          </rPr>
          <t xml:space="preserve">
What's this bonus for? </t>
        </r>
      </text>
    </comment>
    <comment ref="E59" authorId="1" shapeId="0">
      <text>
        <r>
          <rPr>
            <b/>
            <sz val="9"/>
            <color indexed="81"/>
            <rFont val="Tahoma"/>
            <family val="2"/>
          </rPr>
          <t>Amy White:</t>
        </r>
        <r>
          <rPr>
            <sz val="9"/>
            <color indexed="81"/>
            <rFont val="Tahoma"/>
            <family val="2"/>
          </rPr>
          <t xml:space="preserve">
Removes entire bonus 
Staff concurs with this company adjustment, retain
</t>
        </r>
      </text>
    </comment>
    <comment ref="B74" authorId="1" shapeId="0">
      <text>
        <r>
          <rPr>
            <b/>
            <sz val="9"/>
            <color indexed="81"/>
            <rFont val="Tahoma"/>
            <family val="2"/>
          </rPr>
          <t>Amy White:</t>
        </r>
        <r>
          <rPr>
            <sz val="9"/>
            <color indexed="81"/>
            <rFont val="Tahoma"/>
            <family val="2"/>
          </rPr>
          <t xml:space="preserve">
</t>
        </r>
      </text>
    </comment>
    <comment ref="B77" authorId="1" shapeId="0">
      <text>
        <r>
          <rPr>
            <b/>
            <sz val="9"/>
            <color indexed="81"/>
            <rFont val="Tahoma"/>
            <family val="2"/>
          </rPr>
          <t>Amy White:</t>
        </r>
        <r>
          <rPr>
            <sz val="9"/>
            <color indexed="81"/>
            <rFont val="Tahoma"/>
            <family val="2"/>
          </rPr>
          <t xml:space="preserve">
Temporary Labor in last rate case
</t>
        </r>
      </text>
    </comment>
    <comment ref="E79" authorId="1" shapeId="0">
      <text>
        <r>
          <rPr>
            <b/>
            <sz val="9"/>
            <color indexed="81"/>
            <rFont val="Tahoma"/>
            <family val="2"/>
          </rPr>
          <t>Amy White:</t>
        </r>
        <r>
          <rPr>
            <sz val="9"/>
            <color indexed="81"/>
            <rFont val="Tahoma"/>
            <family val="2"/>
          </rPr>
          <t xml:space="preserve">
This is a company adjustment. Staff concurs. </t>
        </r>
      </text>
    </comment>
    <comment ref="B100" authorId="1" shapeId="0">
      <text>
        <r>
          <rPr>
            <b/>
            <sz val="9"/>
            <color indexed="81"/>
            <rFont val="Tahoma"/>
            <family val="2"/>
          </rPr>
          <t>Amy White:</t>
        </r>
        <r>
          <rPr>
            <sz val="9"/>
            <color indexed="81"/>
            <rFont val="Tahoma"/>
            <family val="2"/>
          </rPr>
          <t xml:space="preserve">
This is a regular adjustment, just marked to remind us we will look at this</t>
        </r>
      </text>
    </comment>
    <comment ref="B119" authorId="1" shapeId="0">
      <text>
        <r>
          <rPr>
            <b/>
            <sz val="9"/>
            <color indexed="81"/>
            <rFont val="Tahoma"/>
            <family val="2"/>
          </rPr>
          <t>Amy White:</t>
        </r>
        <r>
          <rPr>
            <sz val="9"/>
            <color indexed="81"/>
            <rFont val="Tahoma"/>
            <family val="2"/>
          </rPr>
          <t xml:space="preserve">
Tires are of course a major expense.  We routinely look at these two related categories, especially if there has been a large change.  Review a few invoices to be sure they really garbage truck tires or are these tires for someone's pickup truck?  How many garbage trucks are in use v. how many tires were purchased...is it reasonable?  </t>
        </r>
      </text>
    </comment>
    <comment ref="B126" authorId="1" shapeId="0">
      <text>
        <r>
          <rPr>
            <b/>
            <sz val="9"/>
            <color indexed="81"/>
            <rFont val="Tahoma"/>
            <family val="2"/>
          </rPr>
          <t>Amy White:</t>
        </r>
        <r>
          <rPr>
            <sz val="9"/>
            <color indexed="81"/>
            <rFont val="Tahoma"/>
            <family val="2"/>
          </rPr>
          <t xml:space="preserve">
The company is obviously doing more in-house repair given the increase here and the corresponding drop in acct 540040. CNG trucks maybe? Probably hard to find CNG mechanics outside of these fleets. </t>
        </r>
      </text>
    </comment>
    <comment ref="B136" authorId="1" shapeId="0">
      <text>
        <r>
          <rPr>
            <b/>
            <sz val="9"/>
            <color indexed="81"/>
            <rFont val="Tahoma"/>
            <family val="2"/>
          </rPr>
          <t>Amy White:</t>
        </r>
        <r>
          <rPr>
            <sz val="9"/>
            <color indexed="81"/>
            <rFont val="Tahoma"/>
            <family val="2"/>
          </rPr>
          <t xml:space="preserve">
Container compactor:
steel 
lids
tires/casters/wheels
supplies</t>
        </r>
      </text>
    </comment>
    <comment ref="B143" authorId="1" shapeId="0">
      <text>
        <r>
          <rPr>
            <b/>
            <sz val="9"/>
            <color indexed="81"/>
            <rFont val="Tahoma"/>
            <family val="2"/>
          </rPr>
          <t>Amy White:</t>
        </r>
        <r>
          <rPr>
            <sz val="9"/>
            <color indexed="81"/>
            <rFont val="Tahoma"/>
            <family val="2"/>
          </rPr>
          <t xml:space="preserve">
Why did this change so much? Although it is a positive change. </t>
        </r>
      </text>
    </comment>
    <comment ref="F146" authorId="2" shapeId="0">
      <text>
        <r>
          <rPr>
            <b/>
            <sz val="9"/>
            <color indexed="81"/>
            <rFont val="Tahoma"/>
            <family val="2"/>
          </rPr>
          <t>Sevall, Scott (UTC):</t>
        </r>
        <r>
          <rPr>
            <sz val="9"/>
            <color indexed="81"/>
            <rFont val="Tahoma"/>
            <family val="2"/>
          </rPr>
          <t xml:space="preserve">
staff agrres with this adjustment for 2014. Staff's proforma adjustment reflects the 2015 L&amp;I rate change.</t>
        </r>
      </text>
    </comment>
    <comment ref="B147" authorId="1" shapeId="0">
      <text>
        <r>
          <rPr>
            <b/>
            <sz val="9"/>
            <color indexed="81"/>
            <rFont val="Tahoma"/>
            <family val="2"/>
          </rPr>
          <t>Amy White:</t>
        </r>
        <r>
          <rPr>
            <sz val="9"/>
            <color indexed="81"/>
            <rFont val="Tahoma"/>
            <family val="2"/>
          </rPr>
          <t xml:space="preserve">
Review detail.  What is this? </t>
        </r>
      </text>
    </comment>
    <comment ref="B148" authorId="1" shapeId="0">
      <text>
        <r>
          <rPr>
            <b/>
            <sz val="9"/>
            <color indexed="81"/>
            <rFont val="Tahoma"/>
            <family val="2"/>
          </rPr>
          <t>Amy White:</t>
        </r>
        <r>
          <rPr>
            <sz val="9"/>
            <color indexed="81"/>
            <rFont val="Tahoma"/>
            <family val="2"/>
          </rPr>
          <t xml:space="preserve">
Review detail.  What is this?  I recall that this is "per occurrence" and if so, perhaps it should be normalized. </t>
        </r>
      </text>
    </comment>
    <comment ref="B149" authorId="1" shapeId="0">
      <text>
        <r>
          <rPr>
            <b/>
            <sz val="9"/>
            <color indexed="81"/>
            <rFont val="Tahoma"/>
            <family val="2"/>
          </rPr>
          <t>Amy White:</t>
        </r>
        <r>
          <rPr>
            <sz val="9"/>
            <color indexed="81"/>
            <rFont val="Tahoma"/>
            <family val="2"/>
          </rPr>
          <t xml:space="preserve">
Review detail from g/l against the invoices Connor sent </t>
        </r>
      </text>
    </comment>
    <comment ref="B150" authorId="1" shapeId="0">
      <text>
        <r>
          <rPr>
            <b/>
            <sz val="9"/>
            <color indexed="81"/>
            <rFont val="Tahoma"/>
            <family val="2"/>
          </rPr>
          <t>Amy White:</t>
        </r>
        <r>
          <rPr>
            <sz val="9"/>
            <color indexed="81"/>
            <rFont val="Tahoma"/>
            <family val="2"/>
          </rPr>
          <t xml:space="preserve">
Review detail.  What is "non-AM"?
</t>
        </r>
      </text>
    </comment>
    <comment ref="B160" authorId="1" shapeId="0">
      <text>
        <r>
          <rPr>
            <b/>
            <sz val="9"/>
            <color indexed="81"/>
            <rFont val="Tahoma"/>
            <family val="2"/>
          </rPr>
          <t>Amy White:</t>
        </r>
        <r>
          <rPr>
            <sz val="9"/>
            <color indexed="81"/>
            <rFont val="Tahoma"/>
            <family val="2"/>
          </rPr>
          <t xml:space="preserve">
Review with the repair account below -- on leased facilities?  Hmmm.</t>
        </r>
      </text>
    </comment>
    <comment ref="B161" authorId="1" shapeId="0">
      <text>
        <r>
          <rPr>
            <b/>
            <sz val="9"/>
            <color indexed="81"/>
            <rFont val="Tahoma"/>
            <family val="2"/>
          </rPr>
          <t>Amy White:</t>
        </r>
        <r>
          <rPr>
            <sz val="9"/>
            <color indexed="81"/>
            <rFont val="Tahoma"/>
            <family val="2"/>
          </rPr>
          <t xml:space="preserve">
This is a lot to pay for maintenance on a leased facility. Review detail; judge reasonableness of expenses.  DR? </t>
        </r>
      </text>
    </comment>
    <comment ref="B163" authorId="1" shapeId="0">
      <text>
        <r>
          <rPr>
            <b/>
            <sz val="9"/>
            <color indexed="81"/>
            <rFont val="Tahoma"/>
            <family val="2"/>
          </rPr>
          <t>Amy White:</t>
        </r>
        <r>
          <rPr>
            <sz val="9"/>
            <color indexed="81"/>
            <rFont val="Tahoma"/>
            <family val="2"/>
          </rPr>
          <t xml:space="preserve">
What are they leasing besides the yard (for which the lease was provided--PDF--review for the cost)</t>
        </r>
      </text>
    </comment>
    <comment ref="B164" authorId="1" shapeId="0">
      <text>
        <r>
          <rPr>
            <b/>
            <sz val="9"/>
            <color indexed="81"/>
            <rFont val="Tahoma"/>
            <family val="2"/>
          </rPr>
          <t>Amy White:</t>
        </r>
        <r>
          <rPr>
            <sz val="9"/>
            <color indexed="81"/>
            <rFont val="Tahoma"/>
            <family val="2"/>
          </rPr>
          <t xml:space="preserve">
WOW!  That is a lot of money. Be sure that the natural gas for the trucks isn't getting paid here too.</t>
        </r>
      </text>
    </comment>
    <comment ref="B165" authorId="1" shapeId="0">
      <text>
        <r>
          <rPr>
            <b/>
            <sz val="9"/>
            <color indexed="81"/>
            <rFont val="Tahoma"/>
            <family val="2"/>
          </rPr>
          <t>Amy White:</t>
        </r>
        <r>
          <rPr>
            <sz val="9"/>
            <color indexed="81"/>
            <rFont val="Tahoma"/>
            <family val="2"/>
          </rPr>
          <t xml:space="preserve">
What are they paying property taxes on?  Is it included in the lease? Or is it personal property taxes on equipment? Review the detail. </t>
        </r>
      </text>
    </comment>
    <comment ref="B171" authorId="1" shapeId="0">
      <text>
        <r>
          <rPr>
            <b/>
            <sz val="9"/>
            <color indexed="81"/>
            <rFont val="Tahoma"/>
            <family val="2"/>
          </rPr>
          <t>Amy White:</t>
        </r>
        <r>
          <rPr>
            <sz val="9"/>
            <color indexed="81"/>
            <rFont val="Tahoma"/>
            <family val="2"/>
          </rPr>
          <t xml:space="preserve">
Review detail…does this contain UTC fees? Franchise fees?  What else? </t>
        </r>
      </text>
    </comment>
    <comment ref="C172" authorId="1" shapeId="0">
      <text>
        <r>
          <rPr>
            <b/>
            <sz val="9"/>
            <color indexed="81"/>
            <rFont val="Tahoma"/>
            <family val="2"/>
          </rPr>
          <t>Amy White:</t>
        </r>
        <r>
          <rPr>
            <sz val="9"/>
            <color indexed="81"/>
            <rFont val="Tahoma"/>
            <family val="2"/>
          </rPr>
          <t xml:space="preserve">
previously, fines and fees
</t>
        </r>
      </text>
    </comment>
    <comment ref="B179" authorId="1" shapeId="0">
      <text>
        <r>
          <rPr>
            <b/>
            <sz val="9"/>
            <color indexed="81"/>
            <rFont val="Tahoma"/>
            <family val="2"/>
          </rPr>
          <t>Amy White:</t>
        </r>
        <r>
          <rPr>
            <sz val="9"/>
            <color indexed="81"/>
            <rFont val="Tahoma"/>
            <family val="2"/>
          </rPr>
          <t xml:space="preserve">
Review detail--is there a legitimate business purpose that benefits ratepayers? </t>
        </r>
      </text>
    </comment>
    <comment ref="B203" authorId="1" shapeId="0">
      <text>
        <r>
          <rPr>
            <b/>
            <sz val="9"/>
            <color indexed="81"/>
            <rFont val="Tahoma"/>
            <family val="2"/>
          </rPr>
          <t>Amy White:</t>
        </r>
        <r>
          <rPr>
            <sz val="9"/>
            <color indexed="81"/>
            <rFont val="Tahoma"/>
            <family val="2"/>
          </rPr>
          <t xml:space="preserve">
Items marked in orange were completely adjusted out as related to sales expense, which has no bearing on regulated customers, who are not sold to, as they have no choice of carrier.  This filing retains some costs, likely for overlapping sales/customer service duties, but the company needs to justify these expenses
</t>
        </r>
      </text>
    </comment>
    <comment ref="R203" authorId="3" shapeId="0">
      <text>
        <r>
          <rPr>
            <b/>
            <sz val="9"/>
            <color indexed="81"/>
            <rFont val="Tahoma"/>
            <family val="2"/>
          </rPr>
          <t>Vander Zalm, Connor:</t>
        </r>
        <r>
          <rPr>
            <sz val="9"/>
            <color indexed="81"/>
            <rFont val="Tahoma"/>
            <family val="2"/>
          </rPr>
          <t xml:space="preserve">
Sales expenses are net of any actual </t>
        </r>
        <r>
          <rPr>
            <i/>
            <sz val="9"/>
            <color indexed="81"/>
            <rFont val="Tahoma"/>
            <family val="2"/>
          </rPr>
          <t xml:space="preserve">SALES </t>
        </r>
        <r>
          <rPr>
            <sz val="9"/>
            <color indexed="81"/>
            <rFont val="Tahoma"/>
            <family val="2"/>
          </rPr>
          <t xml:space="preserve"> costs resulting only in costs associated with Customer Service. We feel that a resonable lowest common denomanator for customer needs is the amount of services we provide which is easily tracked by collection recepticles.
</t>
        </r>
      </text>
    </comment>
    <comment ref="B204" authorId="1" shapeId="0">
      <text>
        <r>
          <rPr>
            <b/>
            <sz val="9"/>
            <color indexed="81"/>
            <rFont val="Tahoma"/>
            <family val="2"/>
          </rPr>
          <t>Amy White:</t>
        </r>
        <r>
          <rPr>
            <sz val="9"/>
            <color indexed="81"/>
            <rFont val="Tahoma"/>
            <family val="2"/>
          </rPr>
          <t xml:space="preserve">
Staff has real concerns about allocating these expenses into customer service when they are clearly marked Sales.  All were disallowed in the last rate case. More review needed here. 
Staff has looked at the payroll data and customer service costs are higher than reported here, sales costs about the same, so staff will pass further review. </t>
        </r>
      </text>
    </comment>
    <comment ref="B220" authorId="1" shapeId="0">
      <text>
        <r>
          <rPr>
            <b/>
            <sz val="9"/>
            <color indexed="81"/>
            <rFont val="Tahoma"/>
            <family val="2"/>
          </rPr>
          <t>Amy White:</t>
        </r>
        <r>
          <rPr>
            <sz val="9"/>
            <color indexed="81"/>
            <rFont val="Tahoma"/>
            <family val="2"/>
          </rPr>
          <t xml:space="preserve">
Employee Activities- Sales in last rate case
(doubly-disallowable) ! 
</t>
        </r>
      </text>
    </comment>
    <comment ref="B225" authorId="1" shapeId="0">
      <text>
        <r>
          <rPr>
            <b/>
            <sz val="9"/>
            <color indexed="81"/>
            <rFont val="Tahoma"/>
            <family val="2"/>
          </rPr>
          <t>Amy White:</t>
        </r>
        <r>
          <rPr>
            <sz val="9"/>
            <color indexed="81"/>
            <rFont val="Tahoma"/>
            <family val="2"/>
          </rPr>
          <t xml:space="preserve">
Look at the detail here--isn't there another dues and subscriptions? 
</t>
        </r>
      </text>
    </comment>
    <comment ref="L233" authorId="2" shapeId="0">
      <text>
        <r>
          <rPr>
            <b/>
            <sz val="9"/>
            <color indexed="81"/>
            <rFont val="Tahoma"/>
            <family val="2"/>
          </rPr>
          <t>Sevall, Scott (UTC):</t>
        </r>
        <r>
          <rPr>
            <sz val="9"/>
            <color indexed="81"/>
            <rFont val="Tahoma"/>
            <family val="2"/>
          </rPr>
          <t xml:space="preserve">
This cell was not summed originally. Staff added this back in the sum.</t>
        </r>
      </text>
    </comment>
    <comment ref="H236" authorId="2" shapeId="0">
      <text>
        <r>
          <rPr>
            <b/>
            <sz val="9"/>
            <color indexed="81"/>
            <rFont val="Tahoma"/>
            <family val="2"/>
          </rPr>
          <t>Sevall, Scott (UTC):Removed Bonus</t>
        </r>
      </text>
    </comment>
    <comment ref="B248" authorId="1" shapeId="0">
      <text>
        <r>
          <rPr>
            <b/>
            <sz val="9"/>
            <color indexed="81"/>
            <rFont val="Tahoma"/>
            <family val="2"/>
          </rPr>
          <t>Amy White:</t>
        </r>
        <r>
          <rPr>
            <sz val="9"/>
            <color indexed="81"/>
            <rFont val="Tahoma"/>
            <family val="2"/>
          </rPr>
          <t xml:space="preserve">
WE want to review the detail here and in meals. How does any of this benefit ratepayers? </t>
        </r>
      </text>
    </comment>
    <comment ref="B250" authorId="1" shapeId="0">
      <text>
        <r>
          <rPr>
            <b/>
            <sz val="9"/>
            <color indexed="81"/>
            <rFont val="Tahoma"/>
            <family val="2"/>
          </rPr>
          <t>Amy White:</t>
        </r>
        <r>
          <rPr>
            <sz val="9"/>
            <color indexed="81"/>
            <rFont val="Tahoma"/>
            <family val="2"/>
          </rPr>
          <t xml:space="preserve">
Review detail--working lunches or fancy dinners?
</t>
        </r>
      </text>
    </comment>
    <comment ref="A254" authorId="1" shapeId="0">
      <text>
        <r>
          <rPr>
            <b/>
            <sz val="9"/>
            <color indexed="81"/>
            <rFont val="Tahoma"/>
            <family val="2"/>
          </rPr>
          <t>Amy White:</t>
        </r>
        <r>
          <rPr>
            <sz val="9"/>
            <color indexed="81"/>
            <rFont val="Tahoma"/>
            <family val="2"/>
          </rPr>
          <t xml:space="preserve">
Review detail: there are a lot of "CHAMBER OF COM" payments, all should be disallowed, along with charitable items as well. </t>
        </r>
      </text>
    </comment>
    <comment ref="B254" authorId="1" shapeId="0">
      <text>
        <r>
          <rPr>
            <b/>
            <sz val="9"/>
            <color indexed="81"/>
            <rFont val="Tahoma"/>
            <family val="2"/>
          </rPr>
          <t>Amy White:</t>
        </r>
        <r>
          <rPr>
            <sz val="9"/>
            <color indexed="81"/>
            <rFont val="Tahoma"/>
            <family val="2"/>
          </rPr>
          <t xml:space="preserve">
Review in context with acct 711014</t>
        </r>
      </text>
    </comment>
    <comment ref="A258" authorId="1" shapeId="0">
      <text>
        <r>
          <rPr>
            <b/>
            <sz val="9"/>
            <color indexed="81"/>
            <rFont val="Tahoma"/>
            <family val="2"/>
          </rPr>
          <t>Amy White:</t>
        </r>
        <r>
          <rPr>
            <sz val="9"/>
            <color indexed="81"/>
            <rFont val="Tahoma"/>
            <family val="2"/>
          </rPr>
          <t xml:space="preserve">
MORE Maintenance?  On leased facilities? Aggregate with the other facility maint acct and analyze both together</t>
        </r>
      </text>
    </comment>
    <comment ref="B258" authorId="1" shapeId="0">
      <text>
        <r>
          <rPr>
            <b/>
            <sz val="9"/>
            <color indexed="81"/>
            <rFont val="Tahoma"/>
            <family val="2"/>
          </rPr>
          <t>Amy White:</t>
        </r>
        <r>
          <rPr>
            <sz val="9"/>
            <color indexed="81"/>
            <rFont val="Tahoma"/>
            <family val="2"/>
          </rPr>
          <t xml:space="preserve">
MORE facility maintenance?  Best be the cleaning lady and the guys who sweep the lot.  Review in context with the other facility maintenance expenses. </t>
        </r>
      </text>
    </comment>
    <comment ref="B262" authorId="1" shapeId="0">
      <text>
        <r>
          <rPr>
            <b/>
            <sz val="9"/>
            <color indexed="81"/>
            <rFont val="Tahoma"/>
            <family val="2"/>
          </rPr>
          <t>Amy White:</t>
        </r>
        <r>
          <rPr>
            <sz val="9"/>
            <color indexed="81"/>
            <rFont val="Tahoma"/>
            <family val="2"/>
          </rPr>
          <t xml:space="preserve">
Again, analyze with sales  / customer service advertising.  Some is needed but is it all? 
</t>
        </r>
      </text>
    </comment>
    <comment ref="B263" authorId="1" shapeId="0">
      <text>
        <r>
          <rPr>
            <b/>
            <sz val="9"/>
            <color indexed="81"/>
            <rFont val="Tahoma"/>
            <family val="2"/>
          </rPr>
          <t>Amy White:</t>
        </r>
        <r>
          <rPr>
            <sz val="9"/>
            <color indexed="81"/>
            <rFont val="Tahoma"/>
            <family val="2"/>
          </rPr>
          <t xml:space="preserve">
Staff completely disallowed this in the last rate case--why? Review for detail. </t>
        </r>
      </text>
    </comment>
    <comment ref="B264" authorId="1" shapeId="0">
      <text>
        <r>
          <rPr>
            <b/>
            <sz val="9"/>
            <color indexed="81"/>
            <rFont val="Tahoma"/>
            <family val="2"/>
          </rPr>
          <t>Amy White:</t>
        </r>
        <r>
          <rPr>
            <sz val="9"/>
            <color indexed="81"/>
            <rFont val="Tahoma"/>
            <family val="2"/>
          </rPr>
          <t xml:space="preserve">
Huge increase…what's happening here? Review detail. </t>
        </r>
      </text>
    </comment>
    <comment ref="B265" authorId="1" shapeId="0">
      <text>
        <r>
          <rPr>
            <b/>
            <sz val="9"/>
            <color indexed="81"/>
            <rFont val="Tahoma"/>
            <family val="2"/>
          </rPr>
          <t>Amy White:</t>
        </r>
        <r>
          <rPr>
            <sz val="9"/>
            <color indexed="81"/>
            <rFont val="Tahoma"/>
            <family val="2"/>
          </rPr>
          <t xml:space="preserve">
This expense did not appear in the last rate case, review. 
</t>
        </r>
      </text>
    </comment>
    <comment ref="B266" authorId="1" shapeId="0">
      <text>
        <r>
          <rPr>
            <b/>
            <sz val="9"/>
            <color indexed="81"/>
            <rFont val="Tahoma"/>
            <family val="2"/>
          </rPr>
          <t>Amy White:</t>
        </r>
        <r>
          <rPr>
            <sz val="9"/>
            <color indexed="81"/>
            <rFont val="Tahoma"/>
            <family val="2"/>
          </rPr>
          <t xml:space="preserve">
Best look at because bank fees are going to be an issue for the Chairman. BRIEF review. </t>
        </r>
      </text>
    </comment>
    <comment ref="B267" authorId="1" shapeId="0">
      <text>
        <r>
          <rPr>
            <b/>
            <sz val="9"/>
            <color indexed="81"/>
            <rFont val="Tahoma"/>
            <family val="2"/>
          </rPr>
          <t>Amy White:</t>
        </r>
        <r>
          <rPr>
            <sz val="9"/>
            <color indexed="81"/>
            <rFont val="Tahoma"/>
            <family val="2"/>
          </rPr>
          <t xml:space="preserve">
Review Legal Fees and Legal Settlements together. Settlements did not occur in the last rate case.  What is all this for? </t>
        </r>
      </text>
    </comment>
    <comment ref="B270" authorId="1" shapeId="0">
      <text>
        <r>
          <rPr>
            <b/>
            <sz val="9"/>
            <color indexed="81"/>
            <rFont val="Tahoma"/>
            <family val="2"/>
          </rPr>
          <t>Amy White:</t>
        </r>
        <r>
          <rPr>
            <sz val="9"/>
            <color indexed="81"/>
            <rFont val="Tahoma"/>
            <family val="2"/>
          </rPr>
          <t xml:space="preserve">
COMPLETELY DISALLOWED in the last case, no reason to change now.  But look at the detail. </t>
        </r>
      </text>
    </comment>
    <comment ref="B273" authorId="1" shapeId="0">
      <text>
        <r>
          <rPr>
            <b/>
            <sz val="9"/>
            <color indexed="81"/>
            <rFont val="Tahoma"/>
            <family val="2"/>
          </rPr>
          <t>Amy White:</t>
        </r>
        <r>
          <rPr>
            <sz val="9"/>
            <color indexed="81"/>
            <rFont val="Tahoma"/>
            <family val="2"/>
          </rPr>
          <t xml:space="preserve">
$22 K adjusted out in last rate case, mostly related to consultants preparing RFPs to bid on city contracts. Review detail…who are the consultants and what do they do? </t>
        </r>
      </text>
    </comment>
    <comment ref="B278" authorId="1" shapeId="0">
      <text>
        <r>
          <rPr>
            <b/>
            <sz val="9"/>
            <color indexed="81"/>
            <rFont val="Tahoma"/>
            <family val="2"/>
          </rPr>
          <t>Amy White:</t>
        </r>
        <r>
          <rPr>
            <sz val="9"/>
            <color indexed="81"/>
            <rFont val="Tahoma"/>
            <family val="2"/>
          </rPr>
          <t xml:space="preserve">
Possibly items that are not allowable in rates…the tag "deductible" simply refers to IRS deductibility…so extract detail and decide what is allowable for us.  The company is free to make contributions but most should be paid for by shareholders, NOT ratepayers...it's always great to spend "other people's money"...in the context of contributions, the "other people" are the ratepayers, who may find some of the causes supported to be objectionable. </t>
        </r>
      </text>
    </comment>
    <comment ref="C285" authorId="1" shapeId="0">
      <text>
        <r>
          <rPr>
            <b/>
            <sz val="9"/>
            <color indexed="81"/>
            <rFont val="Tahoma"/>
            <family val="2"/>
          </rPr>
          <t>Amy White:</t>
        </r>
        <r>
          <rPr>
            <sz val="9"/>
            <color indexed="81"/>
            <rFont val="Tahoma"/>
            <family val="2"/>
          </rPr>
          <t xml:space="preserve">
From last case: 
Relocation exp      63754
Restructuring chg  15000  
Software maint          59
Accrued p-card clearing (14179)
                         64634  net 
None of these appear in the current rate case</t>
        </r>
      </text>
    </comment>
  </commentList>
</comments>
</file>

<file path=xl/comments5.xml><?xml version="1.0" encoding="utf-8"?>
<comments xmlns="http://schemas.openxmlformats.org/spreadsheetml/2006/main">
  <authors>
    <author>Amy White</author>
    <author>Sevall, Scott (UTC)</author>
  </authors>
  <commentList>
    <comment ref="C11" authorId="0" shapeId="0">
      <text>
        <r>
          <rPr>
            <b/>
            <sz val="9"/>
            <color indexed="81"/>
            <rFont val="Tahoma"/>
            <family val="2"/>
          </rPr>
          <t>Amy White:</t>
        </r>
        <r>
          <rPr>
            <sz val="9"/>
            <color indexed="81"/>
            <rFont val="Tahoma"/>
            <family val="2"/>
          </rPr>
          <t xml:space="preserve">
Make sure we know what this is. Franchise fees would be a cost of working in a non-regulated city if the terminology is used correctly. </t>
        </r>
      </text>
    </comment>
    <comment ref="C12" authorId="0" shapeId="0">
      <text>
        <r>
          <rPr>
            <b/>
            <sz val="9"/>
            <color indexed="81"/>
            <rFont val="Tahoma"/>
            <family val="2"/>
          </rPr>
          <t>Amy White:</t>
        </r>
        <r>
          <rPr>
            <sz val="9"/>
            <color indexed="81"/>
            <rFont val="Tahoma"/>
            <family val="2"/>
          </rPr>
          <t xml:space="preserve">
What's this bonus for? </t>
        </r>
      </text>
    </comment>
    <comment ref="C13" authorId="0" shapeId="0">
      <text>
        <r>
          <rPr>
            <b/>
            <sz val="9"/>
            <color indexed="81"/>
            <rFont val="Tahoma"/>
            <family val="2"/>
          </rPr>
          <t>Amy White:</t>
        </r>
        <r>
          <rPr>
            <sz val="9"/>
            <color indexed="81"/>
            <rFont val="Tahoma"/>
            <family val="2"/>
          </rPr>
          <t xml:space="preserve">
Large increase…what happened here? Review detail for odd items. </t>
        </r>
      </text>
    </comment>
    <comment ref="C14" authorId="0" shapeId="0">
      <text>
        <r>
          <rPr>
            <b/>
            <sz val="9"/>
            <color indexed="81"/>
            <rFont val="Tahoma"/>
            <family val="2"/>
          </rPr>
          <t>Amy White:</t>
        </r>
        <r>
          <rPr>
            <sz val="9"/>
            <color indexed="81"/>
            <rFont val="Tahoma"/>
            <family val="2"/>
          </rPr>
          <t xml:space="preserve">
This is a regular adjustment, just marked to remind us we will look at this</t>
        </r>
      </text>
    </comment>
    <comment ref="I14" authorId="1" shapeId="0">
      <text>
        <r>
          <rPr>
            <b/>
            <sz val="9"/>
            <color indexed="81"/>
            <rFont val="Tahoma"/>
            <family val="2"/>
          </rPr>
          <t>Sevall, Scott (UTC):</t>
        </r>
        <r>
          <rPr>
            <sz val="9"/>
            <color indexed="81"/>
            <rFont val="Tahoma"/>
            <family val="2"/>
          </rPr>
          <t xml:space="preserve">
This adjustment restates the companies total and proforma adjustment back to the G/L balance without CNG tax credits.</t>
        </r>
      </text>
    </comment>
    <comment ref="J14" authorId="1" shapeId="0">
      <text>
        <r>
          <rPr>
            <b/>
            <sz val="9"/>
            <color indexed="81"/>
            <rFont val="Tahoma"/>
            <family val="2"/>
          </rPr>
          <t>Sevall, Scott (UTC):</t>
        </r>
        <r>
          <rPr>
            <sz val="9"/>
            <color indexed="81"/>
            <rFont val="Tahoma"/>
            <family val="2"/>
          </rPr>
          <t xml:space="preserve">
This adjustment is the Fuel G/L Balance without CNG tax credits adjusted to the last 12 months of fuel cost.</t>
        </r>
      </text>
    </comment>
    <comment ref="C15" authorId="0" shapeId="0">
      <text>
        <r>
          <rPr>
            <b/>
            <sz val="9"/>
            <color indexed="81"/>
            <rFont val="Tahoma"/>
            <family val="2"/>
          </rPr>
          <t>Amy White:</t>
        </r>
        <r>
          <rPr>
            <sz val="9"/>
            <color indexed="81"/>
            <rFont val="Tahoma"/>
            <family val="2"/>
          </rPr>
          <t xml:space="preserve">
Tires are of course a major expense.  We routinely look at these two related categories, especially if there has been a large change.  Review a few invoices to be sure they really garbage truck tires or are these tires for someone's pickup truck?  How many garbage trucks are in use v. how many tires were purchased...is it reasonable?  </t>
        </r>
      </text>
    </comment>
    <comment ref="C17" authorId="0" shapeId="0">
      <text>
        <r>
          <rPr>
            <b/>
            <sz val="9"/>
            <color indexed="81"/>
            <rFont val="Tahoma"/>
            <family val="2"/>
          </rPr>
          <t>Amy White:</t>
        </r>
        <r>
          <rPr>
            <sz val="9"/>
            <color indexed="81"/>
            <rFont val="Tahoma"/>
            <family val="2"/>
          </rPr>
          <t xml:space="preserve">
DR: General question about the change</t>
        </r>
      </text>
    </comment>
    <comment ref="C22" authorId="0" shapeId="0">
      <text>
        <r>
          <rPr>
            <b/>
            <sz val="9"/>
            <color indexed="81"/>
            <rFont val="Tahoma"/>
            <family val="2"/>
          </rPr>
          <t>Amy White:</t>
        </r>
        <r>
          <rPr>
            <sz val="9"/>
            <color indexed="81"/>
            <rFont val="Tahoma"/>
            <family val="2"/>
          </rPr>
          <t xml:space="preserve">
Container compactor:
steel 
lids
tires/casters/wheels
supplies</t>
        </r>
      </text>
    </comment>
    <comment ref="C29" authorId="0" shapeId="0">
      <text>
        <r>
          <rPr>
            <b/>
            <sz val="9"/>
            <color indexed="81"/>
            <rFont val="Tahoma"/>
            <family val="2"/>
          </rPr>
          <t>Amy White:</t>
        </r>
        <r>
          <rPr>
            <sz val="9"/>
            <color indexed="81"/>
            <rFont val="Tahoma"/>
            <family val="2"/>
          </rPr>
          <t xml:space="preserve">
Why did this change so much? Although it is a positive change. </t>
        </r>
      </text>
    </comment>
    <comment ref="C31" authorId="0" shapeId="0">
      <text>
        <r>
          <rPr>
            <b/>
            <sz val="9"/>
            <color indexed="81"/>
            <rFont val="Tahoma"/>
            <family val="2"/>
          </rPr>
          <t>Amy White:</t>
        </r>
        <r>
          <rPr>
            <sz val="9"/>
            <color indexed="81"/>
            <rFont val="Tahoma"/>
            <family val="2"/>
          </rPr>
          <t xml:space="preserve">
Review detail.  What is this? </t>
        </r>
      </text>
    </comment>
    <comment ref="C32" authorId="0" shapeId="0">
      <text>
        <r>
          <rPr>
            <b/>
            <sz val="9"/>
            <color indexed="81"/>
            <rFont val="Tahoma"/>
            <family val="2"/>
          </rPr>
          <t>Amy White:</t>
        </r>
        <r>
          <rPr>
            <sz val="9"/>
            <color indexed="81"/>
            <rFont val="Tahoma"/>
            <family val="2"/>
          </rPr>
          <t xml:space="preserve">
Review detail.  What is this?  I recall that this is "per occurrence" and if so, perhaps it should be normalized. </t>
        </r>
      </text>
    </comment>
    <comment ref="C33" authorId="0" shapeId="0">
      <text>
        <r>
          <rPr>
            <b/>
            <sz val="9"/>
            <color indexed="81"/>
            <rFont val="Tahoma"/>
            <family val="2"/>
          </rPr>
          <t>Amy White:</t>
        </r>
        <r>
          <rPr>
            <sz val="9"/>
            <color indexed="81"/>
            <rFont val="Tahoma"/>
            <family val="2"/>
          </rPr>
          <t xml:space="preserve">
Review detail from g/l against the invoices Connor sen.  Also, is the amount roughly equivalent to the amount calc'd in the payroll model?  There will be rounding errors but should be close. </t>
        </r>
      </text>
    </comment>
    <comment ref="I33" authorId="1" shapeId="0">
      <text>
        <r>
          <rPr>
            <b/>
            <sz val="9"/>
            <color indexed="81"/>
            <rFont val="Tahoma"/>
            <family val="2"/>
          </rPr>
          <t>Sevall, Scott (UTC):</t>
        </r>
        <r>
          <rPr>
            <sz val="9"/>
            <color indexed="81"/>
            <rFont val="Tahoma"/>
            <family val="2"/>
          </rPr>
          <t xml:space="preserve">
To remove the PF adjustment that represents a retro-payment from 2009.</t>
        </r>
      </text>
    </comment>
    <comment ref="C34" authorId="0" shapeId="0">
      <text>
        <r>
          <rPr>
            <b/>
            <sz val="9"/>
            <color indexed="81"/>
            <rFont val="Tahoma"/>
            <family val="2"/>
          </rPr>
          <t>Amy White:</t>
        </r>
        <r>
          <rPr>
            <sz val="9"/>
            <color indexed="81"/>
            <rFont val="Tahoma"/>
            <family val="2"/>
          </rPr>
          <t xml:space="preserve">
Review detail.  What is "non-AM"?
</t>
        </r>
      </text>
    </comment>
    <comment ref="C35" authorId="0" shapeId="0">
      <text>
        <r>
          <rPr>
            <b/>
            <sz val="9"/>
            <color indexed="81"/>
            <rFont val="Tahoma"/>
            <family val="2"/>
          </rPr>
          <t>Amy White:</t>
        </r>
        <r>
          <rPr>
            <sz val="9"/>
            <color indexed="81"/>
            <rFont val="Tahoma"/>
            <family val="2"/>
          </rPr>
          <t xml:space="preserve">
Review with the repair account below -- on leased facilities?  Hmmm.</t>
        </r>
      </text>
    </comment>
    <comment ref="C36" authorId="0" shapeId="0">
      <text>
        <r>
          <rPr>
            <b/>
            <sz val="9"/>
            <color indexed="81"/>
            <rFont val="Tahoma"/>
            <family val="2"/>
          </rPr>
          <t>Amy White:</t>
        </r>
        <r>
          <rPr>
            <sz val="9"/>
            <color indexed="81"/>
            <rFont val="Tahoma"/>
            <family val="2"/>
          </rPr>
          <t xml:space="preserve">
This is a lot to pay for maintenance on a leased facility. Review detail; judge reasonableness of expenses.  DR? </t>
        </r>
      </text>
    </comment>
    <comment ref="C37" authorId="0" shapeId="0">
      <text>
        <r>
          <rPr>
            <b/>
            <sz val="9"/>
            <color indexed="81"/>
            <rFont val="Tahoma"/>
            <family val="2"/>
          </rPr>
          <t>Amy White:</t>
        </r>
        <r>
          <rPr>
            <sz val="9"/>
            <color indexed="81"/>
            <rFont val="Tahoma"/>
            <family val="2"/>
          </rPr>
          <t xml:space="preserve">
What are they leasing besides the yard (for which the lease was provided--PDF--review for the cost)</t>
        </r>
      </text>
    </comment>
    <comment ref="C38" authorId="0" shapeId="0">
      <text>
        <r>
          <rPr>
            <b/>
            <sz val="9"/>
            <color indexed="81"/>
            <rFont val="Tahoma"/>
            <family val="2"/>
          </rPr>
          <t>Amy White:</t>
        </r>
        <r>
          <rPr>
            <sz val="9"/>
            <color indexed="81"/>
            <rFont val="Tahoma"/>
            <family val="2"/>
          </rPr>
          <t xml:space="preserve">
WOW!  That is a lot of money. Be sure that the natural gas for the trucks isn't getting paid here too.</t>
        </r>
      </text>
    </comment>
    <comment ref="C39" authorId="0" shapeId="0">
      <text>
        <r>
          <rPr>
            <b/>
            <sz val="9"/>
            <color indexed="81"/>
            <rFont val="Tahoma"/>
            <family val="2"/>
          </rPr>
          <t>Amy White:</t>
        </r>
        <r>
          <rPr>
            <sz val="9"/>
            <color indexed="81"/>
            <rFont val="Tahoma"/>
            <family val="2"/>
          </rPr>
          <t xml:space="preserve">
What are they paying property taxes on?  Is it included in the lease? Or is it personal property taxes on equipment? Review the detail. </t>
        </r>
      </text>
    </comment>
    <comment ref="C40" authorId="0" shapeId="0">
      <text>
        <r>
          <rPr>
            <b/>
            <sz val="9"/>
            <color indexed="81"/>
            <rFont val="Tahoma"/>
            <family val="2"/>
          </rPr>
          <t>Amy White:</t>
        </r>
        <r>
          <rPr>
            <sz val="9"/>
            <color indexed="81"/>
            <rFont val="Tahoma"/>
            <family val="2"/>
          </rPr>
          <t xml:space="preserve">
Review detail…does this contain UTC fees? Franchise fees?  What else? </t>
        </r>
      </text>
    </comment>
    <comment ref="C41" authorId="0" shapeId="0">
      <text>
        <r>
          <rPr>
            <b/>
            <sz val="9"/>
            <color indexed="81"/>
            <rFont val="Tahoma"/>
            <family val="2"/>
          </rPr>
          <t>Amy White:</t>
        </r>
        <r>
          <rPr>
            <sz val="9"/>
            <color indexed="81"/>
            <rFont val="Tahoma"/>
            <family val="2"/>
          </rPr>
          <t xml:space="preserve">
Review detail--is there a legitimate business purpose that benefits ratepayers? </t>
        </r>
      </text>
    </comment>
    <comment ref="C42" authorId="0" shapeId="0">
      <text>
        <r>
          <rPr>
            <b/>
            <sz val="9"/>
            <color indexed="81"/>
            <rFont val="Tahoma"/>
            <family val="2"/>
          </rPr>
          <t>Amy White:</t>
        </r>
        <r>
          <rPr>
            <sz val="9"/>
            <color indexed="81"/>
            <rFont val="Tahoma"/>
            <family val="2"/>
          </rPr>
          <t xml:space="preserve">
This is a regular adjustment, just marked to remind us we will look at this.  How closely does this tie to the actual depreciation schedule?   Don't forget to look at the adjustments on the pro forma too as we get to the "book" v. "actual" amounts in each category shown. </t>
        </r>
      </text>
    </comment>
    <comment ref="C52" authorId="0" shapeId="0">
      <text>
        <r>
          <rPr>
            <b/>
            <sz val="9"/>
            <color indexed="81"/>
            <rFont val="Tahoma"/>
            <family val="2"/>
          </rPr>
          <t>Amy White:</t>
        </r>
        <r>
          <rPr>
            <sz val="9"/>
            <color indexed="81"/>
            <rFont val="Tahoma"/>
            <family val="2"/>
          </rPr>
          <t xml:space="preserve">
Items marked in orange were completely adjusted out as related to sales expense, which has no bearing on regulated customers, who are not sold to, as they have no choice of carrier.  This filing retains some costs, likely for overlapping sales/customer service duties, but the company needs to justify these expenses
</t>
        </r>
      </text>
    </comment>
    <comment ref="C53" authorId="0" shapeId="0">
      <text>
        <r>
          <rPr>
            <b/>
            <sz val="9"/>
            <color indexed="81"/>
            <rFont val="Tahoma"/>
            <family val="2"/>
          </rPr>
          <t>Amy White:</t>
        </r>
        <r>
          <rPr>
            <sz val="9"/>
            <color indexed="81"/>
            <rFont val="Tahoma"/>
            <family val="2"/>
          </rPr>
          <t xml:space="preserve">
Staff has real concerns about allocating these expenses into customer service when they are clearly marked Sales.  All were disallowed in the last rate case. More review needed here. 
Staff has looked at the payroll data and customer service costs are higher than reported here, sales costs about the same, so staff will pass further review. </t>
        </r>
      </text>
    </comment>
    <comment ref="C69" authorId="0" shapeId="0">
      <text>
        <r>
          <rPr>
            <b/>
            <sz val="9"/>
            <color indexed="81"/>
            <rFont val="Tahoma"/>
            <family val="2"/>
          </rPr>
          <t>Amy White:</t>
        </r>
        <r>
          <rPr>
            <sz val="9"/>
            <color indexed="81"/>
            <rFont val="Tahoma"/>
            <family val="2"/>
          </rPr>
          <t xml:space="preserve">
Employee Activities- Sales in last rate case
(doubly-disallowable) ! 
</t>
        </r>
      </text>
    </comment>
    <comment ref="C74" authorId="0" shapeId="0">
      <text>
        <r>
          <rPr>
            <b/>
            <sz val="9"/>
            <color indexed="81"/>
            <rFont val="Tahoma"/>
            <family val="2"/>
          </rPr>
          <t>Amy White:</t>
        </r>
        <r>
          <rPr>
            <sz val="9"/>
            <color indexed="81"/>
            <rFont val="Tahoma"/>
            <family val="2"/>
          </rPr>
          <t xml:space="preserve">
Look at the detail here--isn't there another dues and subscriptions? 
</t>
        </r>
      </text>
    </comment>
    <comment ref="C81" authorId="0" shapeId="0">
      <text>
        <r>
          <rPr>
            <b/>
            <sz val="9"/>
            <color indexed="81"/>
            <rFont val="Tahoma"/>
            <family val="2"/>
          </rPr>
          <t>Amy White:</t>
        </r>
        <r>
          <rPr>
            <sz val="9"/>
            <color indexed="81"/>
            <rFont val="Tahoma"/>
            <family val="2"/>
          </rPr>
          <t xml:space="preserve">
WE want to review the detail here and in meals. How does any of this benefit ratepayers? </t>
        </r>
      </text>
    </comment>
    <comment ref="C82" authorId="0" shapeId="0">
      <text>
        <r>
          <rPr>
            <b/>
            <sz val="9"/>
            <color indexed="81"/>
            <rFont val="Tahoma"/>
            <family val="2"/>
          </rPr>
          <t>Amy White:</t>
        </r>
        <r>
          <rPr>
            <sz val="9"/>
            <color indexed="81"/>
            <rFont val="Tahoma"/>
            <family val="2"/>
          </rPr>
          <t xml:space="preserve">
Review detail--working lunches or fancy dinners?
</t>
        </r>
      </text>
    </comment>
    <comment ref="B83" authorId="0" shapeId="0">
      <text>
        <r>
          <rPr>
            <b/>
            <sz val="9"/>
            <color indexed="81"/>
            <rFont val="Tahoma"/>
            <family val="2"/>
          </rPr>
          <t>Amy White:</t>
        </r>
        <r>
          <rPr>
            <sz val="9"/>
            <color indexed="81"/>
            <rFont val="Tahoma"/>
            <family val="2"/>
          </rPr>
          <t xml:space="preserve">
Review detail: there are a lot of "CHAMBER OF COM" payments, all should be disallowed, along with charitable items as well. </t>
        </r>
      </text>
    </comment>
    <comment ref="C83" authorId="0" shapeId="0">
      <text>
        <r>
          <rPr>
            <b/>
            <sz val="9"/>
            <color indexed="81"/>
            <rFont val="Tahoma"/>
            <family val="2"/>
          </rPr>
          <t>Amy White:</t>
        </r>
        <r>
          <rPr>
            <sz val="9"/>
            <color indexed="81"/>
            <rFont val="Tahoma"/>
            <family val="2"/>
          </rPr>
          <t xml:space="preserve">
Review in context with acct 711014</t>
        </r>
      </text>
    </comment>
    <comment ref="F83" authorId="1" shapeId="0">
      <text>
        <r>
          <rPr>
            <b/>
            <sz val="9"/>
            <color indexed="81"/>
            <rFont val="Tahoma"/>
            <family val="2"/>
          </rPr>
          <t>Sevall, Scott (UTC):</t>
        </r>
        <r>
          <rPr>
            <sz val="9"/>
            <color indexed="81"/>
            <rFont val="Tahoma"/>
            <family val="2"/>
          </rPr>
          <t xml:space="preserve">
Removed WRRA from O/H. It was under Dues and subscriptions acct. 751114</t>
        </r>
      </text>
    </comment>
    <comment ref="J83" authorId="1" shapeId="0">
      <text>
        <r>
          <rPr>
            <b/>
            <sz val="9"/>
            <color indexed="81"/>
            <rFont val="Tahoma"/>
            <family val="2"/>
          </rPr>
          <t>Sevall, Scott (UTC):</t>
        </r>
        <r>
          <rPr>
            <sz val="9"/>
            <color indexed="81"/>
            <rFont val="Tahoma"/>
            <family val="2"/>
          </rPr>
          <t xml:space="preserve">
Hardcode is from analysis showing 19124.04 as allowable. Analysis is in the Combined G/L has its own tab. </t>
        </r>
      </text>
    </comment>
    <comment ref="B84" authorId="0" shapeId="0">
      <text>
        <r>
          <rPr>
            <b/>
            <sz val="9"/>
            <color indexed="81"/>
            <rFont val="Tahoma"/>
            <family val="2"/>
          </rPr>
          <t>Amy White:</t>
        </r>
        <r>
          <rPr>
            <sz val="9"/>
            <color indexed="81"/>
            <rFont val="Tahoma"/>
            <family val="2"/>
          </rPr>
          <t xml:space="preserve">
MORE Maintenance?  On leased facilities? Aggregate with the other facility maint acct and analyze both together</t>
        </r>
      </text>
    </comment>
    <comment ref="C84" authorId="0" shapeId="0">
      <text>
        <r>
          <rPr>
            <b/>
            <sz val="9"/>
            <color indexed="81"/>
            <rFont val="Tahoma"/>
            <family val="2"/>
          </rPr>
          <t>Amy White:</t>
        </r>
        <r>
          <rPr>
            <sz val="9"/>
            <color indexed="81"/>
            <rFont val="Tahoma"/>
            <family val="2"/>
          </rPr>
          <t xml:space="preserve">
MORE facility maintenance?  Best be the cleaning lady and the guys who sweep the lot.  Review in context with the other facility maintenance expenses. </t>
        </r>
      </text>
    </comment>
    <comment ref="C85" authorId="0" shapeId="0">
      <text>
        <r>
          <rPr>
            <b/>
            <sz val="9"/>
            <color indexed="81"/>
            <rFont val="Tahoma"/>
            <family val="2"/>
          </rPr>
          <t>Amy White:</t>
        </r>
        <r>
          <rPr>
            <sz val="9"/>
            <color indexed="81"/>
            <rFont val="Tahoma"/>
            <family val="2"/>
          </rPr>
          <t xml:space="preserve">
Again, analyze with sales  / customer service advertising.  Some is needed but is it all? 
</t>
        </r>
      </text>
    </comment>
    <comment ref="C86" authorId="0" shapeId="0">
      <text>
        <r>
          <rPr>
            <b/>
            <sz val="9"/>
            <color indexed="81"/>
            <rFont val="Tahoma"/>
            <family val="2"/>
          </rPr>
          <t>Amy White:</t>
        </r>
        <r>
          <rPr>
            <sz val="9"/>
            <color indexed="81"/>
            <rFont val="Tahoma"/>
            <family val="2"/>
          </rPr>
          <t xml:space="preserve">
Staff completely disallowed this in the last rate case--why? Review for detail. </t>
        </r>
      </text>
    </comment>
    <comment ref="C87" authorId="0" shapeId="0">
      <text>
        <r>
          <rPr>
            <b/>
            <sz val="9"/>
            <color indexed="81"/>
            <rFont val="Tahoma"/>
            <family val="2"/>
          </rPr>
          <t>Amy White:</t>
        </r>
        <r>
          <rPr>
            <sz val="9"/>
            <color indexed="81"/>
            <rFont val="Tahoma"/>
            <family val="2"/>
          </rPr>
          <t xml:space="preserve">
Huge increase…what's happening here? Review detail. </t>
        </r>
      </text>
    </comment>
    <comment ref="C88" authorId="0" shapeId="0">
      <text>
        <r>
          <rPr>
            <b/>
            <sz val="9"/>
            <color indexed="81"/>
            <rFont val="Tahoma"/>
            <family val="2"/>
          </rPr>
          <t>Amy White:</t>
        </r>
        <r>
          <rPr>
            <sz val="9"/>
            <color indexed="81"/>
            <rFont val="Tahoma"/>
            <family val="2"/>
          </rPr>
          <t xml:space="preserve">
This expense did not appear in the last rate case, review. 
</t>
        </r>
      </text>
    </comment>
    <comment ref="C89" authorId="0" shapeId="0">
      <text>
        <r>
          <rPr>
            <b/>
            <sz val="9"/>
            <color indexed="81"/>
            <rFont val="Tahoma"/>
            <family val="2"/>
          </rPr>
          <t>Amy White:</t>
        </r>
        <r>
          <rPr>
            <sz val="9"/>
            <color indexed="81"/>
            <rFont val="Tahoma"/>
            <family val="2"/>
          </rPr>
          <t xml:space="preserve">
Best look at because bank fees are going to be an issue for the Chairman</t>
        </r>
      </text>
    </comment>
    <comment ref="C90" authorId="0" shapeId="0">
      <text>
        <r>
          <rPr>
            <b/>
            <sz val="9"/>
            <color indexed="81"/>
            <rFont val="Tahoma"/>
            <family val="2"/>
          </rPr>
          <t>Amy White:</t>
        </r>
        <r>
          <rPr>
            <sz val="9"/>
            <color indexed="81"/>
            <rFont val="Tahoma"/>
            <family val="2"/>
          </rPr>
          <t xml:space="preserve">
Review Legal Fees and Legal Settlements together. Settlements did not occur in the last rate case.  What is all this for? </t>
        </r>
      </text>
    </comment>
    <comment ref="F90" authorId="0" shapeId="0">
      <text>
        <r>
          <rPr>
            <b/>
            <sz val="9"/>
            <color indexed="81"/>
            <rFont val="Tahoma"/>
            <family val="2"/>
          </rPr>
          <t>Amy White:</t>
        </r>
        <r>
          <rPr>
            <sz val="9"/>
            <color indexed="81"/>
            <rFont val="Tahoma"/>
            <family val="2"/>
          </rPr>
          <t xml:space="preserve">
Company declined to provide legal invoices (see email from Connor, 3/3/15) </t>
        </r>
      </text>
    </comment>
    <comment ref="C92" authorId="0" shapeId="0">
      <text>
        <r>
          <rPr>
            <b/>
            <sz val="9"/>
            <color indexed="81"/>
            <rFont val="Tahoma"/>
            <family val="2"/>
          </rPr>
          <t>Amy White:</t>
        </r>
        <r>
          <rPr>
            <sz val="9"/>
            <color indexed="81"/>
            <rFont val="Tahoma"/>
            <family val="2"/>
          </rPr>
          <t xml:space="preserve">
COMPLETELY DISALLOWED in the last case, no reason to change now.  But look at the detail. </t>
        </r>
      </text>
    </comment>
    <comment ref="C93" authorId="0" shapeId="0">
      <text>
        <r>
          <rPr>
            <b/>
            <sz val="9"/>
            <color indexed="81"/>
            <rFont val="Tahoma"/>
            <family val="2"/>
          </rPr>
          <t>Amy White:</t>
        </r>
        <r>
          <rPr>
            <sz val="9"/>
            <color indexed="81"/>
            <rFont val="Tahoma"/>
            <family val="2"/>
          </rPr>
          <t xml:space="preserve">
$22 K adjusted out in last rate case, mostly related to consultants preparing RFPs to bid on city contracts. Review detail…who are the consultants and what do they do? </t>
        </r>
      </text>
    </comment>
    <comment ref="C94" authorId="0" shapeId="0">
      <text>
        <r>
          <rPr>
            <b/>
            <sz val="9"/>
            <color indexed="81"/>
            <rFont val="Tahoma"/>
            <family val="2"/>
          </rPr>
          <t>Amy White:</t>
        </r>
        <r>
          <rPr>
            <sz val="9"/>
            <color indexed="81"/>
            <rFont val="Tahoma"/>
            <family val="2"/>
          </rPr>
          <t xml:space="preserve">
Possibly items that are not allowable in rates…the tag "deductible" simply refers to IRS deductibility…so extract detail and decide what is allowable for us.  The company is free to make contributions but most should be paid for by shareholders, NOT ratepayers.."other people's money"...in the context of contributions, the "other people" are the ratepayers, who may find some of the causes supported to be objectionable. </t>
        </r>
      </text>
    </comment>
    <comment ref="E100" authorId="1" shapeId="0">
      <text>
        <r>
          <rPr>
            <b/>
            <sz val="9"/>
            <color indexed="81"/>
            <rFont val="Tahoma"/>
            <family val="2"/>
          </rPr>
          <t>Sevall, Scott (UTC):</t>
        </r>
        <r>
          <rPr>
            <sz val="9"/>
            <color indexed="81"/>
            <rFont val="Tahoma"/>
            <family val="2"/>
          </rPr>
          <t xml:space="preserve">
This amount is different than what the company put on their worksheet.</t>
        </r>
      </text>
    </comment>
    <comment ref="D101" authorId="0" shapeId="0">
      <text>
        <r>
          <rPr>
            <b/>
            <sz val="9"/>
            <color indexed="81"/>
            <rFont val="Tahoma"/>
            <family val="2"/>
          </rPr>
          <t>Amy White:</t>
        </r>
        <r>
          <rPr>
            <sz val="9"/>
            <color indexed="81"/>
            <rFont val="Tahoma"/>
            <family val="2"/>
          </rPr>
          <t xml:space="preserve">
From last case: 
Relocation exp      63754
Restructuring chg  15000  
Software maint          59
Accrued p-card clearing (14179)
                         64634  net 
None of these appear in the current rate case</t>
        </r>
      </text>
    </comment>
  </commentList>
</comments>
</file>

<file path=xl/comments6.xml><?xml version="1.0" encoding="utf-8"?>
<comments xmlns="http://schemas.openxmlformats.org/spreadsheetml/2006/main">
  <authors>
    <author>Hammond, Greg (UTC)</author>
  </authors>
  <commentList>
    <comment ref="N21" authorId="0" shapeId="0">
      <text>
        <r>
          <rPr>
            <b/>
            <sz val="9"/>
            <color indexed="81"/>
            <rFont val="Tahoma"/>
            <family val="2"/>
          </rPr>
          <t>Hammond, Greg (UTC):</t>
        </r>
        <r>
          <rPr>
            <sz val="9"/>
            <color indexed="81"/>
            <rFont val="Tahoma"/>
            <family val="2"/>
          </rPr>
          <t xml:space="preserve">
Half Month's rent. Lease for new container storage yard signed and effective 7/15/13</t>
        </r>
      </text>
    </comment>
    <comment ref="N43" authorId="0" shapeId="0">
      <text>
        <r>
          <rPr>
            <b/>
            <sz val="9"/>
            <color indexed="81"/>
            <rFont val="Tahoma"/>
            <family val="2"/>
          </rPr>
          <t>Hammond, Greg (UTC):</t>
        </r>
        <r>
          <rPr>
            <sz val="9"/>
            <color indexed="81"/>
            <rFont val="Tahoma"/>
            <family val="2"/>
          </rPr>
          <t xml:space="preserve">
Rent Increased to $45,000 starting 1/1/14</t>
        </r>
      </text>
    </comment>
    <comment ref="N53" authorId="0" shapeId="0">
      <text>
        <r>
          <rPr>
            <b/>
            <sz val="9"/>
            <color indexed="81"/>
            <rFont val="Tahoma"/>
            <family val="2"/>
          </rPr>
          <t>Hammond, Greg (UTC):</t>
        </r>
        <r>
          <rPr>
            <sz val="9"/>
            <color indexed="81"/>
            <rFont val="Tahoma"/>
            <family val="2"/>
          </rPr>
          <t xml:space="preserve">
$4,050 of the $45,000 allocated to Lynwood Division ($40,950 remaining to Bellevue)</t>
        </r>
      </text>
    </comment>
    <comment ref="B72" authorId="0" shapeId="0">
      <text>
        <r>
          <rPr>
            <b/>
            <sz val="9"/>
            <color indexed="81"/>
            <rFont val="Tahoma"/>
            <family val="2"/>
          </rPr>
          <t>Hammond, Greg (UTC):</t>
        </r>
        <r>
          <rPr>
            <sz val="9"/>
            <color indexed="81"/>
            <rFont val="Tahoma"/>
            <family val="2"/>
          </rPr>
          <t xml:space="preserve">
Test Period begins 5/1/13, not 4/1/13</t>
        </r>
      </text>
    </comment>
    <comment ref="K90" authorId="0" shapeId="0">
      <text>
        <r>
          <rPr>
            <b/>
            <sz val="9"/>
            <color indexed="81"/>
            <rFont val="Tahoma"/>
            <family val="2"/>
          </rPr>
          <t>Hammond, Greg (UTC):</t>
        </r>
        <r>
          <rPr>
            <sz val="9"/>
            <color indexed="81"/>
            <rFont val="Tahoma"/>
            <family val="2"/>
          </rPr>
          <t xml:space="preserve">
On 10/1/14 rent on the Cadman property will increase by 3%. This increase will continue every Oct. through the end of the lease</t>
        </r>
      </text>
    </comment>
  </commentList>
</comments>
</file>

<file path=xl/comments7.xml><?xml version="1.0" encoding="utf-8"?>
<comments xmlns="http://schemas.openxmlformats.org/spreadsheetml/2006/main">
  <authors>
    <author>Sevall, Scott (UTC)</author>
  </authors>
  <commentList>
    <comment ref="A5" authorId="0" shapeId="0">
      <text>
        <r>
          <rPr>
            <b/>
            <sz val="9"/>
            <color indexed="81"/>
            <rFont val="Tahoma"/>
            <family val="2"/>
          </rPr>
          <t>Sevall, Scott (UTC):</t>
        </r>
        <r>
          <rPr>
            <sz val="9"/>
            <color indexed="81"/>
            <rFont val="Tahoma"/>
            <family val="2"/>
          </rPr>
          <t xml:space="preserve">
Left this quarter out.</t>
        </r>
      </text>
    </comment>
    <comment ref="K10" authorId="0" shapeId="0">
      <text>
        <r>
          <rPr>
            <b/>
            <sz val="9"/>
            <color indexed="81"/>
            <rFont val="Tahoma"/>
            <family val="2"/>
          </rPr>
          <t>Sevall, Scott (UTC):</t>
        </r>
        <r>
          <rPr>
            <sz val="9"/>
            <color indexed="81"/>
            <rFont val="Tahoma"/>
            <family val="2"/>
          </rPr>
          <t xml:space="preserve">
Estimate based off the two retro checks.</t>
        </r>
      </text>
    </comment>
    <comment ref="K17" authorId="0" shapeId="0">
      <text>
        <r>
          <rPr>
            <b/>
            <sz val="9"/>
            <color indexed="81"/>
            <rFont val="Tahoma"/>
            <family val="2"/>
          </rPr>
          <t>Sevall, Scott (UTC):</t>
        </r>
        <r>
          <rPr>
            <sz val="9"/>
            <color indexed="81"/>
            <rFont val="Tahoma"/>
            <family val="2"/>
          </rPr>
          <t xml:space="preserve">
This is not part of calculation.</t>
        </r>
      </text>
    </comment>
    <comment ref="K22" authorId="0" shapeId="0">
      <text>
        <r>
          <rPr>
            <b/>
            <sz val="9"/>
            <color indexed="81"/>
            <rFont val="Tahoma"/>
            <family val="2"/>
          </rPr>
          <t>Sevall, Scott (UTC):</t>
        </r>
        <r>
          <rPr>
            <sz val="9"/>
            <color indexed="81"/>
            <rFont val="Tahoma"/>
            <family val="2"/>
          </rPr>
          <t xml:space="preserve">
This is not part of calculation.</t>
        </r>
      </text>
    </comment>
    <comment ref="K29" authorId="0" shapeId="0">
      <text>
        <r>
          <rPr>
            <b/>
            <sz val="9"/>
            <color indexed="81"/>
            <rFont val="Tahoma"/>
            <family val="2"/>
          </rPr>
          <t>Sevall, Scott (UTC):</t>
        </r>
        <r>
          <rPr>
            <sz val="9"/>
            <color indexed="81"/>
            <rFont val="Tahoma"/>
            <family val="2"/>
          </rPr>
          <t xml:space="preserve">
Estimated using the adjustment from the previous year and adjusting it by the loss ratio for 2014.</t>
        </r>
      </text>
    </comment>
  </commentList>
</comments>
</file>

<file path=xl/comments8.xml><?xml version="1.0" encoding="utf-8"?>
<comments xmlns="http://schemas.openxmlformats.org/spreadsheetml/2006/main">
  <authors>
    <author>Hammond, Greg (UTC)</author>
  </authors>
  <commentList>
    <comment ref="H156" authorId="0" shapeId="0">
      <text>
        <r>
          <rPr>
            <b/>
            <sz val="9"/>
            <color indexed="81"/>
            <rFont val="Tahoma"/>
            <family val="2"/>
          </rPr>
          <t>Hammond, Greg (UTC):</t>
        </r>
        <r>
          <rPr>
            <sz val="9"/>
            <color indexed="81"/>
            <rFont val="Tahoma"/>
            <family val="2"/>
          </rPr>
          <t xml:space="preserve">
Per TG-121510 - Company stated 10 yr life, did not reflect staff's changes from last rate case</t>
        </r>
      </text>
    </comment>
    <comment ref="H157" authorId="0" shapeId="0">
      <text>
        <r>
          <rPr>
            <b/>
            <sz val="9"/>
            <color indexed="81"/>
            <rFont val="Tahoma"/>
            <family val="2"/>
          </rPr>
          <t>Hammond, Greg (UTC):</t>
        </r>
        <r>
          <rPr>
            <sz val="9"/>
            <color indexed="81"/>
            <rFont val="Tahoma"/>
            <family val="2"/>
          </rPr>
          <t xml:space="preserve">
Per TG-121510 - Company stated 9.417 yr life, did not reflect staff's changes from last rate case</t>
        </r>
      </text>
    </comment>
    <comment ref="E167" authorId="0" shapeId="0">
      <text>
        <r>
          <rPr>
            <b/>
            <sz val="9"/>
            <color indexed="81"/>
            <rFont val="Tahoma"/>
            <family val="2"/>
          </rPr>
          <t>Hammond, Greg (UTC):</t>
        </r>
        <r>
          <rPr>
            <sz val="9"/>
            <color indexed="81"/>
            <rFont val="Tahoma"/>
            <family val="2"/>
          </rPr>
          <t xml:space="preserve">
Disallow - added after test period</t>
        </r>
      </text>
    </comment>
  </commentList>
</comments>
</file>

<file path=xl/comments9.xml><?xml version="1.0" encoding="utf-8"?>
<comments xmlns="http://schemas.openxmlformats.org/spreadsheetml/2006/main">
  <authors>
    <author>Vander Zalm, Connor</author>
  </authors>
  <commentList>
    <comment ref="F7" authorId="0" shapeId="0">
      <text>
        <r>
          <rPr>
            <b/>
            <sz val="9"/>
            <color indexed="81"/>
            <rFont val="Tahoma"/>
            <family val="2"/>
          </rPr>
          <t>Vander Zalm, Connor:</t>
        </r>
        <r>
          <rPr>
            <sz val="9"/>
            <color indexed="81"/>
            <rFont val="Tahoma"/>
            <family val="2"/>
          </rPr>
          <t xml:space="preserve">
% related to MSW</t>
        </r>
      </text>
    </comment>
    <comment ref="F9" authorId="0" shapeId="0">
      <text>
        <r>
          <rPr>
            <b/>
            <sz val="9"/>
            <color indexed="81"/>
            <rFont val="Tahoma"/>
            <family val="2"/>
          </rPr>
          <t>Vander Zalm, Connor:</t>
        </r>
        <r>
          <rPr>
            <sz val="9"/>
            <color indexed="81"/>
            <rFont val="Tahoma"/>
            <family val="2"/>
          </rPr>
          <t xml:space="preserve">
% related to recycling</t>
        </r>
      </text>
    </comment>
    <comment ref="F10" authorId="0" shapeId="0">
      <text>
        <r>
          <rPr>
            <b/>
            <sz val="9"/>
            <color indexed="81"/>
            <rFont val="Tahoma"/>
            <family val="2"/>
          </rPr>
          <t>Vander Zalm, Connor:</t>
        </r>
        <r>
          <rPr>
            <sz val="9"/>
            <color indexed="81"/>
            <rFont val="Tahoma"/>
            <family val="2"/>
          </rPr>
          <t xml:space="preserve">
% related to YW
</t>
        </r>
      </text>
    </comment>
    <comment ref="F11" authorId="0" shapeId="0">
      <text>
        <r>
          <rPr>
            <b/>
            <sz val="9"/>
            <color indexed="81"/>
            <rFont val="Tahoma"/>
            <family val="2"/>
          </rPr>
          <t>Vander Zalm, Connor:</t>
        </r>
        <r>
          <rPr>
            <sz val="9"/>
            <color indexed="81"/>
            <rFont val="Tahoma"/>
            <family val="2"/>
          </rPr>
          <t xml:space="preserve">
% of regulated Comm/MF packer truck hours related to MSW rather than MF Recycling</t>
        </r>
      </text>
    </comment>
  </commentList>
</comments>
</file>

<file path=xl/sharedStrings.xml><?xml version="1.0" encoding="utf-8"?>
<sst xmlns="http://schemas.openxmlformats.org/spreadsheetml/2006/main" count="25276" uniqueCount="2573">
  <si>
    <t>Rolloff Third Party per GL</t>
  </si>
  <si>
    <t>HWF (charged to all King Co customers)</t>
  </si>
  <si>
    <t>HWF (charged to all King Co comm cust)</t>
  </si>
  <si>
    <t>Cart %</t>
  </si>
  <si>
    <t>Container %</t>
  </si>
  <si>
    <t>L-G Curve Yardwaste Revenue Requirement</t>
  </si>
  <si>
    <t>L-G Curve Recycle Revenue Requirement</t>
  </si>
  <si>
    <t>WUTC Area</t>
  </si>
  <si>
    <t>Test Period Thru</t>
  </si>
  <si>
    <t>Allocations</t>
  </si>
  <si>
    <t>Truck Hours</t>
  </si>
  <si>
    <t>Regulated</t>
  </si>
  <si>
    <t>Unregulated</t>
  </si>
  <si>
    <t>Revenue</t>
  </si>
  <si>
    <t>Previously Allocated Costs</t>
  </si>
  <si>
    <t>Recycle</t>
  </si>
  <si>
    <t>Yardwaste</t>
  </si>
  <si>
    <t>Multi-family Recycle</t>
  </si>
  <si>
    <t>Garbage</t>
  </si>
  <si>
    <t>C.O.S.</t>
  </si>
  <si>
    <t>Variance</t>
  </si>
  <si>
    <t xml:space="preserve"> </t>
  </si>
  <si>
    <t>DROPBOX</t>
  </si>
  <si>
    <t>MILEAGE &amp; MISC.</t>
  </si>
  <si>
    <t>Calculated</t>
  </si>
  <si>
    <t>Actual</t>
  </si>
  <si>
    <t>Annual</t>
  </si>
  <si>
    <t>Total</t>
  </si>
  <si>
    <t>Office</t>
  </si>
  <si>
    <t>Driver</t>
  </si>
  <si>
    <t>Dropbox</t>
  </si>
  <si>
    <t>Mechanic</t>
  </si>
  <si>
    <t>All Other</t>
  </si>
  <si>
    <t>Packer</t>
  </si>
  <si>
    <t>Container</t>
  </si>
  <si>
    <t>Subtotal</t>
  </si>
  <si>
    <t>Officer</t>
  </si>
  <si>
    <t>B &amp; O</t>
  </si>
  <si>
    <t>Bad</t>
  </si>
  <si>
    <t>Proposed</t>
  </si>
  <si>
    <t>and</t>
  </si>
  <si>
    <t>Current</t>
  </si>
  <si>
    <t>Monthly</t>
  </si>
  <si>
    <t>Disposal</t>
  </si>
  <si>
    <t>Shop</t>
  </si>
  <si>
    <t>Truck</t>
  </si>
  <si>
    <t>Repair</t>
  </si>
  <si>
    <t>Taxes</t>
  </si>
  <si>
    <t>Customers</t>
  </si>
  <si>
    <t>Tons</t>
  </si>
  <si>
    <t>Adjustment</t>
  </si>
  <si>
    <t>Overhead</t>
  </si>
  <si>
    <t>Expense</t>
  </si>
  <si>
    <t>Expenses</t>
  </si>
  <si>
    <t>Requirement</t>
  </si>
  <si>
    <t>Rate</t>
  </si>
  <si>
    <t>Pickups</t>
  </si>
  <si>
    <t xml:space="preserve">RESIDENTIAL </t>
  </si>
  <si>
    <t>1 Mini Can</t>
  </si>
  <si>
    <t>1 Can wk</t>
  </si>
  <si>
    <t>2  Can wk</t>
  </si>
  <si>
    <t>3 Can wk</t>
  </si>
  <si>
    <t>4 Can wk</t>
  </si>
  <si>
    <t>5 Can wk</t>
  </si>
  <si>
    <t>1 Can Monthly</t>
  </si>
  <si>
    <t>60 Gal Tote wk</t>
  </si>
  <si>
    <t>90 Gal Tote wk</t>
  </si>
  <si>
    <t>Extras</t>
  </si>
  <si>
    <t>Mini Can Rental</t>
  </si>
  <si>
    <t>1 Can Rental</t>
  </si>
  <si>
    <t>60 Gal Toter Rental</t>
  </si>
  <si>
    <t>90 Gal Toter Rental</t>
  </si>
  <si>
    <t xml:space="preserve">32 Gal Toter 1xweek </t>
  </si>
  <si>
    <t xml:space="preserve">64 Gal Toter 1xweek  </t>
  </si>
  <si>
    <t>96 Gal Toter 1xweek</t>
  </si>
  <si>
    <t>2 yd 1xweek</t>
  </si>
  <si>
    <t>2 yd 2xweek</t>
  </si>
  <si>
    <t>3 yd  On Call</t>
  </si>
  <si>
    <t>3 yd 1xweek</t>
  </si>
  <si>
    <t>3 yd 2xweek</t>
  </si>
  <si>
    <t>3 yd 3xweek</t>
  </si>
  <si>
    <t>4 yd On Call</t>
  </si>
  <si>
    <t>4 yd 1xweek</t>
  </si>
  <si>
    <t>4 yd 2xweek</t>
  </si>
  <si>
    <t>4 yd 3xweek</t>
  </si>
  <si>
    <t>6 yd  On Call</t>
  </si>
  <si>
    <t>6 yd 1xweek</t>
  </si>
  <si>
    <t>6 yd 2xweek</t>
  </si>
  <si>
    <t>6 yd 3xweek</t>
  </si>
  <si>
    <t>8 yd   On Call</t>
  </si>
  <si>
    <t>8 yd  1xweek</t>
  </si>
  <si>
    <t>8 yd  2xweek</t>
  </si>
  <si>
    <t>8 yd  3xweek</t>
  </si>
  <si>
    <t>32 Gal Toter Rent</t>
  </si>
  <si>
    <t>64 Gal Toter Rent</t>
  </si>
  <si>
    <t>96 Gal Toter Rent</t>
  </si>
  <si>
    <t>1 yd Rent</t>
  </si>
  <si>
    <t>2 yd Rent</t>
  </si>
  <si>
    <t>3 yd Rent</t>
  </si>
  <si>
    <t>4 yd Rent</t>
  </si>
  <si>
    <t>6 yd Rent</t>
  </si>
  <si>
    <t>8 yd Rent</t>
  </si>
  <si>
    <t xml:space="preserve">  Subtotal</t>
  </si>
  <si>
    <t>Multi-Family</t>
  </si>
  <si>
    <t>2 yd 3xweek</t>
  </si>
  <si>
    <t>TOTAL</t>
  </si>
  <si>
    <t>10 yd Permanent</t>
  </si>
  <si>
    <t>15 yd Permanent</t>
  </si>
  <si>
    <t>20 yd Permanent</t>
  </si>
  <si>
    <t>25 yd Permanent</t>
  </si>
  <si>
    <t>30 yd Permanent</t>
  </si>
  <si>
    <t>40 yd Temp</t>
  </si>
  <si>
    <t>10 yd Rent</t>
  </si>
  <si>
    <t>15 yd Rent</t>
  </si>
  <si>
    <t>20 yd Rent</t>
  </si>
  <si>
    <t>25 yd Rent</t>
  </si>
  <si>
    <t>30 yd Rent</t>
  </si>
  <si>
    <t>40 yd Rent</t>
  </si>
  <si>
    <t>Deliveries</t>
  </si>
  <si>
    <t>Pay Diff. Adj</t>
  </si>
  <si>
    <t>Allocation Worksheet</t>
  </si>
  <si>
    <t>General Rate Increase Model</t>
  </si>
  <si>
    <t>Regulated VS</t>
  </si>
  <si>
    <t xml:space="preserve">Regulated </t>
  </si>
  <si>
    <t>SPLIT</t>
  </si>
  <si>
    <t>Non-Regulated</t>
  </si>
  <si>
    <t>Activity</t>
  </si>
  <si>
    <t>REGULATED</t>
  </si>
  <si>
    <t xml:space="preserve">Roll off </t>
  </si>
  <si>
    <t>Non WUTC</t>
  </si>
  <si>
    <t>WUTC</t>
  </si>
  <si>
    <t>Restate</t>
  </si>
  <si>
    <t>Adj Revenue</t>
  </si>
  <si>
    <t>Correctly Categorize</t>
  </si>
  <si>
    <t>RESTATING</t>
  </si>
  <si>
    <t>L&amp;I</t>
  </si>
  <si>
    <t>Wage and</t>
  </si>
  <si>
    <t>Division</t>
  </si>
  <si>
    <t>Facility</t>
  </si>
  <si>
    <t>LOB</t>
  </si>
  <si>
    <t>PROFORMA</t>
  </si>
  <si>
    <t>ADJUSTED</t>
  </si>
  <si>
    <t>UNREG</t>
  </si>
  <si>
    <t>MULTI Family</t>
  </si>
  <si>
    <t>ALLOCATION</t>
  </si>
  <si>
    <t>Allocation</t>
  </si>
  <si>
    <t>RECYCLE</t>
  </si>
  <si>
    <t>YARDWASTE</t>
  </si>
  <si>
    <t>MF Recycle</t>
  </si>
  <si>
    <t>GARBAGE</t>
  </si>
  <si>
    <t>Pass thru Disposal</t>
  </si>
  <si>
    <t>expenses</t>
  </si>
  <si>
    <t>Depreciation</t>
  </si>
  <si>
    <t>Rev/Expenses</t>
  </si>
  <si>
    <t>catagories</t>
  </si>
  <si>
    <t>Disposal fees</t>
  </si>
  <si>
    <t>ADJUSTMENTS</t>
  </si>
  <si>
    <t>rate</t>
  </si>
  <si>
    <t>rate filing</t>
  </si>
  <si>
    <t>Benefit</t>
  </si>
  <si>
    <t>Lease</t>
  </si>
  <si>
    <t>Fuel</t>
  </si>
  <si>
    <t>Insurance</t>
  </si>
  <si>
    <t xml:space="preserve">Other </t>
  </si>
  <si>
    <t>ACCT. NO.</t>
  </si>
  <si>
    <t>DESCRIPTION</t>
  </si>
  <si>
    <t>AREAS</t>
  </si>
  <si>
    <t>METHOD</t>
  </si>
  <si>
    <t>Method</t>
  </si>
  <si>
    <t>Check col.</t>
  </si>
  <si>
    <t>RA #1</t>
  </si>
  <si>
    <t>RA #2</t>
  </si>
  <si>
    <t>RA #3</t>
  </si>
  <si>
    <t>RA #4</t>
  </si>
  <si>
    <t>RA #5</t>
  </si>
  <si>
    <t>RA #6</t>
  </si>
  <si>
    <t>TRA</t>
  </si>
  <si>
    <t>increase</t>
  </si>
  <si>
    <t>Increase</t>
  </si>
  <si>
    <t>Adjustments</t>
  </si>
  <si>
    <t>REVENUE</t>
  </si>
  <si>
    <t>PA #1</t>
  </si>
  <si>
    <t>PA #2</t>
  </si>
  <si>
    <t>PA #3</t>
  </si>
  <si>
    <t>PA #4</t>
  </si>
  <si>
    <t>PA #5</t>
  </si>
  <si>
    <t>PA #6</t>
  </si>
  <si>
    <t>PA #7</t>
  </si>
  <si>
    <t>PA #8</t>
  </si>
  <si>
    <t>TPA</t>
  </si>
  <si>
    <t>TOTAL REVENUE</t>
  </si>
  <si>
    <t>TOTAL OPERATIONS LABOR</t>
  </si>
  <si>
    <t>UTILITIES</t>
  </si>
  <si>
    <t>TOTAL TIPPING &amp; DISPOSAL COSTS</t>
  </si>
  <si>
    <t>TOTAL SG&amp;A COSTS</t>
  </si>
  <si>
    <t>TOTAL EXPENSES</t>
  </si>
  <si>
    <t>Federal Income Taxes</t>
  </si>
  <si>
    <t>NET INCOME (LOSS)</t>
  </si>
  <si>
    <t>OPERATING RATIO</t>
  </si>
  <si>
    <t>WUTC OPERATING RATIO</t>
  </si>
  <si>
    <t>Lurito Gallagher Operating Ratio Calculation</t>
  </si>
  <si>
    <t>!??!</t>
  </si>
  <si>
    <t>OP/RATIO</t>
  </si>
  <si>
    <t xml:space="preserve">      curve</t>
  </si>
  <si>
    <t>FORMULAS</t>
  </si>
  <si>
    <t>1st Revenue</t>
  </si>
  <si>
    <t>1st Turnover</t>
  </si>
  <si>
    <t>M</t>
  </si>
  <si>
    <t>ROR</t>
  </si>
  <si>
    <t>ROE</t>
  </si>
  <si>
    <t>Adj ROE</t>
  </si>
  <si>
    <t>Pre Tax ROE</t>
  </si>
  <si>
    <t>Adj M</t>
  </si>
  <si>
    <t>Revenues</t>
  </si>
  <si>
    <t>Decision</t>
  </si>
  <si>
    <t xml:space="preserve">     lookup table</t>
  </si>
  <si>
    <t>!!!</t>
  </si>
  <si>
    <t>Revenue Requirement</t>
  </si>
  <si>
    <t>!!!&lt;--</t>
  </si>
  <si>
    <t xml:space="preserve"> 1. less than 50</t>
  </si>
  <si>
    <t>@EXP(5.72260-(.68367*@LN(T)))</t>
  </si>
  <si>
    <t>Revenue Deficiency</t>
  </si>
  <si>
    <t xml:space="preserve"> 2. Between 50 and 125</t>
  </si>
  <si>
    <t>@EXP(5.70827-(.68367*@LN(T)))</t>
  </si>
  <si>
    <t>*</t>
  </si>
  <si>
    <t>-</t>
  </si>
  <si>
    <t>* p/f before rates</t>
  </si>
  <si>
    <t xml:space="preserve"> 3. Between 125 and 140</t>
  </si>
  <si>
    <t>@EXP(5.69850-(.68367*@LN(T)))</t>
  </si>
  <si>
    <t xml:space="preserve"> 4. greater than 400</t>
  </si>
  <si>
    <t>@EXP(5.69220-(.68367*@LN(T)))</t>
  </si>
  <si>
    <t>Avg. Investment  -</t>
  </si>
  <si>
    <t>curve turnover</t>
  </si>
  <si>
    <t>(calculated)</t>
  </si>
  <si>
    <t>2nd Turnover</t>
  </si>
  <si>
    <t xml:space="preserve">     lookup tables</t>
  </si>
  <si>
    <t>final turnover</t>
  </si>
  <si>
    <t>curve No. used</t>
  </si>
  <si>
    <t xml:space="preserve">Company actual </t>
  </si>
  <si>
    <t>capital structure:</t>
  </si>
  <si>
    <t>OPERATING RATIO -&gt;</t>
  </si>
  <si>
    <t>=</t>
  </si>
  <si>
    <t>3rd Turnover</t>
  </si>
  <si>
    <t xml:space="preserve">Actual Debt Ratio </t>
  </si>
  <si>
    <t xml:space="preserve"> Conversion factor data:</t>
  </si>
  <si>
    <t>Actual Equity Ratio</t>
  </si>
  <si>
    <t xml:space="preserve"> B &amp; O Tax</t>
  </si>
  <si>
    <t>Actual Cost of Debt</t>
  </si>
  <si>
    <t xml:space="preserve"> WUTC Fee</t>
  </si>
  <si>
    <t>County  tax</t>
  </si>
  <si>
    <t>Tax Rate</t>
  </si>
  <si>
    <t xml:space="preserve"> Bad Debts</t>
  </si>
  <si>
    <t>4th Turnover</t>
  </si>
  <si>
    <t>Revenue Sensitive</t>
  </si>
  <si>
    <t>Conversion Factor</t>
  </si>
  <si>
    <t>yes</t>
  </si>
  <si>
    <t># of</t>
  </si>
  <si>
    <t>Yards/Month</t>
  </si>
  <si>
    <t>per month</t>
  </si>
  <si>
    <t>5th Turnover</t>
  </si>
  <si>
    <t>6th Turnover</t>
  </si>
  <si>
    <t>7th turnover</t>
  </si>
  <si>
    <t>8th turnover</t>
  </si>
  <si>
    <t>9th turnover</t>
  </si>
  <si>
    <t>customers</t>
  </si>
  <si>
    <t>Interest Expense/End of Period Balance</t>
  </si>
  <si>
    <t>Rollup</t>
  </si>
  <si>
    <t>Avg. Capital structure</t>
  </si>
  <si>
    <t xml:space="preserve">  Debt Ratio</t>
  </si>
  <si>
    <t xml:space="preserve">  Pfd. Ratio</t>
  </si>
  <si>
    <t xml:space="preserve">  Equity Ratio</t>
  </si>
  <si>
    <t xml:space="preserve">  Cost of Debt</t>
  </si>
  <si>
    <t xml:space="preserve">  Cost of Pfd.</t>
  </si>
  <si>
    <t>Proforma Adjustments</t>
  </si>
  <si>
    <t>Kent-Meridian</t>
  </si>
  <si>
    <t>Lynnwood</t>
  </si>
  <si>
    <t>Sea-Tac</t>
  </si>
  <si>
    <t>Eastside</t>
  </si>
  <si>
    <t>Residential</t>
  </si>
  <si>
    <t>R</t>
  </si>
  <si>
    <t>Commercial</t>
  </si>
  <si>
    <t>I</t>
  </si>
  <si>
    <t>Yards</t>
  </si>
  <si>
    <t>32 Gal Tote wk</t>
  </si>
  <si>
    <t>20 yd Temporary</t>
  </si>
  <si>
    <t>20 yd Compactors</t>
  </si>
  <si>
    <t>25 yd Temporary</t>
  </si>
  <si>
    <t>25 yd Compactors</t>
  </si>
  <si>
    <t>30 yd Temporary</t>
  </si>
  <si>
    <t>30 yd Compactors</t>
  </si>
  <si>
    <t>40 yd Permanent</t>
  </si>
  <si>
    <t>Mileage</t>
  </si>
  <si>
    <t>Price-out</t>
  </si>
  <si>
    <t>Gross</t>
  </si>
  <si>
    <t xml:space="preserve">Yardwaste </t>
  </si>
  <si>
    <t>Per Can</t>
  </si>
  <si>
    <t>32 Gal Toter Rental</t>
  </si>
  <si>
    <t>90 Gal Yardwaste Rental</t>
  </si>
  <si>
    <t>Total Residential</t>
  </si>
  <si>
    <t>Total Resi Priceout</t>
  </si>
  <si>
    <t>Total from Proforma</t>
  </si>
  <si>
    <t>Containers</t>
  </si>
  <si>
    <t>Annl Prop</t>
  </si>
  <si>
    <t>Yds</t>
  </si>
  <si>
    <t>1 yd  on call</t>
  </si>
  <si>
    <t>1 yd  1xweek</t>
  </si>
  <si>
    <t>2yd On Call</t>
  </si>
  <si>
    <t>3 yd Comp Week</t>
  </si>
  <si>
    <t>4 yd Comp Week</t>
  </si>
  <si>
    <t>6 yd Comp Week</t>
  </si>
  <si>
    <t>8 yd  5xweek</t>
  </si>
  <si>
    <t>Annual Revenue</t>
  </si>
  <si>
    <t>Sub-total</t>
  </si>
  <si>
    <t>Total Commercial</t>
  </si>
  <si>
    <t>Multi-family recycle  component</t>
  </si>
  <si>
    <t xml:space="preserve">Net </t>
  </si>
  <si>
    <t>Net</t>
  </si>
  <si>
    <t xml:space="preserve">MF </t>
  </si>
  <si>
    <t>Com</t>
  </si>
  <si>
    <t>Recycling</t>
  </si>
  <si>
    <t>Multi-Family Recycling</t>
  </si>
  <si>
    <t>Size</t>
  </si>
  <si>
    <t>MF Recycling</t>
  </si>
  <si>
    <t xml:space="preserve">MF Recycling </t>
  </si>
  <si>
    <t>Hauls</t>
  </si>
  <si>
    <t>PropRate</t>
  </si>
  <si>
    <t>Per Day</t>
  </si>
  <si>
    <t>Per Mile</t>
  </si>
  <si>
    <t>Dropbox total</t>
  </si>
  <si>
    <t xml:space="preserve"> Drop Box</t>
  </si>
  <si>
    <t>MF Recycling Revenue</t>
  </si>
  <si>
    <t>Total Drop Box Revenue</t>
  </si>
  <si>
    <t>hauls per month</t>
  </si>
  <si>
    <t>hauls per year</t>
  </si>
  <si>
    <t>time allocated</t>
  </si>
  <si>
    <t xml:space="preserve">time per haul </t>
  </si>
  <si>
    <t>Total Total</t>
  </si>
  <si>
    <t>Price Out Garbage Service</t>
  </si>
  <si>
    <t>Total Total GL</t>
  </si>
  <si>
    <t>Pro Forma less MF Recycling</t>
  </si>
  <si>
    <t>50 yd Rent</t>
  </si>
  <si>
    <t>Appendix A</t>
  </si>
  <si>
    <t>Appendix B</t>
  </si>
  <si>
    <t>Proforma</t>
  </si>
  <si>
    <t>Container Count</t>
  </si>
  <si>
    <t>Drop box</t>
  </si>
  <si>
    <t>Regular</t>
  </si>
  <si>
    <t xml:space="preserve">Total </t>
  </si>
  <si>
    <t>EXPENSE MATRIX</t>
  </si>
  <si>
    <t>Pass through</t>
  </si>
  <si>
    <t>Payroll &amp;</t>
  </si>
  <si>
    <t>Fees</t>
  </si>
  <si>
    <t xml:space="preserve">and </t>
  </si>
  <si>
    <t>Debts</t>
  </si>
  <si>
    <t>Fringe</t>
  </si>
  <si>
    <t>Expenses-</t>
  </si>
  <si>
    <t>Other</t>
  </si>
  <si>
    <t>Row Total</t>
  </si>
  <si>
    <t>depreciation</t>
  </si>
  <si>
    <t>Except</t>
  </si>
  <si>
    <t>Check</t>
  </si>
  <si>
    <t>etc</t>
  </si>
  <si>
    <t>D</t>
  </si>
  <si>
    <t>E</t>
  </si>
  <si>
    <t>F</t>
  </si>
  <si>
    <t>G</t>
  </si>
  <si>
    <t>H</t>
  </si>
  <si>
    <t>J</t>
  </si>
  <si>
    <t>K</t>
  </si>
  <si>
    <t>L</t>
  </si>
  <si>
    <t>N</t>
  </si>
  <si>
    <t>O</t>
  </si>
  <si>
    <t>P</t>
  </si>
  <si>
    <t>Q</t>
  </si>
  <si>
    <t>S</t>
  </si>
  <si>
    <t>T</t>
  </si>
  <si>
    <t>U</t>
  </si>
  <si>
    <t>V</t>
  </si>
  <si>
    <t>OPERATING REVENUES</t>
  </si>
  <si>
    <t xml:space="preserve">  RESIDENTIAL</t>
  </si>
  <si>
    <t xml:space="preserve">  COMMERCIAL</t>
  </si>
  <si>
    <t xml:space="preserve">  DROP BOX</t>
  </si>
  <si>
    <t xml:space="preserve">  DROP BOX PASS THRU</t>
  </si>
  <si>
    <t>TOTAL OPERATING REVENUE</t>
  </si>
  <si>
    <t>OPERATING EXPENSES</t>
  </si>
  <si>
    <t>PARTS &amp; REPAIRS</t>
  </si>
  <si>
    <t>TIRES</t>
  </si>
  <si>
    <t>DRIVERS WAGES</t>
  </si>
  <si>
    <t>MECHANICS WAGES</t>
  </si>
  <si>
    <t>FUEL &amp; OIL</t>
  </si>
  <si>
    <t>OTHER COLLECTION EXP.</t>
  </si>
  <si>
    <t>DISPOSAL FEES:</t>
  </si>
  <si>
    <t xml:space="preserve">       -REGULAR</t>
  </si>
  <si>
    <t xml:space="preserve">      - PASS THROUGH</t>
  </si>
  <si>
    <t>ADVERTISING</t>
  </si>
  <si>
    <t>PL &amp; PD INSURANCE</t>
  </si>
  <si>
    <t>PAYROLL TAXES</t>
  </si>
  <si>
    <t>OFFICERS WAGES</t>
  </si>
  <si>
    <t>OFFICE WAGES</t>
  </si>
  <si>
    <t>OFFICE EXPENSE</t>
  </si>
  <si>
    <t>LEGAL &amp; ACCOUNTING</t>
  </si>
  <si>
    <t>EMPLOYEE WELFARE</t>
  </si>
  <si>
    <t>REGULATORY EXPENSE</t>
  </si>
  <si>
    <t>OTHER GENERAL EXPENSE</t>
  </si>
  <si>
    <t>Depr- COLLECTION EQUIP</t>
  </si>
  <si>
    <t>Depr- CONTAINERS</t>
  </si>
  <si>
    <t>Depr- SERVICE EQUIPMENT</t>
  </si>
  <si>
    <t>VEHICLE LICENSES &amp; FEES</t>
  </si>
  <si>
    <t>B &amp; O TAX</t>
  </si>
  <si>
    <t>FACILITY COSTS</t>
  </si>
  <si>
    <t>BAD DEBT</t>
  </si>
  <si>
    <t>TOTAL OPERATING EXPENSES</t>
  </si>
  <si>
    <t>NET OPERATING INCOME</t>
  </si>
  <si>
    <t>Total per Proforma</t>
  </si>
  <si>
    <t>ADF (not charge to cities)</t>
  </si>
  <si>
    <t>Manual reclass</t>
  </si>
  <si>
    <t>Extras charges</t>
  </si>
  <si>
    <t>Commercial Recycling</t>
  </si>
  <si>
    <t>Commercial reclass</t>
  </si>
  <si>
    <t>Regulated Disposal Tons</t>
  </si>
  <si>
    <t>Disposal passthrough</t>
  </si>
  <si>
    <t>Mileage (monthly ave)</t>
  </si>
  <si>
    <t>HWF (monthly ave)</t>
  </si>
  <si>
    <t>Total Revenue</t>
  </si>
  <si>
    <t>R/O Disp per Revenue Reports</t>
  </si>
  <si>
    <t>Month</t>
  </si>
  <si>
    <t>BB</t>
  </si>
  <si>
    <t>YC</t>
  </si>
  <si>
    <t>CA</t>
  </si>
  <si>
    <t>CN</t>
  </si>
  <si>
    <t>RO</t>
  </si>
  <si>
    <t>FR</t>
  </si>
  <si>
    <t>FL</t>
  </si>
  <si>
    <t>IR</t>
  </si>
  <si>
    <t>RC</t>
  </si>
  <si>
    <t>RES</t>
  </si>
  <si>
    <t>YW</t>
  </si>
  <si>
    <t>Disposal Breakout-Regulated vs.Contract</t>
  </si>
  <si>
    <t>TONS</t>
  </si>
  <si>
    <t>Per General Ledger</t>
  </si>
  <si>
    <t>Rolloff</t>
  </si>
  <si>
    <t>% Variance</t>
  </si>
  <si>
    <t>Reg Garbage</t>
  </si>
  <si>
    <t>Unreg Garbage</t>
  </si>
  <si>
    <t>MF Recy Reg-</t>
  </si>
  <si>
    <t>Total Garbage</t>
  </si>
  <si>
    <t>Regulated-Tariff 10</t>
  </si>
  <si>
    <t>Total Recycling</t>
  </si>
  <si>
    <t>Total Yardwaste</t>
  </si>
  <si>
    <t>Total Rolloff</t>
  </si>
  <si>
    <t>Total Disposal</t>
  </si>
  <si>
    <t>Total Regulated</t>
  </si>
  <si>
    <t>Multifamily recycling</t>
  </si>
  <si>
    <t>PRICE</t>
  </si>
  <si>
    <t>MF Reg-Tariff 10-Recycle</t>
  </si>
  <si>
    <t>Multi Family Unreg</t>
  </si>
  <si>
    <t>CommercialRecycling</t>
  </si>
  <si>
    <t>COST</t>
  </si>
  <si>
    <t>Average Cost</t>
  </si>
  <si>
    <t>Price</t>
  </si>
  <si>
    <t>Cost</t>
  </si>
  <si>
    <t>Roll Off Average Cost Analysis</t>
  </si>
  <si>
    <t>Total Tons</t>
  </si>
  <si>
    <t>Regulated Tons</t>
  </si>
  <si>
    <t>Unregulated Tons</t>
  </si>
  <si>
    <t>Regulated Disposal</t>
  </si>
  <si>
    <t>Unregulated Disposal</t>
  </si>
  <si>
    <t>Regulated Disposal Cost/Ton</t>
  </si>
  <si>
    <t>Unregulated Disposal Cost/Ton</t>
  </si>
  <si>
    <t xml:space="preserve">FUEL STATS </t>
  </si>
  <si>
    <t>Per G/L</t>
  </si>
  <si>
    <t>PETRO CARD DIESEL</t>
  </si>
  <si>
    <t>PETROCARD GAS</t>
  </si>
  <si>
    <t xml:space="preserve">TOTAL  </t>
  </si>
  <si>
    <t>Diesel Fuel Gallons</t>
  </si>
  <si>
    <t>Average Market Price</t>
  </si>
  <si>
    <t>Amount paid @ Market Price</t>
  </si>
  <si>
    <t>Unleaded Fuel Gallons</t>
  </si>
  <si>
    <t xml:space="preserve">Open Market Avg Price </t>
  </si>
  <si>
    <t xml:space="preserve">Amount paid @ Market Price </t>
  </si>
  <si>
    <t>Average Monthly $$</t>
  </si>
  <si>
    <t>Amount per G/L</t>
  </si>
  <si>
    <t xml:space="preserve">  Rent (days)</t>
  </si>
  <si>
    <t>** Data from Pivot Table</t>
  </si>
  <si>
    <t>Pivot Total</t>
  </si>
  <si>
    <t>MSW</t>
  </si>
  <si>
    <t>Roll-off</t>
  </si>
  <si>
    <t>Carts/Containers</t>
  </si>
  <si>
    <t>% of Total</t>
  </si>
  <si>
    <t>Subtracted from Non-Reg</t>
  </si>
  <si>
    <t>Non-Reg</t>
  </si>
  <si>
    <t>Reg as a % of Total</t>
  </si>
  <si>
    <t xml:space="preserve">Reg as a % of </t>
  </si>
  <si>
    <t>Cart</t>
  </si>
  <si>
    <t>Carts</t>
  </si>
  <si>
    <t>Regulated Cart %</t>
  </si>
  <si>
    <t>Regulated Container%</t>
  </si>
  <si>
    <t>Regulated RO %</t>
  </si>
  <si>
    <t>L-G Curve Garbage Revenue Deficiency</t>
  </si>
  <si>
    <t>L-G Curve Garbage Revenue Requirement</t>
  </si>
  <si>
    <r>
      <t xml:space="preserve">Percent </t>
    </r>
    <r>
      <rPr>
        <sz val="9"/>
        <rFont val="Symbol"/>
        <family val="1"/>
        <charset val="2"/>
      </rPr>
      <t>D</t>
    </r>
  </si>
  <si>
    <t>Current Annual Garbage Revnue</t>
  </si>
  <si>
    <t>L-G Curve Recycle Revenue Deficiency</t>
  </si>
  <si>
    <t>L-G Curve Yardwaste Revenue Deficiency</t>
  </si>
  <si>
    <t>L-G</t>
  </si>
  <si>
    <t>Proposed Garbage Revenue</t>
  </si>
  <si>
    <t>MF Recycle Revenue/Yd</t>
  </si>
  <si>
    <t xml:space="preserve">Multifamily container </t>
  </si>
  <si>
    <t xml:space="preserve">Multifamily roll-off </t>
  </si>
  <si>
    <t>EOWR</t>
  </si>
  <si>
    <t>Current Rate</t>
  </si>
  <si>
    <t>Proposed Rate</t>
  </si>
  <si>
    <t>EOW</t>
  </si>
  <si>
    <t>Weekly</t>
  </si>
  <si>
    <t>Cart Rental</t>
  </si>
  <si>
    <t xml:space="preserve">Proposed </t>
  </si>
  <si>
    <t>Rate Increase</t>
  </si>
  <si>
    <t>Post Price Changes</t>
  </si>
  <si>
    <t>L-G Curve Operating Ratio</t>
  </si>
  <si>
    <t>Revenue less MF</t>
  </si>
  <si>
    <t>Industrial O/S Total</t>
  </si>
  <si>
    <t>3011**</t>
  </si>
  <si>
    <t>3012**</t>
  </si>
  <si>
    <t>Disposal Pass Through</t>
  </si>
  <si>
    <t>Commercial O/S Total</t>
  </si>
  <si>
    <t>3013**</t>
  </si>
  <si>
    <t>3112**</t>
  </si>
  <si>
    <t>3113**</t>
  </si>
  <si>
    <t>Commercial Recycle Revenue I/C</t>
  </si>
  <si>
    <t>Residential Recycle Revenue I/C</t>
  </si>
  <si>
    <t>400000</t>
  </si>
  <si>
    <t>410000</t>
  </si>
  <si>
    <t>TOTAL REVENUE REDUCTIONS</t>
  </si>
  <si>
    <t>TOTAL NET REVENUE</t>
  </si>
  <si>
    <t>TOTAL SUPERVISORY LABOR</t>
  </si>
  <si>
    <t>TOTAL OPERATIONS AND SUPERVISORY LABOR</t>
  </si>
  <si>
    <t>EQUIPMENT OPERATING TOTAL</t>
  </si>
  <si>
    <t>TOTAL EQUIPMENT MAINTENANCE</t>
  </si>
  <si>
    <t>TOTAL INSURANCE EXPENSE</t>
  </si>
  <si>
    <t>TOTAL OCCUPANCY/FACILITY EXPENSE</t>
  </si>
  <si>
    <t>TOTAL OTHER OPERATING EXPENSES</t>
  </si>
  <si>
    <t>PRE-DD&amp;A GROSS OPERATING EXPENSES</t>
  </si>
  <si>
    <t>Depreciation Total</t>
  </si>
  <si>
    <t>Amortization Total</t>
  </si>
  <si>
    <t>Gross Operating Expenses</t>
  </si>
  <si>
    <t>Gross Operating Profit</t>
  </si>
  <si>
    <t>Sales Payroll &amp; Related Total</t>
  </si>
  <si>
    <t>Sales Expense Total</t>
  </si>
  <si>
    <t>TOTAL SALES EXPENSE</t>
  </si>
  <si>
    <t>TOTAL DD&amp;A EXPENSE</t>
  </si>
  <si>
    <t>G&amp;A Payroll &amp; Related Total</t>
  </si>
  <si>
    <t>G&amp;A Expenses Total</t>
  </si>
  <si>
    <t>Total G&amp;A</t>
  </si>
  <si>
    <t>EXPENSES</t>
  </si>
  <si>
    <t>TOTAL CONTAINER MAINTENANCE</t>
  </si>
  <si>
    <t>n/a</t>
  </si>
  <si>
    <r>
      <t xml:space="preserve">Residential </t>
    </r>
    <r>
      <rPr>
        <b/>
        <sz val="8"/>
        <rFont val="Arial"/>
        <family val="2"/>
      </rPr>
      <t>Third Party</t>
    </r>
    <r>
      <rPr>
        <sz val="8"/>
        <rFont val="Arial"/>
        <family val="2"/>
      </rPr>
      <t xml:space="preserve"> per GL</t>
    </r>
  </si>
  <si>
    <t>Commercial Third Party per GL</t>
  </si>
  <si>
    <t>Total COGS</t>
  </si>
  <si>
    <t>Tota Recycling</t>
  </si>
  <si>
    <t>6 Can wk</t>
  </si>
  <si>
    <t>1.5 yd On Call</t>
  </si>
  <si>
    <t>1.5 yd 1xweek</t>
  </si>
  <si>
    <t>1.5 yd 2xweek</t>
  </si>
  <si>
    <t>1.5 yd 3xweek</t>
  </si>
  <si>
    <t>1.5 yd Rent</t>
  </si>
  <si>
    <t>1.5 yd on call</t>
  </si>
  <si>
    <t>2 yd 4xweek</t>
  </si>
  <si>
    <t>8 yd  4xweek</t>
  </si>
  <si>
    <t>4 yd 4xweek</t>
  </si>
  <si>
    <t>10 yd Compactors</t>
  </si>
  <si>
    <t>35 yd Compactors</t>
  </si>
  <si>
    <t>35 yd Rent</t>
  </si>
  <si>
    <t>40 yd Compactors</t>
  </si>
  <si>
    <t>15 yd Compactors</t>
  </si>
  <si>
    <t>Adjusted Total</t>
  </si>
  <si>
    <t>(A)</t>
  </si>
  <si>
    <t>(B)</t>
  </si>
  <si>
    <t>(A)-(B)</t>
  </si>
  <si>
    <t>Pro forma Price per Gallon</t>
  </si>
  <si>
    <t>Pro forma Fuel</t>
  </si>
  <si>
    <t>Period</t>
  </si>
  <si>
    <t>Test</t>
  </si>
  <si>
    <t>Total Cost</t>
  </si>
  <si>
    <t>Current Rates</t>
  </si>
  <si>
    <t>L-G Revenue Adjustment</t>
  </si>
  <si>
    <t>Target</t>
  </si>
  <si>
    <t>Proposed Rates</t>
  </si>
  <si>
    <t>% Increase</t>
  </si>
  <si>
    <t>Residential MSW</t>
  </si>
  <si>
    <t>Commercial MSW</t>
  </si>
  <si>
    <t>Roll-off MSW</t>
  </si>
  <si>
    <t>Total MSW</t>
  </si>
  <si>
    <t>Yard Waste</t>
  </si>
  <si>
    <r>
      <t>D</t>
    </r>
    <r>
      <rPr>
        <b/>
        <sz val="8"/>
        <rFont val="Arial"/>
        <family val="2"/>
      </rPr>
      <t xml:space="preserve"> from L-G Proposed</t>
    </r>
  </si>
  <si>
    <t>MF Total</t>
  </si>
  <si>
    <t>Rate (incl Rec)</t>
  </si>
  <si>
    <t>(in millions)</t>
  </si>
  <si>
    <t>Accounts Payable</t>
  </si>
  <si>
    <t>Notes Payable and current maturities of LTD</t>
  </si>
  <si>
    <t>Deferred Revenue</t>
  </si>
  <si>
    <t>Accrued Landfill and Environmental costs, current portion</t>
  </si>
  <si>
    <t>Accrued Interest</t>
  </si>
  <si>
    <t>Other Accrued Liabilities</t>
  </si>
  <si>
    <t>Total Current Liabilities</t>
  </si>
  <si>
    <t>Long-term Debt, net of current maturities</t>
  </si>
  <si>
    <t>Accrued Landfill and Environmental costs, net of current portion</t>
  </si>
  <si>
    <t>Deferred Income Taxes and other long-term liabilities</t>
  </si>
  <si>
    <t>Self-insurance reserves, net of current portion</t>
  </si>
  <si>
    <t>Other long-term liabilities</t>
  </si>
  <si>
    <t>Total Liabilities</t>
  </si>
  <si>
    <t>Preferred Stock</t>
  </si>
  <si>
    <t>Common Stock</t>
  </si>
  <si>
    <t>Retained Earnings</t>
  </si>
  <si>
    <t>Treasury stock</t>
  </si>
  <si>
    <t>Non-controlling Interest</t>
  </si>
  <si>
    <t>Total Stockholder's Equity</t>
  </si>
  <si>
    <t>Debt Ratio</t>
  </si>
  <si>
    <t>Equity Ratio</t>
  </si>
  <si>
    <t>Additional Paid-in Capital</t>
  </si>
  <si>
    <t>Accumulated other comprehensive income (loss), net of tax</t>
  </si>
  <si>
    <t>Total Liabilities &amp; Equity</t>
  </si>
  <si>
    <t>CAPITAL STRUCTURE CALCULATION</t>
  </si>
  <si>
    <t>COST of DEBT CALCULATION</t>
  </si>
  <si>
    <t>Effective Interest Rate</t>
  </si>
  <si>
    <t>TAX RATE</t>
  </si>
  <si>
    <t>Effective Income Tax Rate</t>
  </si>
  <si>
    <t>Note: the formula in column AA references</t>
  </si>
  <si>
    <t>column Z</t>
  </si>
  <si>
    <t>cell ref</t>
  </si>
  <si>
    <t>E 20</t>
  </si>
  <si>
    <t>LOB 30</t>
  </si>
  <si>
    <t>LOB 10</t>
  </si>
  <si>
    <t>LOB 70 - Commercial Recycle</t>
  </si>
  <si>
    <t>Appendix A - Recycle Only</t>
  </si>
  <si>
    <t>Appendix A  - Yardwaste Only</t>
  </si>
  <si>
    <t>4 yd 5xweek</t>
  </si>
  <si>
    <t>10 yd Permanent MF</t>
  </si>
  <si>
    <t>15 yd Permanent MF</t>
  </si>
  <si>
    <t>20 yd Permanent MF</t>
  </si>
  <si>
    <t>20 yd Temporary MF</t>
  </si>
  <si>
    <t>25 yd Permanent MF</t>
  </si>
  <si>
    <t>25 yd Temporary MF</t>
  </si>
  <si>
    <t>30 yd Permanent MF</t>
  </si>
  <si>
    <t>30 yd Temporary MF</t>
  </si>
  <si>
    <t>40 yd Permanent MF</t>
  </si>
  <si>
    <t>40 yd Temporary MF</t>
  </si>
  <si>
    <t>10 yd Temporary</t>
  </si>
  <si>
    <t>10 yd Temporary MF</t>
  </si>
  <si>
    <t>15 yd Temporary</t>
  </si>
  <si>
    <t>15 yd Temporary MF</t>
  </si>
  <si>
    <t>MF Reg-Recycle</t>
  </si>
  <si>
    <t>Sunday Work (OT Hours)</t>
  </si>
  <si>
    <t>LOB 20</t>
  </si>
  <si>
    <t>Per Hour</t>
  </si>
  <si>
    <t>Roll-off as % of Total MSW Containers</t>
  </si>
  <si>
    <t>2 yd Comp Week (5x Comp)</t>
  </si>
  <si>
    <t>3 yd Comp Week (5x Comp)</t>
  </si>
  <si>
    <t>4 yd Comp Week (5x Comp)</t>
  </si>
  <si>
    <t>5 yd Comp Week (5x Comp)</t>
  </si>
  <si>
    <t>5 yd Comp Week</t>
  </si>
  <si>
    <t>6 yd Comp Week (5x Comp)</t>
  </si>
  <si>
    <t>35 yd Permanent</t>
  </si>
  <si>
    <t>35 yd Temporary</t>
  </si>
  <si>
    <t>35 yd Permanent MF</t>
  </si>
  <si>
    <t>35 yd Temporary MF</t>
  </si>
  <si>
    <t>Diesel 1</t>
  </si>
  <si>
    <t>Disel 2</t>
  </si>
  <si>
    <t>Unleaded 1</t>
  </si>
  <si>
    <t>Unleaded 2</t>
  </si>
  <si>
    <t>Diesel $1</t>
  </si>
  <si>
    <t>Diesel $2</t>
  </si>
  <si>
    <t>Unleaded $1</t>
  </si>
  <si>
    <t>Unleaded $2</t>
  </si>
  <si>
    <t>Invoice Total</t>
  </si>
  <si>
    <t>Diesel</t>
  </si>
  <si>
    <t>Unleaded</t>
  </si>
  <si>
    <t>Monthly Gallons</t>
  </si>
  <si>
    <t>Monthly $</t>
  </si>
  <si>
    <t>3111**</t>
  </si>
  <si>
    <t>RR</t>
  </si>
  <si>
    <t>Current Annual Recycle Revenue</t>
  </si>
  <si>
    <t>Current Annual Yardwaste Revenue</t>
  </si>
  <si>
    <t>IND</t>
  </si>
  <si>
    <t>AW of Bellevue</t>
  </si>
  <si>
    <t>AW of Kent</t>
  </si>
  <si>
    <t>AW of Klickitat</t>
  </si>
  <si>
    <t>AW of Seattle</t>
  </si>
  <si>
    <t>Robanco Recycling</t>
  </si>
  <si>
    <t>Total Company</t>
  </si>
  <si>
    <t>Tariff 11</t>
  </si>
  <si>
    <t>Tariff 26</t>
  </si>
  <si>
    <t>Tariff 8</t>
  </si>
  <si>
    <t>Transfer Station</t>
  </si>
  <si>
    <t>MRF</t>
  </si>
  <si>
    <t>Post Rate Increase</t>
  </si>
  <si>
    <t>Multi-Family Recycle</t>
  </si>
  <si>
    <t>Post Collection Revenue</t>
  </si>
  <si>
    <t>Tipping &amp; Disposal Costs</t>
  </si>
  <si>
    <t>Cost of Goods Sold</t>
  </si>
  <si>
    <t>Transportation</t>
  </si>
  <si>
    <t>Subcontract</t>
  </si>
  <si>
    <t>Franchise Fees</t>
  </si>
  <si>
    <t>Operations Labor</t>
  </si>
  <si>
    <t>Supervisory Labor</t>
  </si>
  <si>
    <t>Operations And Supervisory Labor</t>
  </si>
  <si>
    <t xml:space="preserve">Equipment Operating </t>
  </si>
  <si>
    <t>Equipment Maintenance</t>
  </si>
  <si>
    <t>Container Maintenance</t>
  </si>
  <si>
    <t xml:space="preserve"> Insurance Expense</t>
  </si>
  <si>
    <t>Occupancy/Facility Expense</t>
  </si>
  <si>
    <t>Other Operating Expenses</t>
  </si>
  <si>
    <t>2 yd 5xweek</t>
  </si>
  <si>
    <t>2 yd 6xweek</t>
  </si>
  <si>
    <t>4 yd 6xweek</t>
  </si>
  <si>
    <t>Total Debt</t>
  </si>
  <si>
    <t>Total Net Equity</t>
  </si>
  <si>
    <t>Republ</t>
  </si>
  <si>
    <t>ic Services</t>
  </si>
  <si>
    <t xml:space="preserve"> Inc.</t>
  </si>
  <si>
    <t xml:space="preserve">    Report N</t>
  </si>
  <si>
    <t xml:space="preserve">    Run Date</t>
  </si>
  <si>
    <t>Income</t>
  </si>
  <si>
    <t xml:space="preserve"> Statement Trend - Division - M</t>
  </si>
  <si>
    <t>ajor Acct</t>
  </si>
  <si>
    <t xml:space="preserve">    ** Conso</t>
  </si>
  <si>
    <t>lidated Leve</t>
  </si>
  <si>
    <t>l Range **</t>
  </si>
  <si>
    <t xml:space="preserve">    *Co</t>
  </si>
  <si>
    <t xml:space="preserve"> Acct</t>
  </si>
  <si>
    <t xml:space="preserve">      Account Description</t>
  </si>
  <si>
    <t xml:space="preserve">    November</t>
  </si>
  <si>
    <t xml:space="preserve">     October</t>
  </si>
  <si>
    <t xml:space="preserve">   September</t>
  </si>
  <si>
    <t xml:space="preserve">      August</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</si>
  <si>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</si>
  <si>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</si>
  <si>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</si>
  <si>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</si>
  <si>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</si>
  <si>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</si>
  <si>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</si>
  <si>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</si>
  <si>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Total</t>
  </si>
  <si>
    <t>------</t>
  </si>
  <si>
    <t xml:space="preserve"> ------------------------------</t>
  </si>
  <si>
    <t xml:space="preserve"> -----------</t>
  </si>
  <si>
    <t xml:space="preserve"> -------------</t>
  </si>
  <si>
    <t xml:space="preserve">practical to utilize a secondary file and summarize the data with a pivot table. However, because the pivot table presents the data in a dynamic </t>
  </si>
  <si>
    <t>format it is simply 'Copied and Pasted' from the source file as opposed to linked. The individual sections above indicate the conditions used in the pivot</t>
  </si>
  <si>
    <t>table and can be easily replicated within the pivot table, which links to the source data.</t>
  </si>
  <si>
    <t>Report Name:</t>
  </si>
  <si>
    <t xml:space="preserve">   Page:   1</t>
  </si>
  <si>
    <t>IND-Op</t>
  </si>
  <si>
    <t xml:space="preserve"> Stat 13-Month Trend</t>
  </si>
  <si>
    <t>Industrial C</t>
  </si>
  <si>
    <t>ollections</t>
  </si>
  <si>
    <t>Acct</t>
  </si>
  <si>
    <t xml:space="preserve">     Account Description</t>
  </si>
  <si>
    <t xml:space="preserve"> -------------------------</t>
  </si>
  <si>
    <t>KEY STATS:</t>
  </si>
  <si>
    <t>Revenue Metrics:</t>
  </si>
  <si>
    <t>Disposal Metrics:</t>
  </si>
  <si>
    <t>Recycle Metrics:</t>
  </si>
  <si>
    <t>Labor Metrics:</t>
  </si>
  <si>
    <t>Fuel Metrics:</t>
  </si>
  <si>
    <t>Maintenance Metrics:</t>
  </si>
  <si>
    <t>COM-Op</t>
  </si>
  <si>
    <t>Commercial C</t>
  </si>
  <si>
    <t>COM</t>
  </si>
  <si>
    <t>RES-Op</t>
  </si>
  <si>
    <t>Collections</t>
  </si>
  <si>
    <t>Regulated Tons from</t>
  </si>
  <si>
    <t>Note: The data comes from the 'AW of SeaTac - Roll-off Detail' file. Due to the volume of data generated by twelve months of billing it is more</t>
  </si>
  <si>
    <t>Weeks per Year</t>
  </si>
  <si>
    <t>MSW Disposal Tons</t>
  </si>
  <si>
    <t>12 months ended 12/31/09</t>
  </si>
  <si>
    <t>Weeks per Month</t>
  </si>
  <si>
    <t>RESIDENTIAL</t>
  </si>
  <si>
    <t>COMMERCIAL</t>
  </si>
  <si>
    <t>Packer Time</t>
  </si>
  <si>
    <t>TOTAL SERVICES</t>
  </si>
  <si>
    <t>No. of Customers</t>
  </si>
  <si>
    <t>Adjusted No. of Customers</t>
  </si>
  <si>
    <t>Pickup Frequencey</t>
  </si>
  <si>
    <t>Pickup Frequencey Per Year</t>
  </si>
  <si>
    <t>Proxy No. of Customers</t>
  </si>
  <si>
    <t>Container &amp; Dropbox Units</t>
  </si>
  <si>
    <t>Current Tariff Rate</t>
  </si>
  <si>
    <t>Current Monthly Revenue</t>
  </si>
  <si>
    <t>Current Annual Revenue</t>
  </si>
  <si>
    <t>Adjusted Annual Revenue</t>
  </si>
  <si>
    <t>Unit Lbs.</t>
  </si>
  <si>
    <t>Adjusted Unit Lbs.</t>
  </si>
  <si>
    <t>Calculated Disposal Tons</t>
  </si>
  <si>
    <t>Actual Disposal Tons</t>
  </si>
  <si>
    <t>Unit Stop Time (Sec)</t>
  </si>
  <si>
    <t>Annual Packer Stop Time (Hours)</t>
  </si>
  <si>
    <t>Adjusted Packer Stop Time (Hours)</t>
  </si>
  <si>
    <t>Dropbox Stop Time (Hours)</t>
  </si>
  <si>
    <t>Run Time (Hours)</t>
  </si>
  <si>
    <t>Total Run Time (Hours)</t>
  </si>
  <si>
    <t>Pass-Thru Revenue</t>
  </si>
  <si>
    <t>Office Payroll &amp; Overhead</t>
  </si>
  <si>
    <t>Driver Payroll</t>
  </si>
  <si>
    <t>Dropbox Driver Payroll</t>
  </si>
  <si>
    <t>Mechanic Payroll</t>
  </si>
  <si>
    <t>All Other Shop Expense</t>
  </si>
  <si>
    <t>Packer Truck Expense</t>
  </si>
  <si>
    <t>Dropbox Truck Expense</t>
  </si>
  <si>
    <t>Container Repair</t>
  </si>
  <si>
    <t>Container Depn</t>
  </si>
  <si>
    <t>Dropbox Repair</t>
  </si>
  <si>
    <t>Dropbox Depn</t>
  </si>
  <si>
    <t>Officer Wages</t>
  </si>
  <si>
    <t>Dump Fee</t>
  </si>
  <si>
    <t>UTC Fee</t>
  </si>
  <si>
    <t>B &amp; O Taxes</t>
  </si>
  <si>
    <t>Bad Debt</t>
  </si>
  <si>
    <t>Total Expenses</t>
  </si>
  <si>
    <t>Cost of Service</t>
  </si>
  <si>
    <t>Revised Rate</t>
  </si>
  <si>
    <t>Annual Revenue (Revised Rate)</t>
  </si>
  <si>
    <t>Percentage Change (Revised Rate)</t>
  </si>
  <si>
    <t>Annual Revenue (Current Rate)</t>
  </si>
  <si>
    <t>Annual Revenue (Proposed Rate)</t>
  </si>
  <si>
    <t>Percentage Change (Proposed Rate)</t>
  </si>
  <si>
    <t>Avg Yds / Haul</t>
  </si>
  <si>
    <t>Avg Comp Yds / Haul</t>
  </si>
  <si>
    <t>Compaction Rate</t>
  </si>
  <si>
    <t>Net Variance</t>
  </si>
  <si>
    <t>Regulated Containers</t>
  </si>
  <si>
    <t>Non-Regulated Containers</t>
  </si>
  <si>
    <t>YW Disposal Tons</t>
  </si>
  <si>
    <t>Rec Tons</t>
  </si>
  <si>
    <t>AW of Lynnwood</t>
  </si>
  <si>
    <t>Tariff 4</t>
  </si>
  <si>
    <t>Industrial Recycle Revenue I/C</t>
  </si>
  <si>
    <t xml:space="preserve">Oper Labor Alloc-In </t>
  </si>
  <si>
    <t xml:space="preserve">Note: The data comes from the 'WUTC Kent-Meridian SQL Revenue Database.xls' file. Due to the volume of data generated by twelve months of billing it </t>
  </si>
  <si>
    <t xml:space="preserve">is more practical to utilize a secondary file and summarize the data with a pivot table. However, because the pivot table presents the data in a dynamic </t>
  </si>
  <si>
    <t>Regulated Average %</t>
  </si>
  <si>
    <t>Jan 2013 Disposal Increase Impact</t>
  </si>
  <si>
    <t>2 yd Comp Week</t>
  </si>
  <si>
    <t>1 yd  On Call</t>
  </si>
  <si>
    <t>(pg 108)</t>
  </si>
  <si>
    <t>(pg 104)</t>
  </si>
  <si>
    <t>Workdays</t>
  </si>
  <si>
    <t>Ind-Hauls Perm-Solid Waste</t>
  </si>
  <si>
    <t>Ind-Hauls Perm-Recycling</t>
  </si>
  <si>
    <t>Ind-Hauls Temp-Solid Waste</t>
  </si>
  <si>
    <t>Ind-Hauls Temp-Recycling</t>
  </si>
  <si>
    <t>Ind-Hauls I/C</t>
  </si>
  <si>
    <t>Total Hauls</t>
  </si>
  <si>
    <t>Ind-Driver Hours</t>
  </si>
  <si>
    <t>Ind-Engine Hours</t>
  </si>
  <si>
    <t>Ind-Miles</t>
  </si>
  <si>
    <t>Fuel Gallons</t>
  </si>
  <si>
    <t>Total Trucks</t>
  </si>
  <si>
    <t>Ind-Routes</t>
  </si>
  <si>
    <t>Ind Drivers</t>
  </si>
  <si>
    <t>Ind Helpers</t>
  </si>
  <si>
    <t>SW Hauls/Day</t>
  </si>
  <si>
    <t>Recy Hauls/Day</t>
  </si>
  <si>
    <t>Hauls/Day</t>
  </si>
  <si>
    <t>Recycle as % of Total</t>
  </si>
  <si>
    <t>Hauls/Route/Day</t>
  </si>
  <si>
    <t>Minutes/Haul</t>
  </si>
  <si>
    <t>Miles/Haul</t>
  </si>
  <si>
    <t>Driver Hours/Day</t>
  </si>
  <si>
    <t>Driver Hrs/Route/Day</t>
  </si>
  <si>
    <t>Gross Rev/Haul</t>
  </si>
  <si>
    <t>Core Rev/Haul</t>
  </si>
  <si>
    <t>Perm Rev/Haul</t>
  </si>
  <si>
    <t>Temp Rev/Haul</t>
  </si>
  <si>
    <t>Perm ERF/Haul</t>
  </si>
  <si>
    <t>Temp ERF/Haul</t>
  </si>
  <si>
    <t>ERF/Haul</t>
  </si>
  <si>
    <t>Perm FRF/Haul</t>
  </si>
  <si>
    <t>Temp FRF/Haul</t>
  </si>
  <si>
    <t>FRF/Haul</t>
  </si>
  <si>
    <t>Net Rev/Haul</t>
  </si>
  <si>
    <t>Disposal Tns O/S</t>
  </si>
  <si>
    <t>O/S Disp Tons/Day</t>
  </si>
  <si>
    <t>O/S Disp Exp/Day</t>
  </si>
  <si>
    <t>O/S Disp Exp/Ton</t>
  </si>
  <si>
    <t>% External</t>
  </si>
  <si>
    <t>Disposal Tns I/C</t>
  </si>
  <si>
    <t>I/C Disp Ton/Day</t>
  </si>
  <si>
    <t>I/C Disp Exp/Day</t>
  </si>
  <si>
    <t>I/C Disp Exp/Ton</t>
  </si>
  <si>
    <t>% Internal</t>
  </si>
  <si>
    <t>Total Disposal Tons</t>
  </si>
  <si>
    <t>Disposal Tons/Day</t>
  </si>
  <si>
    <t>Disposal Exp/Day</t>
  </si>
  <si>
    <t>Disposal Exp/Ton</t>
  </si>
  <si>
    <t>Disposal Margin</t>
  </si>
  <si>
    <t>Tons/Haul SW</t>
  </si>
  <si>
    <t>Tons/Haul Recycle</t>
  </si>
  <si>
    <t>Tons/Haul</t>
  </si>
  <si>
    <t>Collection Recyclable Tns O/S</t>
  </si>
  <si>
    <t>O/S SOM Tons/Day</t>
  </si>
  <si>
    <t>O/S SOM Rev/Day</t>
  </si>
  <si>
    <t>O/S SOM Rev/Ton</t>
  </si>
  <si>
    <t>Recyclable Tns Outbound I/C</t>
  </si>
  <si>
    <t>I/C SOM Ton/Day</t>
  </si>
  <si>
    <t>I/C SOM Rev/Day</t>
  </si>
  <si>
    <t>I/C SOM Rev/Ton</t>
  </si>
  <si>
    <t>O/S COGS/Day</t>
  </si>
  <si>
    <t>O/S COGS/Ton</t>
  </si>
  <si>
    <t>I/C COGS/Day</t>
  </si>
  <si>
    <t>I/C COGS/Ton</t>
  </si>
  <si>
    <t>Total COGS/Day</t>
  </si>
  <si>
    <t>Total COGS/Ton</t>
  </si>
  <si>
    <t>Labor &amp; Related/Day</t>
  </si>
  <si>
    <t>Labor &amp; Related/Hour</t>
  </si>
  <si>
    <t>Labor &amp; Related/Haul</t>
  </si>
  <si>
    <t>Labor Margin</t>
  </si>
  <si>
    <t>Gallons/Day</t>
  </si>
  <si>
    <t>Gallons/Eng Hour</t>
  </si>
  <si>
    <t>Fuel Exp/Gal</t>
  </si>
  <si>
    <t>Fuel Exp/Day</t>
  </si>
  <si>
    <t>Fuel Margin</t>
  </si>
  <si>
    <t>Eng Hrs % of Driver Hrs</t>
  </si>
  <si>
    <t>Engine Hrs/Day</t>
  </si>
  <si>
    <t>Maint Cost/Day</t>
  </si>
  <si>
    <t>Maint Cost/Eng Hour</t>
  </si>
  <si>
    <t>Maint Cost/Haul</t>
  </si>
  <si>
    <t>Maintenance Margin</t>
  </si>
  <si>
    <t>Com-Yards Serviced-Solid Waste</t>
  </si>
  <si>
    <t>Com-Yards Serviced-Recycling</t>
  </si>
  <si>
    <t>Total Yards</t>
  </si>
  <si>
    <t>Com-Container Lifts-Solid Waste</t>
  </si>
  <si>
    <t>Com-Container Lifts-Recycling</t>
  </si>
  <si>
    <t>Total Lifts</t>
  </si>
  <si>
    <t>Com-Missed Pick Ups</t>
  </si>
  <si>
    <t>Com-Driver Hours</t>
  </si>
  <si>
    <t>Com-Engine Hours</t>
  </si>
  <si>
    <t>Com-Miles</t>
  </si>
  <si>
    <t>Total Route Trucks</t>
  </si>
  <si>
    <t>Com-Routes</t>
  </si>
  <si>
    <t>Comm Drivers</t>
  </si>
  <si>
    <t>Comm Helpers</t>
  </si>
  <si>
    <t>SW Yards/Day</t>
  </si>
  <si>
    <t>Recy Yards/Day</t>
  </si>
  <si>
    <t>Yards/Day</t>
  </si>
  <si>
    <t>Yards/Route/Day</t>
  </si>
  <si>
    <t>SW Lifts/Day</t>
  </si>
  <si>
    <t>Recy Lifts/Day</t>
  </si>
  <si>
    <t>Lifts/Day</t>
  </si>
  <si>
    <t>Lifts/Route/Day</t>
  </si>
  <si>
    <t>Lifts/Hour</t>
  </si>
  <si>
    <t>Yards/Hour</t>
  </si>
  <si>
    <t>Lifts/Mile</t>
  </si>
  <si>
    <t>Gross Rev/Yard</t>
  </si>
  <si>
    <t>Core Rev/Yard</t>
  </si>
  <si>
    <t>ERF/Yard</t>
  </si>
  <si>
    <t>FRF/Yard</t>
  </si>
  <si>
    <t>Net Rev/Yard</t>
  </si>
  <si>
    <t>Pounds/Yard SW</t>
  </si>
  <si>
    <t>Pounds/Yards Recycle</t>
  </si>
  <si>
    <t>Pounds/Yard</t>
  </si>
  <si>
    <t>Labor &amp; Related/Yard</t>
  </si>
  <si>
    <t>Maint Cost/Yard</t>
  </si>
  <si>
    <t>Res-Drive Bys-Solid Waste</t>
  </si>
  <si>
    <t>Res-Drive Bys-Recycling</t>
  </si>
  <si>
    <t>Res-Drive Bys-Yard Waste</t>
  </si>
  <si>
    <t>Total Drive Bys</t>
  </si>
  <si>
    <t>Res-Missed Pick Ups</t>
  </si>
  <si>
    <t>Res-Driver Hours</t>
  </si>
  <si>
    <t>Res-Engine Hours</t>
  </si>
  <si>
    <t>Res-Miles</t>
  </si>
  <si>
    <t>Res-Routes</t>
  </si>
  <si>
    <t>Resi Drivers</t>
  </si>
  <si>
    <t>Resi Helpers</t>
  </si>
  <si>
    <t>SW Drive Bys/Day</t>
  </si>
  <si>
    <t>Recy Drive Bys/Day</t>
  </si>
  <si>
    <t>Drive Bys/Day</t>
  </si>
  <si>
    <t>Drive Bys/Route/Day</t>
  </si>
  <si>
    <t>Drive Bys/Hour</t>
  </si>
  <si>
    <t>Drive Bys/Mile</t>
  </si>
  <si>
    <t>Gross Rev/Drive By</t>
  </si>
  <si>
    <t>Core Rev/Drive By</t>
  </si>
  <si>
    <t>ERF/Drive By</t>
  </si>
  <si>
    <t>FRF/Drive By</t>
  </si>
  <si>
    <t>Net Rev/Drive By</t>
  </si>
  <si>
    <t>Pounds/Drive Bys SW</t>
  </si>
  <si>
    <t>Pounds/Drive Bys Recy</t>
  </si>
  <si>
    <t>Pounds/Drive by</t>
  </si>
  <si>
    <t>Labor &amp; Related/Drive By</t>
  </si>
  <si>
    <t>Maint Cost/Drive By</t>
  </si>
  <si>
    <t>Test Period Total</t>
  </si>
  <si>
    <t>Ind Cnt &amp; Cmpt Svce O/S</t>
  </si>
  <si>
    <t>Ind SOM-Oth O/S</t>
  </si>
  <si>
    <t>Res Perm O/S</t>
  </si>
  <si>
    <t>Res SOM-Othr O/S</t>
  </si>
  <si>
    <t>Res SOM O/S</t>
  </si>
  <si>
    <t>Benefits Non-Corp - Sup Labor</t>
  </si>
  <si>
    <t>Uniforms &amp; Safety - Sup Labor</t>
  </si>
  <si>
    <t>TShop Bonus Pay Corp</t>
  </si>
  <si>
    <t>Tolls</t>
  </si>
  <si>
    <t>Truck/Equip Rental</t>
  </si>
  <si>
    <t>Tire Repair</t>
  </si>
  <si>
    <t>Cont/Comp Parts &amp; Matls</t>
  </si>
  <si>
    <t>Cont/Comp Supplies</t>
  </si>
  <si>
    <t>Cont/Comp O/S Repairs</t>
  </si>
  <si>
    <t>Cont/Comp Equip Wash</t>
  </si>
  <si>
    <t>GOE Vehicle Mileage</t>
  </si>
  <si>
    <t>G&amp;A Mgrs &amp; Supv</t>
  </si>
  <si>
    <t>Bonus Pay Corp-G&amp;A</t>
  </si>
  <si>
    <t>Data Communications - G&amp;A</t>
  </si>
  <si>
    <t>Facility Maintenance - G&amp;A</t>
  </si>
  <si>
    <t>Rent - G&amp;A</t>
  </si>
  <si>
    <t>Hardware Maintenance</t>
  </si>
  <si>
    <t>Contributions Non-Deductible</t>
  </si>
  <si>
    <t>Accrued P-Card Clearing</t>
  </si>
  <si>
    <t>AVERAGE</t>
  </si>
  <si>
    <t>1 Can EOW</t>
  </si>
  <si>
    <t>2 Can EOW</t>
  </si>
  <si>
    <t>4 Can EOW</t>
  </si>
  <si>
    <t>1.25 yd on call</t>
  </si>
  <si>
    <t>1.25 yd 1xweek</t>
  </si>
  <si>
    <t>1.25 yd 2xweek</t>
  </si>
  <si>
    <t>1.25 yd 3xweek</t>
  </si>
  <si>
    <t>1.25 yd Rent</t>
  </si>
  <si>
    <t>12 yd Compactors</t>
  </si>
  <si>
    <t>12 yd Permanent</t>
  </si>
  <si>
    <t>12 yd Temporary</t>
  </si>
  <si>
    <t>12 yd Permanent MF</t>
  </si>
  <si>
    <t>12 yd Temporary MF</t>
  </si>
  <si>
    <t>18 yd Compactors</t>
  </si>
  <si>
    <t>18 yd Permanent</t>
  </si>
  <si>
    <t>18 yd Temporary</t>
  </si>
  <si>
    <t>18 yd Permanent MF</t>
  </si>
  <si>
    <t>18 yd Temporary MF</t>
  </si>
  <si>
    <t>45 yd Compactors</t>
  </si>
  <si>
    <t>45 yd Permanent</t>
  </si>
  <si>
    <t>45 yd Temporary</t>
  </si>
  <si>
    <t>45 yd Permanent MF</t>
  </si>
  <si>
    <t>45 yd Temporary MF</t>
  </si>
  <si>
    <t>50 yd Compactors</t>
  </si>
  <si>
    <t>50 yd Permanent</t>
  </si>
  <si>
    <t>50 yd Temp</t>
  </si>
  <si>
    <t>50 yd Permanent MF</t>
  </si>
  <si>
    <t>50 yd Temporary MF</t>
  </si>
  <si>
    <t>45 yd Rent</t>
  </si>
  <si>
    <t>12 yd Rent</t>
  </si>
  <si>
    <t xml:space="preserve">Diff </t>
  </si>
  <si>
    <t>Regulated Bin %</t>
  </si>
  <si>
    <t>1 yd  2xweek</t>
  </si>
  <si>
    <t>1.5 yd 4xweek</t>
  </si>
  <si>
    <t>1 yd  3xweek</t>
  </si>
  <si>
    <t>1 yd  4xweek</t>
  </si>
  <si>
    <t>6 yd 6xweek</t>
  </si>
  <si>
    <t>10 yd Compactors MF</t>
  </si>
  <si>
    <t>12 yd Compactors MF</t>
  </si>
  <si>
    <t>15 yd Compactors MF</t>
  </si>
  <si>
    <t>18 yd Compactors MF</t>
  </si>
  <si>
    <t>20 yd Compactors MF</t>
  </si>
  <si>
    <t>25 yd Compactors MF</t>
  </si>
  <si>
    <t>30 yd Compactors MF</t>
  </si>
  <si>
    <t>35 yd Compactors MF</t>
  </si>
  <si>
    <t>40 yd Compactors MF</t>
  </si>
  <si>
    <t>45 yd Compactors MF</t>
  </si>
  <si>
    <t>50 yd Compactors MF</t>
  </si>
  <si>
    <t>Rabanco Recycling</t>
  </si>
  <si>
    <t>Free Resi RCY</t>
  </si>
  <si>
    <t>Source data see G12 Financials Trend</t>
  </si>
  <si>
    <t>Regulated LOBs =</t>
  </si>
  <si>
    <t>Meeks</t>
  </si>
  <si>
    <t>Standard Time:</t>
  </si>
  <si>
    <t>Weight</t>
  </si>
  <si>
    <t>Description:</t>
  </si>
  <si>
    <t>(Unit Factor in Seconds)</t>
  </si>
  <si>
    <t>(Pounds per Pickup)</t>
  </si>
  <si>
    <t>1 Can</t>
  </si>
  <si>
    <t>2 Cans</t>
  </si>
  <si>
    <t>3 Cans</t>
  </si>
  <si>
    <t>4 Cans</t>
  </si>
  <si>
    <t>Supercan 60</t>
  </si>
  <si>
    <t>Supercan 90</t>
  </si>
  <si>
    <t>Once a Month</t>
  </si>
  <si>
    <t>1 Distance Unit 5 to 25 ft</t>
  </si>
  <si>
    <t>N/A</t>
  </si>
  <si>
    <t>2 Distance Units 25 to 50 ft</t>
  </si>
  <si>
    <t>Sunken Cans</t>
  </si>
  <si>
    <t>Stairs</t>
  </si>
  <si>
    <t>Obstructions</t>
  </si>
  <si>
    <t>Drive-ins</t>
  </si>
  <si>
    <t>Commercial Accounts</t>
  </si>
  <si>
    <t>Cans</t>
  </si>
  <si>
    <t>1 Yd Containers</t>
  </si>
  <si>
    <t>1-1/2 Yd Containers</t>
  </si>
  <si>
    <t>2 Yd Containers</t>
  </si>
  <si>
    <t>3 Yd Containers</t>
  </si>
  <si>
    <t>4 Yd Containers</t>
  </si>
  <si>
    <t>6 Yd Containers</t>
  </si>
  <si>
    <t>8 Yd Containers</t>
  </si>
  <si>
    <t>3 Yards Packer</t>
  </si>
  <si>
    <t>4 Yards Packer</t>
  </si>
  <si>
    <t>5 Yards Packer</t>
  </si>
  <si>
    <t>6 Yards Packer</t>
  </si>
  <si>
    <t>Min Yards</t>
  </si>
  <si>
    <t>Roll-out</t>
  </si>
  <si>
    <t>Cans Min</t>
  </si>
  <si>
    <t>Month Min</t>
  </si>
  <si>
    <t>Drop Boxes</t>
  </si>
  <si>
    <t>20 Yards</t>
  </si>
  <si>
    <t>25 Yards</t>
  </si>
  <si>
    <t>30 Yards</t>
  </si>
  <si>
    <t>40 Yards</t>
  </si>
  <si>
    <t>50 Yards</t>
  </si>
  <si>
    <t>20 Yards Packer</t>
  </si>
  <si>
    <t>25 Yards Packer</t>
  </si>
  <si>
    <t>30 Yards Packer</t>
  </si>
  <si>
    <t>40 Yards Packer</t>
  </si>
  <si>
    <t>Stop Time Conv Rate (Resi)</t>
  </si>
  <si>
    <t>Meeks Wght Conv Rate</t>
  </si>
  <si>
    <t>Stop Time Conv Rate (Com)</t>
  </si>
  <si>
    <t>Change in revenue from current</t>
  </si>
  <si>
    <t>Change in revenue from proposed</t>
  </si>
  <si>
    <t>Source data see 4178 RCY Ops workbook</t>
  </si>
  <si>
    <t>Source: Republic Services, Inc 2013 Annual Report (pg 77)</t>
  </si>
  <si>
    <t>Source: Republic Services, Inc 2013 Annual Report</t>
  </si>
  <si>
    <t>Interest paid in 2012</t>
  </si>
  <si>
    <t xml:space="preserve">  Total Debt at</t>
  </si>
  <si>
    <t>(pg 41)</t>
  </si>
  <si>
    <t>Haul counts in "Industiral Loads Standards Report" excel workbook</t>
  </si>
  <si>
    <t>resi rcy</t>
  </si>
  <si>
    <t>resi msw</t>
  </si>
  <si>
    <t>18 yd Rent</t>
  </si>
  <si>
    <t>Regulated-Tariff 7</t>
  </si>
  <si>
    <t>ame: 4172ITD3</t>
  </si>
  <si>
    <t>4172 A</t>
  </si>
  <si>
    <t>WS - Bellevue</t>
  </si>
  <si>
    <t>: 05/12/14</t>
  </si>
  <si>
    <t>April</t>
  </si>
  <si>
    <t>Ind Perm O/S</t>
  </si>
  <si>
    <t>Ind Temp O/S</t>
  </si>
  <si>
    <t>Ind Late Fees O/S</t>
  </si>
  <si>
    <t>Ind Env Fee O/S</t>
  </si>
  <si>
    <t>Ind Core O/S</t>
  </si>
  <si>
    <t>Ind SOM O/S</t>
  </si>
  <si>
    <t>Ind Fuel Fee O/S</t>
  </si>
  <si>
    <t>Ind O/S Total</t>
  </si>
  <si>
    <t>Com Perm O/S</t>
  </si>
  <si>
    <t>Com Temp O/S</t>
  </si>
  <si>
    <t>Com Recy Perm O/S</t>
  </si>
  <si>
    <t>Com Recy Temp O/S</t>
  </si>
  <si>
    <t>Com Late Fees O/S</t>
  </si>
  <si>
    <t>Com Env Fee O/S</t>
  </si>
  <si>
    <t>Com Core O/S</t>
  </si>
  <si>
    <t>Com Fuel Fee O/S</t>
  </si>
  <si>
    <t>Com O/S Total</t>
  </si>
  <si>
    <t>Res Late Fees O/S</t>
  </si>
  <si>
    <t>Res Core O/S</t>
  </si>
  <si>
    <t>Res Fuel Fee O/S</t>
  </si>
  <si>
    <t>Res O/S Total</t>
  </si>
  <si>
    <t xml:space="preserve"> Total O/S Revenue</t>
  </si>
  <si>
    <t>Ind - SOM I/C</t>
  </si>
  <si>
    <t>Ind I/C Total</t>
  </si>
  <si>
    <t>Com - SOM I/C</t>
  </si>
  <si>
    <t>Com I/C Total</t>
  </si>
  <si>
    <t>Res - SOM I/C</t>
  </si>
  <si>
    <t>Res I/C Total</t>
  </si>
  <si>
    <t xml:space="preserve"> Total I/C Revenue</t>
  </si>
  <si>
    <t xml:space="preserve"> Total Revenue</t>
  </si>
  <si>
    <t>Disposal O/S</t>
  </si>
  <si>
    <t xml:space="preserve"> Total Disposal</t>
  </si>
  <si>
    <t>COGS REC Other O/S</t>
  </si>
  <si>
    <t>COGS REC SOM I/C</t>
  </si>
  <si>
    <t>Franchise Fees O/S</t>
  </si>
  <si>
    <t xml:space="preserve"> Total Revenue Reduction</t>
  </si>
  <si>
    <t xml:space="preserve"> Total Net Revenue</t>
  </si>
  <si>
    <t>Drivers</t>
  </si>
  <si>
    <t>Secondary</t>
  </si>
  <si>
    <t>Container Delivery</t>
  </si>
  <si>
    <t>Payroll Taxes - Oper Labor</t>
  </si>
  <si>
    <t>Personal Time - Oper Labor</t>
  </si>
  <si>
    <t>Holiday Pay - Oper Labor</t>
  </si>
  <si>
    <t>Vacation/Sick - Oper Labor</t>
  </si>
  <si>
    <t>Benefits Non-Corp - Oper Labor</t>
  </si>
  <si>
    <t>Benefits Corp - Oper Labor</t>
  </si>
  <si>
    <t>Uniforms &amp; Safety - Oper Labor</t>
  </si>
  <si>
    <t>Operating Labor Total</t>
  </si>
  <si>
    <t>Mgr/Supervision</t>
  </si>
  <si>
    <t>Ops Support</t>
  </si>
  <si>
    <t>Bonus Pay Corp - Sup Labor</t>
  </si>
  <si>
    <t>Payroll Taxes - Sup Labor</t>
  </si>
  <si>
    <t>Personal Time - Sup Labor</t>
  </si>
  <si>
    <t>Holiday Pay - Sup Labor</t>
  </si>
  <si>
    <t>Vacation/Sick - Sup Labor</t>
  </si>
  <si>
    <t>Benefits Corp - Sup Labor</t>
  </si>
  <si>
    <t>Employer 401k - Sup Labor</t>
  </si>
  <si>
    <t>Ops Supv Alloc-In</t>
  </si>
  <si>
    <t>Ops Supv Alloc-Out</t>
  </si>
  <si>
    <t>Supervisory Labor Total</t>
  </si>
  <si>
    <t>Total 500 &amp; 510 Labor</t>
  </si>
  <si>
    <t>TShop Mgr/Supv</t>
  </si>
  <si>
    <t>TShop Mech/Welder</t>
  </si>
  <si>
    <t>TShop Support</t>
  </si>
  <si>
    <t>TShop Bonus Non-Corp</t>
  </si>
  <si>
    <t>TShop Payroll Tax</t>
  </si>
  <si>
    <t>TShop Personal Time</t>
  </si>
  <si>
    <t>TShop Holiday Pay</t>
  </si>
  <si>
    <t>TShop Vacation/Sick</t>
  </si>
  <si>
    <t>TShop Benefits Non-Corp</t>
  </si>
  <si>
    <t>TShop Benefits Corp</t>
  </si>
  <si>
    <t>TShop Uniforms &amp; Safety</t>
  </si>
  <si>
    <t>TShop Labor Alloc-Out</t>
  </si>
  <si>
    <t>CShop Support</t>
  </si>
  <si>
    <t>CShop Payroll Tax</t>
  </si>
  <si>
    <t>CShop Holiday Pay</t>
  </si>
  <si>
    <t>CShop Vacation/Sick</t>
  </si>
  <si>
    <t>CShop Benefits Non-Corp</t>
  </si>
  <si>
    <t>CShop Labor Alloc-Out</t>
  </si>
  <si>
    <t>Oil/Lubricants</t>
  </si>
  <si>
    <t>Truck/Equip Licenses</t>
  </si>
  <si>
    <t>Equip Rental-3rd Party</t>
  </si>
  <si>
    <t>HENS Lease Expense</t>
  </si>
  <si>
    <t>Lease Sales Tax Expense</t>
  </si>
  <si>
    <t>Lease Allocation</t>
  </si>
  <si>
    <t>Operating Taxes</t>
  </si>
  <si>
    <t>Operating Alloc-In</t>
  </si>
  <si>
    <t>Operating Alloc-Out</t>
  </si>
  <si>
    <t>Equipment Operating Total</t>
  </si>
  <si>
    <t>Parts &amp; Matls</t>
  </si>
  <si>
    <t>Truck/Equip Supplies</t>
  </si>
  <si>
    <t>New Tire Expense</t>
  </si>
  <si>
    <t>O/S Repair-Coll Equip</t>
  </si>
  <si>
    <t>Towing</t>
  </si>
  <si>
    <t>Truck &amp; Equip Washing</t>
  </si>
  <si>
    <t>Other Repairs &amp; Maint</t>
  </si>
  <si>
    <t>T/E Damage-Acc/A&amp;M Contra</t>
  </si>
  <si>
    <t>TShop Labor Alloc-In.</t>
  </si>
  <si>
    <t>Trk/Equip Expense Alloc-In</t>
  </si>
  <si>
    <t>Trk/Equip Expense Alloc-Out</t>
  </si>
  <si>
    <t>Equipment Maintenance Total</t>
  </si>
  <si>
    <t>Cont/Comp Other Maint</t>
  </si>
  <si>
    <t>CShop Labor  Alloc-In</t>
  </si>
  <si>
    <t>Cont/Comp Expense Alloc-In</t>
  </si>
  <si>
    <t>Cont/Comp Expense Alloc-Out</t>
  </si>
  <si>
    <t>Container Maintenance Total</t>
  </si>
  <si>
    <t>Corp Ins-Fixed AL/GL</t>
  </si>
  <si>
    <t>AW Self Ins WC/Premium Exp</t>
  </si>
  <si>
    <t>Corp Ins-Fixed Other</t>
  </si>
  <si>
    <t>Corp Ins-Occur AL/GL</t>
  </si>
  <si>
    <t>Non-Corp Ins-W/C</t>
  </si>
  <si>
    <t>Damage-RSG Prop Non-AM</t>
  </si>
  <si>
    <t>Surety Cost</t>
  </si>
  <si>
    <t>Hiring, Training &amp; Safety</t>
  </si>
  <si>
    <t>Safety Equipment</t>
  </si>
  <si>
    <t>Safety Incentive Program</t>
  </si>
  <si>
    <t>Medical/Physicals</t>
  </si>
  <si>
    <t>Insurance Alloc-In</t>
  </si>
  <si>
    <t>Insurance Alloc-Out</t>
  </si>
  <si>
    <t>Insurance Expense Total</t>
  </si>
  <si>
    <t>Fac Maint-Parts &amp; Supplies</t>
  </si>
  <si>
    <t>Fac Maint-O/S Repair</t>
  </si>
  <si>
    <t>Security</t>
  </si>
  <si>
    <t>Lease/Rent</t>
  </si>
  <si>
    <t>Utilities</t>
  </si>
  <si>
    <t>Property Taxes</t>
  </si>
  <si>
    <t>Facility Alloc-In</t>
  </si>
  <si>
    <t>Facility Alloc-Out</t>
  </si>
  <si>
    <t>Occupancy/Facility Total</t>
  </si>
  <si>
    <t>Permit Fees</t>
  </si>
  <si>
    <t>Operations Communications Cost</t>
  </si>
  <si>
    <t>Container Property Taxes</t>
  </si>
  <si>
    <t>Towing Non-Maintenance</t>
  </si>
  <si>
    <t>Other Operating Misc</t>
  </si>
  <si>
    <t>GOE Travel Expenses</t>
  </si>
  <si>
    <t>GOE Meals &amp; Entertainment(50%)</t>
  </si>
  <si>
    <t>Other Operating Alloc-In</t>
  </si>
  <si>
    <t>Other Operating Alloc-Out</t>
  </si>
  <si>
    <t>Other Operating Total</t>
  </si>
  <si>
    <t xml:space="preserve"> Pre-DD&amp;A GOE</t>
  </si>
  <si>
    <t>Depr-Vehicles</t>
  </si>
  <si>
    <t>Depr-Cont/Comp</t>
  </si>
  <si>
    <t>Depr-Heavy Mach &amp; Equip</t>
  </si>
  <si>
    <t>Depr-Shop Equip</t>
  </si>
  <si>
    <t>Depr-Bldg &amp; Imp</t>
  </si>
  <si>
    <t>Depr-Computer Equip</t>
  </si>
  <si>
    <t>Depr-HENS</t>
  </si>
  <si>
    <t>Depr Alloc-In</t>
  </si>
  <si>
    <t>Depr Alloc-Out</t>
  </si>
  <si>
    <t>DD&amp;A Total</t>
  </si>
  <si>
    <t xml:space="preserve"> Gross Operating Expense</t>
  </si>
  <si>
    <t xml:space="preserve"> Gross Operating Profit</t>
  </si>
  <si>
    <t>Sales Mgr/Supv</t>
  </si>
  <si>
    <t>Sales Rep 710005</t>
  </si>
  <si>
    <t>Marketing Staff</t>
  </si>
  <si>
    <t>Cust Service</t>
  </si>
  <si>
    <t>Temporary Labor - Sales</t>
  </si>
  <si>
    <t>Bonus Pay Corp-Sales</t>
  </si>
  <si>
    <t>Commission</t>
  </si>
  <si>
    <t>Payroll Taxes - Sales</t>
  </si>
  <si>
    <t>Personal Time - Sales</t>
  </si>
  <si>
    <t>Holiday Pay - Sales</t>
  </si>
  <si>
    <t>Vacation/Sick - Sales</t>
  </si>
  <si>
    <t>Benefits Corp-Sales</t>
  </si>
  <si>
    <t>Employer 401k - Sales</t>
  </si>
  <si>
    <t>Vehicle Mileage - Sales</t>
  </si>
  <si>
    <t>Travel - Sales</t>
  </si>
  <si>
    <t>Meals &amp; Entert (50%)-Sales</t>
  </si>
  <si>
    <t>Office Supplies - Sales</t>
  </si>
  <si>
    <t>Dues &amp; Subscriptions - Sales</t>
  </si>
  <si>
    <t>Telephone - Sales</t>
  </si>
  <si>
    <t>Advertising - Sales</t>
  </si>
  <si>
    <t>Sales &amp; Mkting Misc</t>
  </si>
  <si>
    <t xml:space="preserve"> Total Sales</t>
  </si>
  <si>
    <t>G&amp;A Support Labor</t>
  </si>
  <si>
    <t>Temporary Labor-G&amp;A</t>
  </si>
  <si>
    <t>Bonus Pay Non-Corp-G&amp;A</t>
  </si>
  <si>
    <t>Payroll Taxes - G&amp;A</t>
  </si>
  <si>
    <t>Holiday Pay - G&amp;A</t>
  </si>
  <si>
    <t>Vacation/Sick - G&amp;A</t>
  </si>
  <si>
    <t>Benefits Corp-G&amp;A</t>
  </si>
  <si>
    <t>Employer 401K-G&amp;A</t>
  </si>
  <si>
    <t>Recruiting - G&amp;A</t>
  </si>
  <si>
    <t>Employee Activities - G&amp;A</t>
  </si>
  <si>
    <t>Vehicle Mileage - G&amp;A</t>
  </si>
  <si>
    <t>Travel - G&amp;A</t>
  </si>
  <si>
    <t>Meals &amp; Entert (50%)-G&amp;A</t>
  </si>
  <si>
    <t>Office Supplies - G&amp;A</t>
  </si>
  <si>
    <t>Food/Coffee services-G&amp;A</t>
  </si>
  <si>
    <t>Postage/Courier Exp G&amp;A</t>
  </si>
  <si>
    <t>Dues &amp; Subscriptions - G&amp;A</t>
  </si>
  <si>
    <t>Telephone - G&amp;A</t>
  </si>
  <si>
    <t>Utilities - G&amp;A</t>
  </si>
  <si>
    <t>Storage Expenses-G&amp;A</t>
  </si>
  <si>
    <t>Equip Rental - G&amp;A</t>
  </si>
  <si>
    <t>Advertising - G&amp;A</t>
  </si>
  <si>
    <t>Printing/Reproduction</t>
  </si>
  <si>
    <t>Meetings &amp; Events</t>
  </si>
  <si>
    <t>Outside Training - G&amp;A</t>
  </si>
  <si>
    <t>Bank Fees</t>
  </si>
  <si>
    <t>Legal Fees</t>
  </si>
  <si>
    <t>Legal Settlements</t>
  </si>
  <si>
    <t>Lobbyist Fees</t>
  </si>
  <si>
    <t>Payroll Processing Fees</t>
  </si>
  <si>
    <t>Outside Credit &amp; Collections</t>
  </si>
  <si>
    <t>Other Consulting/Prof Fees</t>
  </si>
  <si>
    <t>Software Maintenance &amp; Licenses</t>
  </si>
  <si>
    <t>Computer Equipment Expense</t>
  </si>
  <si>
    <t>Contributions Deductible</t>
  </si>
  <si>
    <t>Purchase Discounts-G&amp;A</t>
  </si>
  <si>
    <t>Miscellaneous</t>
  </si>
  <si>
    <t>Bad Debt Exp</t>
  </si>
  <si>
    <t>Management Fee</t>
  </si>
  <si>
    <t xml:space="preserve"> Total G&amp;A</t>
  </si>
  <si>
    <t xml:space="preserve"> Total SG&amp;A</t>
  </si>
  <si>
    <t xml:space="preserve">  Operating Income</t>
  </si>
  <si>
    <t>Bellevue / Eastside</t>
  </si>
  <si>
    <t>Disposal I/C</t>
  </si>
  <si>
    <t xml:space="preserve"> 4172XOSTIND</t>
  </si>
  <si>
    <t>Run Date: 05</t>
  </si>
  <si>
    <t>/12/14  17:4</t>
  </si>
  <si>
    <t xml:space="preserve"> 4172XOSTCOM</t>
  </si>
  <si>
    <t xml:space="preserve"> 4172XOSTRES</t>
  </si>
  <si>
    <t>Residential O/S Total</t>
  </si>
  <si>
    <t>2012 CNG fuel tax credit came in  march so it will not apply to test period</t>
  </si>
  <si>
    <t>Rent</t>
  </si>
  <si>
    <t>GL Balance</t>
  </si>
  <si>
    <t>YoY Increase</t>
  </si>
  <si>
    <t>Test Period</t>
  </si>
  <si>
    <t>Proforma Period</t>
  </si>
  <si>
    <t>*Rent Increase Jan 1, 2014 - see attachment "Rent Expense GL290.pdf"</t>
  </si>
  <si>
    <t>*Linked to Truck Hours Calc Model</t>
  </si>
  <si>
    <t xml:space="preserve">CNG FUEL STATS </t>
  </si>
  <si>
    <t>CNG THERMS USAGE</t>
  </si>
  <si>
    <t>CNG COSTS</t>
  </si>
  <si>
    <t>CNG COST PER THERM</t>
  </si>
  <si>
    <t>DGE's</t>
  </si>
  <si>
    <t>COST PER DGE's</t>
  </si>
  <si>
    <t>Totals</t>
  </si>
  <si>
    <t>Average Cost Per Therm</t>
  </si>
  <si>
    <t>Average Cost per DGE</t>
  </si>
  <si>
    <t>ProForma</t>
  </si>
  <si>
    <t>Vendors:</t>
  </si>
  <si>
    <t>IGI, PSE, Clean Energy</t>
  </si>
  <si>
    <t>IGI_PSE_CLEAN ENERGY CNG</t>
  </si>
  <si>
    <t>DGE</t>
  </si>
  <si>
    <t>Average Cost Per DGE</t>
  </si>
  <si>
    <t>Amount Paid @ Market Price</t>
  </si>
  <si>
    <t>Eastside Gallons (Total)</t>
  </si>
  <si>
    <t>Eastside Fuel Expense</t>
  </si>
  <si>
    <t xml:space="preserve">DIESEL FUEL STATS </t>
  </si>
  <si>
    <t>**Note: CNG costs lower May 13 - Dec 13 due to Federal Tax Credit on CNG usage</t>
  </si>
  <si>
    <t>Special Handling Flag</t>
  </si>
  <si>
    <t>(Multiple Items)</t>
  </si>
  <si>
    <t>Linked</t>
  </si>
  <si>
    <t>Sum of # of Containers</t>
  </si>
  <si>
    <t>Rev.'Dist'Code</t>
  </si>
  <si>
    <t>Container'Type</t>
  </si>
  <si>
    <t>Container Size</t>
  </si>
  <si>
    <t>Compactor Y/N</t>
  </si>
  <si>
    <t>10</t>
  </si>
  <si>
    <t>20</t>
  </si>
  <si>
    <t>30</t>
  </si>
  <si>
    <t>70</t>
  </si>
  <si>
    <t>Grand Total</t>
  </si>
  <si>
    <t>(blank)</t>
  </si>
  <si>
    <t>0.16 Total</t>
  </si>
  <si>
    <t>0.3 Total</t>
  </si>
  <si>
    <t>0.45 Total</t>
  </si>
  <si>
    <t>CA Total</t>
  </si>
  <si>
    <t>0.1 Total</t>
  </si>
  <si>
    <t>CN Total</t>
  </si>
  <si>
    <t>1 Total</t>
  </si>
  <si>
    <t>1.25 Total</t>
  </si>
  <si>
    <t>2 Total</t>
  </si>
  <si>
    <t>C</t>
  </si>
  <si>
    <t>3 Total</t>
  </si>
  <si>
    <t>4 Total</t>
  </si>
  <si>
    <t>6 Total</t>
  </si>
  <si>
    <t>8 Total</t>
  </si>
  <si>
    <t>FL Total</t>
  </si>
  <si>
    <t>1.5 Total</t>
  </si>
  <si>
    <t>FR Total</t>
  </si>
  <si>
    <t>10 Total</t>
  </si>
  <si>
    <t>12 Total</t>
  </si>
  <si>
    <t>20 Total</t>
  </si>
  <si>
    <t>25 Total</t>
  </si>
  <si>
    <t>30 Total</t>
  </si>
  <si>
    <t>40 Total</t>
  </si>
  <si>
    <t>IR Total</t>
  </si>
  <si>
    <t>RC Total</t>
  </si>
  <si>
    <t>RO Total</t>
  </si>
  <si>
    <t>RR Total</t>
  </si>
  <si>
    <t>YC Total</t>
  </si>
  <si>
    <t>YW Total</t>
  </si>
  <si>
    <t>UN</t>
  </si>
  <si>
    <t>0 Total</t>
  </si>
  <si>
    <t>UN Total</t>
  </si>
  <si>
    <t>(All)</t>
  </si>
  <si>
    <t>11</t>
  </si>
  <si>
    <t>12</t>
  </si>
  <si>
    <t>13</t>
  </si>
  <si>
    <t>15</t>
  </si>
  <si>
    <t>16</t>
  </si>
  <si>
    <t>1A</t>
  </si>
  <si>
    <t>1B</t>
  </si>
  <si>
    <t>1C</t>
  </si>
  <si>
    <t>21</t>
  </si>
  <si>
    <t>22</t>
  </si>
  <si>
    <t>23</t>
  </si>
  <si>
    <t>24</t>
  </si>
  <si>
    <t>25</t>
  </si>
  <si>
    <t>26</t>
  </si>
  <si>
    <t>2A</t>
  </si>
  <si>
    <t>2B</t>
  </si>
  <si>
    <t>2C</t>
  </si>
  <si>
    <t>2D</t>
  </si>
  <si>
    <t>31</t>
  </si>
  <si>
    <t>32</t>
  </si>
  <si>
    <t>33</t>
  </si>
  <si>
    <t>35</t>
  </si>
  <si>
    <t>36</t>
  </si>
  <si>
    <t>3A</t>
  </si>
  <si>
    <t>3B</t>
  </si>
  <si>
    <t>3C</t>
  </si>
  <si>
    <t>71</t>
  </si>
  <si>
    <t>72</t>
  </si>
  <si>
    <t>73</t>
  </si>
  <si>
    <t>74</t>
  </si>
  <si>
    <t>75</t>
  </si>
  <si>
    <t>76</t>
  </si>
  <si>
    <t>7A</t>
  </si>
  <si>
    <t>7B</t>
  </si>
  <si>
    <t>7C</t>
  </si>
  <si>
    <t>0.08 Total</t>
  </si>
  <si>
    <t>0.09 Total</t>
  </si>
  <si>
    <t>BB Total</t>
  </si>
  <si>
    <t>0.15 Total</t>
  </si>
  <si>
    <t>0.24 Total</t>
  </si>
  <si>
    <t>0.32 Total</t>
  </si>
  <si>
    <t>0.05 Total</t>
  </si>
  <si>
    <t>0.23 Total</t>
  </si>
  <si>
    <t>15 Total</t>
  </si>
  <si>
    <t>0.5 Total</t>
  </si>
  <si>
    <t>SC</t>
  </si>
  <si>
    <t>35 Total</t>
  </si>
  <si>
    <t>SC Total</t>
  </si>
  <si>
    <t>0.07 Total</t>
  </si>
  <si>
    <t>0.48 Total</t>
  </si>
  <si>
    <t>Municpl/Franch Contract</t>
  </si>
  <si>
    <t>Contract Group Number</t>
  </si>
  <si>
    <t># of Containers</t>
  </si>
  <si>
    <t># of Customers</t>
  </si>
  <si>
    <t>RESI</t>
  </si>
  <si>
    <t>W</t>
  </si>
  <si>
    <t>6130022</t>
  </si>
  <si>
    <t>COMM</t>
  </si>
  <si>
    <t>7</t>
  </si>
  <si>
    <t>6170005</t>
  </si>
  <si>
    <t>6170055</t>
  </si>
  <si>
    <t>6080001</t>
  </si>
  <si>
    <t>6080020</t>
  </si>
  <si>
    <t>6080050</t>
  </si>
  <si>
    <t>6120005</t>
  </si>
  <si>
    <t>6110015</t>
  </si>
  <si>
    <t>6080004</t>
  </si>
  <si>
    <t>6110002</t>
  </si>
  <si>
    <t>6110003</t>
  </si>
  <si>
    <t>6110004</t>
  </si>
  <si>
    <t>6110005</t>
  </si>
  <si>
    <t>6110006</t>
  </si>
  <si>
    <t>6110008</t>
  </si>
  <si>
    <t>6110009</t>
  </si>
  <si>
    <t>6110028</t>
  </si>
  <si>
    <t>6120002</t>
  </si>
  <si>
    <t>6120003</t>
  </si>
  <si>
    <t>6120004</t>
  </si>
  <si>
    <t>6120006</t>
  </si>
  <si>
    <t>6120008</t>
  </si>
  <si>
    <t>6120009</t>
  </si>
  <si>
    <t>6120015</t>
  </si>
  <si>
    <t>6120028</t>
  </si>
  <si>
    <t>6120040</t>
  </si>
  <si>
    <t>6130002</t>
  </si>
  <si>
    <t>6130003</t>
  </si>
  <si>
    <t>6130004</t>
  </si>
  <si>
    <t>6130005</t>
  </si>
  <si>
    <t>6130006</t>
  </si>
  <si>
    <t>6130008</t>
  </si>
  <si>
    <t>6130009</t>
  </si>
  <si>
    <t>6130015</t>
  </si>
  <si>
    <t>6130028</t>
  </si>
  <si>
    <t>6170004</t>
  </si>
  <si>
    <t>6170015</t>
  </si>
  <si>
    <t>6170022</t>
  </si>
  <si>
    <t>6170028</t>
  </si>
  <si>
    <t>6170040</t>
  </si>
  <si>
    <t>6080040</t>
  </si>
  <si>
    <t>Y</t>
  </si>
  <si>
    <t>6170008</t>
  </si>
  <si>
    <t>6170003</t>
  </si>
  <si>
    <t>6170006</t>
  </si>
  <si>
    <t>6170002</t>
  </si>
  <si>
    <t>6170009</t>
  </si>
  <si>
    <t>X</t>
  </si>
  <si>
    <t>6080060</t>
  </si>
  <si>
    <t>6170099</t>
  </si>
  <si>
    <t>6170001</t>
  </si>
  <si>
    <t>6080240</t>
  </si>
  <si>
    <t>5970060</t>
  </si>
  <si>
    <t>5</t>
  </si>
  <si>
    <t>5970028</t>
  </si>
  <si>
    <t>@</t>
  </si>
  <si>
    <t>5970005</t>
  </si>
  <si>
    <t>2</t>
  </si>
  <si>
    <t>5970008</t>
  </si>
  <si>
    <t>6080007</t>
  </si>
  <si>
    <t>8</t>
  </si>
  <si>
    <t>%</t>
  </si>
  <si>
    <t>5970040</t>
  </si>
  <si>
    <t>5970006</t>
  </si>
  <si>
    <t>5970001</t>
  </si>
  <si>
    <t>5970004</t>
  </si>
  <si>
    <t>6080008</t>
  </si>
  <si>
    <t>Extensive work on the correct adjustment necessary for increase contamination fees from Cedar Grove was conducted by Amy White on the 1/1/13-12/31/13 Lynnwood Rate case. Documentation available upon request if you would like it from Republic Services.</t>
  </si>
  <si>
    <t>Commercial container counts info in "Commercial Counts - Price out" excel workbook.</t>
  </si>
  <si>
    <t>TOTAL YW (Reg'd &amp; UnReg'd)</t>
  </si>
  <si>
    <t>Residential Regulated</t>
  </si>
  <si>
    <t>UNGREGULATED TOTAL</t>
  </si>
  <si>
    <t>Tariff # 11 regulated areas</t>
  </si>
  <si>
    <t>Total COGS Tons</t>
  </si>
  <si>
    <t>Non-Regulated Recycling</t>
  </si>
  <si>
    <t>20 &amp; 2B</t>
  </si>
  <si>
    <t>LOB 3B</t>
  </si>
  <si>
    <t>LOB 1B</t>
  </si>
  <si>
    <t>LOB 7B - Commercial Recycle</t>
  </si>
  <si>
    <t>LOB 2B</t>
  </si>
  <si>
    <t>10/1B</t>
  </si>
  <si>
    <t>20/2B</t>
  </si>
  <si>
    <t>30/3B</t>
  </si>
  <si>
    <t>70/7B</t>
  </si>
  <si>
    <t>Non-Residential Regulated (Commercial &amp; MF)</t>
  </si>
  <si>
    <t>Linked - All Regulated - Ex-MF</t>
  </si>
  <si>
    <t>removing % related to non customer service ee's - Conservative, as proporation of Sales payroll $s to Customer Service $s is greater than Sales Headcount to CS HC</t>
  </si>
  <si>
    <t>Eastside Disposal G-permit</t>
  </si>
  <si>
    <t>Eastside Disposal</t>
  </si>
  <si>
    <t xml:space="preserve">Actual </t>
  </si>
  <si>
    <t>Regulated Hauls from KC TS</t>
  </si>
  <si>
    <t>Regulated Tons from KC TS</t>
  </si>
  <si>
    <t>Disposal Costs</t>
  </si>
  <si>
    <t>Tons / Haul</t>
  </si>
  <si>
    <t>Yardwaste - Appendix A</t>
  </si>
  <si>
    <t>Recycle - Appendix B</t>
  </si>
  <si>
    <t>Recycle - Appendix A</t>
  </si>
  <si>
    <t>Yardwaste - Appendix B</t>
  </si>
  <si>
    <t>Appendix B - Recycle Only</t>
  </si>
  <si>
    <t>Appendix B  - Yardwaste Only</t>
  </si>
  <si>
    <t>Appendix A/B - Rental</t>
  </si>
  <si>
    <t>Other Impact</t>
  </si>
  <si>
    <t>2013-2014 Recycling credits</t>
  </si>
  <si>
    <t>12 months ended 4/30/14</t>
  </si>
  <si>
    <t>Initial Delivery</t>
  </si>
  <si>
    <t>Material</t>
  </si>
  <si>
    <r>
      <t>Conversion Factor (lbs./yd</t>
    </r>
    <r>
      <rPr>
        <b/>
        <vertAlign val="superscript"/>
        <sz val="11"/>
        <color indexed="8"/>
        <rFont val="Calibri"/>
        <family val="2"/>
      </rPr>
      <t>3</t>
    </r>
    <r>
      <rPr>
        <b/>
        <sz val="11"/>
        <color indexed="8"/>
        <rFont val="Calibri"/>
        <family val="2"/>
      </rPr>
      <t>)</t>
    </r>
  </si>
  <si>
    <t>Conversion Factor Source</t>
  </si>
  <si>
    <t>Notes</t>
  </si>
  <si>
    <t>Newspaper and Cardboard</t>
  </si>
  <si>
    <t>U.S. EPA</t>
  </si>
  <si>
    <t>Average of OCC and newspaper, weighted 2/3 OCC and 1/3 newspaper</t>
  </si>
  <si>
    <t>Mixed/Low Grade Paper</t>
  </si>
  <si>
    <t>Aseptic and Polycoats</t>
  </si>
  <si>
    <t>Used mixed waste paper</t>
  </si>
  <si>
    <t>Food Soiled Paper</t>
  </si>
  <si>
    <t>Starbucks</t>
  </si>
  <si>
    <t>Shredded Paper</t>
  </si>
  <si>
    <t>Plastic Bottles, Jugs, Cups, Jars, Tubs</t>
  </si>
  <si>
    <t>Average of PETE containers and HDPE containers</t>
  </si>
  <si>
    <t>Acceptable Bio-Plastics</t>
  </si>
  <si>
    <t>Used PETE conversion</t>
  </si>
  <si>
    <t>Plastic Trays, Clamshells, and Other Containers</t>
  </si>
  <si>
    <t>Plastic Lids</t>
  </si>
  <si>
    <t>Clean Recyclable Film</t>
  </si>
  <si>
    <t>Tellus</t>
  </si>
  <si>
    <t>Expanded Polystyrene</t>
  </si>
  <si>
    <t>Other Rigid Plastics</t>
  </si>
  <si>
    <t>Glass Bottles and Containers</t>
  </si>
  <si>
    <t>Aluminum Cans</t>
  </si>
  <si>
    <t>Tin/Steel Cans</t>
  </si>
  <si>
    <t>Other Curbside Recyclable Materials</t>
  </si>
  <si>
    <t>CalRecycle Staff Measurement</t>
  </si>
  <si>
    <t>Clean Aluminum Foil and Containers</t>
  </si>
  <si>
    <t>Other Recyclable Metals</t>
  </si>
  <si>
    <t>FEECO, Tellus</t>
  </si>
  <si>
    <t>Food</t>
  </si>
  <si>
    <t>U.S. EPA: Government Guide</t>
  </si>
  <si>
    <t>Electronic Waste</t>
  </si>
  <si>
    <t>Average of E-Waste</t>
  </si>
  <si>
    <t>Other Household Hazardous</t>
  </si>
  <si>
    <t>Average of HHW not included elsewhere</t>
  </si>
  <si>
    <t>Latex Paint</t>
  </si>
  <si>
    <t>Medical Waste</t>
  </si>
  <si>
    <t>CalRecycle &amp; Cascadia</t>
  </si>
  <si>
    <t>Pharmaceuticals</t>
  </si>
  <si>
    <t>FEECO</t>
  </si>
  <si>
    <t>Textiles</t>
  </si>
  <si>
    <t>Other Materials</t>
  </si>
  <si>
    <t>Average of uncompacted residential MSW</t>
  </si>
  <si>
    <t>Information from King County / Cascadia Consulting Waste Characterization study</t>
  </si>
  <si>
    <t>20 Gallon Organics Cart</t>
  </si>
  <si>
    <t>20 Gal Organics Container</t>
  </si>
  <si>
    <t>Food Waste</t>
  </si>
  <si>
    <t>Lbs / cubic yard</t>
  </si>
  <si>
    <t>20 Gall Container Capacity = 0.099 cubic yards</t>
  </si>
  <si>
    <t>Assuming no difference from regular YW collection other than size of container and density (weight) of material  &gt;   &gt;   &gt;   &gt;</t>
  </si>
  <si>
    <t>See G12 Lawson financials for narrative</t>
  </si>
  <si>
    <t>Container Size Table (for reference in following tabs)</t>
  </si>
  <si>
    <t>0.05</t>
  </si>
  <si>
    <t>0.07</t>
  </si>
  <si>
    <t>0.08</t>
  </si>
  <si>
    <t>0.09</t>
  </si>
  <si>
    <t>0.1</t>
  </si>
  <si>
    <t>0.15</t>
  </si>
  <si>
    <t>0.16</t>
  </si>
  <si>
    <t>0.23</t>
  </si>
  <si>
    <t>0.24</t>
  </si>
  <si>
    <t>0.3</t>
  </si>
  <si>
    <t>0.32</t>
  </si>
  <si>
    <t>0.45</t>
  </si>
  <si>
    <t>0.48</t>
  </si>
  <si>
    <t>1.25</t>
  </si>
  <si>
    <t>Values referenced</t>
  </si>
  <si>
    <t>in following tabs</t>
  </si>
  <si>
    <t>and other workbooks</t>
  </si>
  <si>
    <t>10 gallons</t>
  </si>
  <si>
    <t>14 gallons</t>
  </si>
  <si>
    <t>16 gallons</t>
  </si>
  <si>
    <t>20 gallons</t>
  </si>
  <si>
    <t>30 gallons</t>
  </si>
  <si>
    <t>32 gallons</t>
  </si>
  <si>
    <t>46 gallons</t>
  </si>
  <si>
    <t>48 gallons</t>
  </si>
  <si>
    <t>60 gallons</t>
  </si>
  <si>
    <t>64 gallons</t>
  </si>
  <si>
    <t>90 gallons</t>
  </si>
  <si>
    <t>96 gallons</t>
  </si>
  <si>
    <t>1.25 yards</t>
  </si>
  <si>
    <t>reference in</t>
  </si>
  <si>
    <t>tariff</t>
  </si>
  <si>
    <t>Container size</t>
  </si>
  <si>
    <t>See "Cont Summ" tab for container size table</t>
  </si>
  <si>
    <t>Mini Can</t>
  </si>
  <si>
    <t>1 Can or 32 Gallon Tote</t>
  </si>
  <si>
    <t>Not on Regulated Accounts</t>
  </si>
  <si>
    <t>1 Can or 32 Gallon Tote - Not on Regulated Accounts</t>
  </si>
  <si>
    <t>90 Gallon Tote</t>
  </si>
  <si>
    <t>60 Gallon Tote</t>
  </si>
  <si>
    <t>18-20 gallons</t>
  </si>
  <si>
    <t>90-96 Gallon Tote - Not on Regulated Accounts</t>
  </si>
  <si>
    <t>60-64 Gallon Tote - Not on Regulated Accounts</t>
  </si>
  <si>
    <t>Category
(Line of Business)</t>
  </si>
  <si>
    <t>Compactor Y/N (is this container a compactor? C if yes)</t>
  </si>
  <si>
    <t>Container Qty Order (How many containers)</t>
  </si>
  <si>
    <t>Total Lifts (per period length)</t>
  </si>
  <si>
    <t>Period Length (how many times is this account serviced per period Unit)</t>
  </si>
  <si>
    <t>Period Unit (W = weekly)</t>
  </si>
  <si>
    <t>Rev/Dist Code 2 (these are the flags for service areas)</t>
  </si>
  <si>
    <t>Source Documentation: Fuel PDFs provided in supporting docuementation folder (zipped folder labeled fuel invoices)</t>
  </si>
  <si>
    <t xml:space="preserve">2012 Book Amounts </t>
  </si>
  <si>
    <t xml:space="preserve">Tshop = Truck Shop </t>
  </si>
  <si>
    <t xml:space="preserve">Cshop = Container Shop </t>
  </si>
  <si>
    <t xml:space="preserve">Staff conclusion </t>
  </si>
  <si>
    <t xml:space="preserve">Amy </t>
  </si>
  <si>
    <t xml:space="preserve">Staff </t>
  </si>
  <si>
    <t>Greg</t>
  </si>
  <si>
    <t>Scott</t>
  </si>
  <si>
    <t xml:space="preserve">Scott </t>
  </si>
  <si>
    <t>This is a pass-through collection of fees.  Pass further review/</t>
  </si>
  <si>
    <t xml:space="preserve">With the drop in these expenses, an informal question </t>
  </si>
  <si>
    <t xml:space="preserve">was emailed to the company 1/29. Why such a decline? </t>
  </si>
  <si>
    <t>Company restating adj</t>
  </si>
  <si>
    <t>Company Pro Forma adj</t>
  </si>
  <si>
    <t>Staff Restating Adj</t>
  </si>
  <si>
    <t>Staff Pro Forma Adj</t>
  </si>
  <si>
    <t>Disallow contributions--these expenses follow shareholders</t>
  </si>
  <si>
    <t>Disalow all, but may let some of the publishing costs stay if the company backs them up as to what benefits were provided to regulated customers total publication costs $5282.6</t>
  </si>
  <si>
    <t>This amount was backed out as a restating adjustment on the proforma</t>
  </si>
  <si>
    <t>Charges seem reasonable</t>
  </si>
  <si>
    <t>Amounts seem reasonable</t>
  </si>
  <si>
    <t>Property Taxes paid on the Cadman and Bellevue leases, charges appear reasonable</t>
  </si>
  <si>
    <r>
      <t xml:space="preserve">Amount allocated to regulated is all </t>
    </r>
    <r>
      <rPr>
        <b/>
        <sz val="8"/>
        <rFont val="Arial"/>
        <family val="2"/>
      </rPr>
      <t>B&amp;O</t>
    </r>
    <r>
      <rPr>
        <sz val="8"/>
        <rFont val="Arial"/>
        <family val="2"/>
      </rPr>
      <t xml:space="preserve"> tax = (Regulated Revenue * WA B&amp;O Tax Rate)</t>
    </r>
  </si>
  <si>
    <t>$1252 hit regulated customers. Charges seem reasonable for such a small amount</t>
  </si>
  <si>
    <t>Allocations net - no effect</t>
  </si>
  <si>
    <t>DR sent and response received. Charges seem reasonable</t>
  </si>
  <si>
    <t>DR for explanation of these amounts, Connor still looking into this</t>
  </si>
  <si>
    <t>$698 applied to regulated, deemed immaterial</t>
  </si>
  <si>
    <t>Charges seem reasonable based on Connor's explanation</t>
  </si>
  <si>
    <t>DR for explanation of these settlements</t>
  </si>
  <si>
    <t>Connor confirmed that Lobbyist Fees should be disallowed. They were related to renewal of the City of Bellevue collection contract</t>
  </si>
  <si>
    <t>Adjustment Made (see individual tab)</t>
  </si>
  <si>
    <t>see calculation on Lease/Rent Tab</t>
  </si>
  <si>
    <t>possible adjustment to come waiting on additional info</t>
  </si>
  <si>
    <t>see calculation in individual tab</t>
  </si>
  <si>
    <t>all disallowed</t>
  </si>
  <si>
    <t>All Leases provided, charges match lease requirements. See correction to company's restating adjustment</t>
  </si>
  <si>
    <t>Staff</t>
  </si>
  <si>
    <t>Actual from Invoice</t>
  </si>
  <si>
    <t>Fuel Reconcile</t>
  </si>
  <si>
    <t>Date</t>
  </si>
  <si>
    <t>Diesel Amount</t>
  </si>
  <si>
    <t>Gasoline Amount</t>
  </si>
  <si>
    <t>Diesel Price</t>
  </si>
  <si>
    <t>Gasoline Price</t>
  </si>
  <si>
    <t>Tax</t>
  </si>
  <si>
    <t>Test Period Diesel</t>
  </si>
  <si>
    <t>Test Period CNG</t>
  </si>
  <si>
    <t>Total w No Tax Credits</t>
  </si>
  <si>
    <t>CNG Tax Credit Total From GL</t>
  </si>
  <si>
    <t>Total w Tax Credits</t>
  </si>
  <si>
    <t>G/L Total Acct 530010 W/ CNG Tax Credit</t>
  </si>
  <si>
    <t>Difference</t>
  </si>
  <si>
    <t>Difference unreconciled</t>
  </si>
  <si>
    <t>11/31/13</t>
  </si>
  <si>
    <t>Diesel Gallons Total (last 6 months)</t>
  </si>
  <si>
    <t>Unleaded Gallons Total (last 6 months)</t>
  </si>
  <si>
    <t>Diesel Cost (last 6 months)</t>
  </si>
  <si>
    <t>Unleaded Cost (last 6 months)</t>
  </si>
  <si>
    <t>Fuel Tax (last 6 months)</t>
  </si>
  <si>
    <t>Diesel Tax Calculated (Fed,State,Local)</t>
  </si>
  <si>
    <t>Unleaded Tax Calculated (Fed,State,Local)</t>
  </si>
  <si>
    <t>Tax Difference</t>
  </si>
  <si>
    <t>Diesel Gallons Monthly Avg.</t>
  </si>
  <si>
    <t>Unleaded Gallons Monthly Avg.</t>
  </si>
  <si>
    <t>Diesel Monthly Cost</t>
  </si>
  <si>
    <t>Unleaded Monthly Cost</t>
  </si>
  <si>
    <t>Avg Diesel Tax</t>
  </si>
  <si>
    <t>Avg Unleaded Tax</t>
  </si>
  <si>
    <t>Price Per Gallon Diesel</t>
  </si>
  <si>
    <t>Price Per Gallon Unleaded</t>
  </si>
  <si>
    <t>Tax Per Gallon Diesel</t>
  </si>
  <si>
    <t>Tax Per Gallon Unleaded</t>
  </si>
  <si>
    <t>Diesel Cost Per Gallon with tax</t>
  </si>
  <si>
    <t>Unleaded Cost Per Gallon with tax</t>
  </si>
  <si>
    <t>Projected Annual Diesel Cost</t>
  </si>
  <si>
    <t>Projected Annual Unleaded Cost</t>
  </si>
  <si>
    <t>Total Annual cost</t>
  </si>
  <si>
    <t>Last 12 months price and consumption</t>
  </si>
  <si>
    <t>Diesel Gallons Total (Last 12 Months)</t>
  </si>
  <si>
    <t>Unleaded Gallons Total (Last 12 Months)</t>
  </si>
  <si>
    <t>Diesel Cost (last 12 months)</t>
  </si>
  <si>
    <t>Unleaded Cost (last 12 months)</t>
  </si>
  <si>
    <t>Fuel Tax (last 12 months)</t>
  </si>
  <si>
    <t>STAFF</t>
  </si>
  <si>
    <t>Invoice Date</t>
  </si>
  <si>
    <t>Vendor</t>
  </si>
  <si>
    <t>Therms</t>
  </si>
  <si>
    <t>GGE (Gallon of Gasoline Equivilant)</t>
  </si>
  <si>
    <t>DGE's (Diesel Gallon Equivalent)</t>
  </si>
  <si>
    <t>MMBTU (Million British Therms)</t>
  </si>
  <si>
    <t xml:space="preserve">Cost per therm </t>
  </si>
  <si>
    <t>Cost Per GGE</t>
  </si>
  <si>
    <t>Cost Per DGE</t>
  </si>
  <si>
    <t>Cost Per MMBTU</t>
  </si>
  <si>
    <t>CE</t>
  </si>
  <si>
    <t>PSE</t>
  </si>
  <si>
    <t>IGI</t>
  </si>
  <si>
    <t>Monthly Average</t>
  </si>
  <si>
    <t>After test period costs</t>
  </si>
  <si>
    <t>Last 6 Period Consumption</t>
  </si>
  <si>
    <t>Cost therm</t>
  </si>
  <si>
    <t>Cost GGE</t>
  </si>
  <si>
    <t>Cost DGE</t>
  </si>
  <si>
    <t>Cost MMBTU</t>
  </si>
  <si>
    <t>convert to BTUs</t>
  </si>
  <si>
    <t>Total CNG consumption in MMBTU (Test Period)</t>
  </si>
  <si>
    <t>Total 6 month Period CNG Cost</t>
  </si>
  <si>
    <t>Monthly Avg.</t>
  </si>
  <si>
    <t>Avg Cost Per MBTU</t>
  </si>
  <si>
    <t>Projected CNG Cost</t>
  </si>
  <si>
    <t>Total 12 month Period CNG Cost</t>
  </si>
  <si>
    <t xml:space="preserve">Last 6 months use and price </t>
  </si>
  <si>
    <t>Monthly Avg. Diesel Gallons Consumption</t>
  </si>
  <si>
    <t>Monthly Avg. Gasoline Gallons Consumption</t>
  </si>
  <si>
    <t>Monthly Avg. CNG MBTU Consumption</t>
  </si>
  <si>
    <t>Avg. Cost Per Diesel Gallon</t>
  </si>
  <si>
    <t>Avg. Cost Per Gasoline Gallon</t>
  </si>
  <si>
    <t>Average Cost Per CNG MBTU</t>
  </si>
  <si>
    <t>Projected Cost</t>
  </si>
  <si>
    <t>Total Monthly cost</t>
  </si>
  <si>
    <t>Total Annual Cost</t>
  </si>
  <si>
    <t>Last 12 months use and price</t>
  </si>
  <si>
    <t>Diesel Cost at Chevron not being asked for in GRC (from GL)</t>
  </si>
  <si>
    <t>Adjustment to bring Proforma total in line with Avg. Investment Model</t>
  </si>
  <si>
    <t>Adjustment to bring Proforma total in line with Staff Depreciation Model</t>
  </si>
  <si>
    <t>Immaterial</t>
  </si>
  <si>
    <t>Source: This information is from our accounting system through the Oracle Essbase extraction program</t>
  </si>
  <si>
    <t>FY   Fiscal 2013</t>
  </si>
  <si>
    <t>Dec YTD</t>
  </si>
  <si>
    <t>RSG Budget</t>
  </si>
  <si>
    <t>Amounts</t>
  </si>
  <si>
    <t>% of Area</t>
  </si>
  <si>
    <t>4034 Agri-Tech of Oregon, Inc.</t>
  </si>
  <si>
    <t>4125 Coffin Butte Landfill</t>
  </si>
  <si>
    <t>4294 Source Recycling, Inc</t>
  </si>
  <si>
    <t>4296 Valley Landfills MRF</t>
  </si>
  <si>
    <t>4421 Capital Transfer Station</t>
  </si>
  <si>
    <t>4422 Valley Landfills Transfer Stat</t>
  </si>
  <si>
    <t>4449 Josephine County T/S</t>
  </si>
  <si>
    <t>4450 AWS - Albany - Lebanon</t>
  </si>
  <si>
    <t>4451 AWS - Salem - OR</t>
  </si>
  <si>
    <t>4452 AWS - Corvallis</t>
  </si>
  <si>
    <t>4454 AWS - Grants Pass</t>
  </si>
  <si>
    <t>4564 Klamath Falls T/S</t>
  </si>
  <si>
    <t>4045 AWS - Transportation Services</t>
  </si>
  <si>
    <t>4295 Willamette Resources, Inc</t>
  </si>
  <si>
    <t>4417 Portland South T/S</t>
  </si>
  <si>
    <t>4447 Willamette Resources T/S</t>
  </si>
  <si>
    <t>4455 AW Srvcs of Clackamas &amp; Washin</t>
  </si>
  <si>
    <t>4456 AWS - Marion County</t>
  </si>
  <si>
    <t>4469 AWS - Lake Oswego</t>
  </si>
  <si>
    <t>4472 AWS - Portland</t>
  </si>
  <si>
    <t>4175 AWS - Seattle</t>
  </si>
  <si>
    <t>4176 Kent-Meridian Disposal Company</t>
  </si>
  <si>
    <t>4183 AWS - Kent</t>
  </si>
  <si>
    <t>4194 Recomp of Washington</t>
  </si>
  <si>
    <t>4558 RDC-Intermodal</t>
  </si>
  <si>
    <t>4559 Black River T/S</t>
  </si>
  <si>
    <t>4584 Rabanco Recycling Company MRF</t>
  </si>
  <si>
    <t>4172 AWS - Bellevue</t>
  </si>
  <si>
    <t>4197 AWS - Lynnwood</t>
  </si>
  <si>
    <t>4163 Roosevelt Rgnl Ash Monofill</t>
  </si>
  <si>
    <t>4178 Roosevelt Regional MSW L/F</t>
  </si>
  <si>
    <t>4487 AWS - Klickitat County</t>
  </si>
  <si>
    <t>4283 Missoula Recycling</t>
  </si>
  <si>
    <t>4288 Billings Recycle Now</t>
  </si>
  <si>
    <t>4886 AWS - Bozeman</t>
  </si>
  <si>
    <t>4889 AWS - Missoula</t>
  </si>
  <si>
    <t>4892 AWS - Billings</t>
  </si>
  <si>
    <t>5002 Missoula Landfill</t>
  </si>
  <si>
    <t>4171 Northwest CC</t>
  </si>
  <si>
    <t>FY   Fiscal 2014</t>
  </si>
  <si>
    <t>NET REVENUE</t>
  </si>
  <si>
    <t>Jan</t>
  </si>
  <si>
    <t>Feb</t>
  </si>
  <si>
    <t>Mar</t>
  </si>
  <si>
    <t>Apr</t>
  </si>
  <si>
    <t>May</t>
  </si>
  <si>
    <t>Jun</t>
  </si>
  <si>
    <t>Jul</t>
  </si>
  <si>
    <t>Aug</t>
  </si>
  <si>
    <t>Sep</t>
  </si>
  <si>
    <t>Oct</t>
  </si>
  <si>
    <t>Nov</t>
  </si>
  <si>
    <t>Dec</t>
  </si>
  <si>
    <t>Div #</t>
  </si>
  <si>
    <t>Area</t>
  </si>
  <si>
    <t>Region</t>
  </si>
  <si>
    <t>% of Area Net Revenue</t>
  </si>
  <si>
    <t>% of Region Net Revenue</t>
  </si>
  <si>
    <t>% of Total Co. Net Revenue</t>
  </si>
  <si>
    <t>Corp</t>
  </si>
  <si>
    <t>4422</t>
  </si>
  <si>
    <t>A53</t>
  </si>
  <si>
    <t>R4</t>
  </si>
  <si>
    <t>4294</t>
  </si>
  <si>
    <t>4288</t>
  </si>
  <si>
    <t>4283</t>
  </si>
  <si>
    <t>4564</t>
  </si>
  <si>
    <t>4421</t>
  </si>
  <si>
    <t>4045</t>
  </si>
  <si>
    <t>4487</t>
  </si>
  <si>
    <t>4163</t>
  </si>
  <si>
    <t>4447</t>
  </si>
  <si>
    <t>4512</t>
  </si>
  <si>
    <t>4793</t>
  </si>
  <si>
    <t>4449</t>
  </si>
  <si>
    <t>4296</t>
  </si>
  <si>
    <t>4034</t>
  </si>
  <si>
    <t>4194</t>
  </si>
  <si>
    <t>4454</t>
  </si>
  <si>
    <t>4295</t>
  </si>
  <si>
    <t>4289</t>
  </si>
  <si>
    <t>4417</t>
  </si>
  <si>
    <t>4559</t>
  </si>
  <si>
    <t>4183</t>
  </si>
  <si>
    <t>4469</t>
  </si>
  <si>
    <t>4602</t>
  </si>
  <si>
    <t>4472</t>
  </si>
  <si>
    <t>4892</t>
  </si>
  <si>
    <t>5002</t>
  </si>
  <si>
    <t>4456</t>
  </si>
  <si>
    <t>4451</t>
  </si>
  <si>
    <t>4175</t>
  </si>
  <si>
    <t>4455</t>
  </si>
  <si>
    <t>4450</t>
  </si>
  <si>
    <t>4886</t>
  </si>
  <si>
    <t>4452</t>
  </si>
  <si>
    <t>4197</t>
  </si>
  <si>
    <t>4125</t>
  </si>
  <si>
    <t>4558</t>
  </si>
  <si>
    <t>4889</t>
  </si>
  <si>
    <t>4584</t>
  </si>
  <si>
    <t>4176</t>
  </si>
  <si>
    <t>4172</t>
  </si>
  <si>
    <t>4178</t>
  </si>
  <si>
    <t>4884</t>
  </si>
  <si>
    <t>NW Area</t>
  </si>
  <si>
    <t>Op Inc Mgt Fee</t>
  </si>
  <si>
    <t>A53 Division Total</t>
  </si>
  <si>
    <t>Corporate Office</t>
  </si>
  <si>
    <t>Region Office</t>
  </si>
  <si>
    <t>Area Office</t>
  </si>
  <si>
    <t>Op Inc Mgt Fee Calc:</t>
  </si>
  <si>
    <t>[REPUBLIC     OPINC]+[755995 0000]+[595040 0000]+[595995 0000]+[751132 0000]+[751134 0010]+[751134 0020]+[751134 0030]+[751147 0000]+[751157 0000]+[751170 0000]+[751180 0000]+[751180 0010]+[760005 0000]+[760006 0000]+[760010 0000]+[660020 0000]+[660030 0000]+[660080 0000]+[660090 0000]+[660998 0000]+[660999 0000]+[565003 0010]+[565004 0010]</t>
  </si>
  <si>
    <t>2013 Budgeted Operating Income (adjusted)</t>
  </si>
  <si>
    <t>% of Region</t>
  </si>
  <si>
    <t>2013 Management Fee</t>
  </si>
  <si>
    <t>Op Inc Mgmt Fee as calc'd by company</t>
  </si>
  <si>
    <t>Op Inc Mgt Fee as calc'd by staff</t>
  </si>
  <si>
    <t>306460 0000</t>
  </si>
  <si>
    <t>MRF SOM-OCC O/S</t>
  </si>
  <si>
    <t>0</t>
  </si>
  <si>
    <t xml:space="preserve">Total Mgmt fee disallowed by staff </t>
  </si>
  <si>
    <t>306950 0000</t>
  </si>
  <si>
    <t>NC Subcontract O/S</t>
  </si>
  <si>
    <t>306960 0000</t>
  </si>
  <si>
    <t>NC SOM OCC O/S</t>
  </si>
  <si>
    <t>402000 0000</t>
  </si>
  <si>
    <t>COGS REC OCC O/S</t>
  </si>
  <si>
    <t>402040 0000</t>
  </si>
  <si>
    <t>MRF COGS Cross-Dck/Bale Rt O/S</t>
  </si>
  <si>
    <t>402043 0000</t>
  </si>
  <si>
    <t>MRF COGS Brokerage O/S</t>
  </si>
  <si>
    <t>404000 0000</t>
  </si>
  <si>
    <t>Subcontract O/S</t>
  </si>
  <si>
    <t>565012 0000</t>
  </si>
  <si>
    <t>595090 0000</t>
  </si>
  <si>
    <t>Per Company</t>
  </si>
  <si>
    <t>Company adj</t>
  </si>
  <si>
    <t>600010 0000</t>
  </si>
  <si>
    <t>Per Staff</t>
  </si>
  <si>
    <t>600030 0000</t>
  </si>
  <si>
    <t>600070 0000</t>
  </si>
  <si>
    <t>Staff adjustment</t>
  </si>
  <si>
    <t>600080 0000</t>
  </si>
  <si>
    <t>Depr-Furn &amp; Fixtures</t>
  </si>
  <si>
    <t>600090 0000</t>
  </si>
  <si>
    <t xml:space="preserve">Difference </t>
  </si>
  <si>
    <t>710000 0010</t>
  </si>
  <si>
    <t>Sales Mgr/Supv Reg</t>
  </si>
  <si>
    <t>710005 0010</t>
  </si>
  <si>
    <t>Sales Rep Reg</t>
  </si>
  <si>
    <t>710005 0011</t>
  </si>
  <si>
    <t>Sales Rep OT</t>
  </si>
  <si>
    <t>710010 0000</t>
  </si>
  <si>
    <t>Sales Support</t>
  </si>
  <si>
    <t>This s/b disallowed too</t>
  </si>
  <si>
    <t>710020 0000</t>
  </si>
  <si>
    <t>710030 0010</t>
  </si>
  <si>
    <t>Cust Service Reg</t>
  </si>
  <si>
    <t>710030 0011</t>
  </si>
  <si>
    <t>Cust Servce OT</t>
  </si>
  <si>
    <t>710061 0000</t>
  </si>
  <si>
    <t>710062 0000</t>
  </si>
  <si>
    <t>710170 0000</t>
  </si>
  <si>
    <t>710176 0000</t>
  </si>
  <si>
    <t>710177 0000</t>
  </si>
  <si>
    <t>711005 0000</t>
  </si>
  <si>
    <t>711006 0000</t>
  </si>
  <si>
    <t>711008 0000</t>
  </si>
  <si>
    <t>Meals &amp; Entert (100%)-Sales</t>
  </si>
  <si>
    <t>711009 0000</t>
  </si>
  <si>
    <t>711010 0000</t>
  </si>
  <si>
    <t>711012 0000</t>
  </si>
  <si>
    <t>Postage - Sales</t>
  </si>
  <si>
    <t>711014 0000</t>
  </si>
  <si>
    <t>711016 0000</t>
  </si>
  <si>
    <t>711095 0000</t>
  </si>
  <si>
    <t>711998 0000</t>
  </si>
  <si>
    <t>Sales &amp; Mkting-Alloc In</t>
  </si>
  <si>
    <t>750000 0000</t>
  </si>
  <si>
    <t>750000 0010</t>
  </si>
  <si>
    <t>G&amp;A Mgrs &amp; Supv Reg</t>
  </si>
  <si>
    <t>750000 0020</t>
  </si>
  <si>
    <t>G&amp;A Mgrs &amp; Supv Auto Allow</t>
  </si>
  <si>
    <t>750005 0000</t>
  </si>
  <si>
    <t>750005 0010</t>
  </si>
  <si>
    <t>G&amp;A Support Reg</t>
  </si>
  <si>
    <t>750005 0011</t>
  </si>
  <si>
    <t>G&amp;A Support OT</t>
  </si>
  <si>
    <t>750005 0020</t>
  </si>
  <si>
    <t>G&amp;A Support Auto Allow</t>
  </si>
  <si>
    <t>750055 0000</t>
  </si>
  <si>
    <t>750060 0000</t>
  </si>
  <si>
    <t>750061 0000</t>
  </si>
  <si>
    <t>750062 0000</t>
  </si>
  <si>
    <t>LTIP-G&amp;A</t>
  </si>
  <si>
    <t>750063 0000</t>
  </si>
  <si>
    <t>Stock Option Comp-G&amp;A</t>
  </si>
  <si>
    <t>750064 0000</t>
  </si>
  <si>
    <t>Corp-Equity Based Comp-G&amp;A</t>
  </si>
  <si>
    <t>750066 0000</t>
  </si>
  <si>
    <t>Ex Retirement Plan-G&amp;A</t>
  </si>
  <si>
    <t>750170 0000</t>
  </si>
  <si>
    <t>750172 0000</t>
  </si>
  <si>
    <t>Personal Time - G&amp;A</t>
  </si>
  <si>
    <t>750173 0000</t>
  </si>
  <si>
    <t>750174 0000</t>
  </si>
  <si>
    <t>750175 0000</t>
  </si>
  <si>
    <t>Benefits Non-Corp-G&amp;A</t>
  </si>
  <si>
    <t>750176 0000</t>
  </si>
  <si>
    <t>750177 0000</t>
  </si>
  <si>
    <t>751100 0000</t>
  </si>
  <si>
    <t>Relocation  - G&amp;A</t>
  </si>
  <si>
    <t>751102 0000</t>
  </si>
  <si>
    <t>751104 0000</t>
  </si>
  <si>
    <t>751105 0000</t>
  </si>
  <si>
    <t>751106 0000</t>
  </si>
  <si>
    <t>751108 0000</t>
  </si>
  <si>
    <t>Meals &amp; Entert (100%)-G&amp;A</t>
  </si>
  <si>
    <t>751109 0000</t>
  </si>
  <si>
    <t>751110 0000</t>
  </si>
  <si>
    <t>751111 0000</t>
  </si>
  <si>
    <t>751112 0000</t>
  </si>
  <si>
    <t>751112 0010</t>
  </si>
  <si>
    <t>Courier expense-G&amp;A</t>
  </si>
  <si>
    <t>751114 0000</t>
  </si>
  <si>
    <t>751116 0000</t>
  </si>
  <si>
    <t>751116 0001</t>
  </si>
  <si>
    <t>Telephone - G&amp;A Allocation</t>
  </si>
  <si>
    <t>751117 0000</t>
  </si>
  <si>
    <t>751117 0001</t>
  </si>
  <si>
    <t>Data Communications - G&amp;A Allocation</t>
  </si>
  <si>
    <t>751120 0000</t>
  </si>
  <si>
    <t>751121 0000</t>
  </si>
  <si>
    <t>751122 0000</t>
  </si>
  <si>
    <t>751123 0000</t>
  </si>
  <si>
    <t>Noncancelable lease-G&amp;A</t>
  </si>
  <si>
    <t>751124 0000</t>
  </si>
  <si>
    <t>Security - G&amp;A</t>
  </si>
  <si>
    <t>751125 0000</t>
  </si>
  <si>
    <t>Corp-Corporate Insurance</t>
  </si>
  <si>
    <t>751126 0000</t>
  </si>
  <si>
    <t>751128 0000</t>
  </si>
  <si>
    <t>751128 0013</t>
  </si>
  <si>
    <t>Corp-Promotional Advertising</t>
  </si>
  <si>
    <t>751130 0000</t>
  </si>
  <si>
    <t>751134 0000</t>
  </si>
  <si>
    <t>751136 0000</t>
  </si>
  <si>
    <t>Drug Testing</t>
  </si>
  <si>
    <t>751138 0000</t>
  </si>
  <si>
    <t>751138 0010</t>
  </si>
  <si>
    <t>Tuition &amp; Education</t>
  </si>
  <si>
    <t>751140 0000</t>
  </si>
  <si>
    <t>751140 0001</t>
  </si>
  <si>
    <t>CC Fees</t>
  </si>
  <si>
    <t>751144 0000</t>
  </si>
  <si>
    <t>751146 0000</t>
  </si>
  <si>
    <t>Accounting/Audit Fees</t>
  </si>
  <si>
    <t>751148 0000</t>
  </si>
  <si>
    <t>Tax Consulting Fees</t>
  </si>
  <si>
    <t>751152 0000</t>
  </si>
  <si>
    <t>751153 0000</t>
  </si>
  <si>
    <t>751156 0000</t>
  </si>
  <si>
    <t>751158 0000</t>
  </si>
  <si>
    <t>751159 0000</t>
  </si>
  <si>
    <t>Contra Prof &amp; Legal Fees</t>
  </si>
  <si>
    <t>751160 0000</t>
  </si>
  <si>
    <t>Licenses &amp; Fees-G&amp;A</t>
  </si>
  <si>
    <t>751161 0000</t>
  </si>
  <si>
    <t>AW Taxes</t>
  </si>
  <si>
    <t>751162 0000</t>
  </si>
  <si>
    <t>Property Taxes - G&amp;A</t>
  </si>
  <si>
    <t>751164 0000</t>
  </si>
  <si>
    <t>751165 0000</t>
  </si>
  <si>
    <t>Software as a Service (SaaS)</t>
  </si>
  <si>
    <t>751166 0000</t>
  </si>
  <si>
    <t>751168 0000</t>
  </si>
  <si>
    <t>751172 0000</t>
  </si>
  <si>
    <t>751174 0000</t>
  </si>
  <si>
    <t>Market Development Reserve</t>
  </si>
  <si>
    <t>751194 0000</t>
  </si>
  <si>
    <t>751194 0001</t>
  </si>
  <si>
    <t>Lawson Discounts</t>
  </si>
  <si>
    <t>751194 0002</t>
  </si>
  <si>
    <t>Epro-Dynamic Discounts</t>
  </si>
  <si>
    <t>751195 0000</t>
  </si>
  <si>
    <t>753010 0000</t>
  </si>
  <si>
    <t>Corp-Aviation-3rd Party</t>
  </si>
  <si>
    <t>753020 0000</t>
  </si>
  <si>
    <t>Corp-Aircraft Operating Costs</t>
  </si>
  <si>
    <t>753022 0000</t>
  </si>
  <si>
    <t>Corp-Aircraft Parts</t>
  </si>
  <si>
    <t>753026 0000</t>
  </si>
  <si>
    <t>Corp-Aircraft Mtce Servce Plan</t>
  </si>
  <si>
    <t>753028 0000</t>
  </si>
  <si>
    <t>Corp-Aircraft Mtce Other</t>
  </si>
  <si>
    <t>753032 0000</t>
  </si>
  <si>
    <t>Corp-Aircraft Costs Misc</t>
  </si>
  <si>
    <t>753034 0000</t>
  </si>
  <si>
    <t>Corp-Flight Plan/Training</t>
  </si>
  <si>
    <t>755000 0000</t>
  </si>
  <si>
    <t>Budget Adj since Calcuation</t>
  </si>
  <si>
    <t>Staff Adjustments to Corporate Overhead</t>
  </si>
  <si>
    <t>Disallowed amounts"</t>
  </si>
  <si>
    <t>Adjusted-out amt: relocation normalized</t>
  </si>
  <si>
    <t>*Staff Calculaiton from prior rate case to determine allowable amount of relocation (66% is to be removed from allowable expenses)</t>
  </si>
  <si>
    <t xml:space="preserve">Payroll Tax Adjusted Out (see analysis below) </t>
  </si>
  <si>
    <t xml:space="preserve">Payroll tax adjustment calcualation: </t>
  </si>
  <si>
    <t xml:space="preserve">Total compensation </t>
  </si>
  <si>
    <t>Payroll Taxes as a % of compensation</t>
  </si>
  <si>
    <t>Compensation adjusted out</t>
  </si>
  <si>
    <t>Payroll Tax Adjusted Out</t>
  </si>
  <si>
    <t>Staff Updated  Percentages from 2014 A53 Division Expense Acct 755995</t>
  </si>
  <si>
    <t>Analysis</t>
  </si>
  <si>
    <t>marketing staff acct 710020, didn't show up in the last rate case. Disallowing</t>
  </si>
  <si>
    <t>Also disallowing Dues and subscriptions (751114), see note below.</t>
  </si>
  <si>
    <t>The OH percentages are from the new calculation that was sent and attached on the following tabs</t>
  </si>
  <si>
    <t>Disallow (751172) WRRA and contributions to send an athlete to the olympics.</t>
  </si>
  <si>
    <t>Combined LG</t>
  </si>
  <si>
    <t>Total Check</t>
  </si>
  <si>
    <t>Matches</t>
  </si>
  <si>
    <t/>
  </si>
  <si>
    <t xml:space="preserve">Rabanco </t>
  </si>
  <si>
    <t>Straight-Line Depreciation Schedule</t>
  </si>
  <si>
    <t>First Year</t>
  </si>
  <si>
    <t>Second Year</t>
  </si>
  <si>
    <t>Mo</t>
  </si>
  <si>
    <t>Yr</t>
  </si>
  <si>
    <t>Asset Description</t>
  </si>
  <si>
    <t>Date in Service</t>
  </si>
  <si>
    <t>Original Asset Cost</t>
  </si>
  <si>
    <t>Salvage Value</t>
  </si>
  <si>
    <t>Service Life</t>
  </si>
  <si>
    <t>Fully Depreciated</t>
  </si>
  <si>
    <t>Asset Disposal</t>
  </si>
  <si>
    <t>Depreciable Cost</t>
  </si>
  <si>
    <t>Test Year Depreciation</t>
  </si>
  <si>
    <t>Accumulated Depreciation</t>
  </si>
  <si>
    <t>Average Investment</t>
  </si>
  <si>
    <t>Disposal Year Depreciation</t>
  </si>
  <si>
    <t>Total Year Depreciation</t>
  </si>
  <si>
    <t xml:space="preserve"> Department Allocation</t>
  </si>
  <si>
    <t>Total Allocated Year Depreciation</t>
  </si>
  <si>
    <t>Branch Allocation</t>
  </si>
  <si>
    <t>Allocated Accumulated Depreciation</t>
  </si>
  <si>
    <t>Purchase Date</t>
  </si>
  <si>
    <t>End of Test Period</t>
  </si>
  <si>
    <t>Date Fully Depreciated</t>
  </si>
  <si>
    <t>Beging of Test Period</t>
  </si>
  <si>
    <t>Disposition Date</t>
  </si>
  <si>
    <t>Operation</t>
  </si>
  <si>
    <t>Asset #</t>
  </si>
  <si>
    <t>List</t>
  </si>
  <si>
    <t>$</t>
  </si>
  <si>
    <t>Yrs</t>
  </si>
  <si>
    <t xml:space="preserve"> Mo.</t>
  </si>
  <si>
    <t xml:space="preserve">  Yr.</t>
  </si>
  <si>
    <t>Yearly</t>
  </si>
  <si>
    <t>Beginning</t>
  </si>
  <si>
    <t>Ending</t>
  </si>
  <si>
    <t>A</t>
  </si>
  <si>
    <t>B</t>
  </si>
  <si>
    <t>Shop Equipment</t>
  </si>
  <si>
    <t>Air Compressor</t>
  </si>
  <si>
    <t>CNG Shop Renovations - 2010</t>
  </si>
  <si>
    <t>Cooltech R134A Recov Freight</t>
  </si>
  <si>
    <t>Cooltech R134A Recov/Recy Mach</t>
  </si>
  <si>
    <t>PRESSURE WASHER</t>
  </si>
  <si>
    <t>RANGER 9 WELDER W/CABLE, TERMI</t>
  </si>
  <si>
    <t>OIL FILTER CRUSHER</t>
  </si>
  <si>
    <t>Proforma Total</t>
  </si>
  <si>
    <t>Staff Adjustment</t>
  </si>
  <si>
    <t>Vehicles</t>
  </si>
  <si>
    <t>2007 ISUZU NQR (used)</t>
  </si>
  <si>
    <t>2014 ISUZU NPR-HD GAS</t>
  </si>
  <si>
    <t>2010 AUTOCAR ACX64</t>
  </si>
  <si>
    <t>2011 Autocar ACX64 - CNG</t>
  </si>
  <si>
    <t>2004 AUTOCAR WXLL64 W/WITTKE 4</t>
  </si>
  <si>
    <t>2004 AUTOCAR WXLL42 W/WITTKE 4</t>
  </si>
  <si>
    <t>2006 AUTOCAR WX64 /LEACH</t>
  </si>
  <si>
    <t>2006 AUTOCAR WX64/LEACH</t>
  </si>
  <si>
    <t>2006 AUTOCAR WX64 FL</t>
  </si>
  <si>
    <t>2008 AUTOCAR WXLL64 W/MCNEILUS</t>
  </si>
  <si>
    <t>2009 FORD F550 4X2</t>
  </si>
  <si>
    <t>2010 FORD F150 PICKUP</t>
  </si>
  <si>
    <t>2010 FORD F150</t>
  </si>
  <si>
    <t>Shop Truck CNG Component Adds</t>
  </si>
  <si>
    <t>2011 FORD F150 SUP. PICK UP</t>
  </si>
  <si>
    <t>2008 FORD F150 - WHITE</t>
  </si>
  <si>
    <t>2010 AUTOCAR ACL64</t>
  </si>
  <si>
    <t>2010 AUTOCAR ACX42</t>
  </si>
  <si>
    <t>2010 AUTOCAR AXC42</t>
  </si>
  <si>
    <t>2005 MACK LE613 REL</t>
  </si>
  <si>
    <t>2004 MACK LE613 REL</t>
  </si>
  <si>
    <t>2009 MACK LEU613 RL W/MCNEILUS</t>
  </si>
  <si>
    <t>SALES TAX FOR VIN #M002337</t>
  </si>
  <si>
    <t>SALES TAX - TRUCK 3408</t>
  </si>
  <si>
    <t>2012 Autocar ACX64-CNG RolLOff</t>
  </si>
  <si>
    <t>2012 Autocar ACX64-CNG RollOff</t>
  </si>
  <si>
    <t>2013 Autocar ACX64-CNG Rolloff</t>
  </si>
  <si>
    <t>2013 RO Autocar ACX</t>
  </si>
  <si>
    <t>2009 MACK MRU613 RO W/GEC</t>
  </si>
  <si>
    <t>2011 Ford F750 - Fork Truck</t>
  </si>
  <si>
    <t>2011 INTERNATIONAL RESI SL</t>
  </si>
  <si>
    <t>2007 INTERNATIONAL 4300 SL</t>
  </si>
  <si>
    <t>2009 MACK LEU613 SL W/MCNEILUS</t>
  </si>
  <si>
    <t>SALES TAX FOR VIN #M002325</t>
  </si>
  <si>
    <t>2010 AUTOCAR ACX64-2444</t>
  </si>
  <si>
    <t>2010 AUTOCAR ACX64-2428</t>
  </si>
  <si>
    <t>2010 AUTOCAR ACX64-2445</t>
  </si>
  <si>
    <t>2010 AUTOCAR ACX64-2429</t>
  </si>
  <si>
    <t>2005 AUTOCAR WX64 SL</t>
  </si>
  <si>
    <t>2006 MACK LE613 SL</t>
  </si>
  <si>
    <t>SALES TAXES</t>
  </si>
  <si>
    <t>2006 AUTOCAR WXR64 SL</t>
  </si>
  <si>
    <t>ADDT'L COST FOR #2421</t>
  </si>
  <si>
    <t>Fleetlink Virtual OBC</t>
  </si>
  <si>
    <t>(9) ICOM 50W VHF MOBILE RADIOS</t>
  </si>
  <si>
    <t>RADIO ANTENNA</t>
  </si>
  <si>
    <t xml:space="preserve">Containers/Compactors </t>
  </si>
  <si>
    <t>Per Average Investment Model</t>
  </si>
  <si>
    <t>Test Year Depr.</t>
  </si>
  <si>
    <t>Source of data: company file "Container Maintenance Adjustment-Excel"</t>
  </si>
  <si>
    <t>Cont/Comp Maintenance</t>
  </si>
  <si>
    <t>May 1 Thru April 30</t>
  </si>
  <si>
    <t xml:space="preserve">Source of Staff calculations: file "STAFF Container Maintenance Adjustment" </t>
  </si>
  <si>
    <t>Apr YTD</t>
  </si>
  <si>
    <t>FY   Fiscal 2010</t>
  </si>
  <si>
    <t>2010/11 Test Year</t>
  </si>
  <si>
    <t>FY   Fiscal 2011</t>
  </si>
  <si>
    <t>2011/12 Test Year</t>
  </si>
  <si>
    <t>FY   Fiscal 2012</t>
  </si>
  <si>
    <t>2012/13 Test Year</t>
  </si>
  <si>
    <t>Average of Past 3 equivelent test periods</t>
  </si>
  <si>
    <t>difference between average and current rate case test period</t>
  </si>
  <si>
    <t>2013/14 Test Year</t>
  </si>
  <si>
    <t>2014/15 Test Year</t>
  </si>
  <si>
    <t>Average of 5 equivelent test periods</t>
  </si>
  <si>
    <t>Average 4 months of Container Maintenance Expense</t>
  </si>
  <si>
    <t>Average of 4 equivelent test periods (excluding light year)</t>
  </si>
  <si>
    <t>Per email from Connor Vander Zalm, 1/29/15:</t>
  </si>
  <si>
    <t xml:space="preserve">The reduction in O/S repair expense is because we used to have our container shop in Seattle and we didn’t </t>
  </si>
  <si>
    <t xml:space="preserve">do repairs on site (at Eastside Disposal). Since the last rate case we have moved almost all of our container </t>
  </si>
  <si>
    <t>repairs on site for some cost savings. As for the general reduction, our test period was just a light year.</t>
  </si>
  <si>
    <t xml:space="preserve">Staff will adjust using three years' data, the time period since the last general rate case.  </t>
  </si>
  <si>
    <t>AW 2/9/15</t>
  </si>
  <si>
    <t xml:space="preserve">includes 4 months' estimated expenses </t>
  </si>
  <si>
    <t>Average these yrs</t>
  </si>
  <si>
    <t xml:space="preserve">Accounts </t>
  </si>
  <si>
    <t>Less: Test Year Actual</t>
  </si>
  <si>
    <t>Adjust Parts/Mat</t>
  </si>
  <si>
    <t xml:space="preserve">Adjust Labor </t>
  </si>
  <si>
    <t xml:space="preserve">check digit </t>
  </si>
  <si>
    <t xml:space="preserve">Staff Adjustment </t>
  </si>
  <si>
    <t xml:space="preserve">Pro forma adjustment to container material </t>
  </si>
  <si>
    <t xml:space="preserve">and container repair labor </t>
  </si>
  <si>
    <t>Parts/Mat</t>
  </si>
  <si>
    <t xml:space="preserve">Labor </t>
  </si>
  <si>
    <t xml:space="preserve">Estimated </t>
  </si>
  <si>
    <t>actual expenses, 56 months</t>
  </si>
  <si>
    <t>The two items marked in blue tie to the</t>
  </si>
  <si>
    <t xml:space="preserve">4 months estimated </t>
  </si>
  <si>
    <t xml:space="preserve">4 month estimated cost </t>
  </si>
  <si>
    <t>Calculation of Average Monthly Cost and 4 month's cost</t>
  </si>
  <si>
    <t xml:space="preserve">ESSBASE DATA </t>
  </si>
  <si>
    <t>(Company Accounting System data).</t>
  </si>
  <si>
    <t xml:space="preserve"> -   </t>
  </si>
  <si>
    <t>Cont/Comp Lids</t>
  </si>
  <si>
    <t>Cont/Comp Paint</t>
  </si>
  <si>
    <t>Cont/Comp Steel</t>
  </si>
  <si>
    <t>Cont/Comp Tires/Casters/Wheels</t>
  </si>
  <si>
    <t>545041 Billed C&amp;C Repairs</t>
  </si>
  <si>
    <t>Cont/Comp Equip Rental</t>
  </si>
  <si>
    <t>Cont/Comp Warranty Recovery</t>
  </si>
  <si>
    <t>Cont/Comp Main Contra</t>
  </si>
  <si>
    <t>C/C Damage Acc/A&amp;M Contra</t>
  </si>
  <si>
    <t>C/C Damage Abuse&amp;Misuse</t>
  </si>
  <si>
    <t>545993 AW CShop Wage Regular</t>
  </si>
  <si>
    <t>545997 CShop Labor  Alloc-In</t>
  </si>
  <si>
    <t>545998 Cont/Comp Expense Alloc-In</t>
  </si>
  <si>
    <t>OPERATING INCOME</t>
  </si>
  <si>
    <t xml:space="preserve">Parts, Materials, Supplies </t>
  </si>
  <si>
    <t>See tab Container Maint for staff analysis.  AW  2/9/15</t>
  </si>
  <si>
    <t xml:space="preserve">See tab Container Maint for analysis </t>
  </si>
  <si>
    <t>The last 6 months the company has had a large shift from Diesel use to CNG use. See Staff Fuel tabs. SS</t>
  </si>
  <si>
    <t>Disallow all these are Chamber of Commerce Dues WRRA is booked under 751114. SS</t>
  </si>
  <si>
    <t>Allow only $19124.04 this is the allowable portion of WRRA. SS</t>
  </si>
  <si>
    <t>See MgtFee Staff for detail. SS</t>
  </si>
  <si>
    <t>See Staff Payroll model. SS</t>
  </si>
  <si>
    <t>Modified by Greg Hammond</t>
  </si>
  <si>
    <t>Greg Hammond</t>
  </si>
  <si>
    <t>Looks ok. SS</t>
  </si>
  <si>
    <t>Verified invoices, costs for flying out of area drivers to cover a short strike were included, but not material for this case. Future cases it may be material.</t>
  </si>
  <si>
    <t>Janitor Service Contract. SS</t>
  </si>
  <si>
    <t>Dissallow all. See combined GL tab for detail. SS</t>
  </si>
  <si>
    <t>Greg/Scott</t>
  </si>
  <si>
    <t xml:space="preserve">Adjusted off in its entirety. Drop review </t>
  </si>
  <si>
    <t xml:space="preserve">Sales costs prorated between sales and customer service; allow amounts calculated by company. </t>
  </si>
  <si>
    <t xml:space="preserve">Credited against expenses--okay--pass further review </t>
  </si>
  <si>
    <t xml:space="preserve">Not material, pass further review </t>
  </si>
  <si>
    <t>See Payroll Model Tab Recon PF Adj Staff</t>
  </si>
  <si>
    <t>see Staff Depreciation Tab</t>
  </si>
  <si>
    <t>FACILITY PAVING</t>
  </si>
  <si>
    <t>CNG - Leasehold Improvements</t>
  </si>
  <si>
    <t>CNG Shop Renovations-2011</t>
  </si>
  <si>
    <t>CNG Facility Paving-2011</t>
  </si>
  <si>
    <t>Leashold Improvements (Buildings and Improvements)</t>
  </si>
  <si>
    <t>Land Improvements (Buildings and Improvements)</t>
  </si>
  <si>
    <t>FENCE - EASTSIDE YARD</t>
  </si>
  <si>
    <t>BLVU FACILITY PARKING LOT PAVE</t>
  </si>
  <si>
    <t>EASTSIDE PARKING LOT</t>
  </si>
  <si>
    <t>Total Buildings and Improvements</t>
  </si>
  <si>
    <t>STAFF PROFORMA</t>
  </si>
  <si>
    <t>STAFF ADJ</t>
  </si>
  <si>
    <t>Per Proforma (Account 600040)</t>
  </si>
  <si>
    <t>Per Proforma (Account 600010)</t>
  </si>
  <si>
    <t>Total Vehicles</t>
  </si>
  <si>
    <t>Per Proforma (600070)</t>
  </si>
  <si>
    <t>Rolloff Trucks</t>
  </si>
  <si>
    <t>Service Trucks-Container Shop</t>
  </si>
  <si>
    <t>Service Trucks</t>
  </si>
  <si>
    <t>Service Truck</t>
  </si>
  <si>
    <t>Residential Trucks</t>
  </si>
  <si>
    <t>Total Residential Trucks</t>
  </si>
  <si>
    <t>Total Rolf-off Trucks</t>
  </si>
  <si>
    <t>Total Service Vehicles</t>
  </si>
  <si>
    <t>Buildings and Improvements</t>
  </si>
  <si>
    <t>Heavy Machinery and Equipment</t>
  </si>
  <si>
    <t>1990 NISSAN FORKLIFT WGF 03-92</t>
  </si>
  <si>
    <t>CNG Filling Station - 2010</t>
  </si>
  <si>
    <t>CNG Filling Station-2011</t>
  </si>
  <si>
    <t>LP-40K LOW PROFILE TRUCK SCALE</t>
  </si>
  <si>
    <t>ADDITIONAL COST-SALES TAX</t>
  </si>
  <si>
    <t>Per Proforma (Account 600030)</t>
  </si>
  <si>
    <t>Heavy Machinery</t>
  </si>
  <si>
    <t>Computer Equipment</t>
  </si>
  <si>
    <t>Printer Centralization Hdw</t>
  </si>
  <si>
    <t>Other Computer Hardware</t>
  </si>
  <si>
    <t>Per Proforma (Account 600090)</t>
  </si>
  <si>
    <t>Per Proforma (Account 600020)</t>
  </si>
  <si>
    <t xml:space="preserve">HENS </t>
  </si>
  <si>
    <t>Per Proforma (Account 600200)</t>
  </si>
  <si>
    <t>Immaterial - using proforma total</t>
  </si>
  <si>
    <t>Total Test Year Depreciation</t>
  </si>
  <si>
    <t>Total Per Proforma</t>
  </si>
  <si>
    <t>Total Staff Adjustments</t>
  </si>
  <si>
    <t>Total Average Investment</t>
  </si>
  <si>
    <t>Eastside Disposal / Republic Services of Bellevue</t>
  </si>
  <si>
    <t>Depreciation and Net Investment Summary</t>
  </si>
  <si>
    <t>Non-reg</t>
  </si>
  <si>
    <t xml:space="preserve">Average </t>
  </si>
  <si>
    <t>Percent</t>
  </si>
  <si>
    <t>Investment</t>
  </si>
  <si>
    <t>Roll-off Trucks</t>
  </si>
  <si>
    <t>Residential Recycling Trucks</t>
  </si>
  <si>
    <t>Yard waste Trucks</t>
  </si>
  <si>
    <t>Multi-family/Commercial Trucks</t>
  </si>
  <si>
    <t>Service Vehicles</t>
  </si>
  <si>
    <t>Total Truck &amp; Service Vehicle</t>
  </si>
  <si>
    <t>Weighted Average Truck Hours</t>
  </si>
  <si>
    <t>Bins</t>
  </si>
  <si>
    <t>Total Container, Roll-off Boxes, Carts and Bins</t>
  </si>
  <si>
    <t>Office, Shop, &amp; Equipment</t>
  </si>
  <si>
    <t>Land and Improvements</t>
  </si>
  <si>
    <t>Total Office, Shop, Equip, Improvements</t>
  </si>
  <si>
    <t>Staff Allocations</t>
  </si>
  <si>
    <t>Vehicle Allocation</t>
  </si>
  <si>
    <t>Total Depreciation</t>
  </si>
  <si>
    <t>Allocation Method</t>
  </si>
  <si>
    <t>Allocation %</t>
  </si>
  <si>
    <t>Regulated Depreciation</t>
  </si>
  <si>
    <t>Regulated Average Investment</t>
  </si>
  <si>
    <t>MF Rec</t>
  </si>
  <si>
    <t>Containers/Compactors (Not adjusted from AIM model)</t>
  </si>
  <si>
    <t>Heavy Mach. And Equip.</t>
  </si>
  <si>
    <t>HENS</t>
  </si>
  <si>
    <t>Of Regulated Containers, the percent to each program:</t>
  </si>
  <si>
    <t>Container (container counts per lob)</t>
  </si>
  <si>
    <t>Roll-Off containers</t>
  </si>
  <si>
    <t>Per Book</t>
  </si>
  <si>
    <t>Per AIM</t>
  </si>
  <si>
    <t>Carts (container counts per lob)</t>
  </si>
  <si>
    <t>Depreciation - Vehicles</t>
  </si>
  <si>
    <t>Bins (container counts per lob)</t>
  </si>
  <si>
    <t>Depreciation - Containers/Compactors</t>
  </si>
  <si>
    <t>Depreciation - Heavy Machinery &amp; Equipment</t>
  </si>
  <si>
    <t>Of Regulated programs, the percent to each program based on route hours:</t>
  </si>
  <si>
    <t>Depreciation - Shop Equipment</t>
  </si>
  <si>
    <t>Depreciation - Building &amp; Improvements</t>
  </si>
  <si>
    <t>Depreciation - Furniture &amp; Fixtures</t>
  </si>
  <si>
    <t>Depreciation - Computer Equipment</t>
  </si>
  <si>
    <t>Depreciation - AW HENS</t>
  </si>
  <si>
    <t>*See PDF entitled 'Building &amp; Improvement zero balance email'</t>
  </si>
  <si>
    <t>the capitalized costs for the parking lot paving and CNG infrastructure was fully depreciated by Dec 2013</t>
  </si>
  <si>
    <t>Of Regulated Trucks, the depreciation to each program:</t>
  </si>
  <si>
    <t>Trucks</t>
  </si>
  <si>
    <t>Building</t>
  </si>
  <si>
    <t>Net Average Investment</t>
  </si>
  <si>
    <t>Of Regulated Trucks,  to each program:</t>
  </si>
  <si>
    <t>Building LH</t>
  </si>
  <si>
    <t>ADJ</t>
  </si>
  <si>
    <t>Eastside Rabanco L&amp;I</t>
  </si>
  <si>
    <t>estimated</t>
  </si>
  <si>
    <t>Payments</t>
  </si>
  <si>
    <t>Quarter</t>
  </si>
  <si>
    <t>Year</t>
  </si>
  <si>
    <t>Div</t>
  </si>
  <si>
    <t>Premium</t>
  </si>
  <si>
    <t>Company Total</t>
  </si>
  <si>
    <t xml:space="preserve">Standard Premium Paid </t>
  </si>
  <si>
    <t>Final Incurred Losses</t>
  </si>
  <si>
    <t>Loss Ratio</t>
  </si>
  <si>
    <t>Projected Retrospective Premium</t>
  </si>
  <si>
    <t>Retro</t>
  </si>
  <si>
    <t>Allocated to 4172</t>
  </si>
  <si>
    <t>Q4</t>
  </si>
  <si>
    <t>As of 12/23/14. From L&amp;I Quarterly loss ratio report.</t>
  </si>
  <si>
    <t>Q1</t>
  </si>
  <si>
    <t>Q2</t>
  </si>
  <si>
    <t>Q3</t>
  </si>
  <si>
    <t>Year sub total</t>
  </si>
  <si>
    <t>Check  4/30/12</t>
  </si>
  <si>
    <t>These checks are the retro payments for adjustment in the prior year (remember you can adjust each year for 3 years)</t>
  </si>
  <si>
    <t>Check 4/29/13</t>
  </si>
  <si>
    <t>This information provided in DR 1-3 and DR 10 L&amp;I invoices and work sheets</t>
  </si>
  <si>
    <t>5 year average adjustment</t>
  </si>
  <si>
    <t>See Staff Retro Adjustment</t>
  </si>
  <si>
    <t xml:space="preserve">4 year average </t>
  </si>
  <si>
    <t>3 year average</t>
  </si>
  <si>
    <t xml:space="preserve">calculated in similar manner to last rate case, pass further review </t>
  </si>
  <si>
    <t>Company</t>
  </si>
  <si>
    <t xml:space="preserve">Rate </t>
  </si>
  <si>
    <t xml:space="preserve">AS FILED: </t>
  </si>
  <si>
    <t xml:space="preserve">STAFF REVISED </t>
  </si>
  <si>
    <t xml:space="preserve">DIFFERENCE </t>
  </si>
  <si>
    <t xml:space="preserve">Company </t>
  </si>
  <si>
    <t>disallowed in previous cases</t>
  </si>
  <si>
    <t>Disalowed this case.</t>
  </si>
  <si>
    <t>Using the last 6 months</t>
  </si>
  <si>
    <t>Using the last 12 months</t>
  </si>
  <si>
    <t>Notes:</t>
  </si>
  <si>
    <t>Staff used last 12 months of fuel data (fuel included Diesel, CNG, Gasoline) Jan. 14 thru Dec. 14. Staff looked at the possability of using the last 6 months of CNG since there has be quite the uptick in usage per month over the shorter period.</t>
  </si>
  <si>
    <t>Like CNG Staf used Jan 14 thru Dec 14 for Diesel and gasoline costs. Staff noticed Diesel use drop in the last 6 months while CNG usage increased.</t>
  </si>
  <si>
    <t>Last 6 Months</t>
  </si>
  <si>
    <t>DR for explanation of Legal cases pertaining to regulated activities; normalize across the two rate cases as agreed to by Connor 3/3/15</t>
  </si>
  <si>
    <t xml:space="preserve">Legal Expense Adjustment Calculation </t>
  </si>
  <si>
    <t>TG-144083</t>
  </si>
  <si>
    <t>AW 3/3/15</t>
  </si>
  <si>
    <t xml:space="preserve">Adjustment made to normalize expense across the two periods. </t>
  </si>
  <si>
    <r>
      <t>D</t>
    </r>
    <r>
      <rPr>
        <b/>
        <sz val="8"/>
        <rFont val="Arial"/>
        <family val="2"/>
      </rPr>
      <t xml:space="preserve"> from L-G Proposed</t>
    </r>
  </si>
  <si>
    <t>AS FILED BY THE COMPANY</t>
  </si>
  <si>
    <t>from Resi Price Out Staff G5</t>
  </si>
  <si>
    <t>L-G proposed</t>
  </si>
  <si>
    <t>ALPHA-DATE</t>
  </si>
  <si>
    <t>Accounting Unit</t>
  </si>
  <si>
    <t>Description</t>
  </si>
  <si>
    <t>Variable Levels</t>
  </si>
  <si>
    <t>ACCOUNT-2</t>
  </si>
  <si>
    <t>SUB-ACCOUNT-2</t>
  </si>
  <si>
    <t>ACCOUNT-DESC-2</t>
  </si>
  <si>
    <t>END-TOTAL-DESC</t>
  </si>
  <si>
    <t>BEG-AMOUNT</t>
  </si>
  <si>
    <t>Date2</t>
  </si>
  <si>
    <t>Transaction Detail</t>
  </si>
  <si>
    <t>GLT-DEBIT-AMT</t>
  </si>
  <si>
    <t>GLT-CREDIT-AMT</t>
  </si>
  <si>
    <t>RUNNING-BAL</t>
  </si>
  <si>
    <t>ACCOUNT-4</t>
  </si>
  <si>
    <t>SUB-ACCOUNT-4</t>
  </si>
  <si>
    <t>ACCOUNT-DESC-3</t>
  </si>
  <si>
    <t>END-TOTAL-DESC-3</t>
  </si>
  <si>
    <t>END-AMOUNT</t>
  </si>
  <si>
    <t>Accounting Unit-3</t>
  </si>
  <si>
    <t>Description-3</t>
  </si>
  <si>
    <t>END-TOTAL-DESC-6</t>
  </si>
  <si>
    <t>GLN-END-AMOUNT-2</t>
  </si>
  <si>
    <t>Facility #1</t>
  </si>
  <si>
    <t>0076-0760-0760</t>
  </si>
  <si>
    <t>Begin Balance</t>
  </si>
  <si>
    <t>APADI21490126No205415EVERETTPRO7581930</t>
  </si>
  <si>
    <t>GLJEI00000007NoAllocateFacilityReJEMSDC0506</t>
  </si>
  <si>
    <t>APADI21490126No588810WRSRI120T7581935</t>
  </si>
  <si>
    <t>APADI21490186No205415EVERETTPRO7735034</t>
  </si>
  <si>
    <t>APADI21490307No205415EVERETTPRO7790310</t>
  </si>
  <si>
    <t>Balance Fwd</t>
  </si>
  <si>
    <t>GLJEI00000006NoAllocateFacilityReJEMSDC0606</t>
  </si>
  <si>
    <t>APADI21490186No588810WRSRI120T7735038</t>
  </si>
  <si>
    <t>APADI21490307No588810WRSRI120T7790312</t>
  </si>
  <si>
    <t>GLJEI00000048NoEverettPropertiesJERCDC0603</t>
  </si>
  <si>
    <t>GLJEI00000048NoWRSRI120thLLCJERCDC0603</t>
  </si>
  <si>
    <t>APADI21490007No205415EVERETTPRO7735034</t>
  </si>
  <si>
    <t>APADI21490007No588810WRSRI120T7735038</t>
  </si>
  <si>
    <t>APADI21490219No205415EVERETTPRO7864642</t>
  </si>
  <si>
    <t>GLJEI00000001NoEverettPropertiesJERCDC0703</t>
  </si>
  <si>
    <t>GLJEI00000009NoAllocateFacilityReJEMSDC0706</t>
  </si>
  <si>
    <t>GLJEI00000001NoWRSRI120thLLCJERCDC0703</t>
  </si>
  <si>
    <t>GLJEI00000012NoWR-SRI120thLLCRenJERCDC0709</t>
  </si>
  <si>
    <t>GLJEI00000014NoCADMANINCRentJERCDC0709</t>
  </si>
  <si>
    <t>APADI21490208No205415EVERETTPRO7991804</t>
  </si>
  <si>
    <t>APADI21490208No388530CADMANINC7991808</t>
  </si>
  <si>
    <t>GLJEI00000008NoAllocateFacilityReJEMSDC0806</t>
  </si>
  <si>
    <t>APADI21490104No205415EVERETTPRO8086748</t>
  </si>
  <si>
    <t>APADI21490104No388530CADMANINC8086752</t>
  </si>
  <si>
    <t>GLJEI00000007NoAllocateFacilityReJEMSDC0906</t>
  </si>
  <si>
    <t>APADI21490084No205415EVERETTPRO8186611</t>
  </si>
  <si>
    <t>APADI21490084No388530CADMANINC8186617</t>
  </si>
  <si>
    <t>GLJEI00000015NoAllocateFacilityReJEMSDC1006</t>
  </si>
  <si>
    <t>APADI21490039No205415EVERETTPRO8318783</t>
  </si>
  <si>
    <t>APADI21490039No388530CADMANINC8318792</t>
  </si>
  <si>
    <t>GLJEI00000003NoAllocateFacilityReJEMSDC1106</t>
  </si>
  <si>
    <t>APADI21490103No388530CADMANINC8451545</t>
  </si>
  <si>
    <t>APADI21490240No205415EVERETTPRO8509958</t>
  </si>
  <si>
    <t>GLJEI00000003NoAllocateFacilityReJEMSDC1206</t>
  </si>
  <si>
    <t>APADI21490143No205415EVERETTPRO8585669</t>
  </si>
  <si>
    <t>APADI21490143No388530CADMANINC8585671</t>
  </si>
  <si>
    <t>GLJEI00000003NoAllocateFacilityReJEMSDC0106</t>
  </si>
  <si>
    <t>APADI21490050No205415EVERETTPRO8697217</t>
  </si>
  <si>
    <t>APADI21490050No388530CADMANINC8697219</t>
  </si>
  <si>
    <t>GLJEI00000003NoAllocateFacilityReJEMSDC0206</t>
  </si>
  <si>
    <t>APADI21490102No205415EVERETTPRO8831750</t>
  </si>
  <si>
    <t>APADI21490102No388530CADMANINC8831747</t>
  </si>
  <si>
    <t>GLJEI00000005NoAllocateFacilityReJEMSDC0306</t>
  </si>
  <si>
    <t>APADI21490055No205415EVERETTPRO8939665</t>
  </si>
  <si>
    <t>APADI21490055No388530CADMANINC8939667</t>
  </si>
  <si>
    <t>GLJEI00000004NoAllocateFacilityReJEMSDC0406</t>
  </si>
  <si>
    <t>End Balance</t>
  </si>
  <si>
    <t>GL matches Proforma</t>
  </si>
  <si>
    <t>Charges appear reasonable after review of leases provided - See proforma adjustment calculation below</t>
  </si>
  <si>
    <t>Calculation for Proforma Adjustment</t>
  </si>
  <si>
    <t>Connors Calculation</t>
  </si>
  <si>
    <t>Staff Calculations</t>
  </si>
  <si>
    <t>Test Period Total (Ties to GL)</t>
  </si>
  <si>
    <t>Proforma Period Total</t>
  </si>
  <si>
    <t>Connor's Adjustment</t>
  </si>
  <si>
    <t>Difference (Staff Adjustment)</t>
  </si>
  <si>
    <t>staff concurs with adjusting this cost off the proforma analysis</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</si>
</sst>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00_);\(#,##0.000\)"/>
    <numFmt numFmtId="166" formatCode="0.00000"/>
    <numFmt numFmtId="167" formatCode="_(* #,##0_);_(* \(#,##0\);_(* &quot;-&quot;??_);_(@_)"/>
    <numFmt numFmtId="168" formatCode="0.0"/>
    <numFmt numFmtId="169" formatCode="#,##0.0_);\(#,##0.0\)"/>
    <numFmt numFmtId="170" formatCode="_(* #,##0.0_);_(* \(#,##0.0\);_(* &quot;-&quot;??_);_(@_)"/>
    <numFmt numFmtId="171" formatCode="#,##0.0000_);[Red]\(#,##0.0000\)"/>
    <numFmt numFmtId="172" formatCode="#,##0.0000_);\(#,##0.0000\)"/>
    <numFmt numFmtId="173" formatCode="0_)"/>
    <numFmt numFmtId="174" formatCode="&quot;$&quot;#,##0.000_);\(&quot;$&quot;#,##0.000\)"/>
    <numFmt numFmtId="175" formatCode="_(&quot;$&quot;* #,##0_);_(&quot;$&quot;* \(#,##0\);_(&quot;$&quot;* &quot;-&quot;??_);_(@_)"/>
    <numFmt numFmtId="176" formatCode="_(* #,##0.0000_);_(* \(#,##0.0000\);_(* &quot;-&quot;??_);_(@_)"/>
    <numFmt numFmtId="177" formatCode="mmmm\-yy"/>
    <numFmt numFmtId="178" formatCode="_(* #,##0.00_);_(* \(#,##0.00\);_(* &quot;-&quot;_);_(@_)"/>
    <numFmt numFmtId="179" formatCode="_-&quot;$&quot;* #,##0.00_-;\-&quot;$&quot;* #,##0.00_-;_-&quot;$&quot;* &quot;-&quot;??_-;_-@_-"/>
    <numFmt numFmtId="180" formatCode="_-* #,##0.00_-;\-* #,##0.00_-;_-* &quot;-&quot;??_-;_-@_-"/>
    <numFmt numFmtId="181" formatCode="_-* #,##0_-;\-* #,##0_-;_-* &quot;-&quot;??_-;_-@_-"/>
    <numFmt numFmtId="182" formatCode="_-&quot;$&quot;* #,##0_-;\-&quot;$&quot;* #,##0_-;_-&quot;$&quot;* &quot;-&quot;??_-;_-@_-"/>
    <numFmt numFmtId="183" formatCode="_(&quot;$&quot;* #,##0.0_);_(&quot;$&quot;* \(#,##0.0\);_(&quot;$&quot;* &quot;-&quot;??_);_(@_)"/>
    <numFmt numFmtId="184" formatCode="_(* #,##0.000_);_(* \(#,##0.000\);_(* &quot;-&quot;??_);_(@_)"/>
    <numFmt numFmtId="185" formatCode="_(* #,##0.00000_);_(* \(#,##0.00000\);_(* &quot;-&quot;??_);_(@_)"/>
    <numFmt numFmtId="186" formatCode="###.00"/>
    <numFmt numFmtId="187" formatCode="###"/>
    <numFmt numFmtId="188" formatCode="##"/>
    <numFmt numFmtId="189" formatCode="##0"/>
    <numFmt numFmtId="190" formatCode="###############################0"/>
    <numFmt numFmtId="191" formatCode="##########0"/>
    <numFmt numFmtId="192" formatCode="0.000%"/>
  </numFmts>
  <fonts count="146">
    <font>
      <sz val="8"/>
      <name val="Arial"/>
    </font>
    <font>
      <sz val="8"/>
      <name val="Arial"/>
    </font>
    <font>
      <sz val="11"/>
      <name val="SWISS"/>
    </font>
    <font>
      <b/>
      <sz val="11"/>
      <name val="SWISS"/>
    </font>
    <font>
      <sz val="10"/>
      <name val="SWISS"/>
    </font>
    <font>
      <sz val="12"/>
      <name val="SWISS"/>
    </font>
    <font>
      <sz val="10"/>
      <name val="Arial"/>
      <family val="2"/>
    </font>
    <font>
      <sz val="12"/>
      <color indexed="12"/>
      <name val="SWISS"/>
    </font>
    <font>
      <b/>
      <u/>
      <sz val="12"/>
      <name val="SWISS"/>
    </font>
    <font>
      <sz val="8"/>
      <name val="Arial"/>
      <family val="2"/>
    </font>
    <font>
      <sz val="12"/>
      <name val="Arial"/>
      <family val="2"/>
    </font>
    <font>
      <b/>
      <sz val="8"/>
      <name val="Arial"/>
      <family val="2"/>
    </font>
    <font>
      <b/>
      <u/>
      <sz val="8"/>
      <name val="Arial"/>
      <family val="2"/>
    </font>
    <font>
      <i/>
      <sz val="8"/>
      <name val="Arial"/>
      <family val="2"/>
    </font>
    <font>
      <b/>
      <sz val="14"/>
      <name val="Arial"/>
      <family val="2"/>
    </font>
    <font>
      <u/>
      <sz val="12"/>
      <name val="SWISS"/>
    </font>
    <font>
      <b/>
      <u/>
      <sz val="12"/>
      <name val="Arial"/>
      <family val="2"/>
    </font>
    <font>
      <u/>
      <sz val="12"/>
      <name val="Arial"/>
      <family val="2"/>
    </font>
    <font>
      <sz val="12"/>
      <color indexed="12"/>
      <name val="Arial"/>
      <family val="2"/>
    </font>
    <font>
      <sz val="8"/>
      <color indexed="8"/>
      <name val="Arial"/>
      <family val="2"/>
    </font>
    <font>
      <sz val="8"/>
      <color indexed="12"/>
      <name val="Arial"/>
      <family val="2"/>
    </font>
    <font>
      <b/>
      <sz val="8"/>
      <color indexed="8"/>
      <name val="Arial"/>
      <family val="2"/>
    </font>
    <font>
      <sz val="8"/>
      <color indexed="10"/>
      <name val="Arial"/>
      <family val="2"/>
    </font>
    <font>
      <b/>
      <sz val="9"/>
      <name val="Arial"/>
      <family val="2"/>
    </font>
    <font>
      <sz val="9"/>
      <name val="Arial"/>
      <family val="2"/>
    </font>
    <font>
      <sz val="9"/>
      <color indexed="12"/>
      <name val="Arial"/>
      <family val="2"/>
    </font>
    <font>
      <i/>
      <sz val="9"/>
      <name val="Arial"/>
      <family val="2"/>
    </font>
    <font>
      <b/>
      <sz val="9"/>
      <color indexed="12"/>
      <name val="Arial"/>
      <family val="2"/>
    </font>
    <font>
      <b/>
      <u/>
      <sz val="9"/>
      <name val="Arial"/>
      <family val="2"/>
    </font>
    <font>
      <sz val="9"/>
      <color indexed="10"/>
      <name val="Arial"/>
      <family val="2"/>
    </font>
    <font>
      <sz val="9"/>
      <color indexed="18"/>
      <name val="Arial"/>
      <family val="2"/>
    </font>
    <font>
      <sz val="12"/>
      <name val="Arial MT"/>
    </font>
    <font>
      <b/>
      <u/>
      <sz val="11"/>
      <name val="Arial"/>
      <family val="2"/>
    </font>
    <font>
      <b/>
      <sz val="12"/>
      <name val="Arial"/>
      <family val="2"/>
    </font>
    <font>
      <sz val="10"/>
      <name val="Arial"/>
      <family val="2"/>
    </font>
    <font>
      <sz val="10"/>
      <color indexed="12"/>
      <name val="Arial"/>
      <family val="2"/>
    </font>
    <font>
      <sz val="10"/>
      <color indexed="48"/>
      <name val="Arial"/>
      <family val="2"/>
    </font>
    <font>
      <b/>
      <sz val="8"/>
      <color indexed="9"/>
      <name val="Arial"/>
      <family val="2"/>
    </font>
    <font>
      <b/>
      <sz val="10"/>
      <name val="Arial"/>
      <family val="2"/>
    </font>
    <font>
      <b/>
      <u/>
      <sz val="10"/>
      <name val="Arial"/>
      <family val="2"/>
    </font>
    <font>
      <i/>
      <sz val="10"/>
      <name val="Arial"/>
      <family val="2"/>
    </font>
    <font>
      <b/>
      <i/>
      <sz val="9"/>
      <name val="Arial"/>
      <family val="2"/>
    </font>
    <font>
      <sz val="9"/>
      <name val="Symbol"/>
      <family val="1"/>
      <charset val="2"/>
    </font>
    <font>
      <sz val="8"/>
      <color indexed="9"/>
      <name val="Arial"/>
      <family val="2"/>
    </font>
    <font>
      <b/>
      <u/>
      <sz val="9"/>
      <color indexed="9"/>
      <name val="Arial"/>
      <family val="2"/>
    </font>
    <font>
      <u val="singleAccounting"/>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b/>
      <sz val="8"/>
      <name val="Arial"/>
      <family val="2"/>
    </font>
    <font>
      <b/>
      <sz val="8"/>
      <name val="Symbol"/>
      <family val="1"/>
      <charset val="2"/>
    </font>
    <font>
      <sz val="12"/>
      <color indexed="10"/>
      <name val="SWISS"/>
    </font>
    <font>
      <sz val="8"/>
      <color indexed="81"/>
      <name val="Tahoma"/>
      <family val="2"/>
    </font>
    <font>
      <b/>
      <sz val="8"/>
      <color indexed="81"/>
      <name val="Tahoma"/>
      <family val="2"/>
    </font>
    <font>
      <sz val="10"/>
      <name val="Arial"/>
      <family val="2"/>
    </font>
    <font>
      <b/>
      <sz val="10"/>
      <name val="Arial"/>
      <family val="2"/>
    </font>
    <font>
      <sz val="10"/>
      <name val="Arial Unicode MS"/>
      <family val="2"/>
    </font>
    <font>
      <b/>
      <i/>
      <sz val="8"/>
      <name val="Arial"/>
      <family val="2"/>
    </font>
    <font>
      <b/>
      <sz val="8"/>
      <color indexed="12"/>
      <name val="Arial"/>
      <family val="2"/>
    </font>
    <font>
      <strike/>
      <sz val="8"/>
      <name val="Arial"/>
      <family val="2"/>
    </font>
    <font>
      <sz val="9"/>
      <color indexed="81"/>
      <name val="Tahoma"/>
      <family val="2"/>
    </font>
    <font>
      <b/>
      <sz val="9"/>
      <color indexed="81"/>
      <name val="Tahoma"/>
      <family val="2"/>
    </font>
    <font>
      <i/>
      <sz val="10"/>
      <name val="SWISS"/>
    </font>
    <font>
      <sz val="8"/>
      <name val="SWISS"/>
    </font>
    <font>
      <i/>
      <sz val="12"/>
      <name val="Arial"/>
      <family val="2"/>
    </font>
    <font>
      <b/>
      <sz val="11"/>
      <name val="Arial"/>
      <family val="2"/>
    </font>
    <font>
      <sz val="8"/>
      <name val="Arial"/>
      <family val="2"/>
    </font>
    <font>
      <sz val="8"/>
      <name val="Arial"/>
      <family val="2"/>
    </font>
    <font>
      <sz val="8"/>
      <name val="Arial"/>
      <family val="2"/>
    </font>
    <font>
      <sz val="10"/>
      <name val="Arial"/>
      <family val="2"/>
    </font>
    <font>
      <i/>
      <sz val="9"/>
      <color indexed="81"/>
      <name val="Tahoma"/>
      <family val="2"/>
    </font>
    <font>
      <sz val="8"/>
      <name val="Arial"/>
      <family val="2"/>
    </font>
    <font>
      <b/>
      <vertAlign val="superscript"/>
      <sz val="11"/>
      <color indexed="8"/>
      <name val="Calibri"/>
      <family val="2"/>
    </font>
    <font>
      <sz val="8"/>
      <name val="Arial"/>
      <family val="2"/>
    </font>
    <font>
      <sz val="8"/>
      <name val="Arial"/>
      <family val="2"/>
    </font>
    <font>
      <sz val="11"/>
      <name val="Calibri"/>
      <family val="2"/>
    </font>
    <font>
      <sz val="11"/>
      <name val="Arial"/>
      <family val="2"/>
    </font>
    <font>
      <sz val="14"/>
      <name val="Arial"/>
      <family val="2"/>
    </font>
    <font>
      <sz val="12"/>
      <name val="Helv"/>
    </font>
    <font>
      <sz val="10"/>
      <name val="MS Sans Serif"/>
      <family val="2"/>
    </font>
    <font>
      <sz val="8"/>
      <name val="Arial"/>
      <family val="2"/>
    </font>
    <font>
      <b/>
      <sz val="20"/>
      <name val="Arial"/>
      <family val="2"/>
    </font>
    <font>
      <sz val="8"/>
      <name val="Arial"/>
      <family val="2"/>
    </font>
    <font>
      <sz val="8"/>
      <name val="Arial"/>
      <family val="2"/>
    </font>
    <font>
      <b/>
      <sz val="12"/>
      <name val="SWISS"/>
    </font>
    <font>
      <sz val="8"/>
      <name val="Arial"/>
      <family val="2"/>
    </font>
    <font>
      <sz val="11"/>
      <color theme="1"/>
      <name val="Calibri"/>
      <family val="2"/>
      <scheme val="minor"/>
    </font>
    <font>
      <sz val="8"/>
      <color rgb="FF0000FF"/>
      <name val="Arial"/>
      <family val="2"/>
    </font>
    <font>
      <sz val="8"/>
      <color rgb="FFFF0000"/>
      <name val="Arial"/>
      <family val="2"/>
    </font>
    <font>
      <i/>
      <sz val="8"/>
      <color rgb="FF0000FF"/>
      <name val="Arial"/>
      <family val="2"/>
    </font>
    <font>
      <b/>
      <sz val="8"/>
      <color rgb="FF00B050"/>
      <name val="Arial"/>
      <family val="2"/>
    </font>
    <font>
      <sz val="8"/>
      <color theme="9" tint="-0.249977111117893"/>
      <name val="Arial"/>
      <family val="2"/>
    </font>
    <font>
      <b/>
      <sz val="8"/>
      <color rgb="FFFF0000"/>
      <name val="Arial"/>
      <family val="2"/>
    </font>
    <font>
      <b/>
      <sz val="10"/>
      <color rgb="FFFF0000"/>
      <name val="Arial"/>
      <family val="2"/>
    </font>
    <font>
      <sz val="8"/>
      <color theme="0" tint="-0.34998626667073579"/>
      <name val="Arial"/>
      <family val="2"/>
    </font>
    <font>
      <b/>
      <sz val="11"/>
      <color theme="1"/>
      <name val="Calibri"/>
      <family val="2"/>
      <scheme val="minor"/>
    </font>
    <font>
      <b/>
      <i/>
      <sz val="11"/>
      <color theme="1"/>
      <name val="Calibri"/>
      <family val="2"/>
      <scheme val="minor"/>
    </font>
    <font>
      <i/>
      <sz val="8"/>
      <color theme="0" tint="-0.34998626667073579"/>
      <name val="Arial"/>
      <family val="2"/>
    </font>
    <font>
      <b/>
      <i/>
      <sz val="8"/>
      <color theme="0" tint="-0.34998626667073579"/>
      <name val="Arial"/>
      <family val="2"/>
    </font>
    <font>
      <sz val="10"/>
      <color rgb="FFFF0000"/>
      <name val="Arial"/>
      <family val="2"/>
    </font>
    <font>
      <i/>
      <sz val="10"/>
      <color theme="0" tint="-0.249977111117893"/>
      <name val="Arial"/>
      <family val="2"/>
    </font>
    <font>
      <i/>
      <sz val="8"/>
      <color theme="0"/>
      <name val="Arial"/>
      <family val="2"/>
    </font>
    <font>
      <sz val="10"/>
      <color theme="0"/>
      <name val="Arial"/>
      <family val="2"/>
    </font>
    <font>
      <i/>
      <sz val="8"/>
      <color rgb="FFFF0000"/>
      <name val="Arial"/>
      <family val="2"/>
    </font>
    <font>
      <sz val="8"/>
      <color theme="0" tint="-0.249977111117893"/>
      <name val="Arial"/>
      <family val="2"/>
    </font>
    <font>
      <i/>
      <sz val="9"/>
      <color theme="0" tint="-0.249977111117893"/>
      <name val="SWISS"/>
    </font>
    <font>
      <sz val="8"/>
      <color theme="1"/>
      <name val="Arial"/>
      <family val="2"/>
    </font>
    <font>
      <sz val="11"/>
      <name val="Calibri"/>
      <family val="2"/>
      <scheme val="minor"/>
    </font>
    <font>
      <b/>
      <sz val="11"/>
      <name val="Calibri"/>
      <family val="2"/>
      <scheme val="minor"/>
    </font>
    <font>
      <sz val="11"/>
      <color rgb="FFFF0000"/>
      <name val="Calibri"/>
      <family val="2"/>
      <scheme val="minor"/>
    </font>
    <font>
      <sz val="11"/>
      <name val="Cambria"/>
      <family val="1"/>
      <scheme val="major"/>
    </font>
    <font>
      <sz val="11"/>
      <color indexed="10"/>
      <name val="Cambria"/>
      <family val="1"/>
      <scheme val="major"/>
    </font>
    <font>
      <sz val="11"/>
      <color indexed="12"/>
      <name val="Calibri"/>
      <family val="2"/>
      <scheme val="minor"/>
    </font>
    <font>
      <sz val="11"/>
      <color rgb="FFE6AF00"/>
      <name val="Calibri"/>
      <family val="2"/>
      <scheme val="minor"/>
    </font>
    <font>
      <sz val="11"/>
      <color rgb="FF0000FF"/>
      <name val="Calibri"/>
      <family val="2"/>
      <scheme val="minor"/>
    </font>
    <font>
      <b/>
      <sz val="11"/>
      <color rgb="FF0000FF"/>
      <name val="Calibri"/>
      <family val="2"/>
      <scheme val="minor"/>
    </font>
    <font>
      <u val="singleAccounting"/>
      <sz val="11"/>
      <color rgb="FF0000FF"/>
      <name val="Calibri"/>
      <family val="2"/>
      <scheme val="minor"/>
    </font>
    <font>
      <u val="singleAccounting"/>
      <sz val="11"/>
      <name val="Calibri"/>
      <family val="2"/>
      <scheme val="minor"/>
    </font>
    <font>
      <sz val="11"/>
      <color rgb="FF0070C0"/>
      <name val="Calibri"/>
      <family val="2"/>
      <scheme val="minor"/>
    </font>
    <font>
      <sz val="11"/>
      <color rgb="FF1F497D"/>
      <name val="Calibri"/>
      <family val="2"/>
      <scheme val="minor"/>
    </font>
    <font>
      <u/>
      <sz val="11"/>
      <color theme="1"/>
      <name val="Calibri"/>
      <family val="2"/>
      <scheme val="minor"/>
    </font>
    <font>
      <sz val="18"/>
      <color theme="1"/>
      <name val="Calibri"/>
      <family val="2"/>
      <scheme val="minor"/>
    </font>
    <font>
      <b/>
      <sz val="14"/>
      <color theme="1"/>
      <name val="Calibri"/>
      <family val="2"/>
      <scheme val="minor"/>
    </font>
    <font>
      <sz val="9"/>
      <color rgb="FFC00000"/>
      <name val="Arial"/>
      <family val="2"/>
    </font>
    <font>
      <b/>
      <sz val="16"/>
      <name val="Calibri"/>
      <family val="2"/>
      <scheme val="minor"/>
    </font>
    <font>
      <sz val="8"/>
      <color theme="1"/>
      <name val="Calibri"/>
      <family val="2"/>
      <scheme val="minor"/>
    </font>
    <font>
      <b/>
      <sz val="14"/>
      <color indexed="12"/>
      <name val="Calibri"/>
      <family val="2"/>
      <scheme val="minor"/>
    </font>
    <font>
      <b/>
      <sz val="14"/>
      <color rgb="FF0000FF"/>
      <name val="Calibri"/>
      <family val="2"/>
      <scheme val="minor"/>
    </font>
    <font>
      <sz val="16"/>
      <name val="Calibri"/>
      <family val="2"/>
      <scheme val="minor"/>
    </font>
    <font>
      <sz val="9"/>
      <color rgb="FFFF0000"/>
      <name val="Arial"/>
      <family val="2"/>
    </font>
    <font>
      <i/>
      <sz val="9"/>
      <color rgb="FFFF0000"/>
      <name val="Arial"/>
      <family val="2"/>
    </font>
    <font>
      <b/>
      <sz val="11"/>
      <color theme="0"/>
      <name val="Calibri"/>
      <family val="2"/>
      <scheme val="minor"/>
    </font>
    <font>
      <sz val="11"/>
      <color rgb="FFFF0000"/>
      <name val="Cambria"/>
      <family val="1"/>
      <scheme val="major"/>
    </font>
  </fonts>
  <fills count="8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9"/>
        <bgColor indexed="64"/>
      </patternFill>
    </fill>
    <fill>
      <patternFill patternType="solid">
        <fgColor indexed="9"/>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13"/>
        <bgColor indexed="64"/>
      </patternFill>
    </fill>
    <fill>
      <patternFill patternType="solid">
        <fgColor indexed="9"/>
        <bgColor indexed="34"/>
      </patternFill>
    </fill>
    <fill>
      <patternFill patternType="solid">
        <fgColor indexed="15"/>
        <bgColor indexed="64"/>
      </patternFill>
    </fill>
    <fill>
      <patternFill patternType="solid">
        <fgColor indexed="44"/>
        <bgColor indexed="64"/>
      </patternFill>
    </fill>
    <fill>
      <patternFill patternType="solid">
        <fgColor indexed="42"/>
        <bgColor indexed="64"/>
      </patternFill>
    </fill>
    <fill>
      <patternFill patternType="solid">
        <fgColor indexed="51"/>
        <bgColor indexed="64"/>
      </patternFill>
    </fill>
    <fill>
      <patternFill patternType="solid">
        <fgColor indexed="23"/>
        <bgColor indexed="64"/>
      </patternFill>
    </fill>
    <fill>
      <patternFill patternType="solid">
        <fgColor indexed="50"/>
        <bgColor indexed="64"/>
      </patternFill>
    </fill>
    <fill>
      <patternFill patternType="solid">
        <fgColor indexed="52"/>
        <bgColor indexed="64"/>
      </patternFill>
    </fill>
    <fill>
      <patternFill patternType="solid">
        <fgColor indexed="29"/>
        <bgColor indexed="64"/>
      </patternFill>
    </fill>
    <fill>
      <patternFill patternType="solid">
        <fgColor indexed="46"/>
        <bgColor indexed="64"/>
      </patternFill>
    </fill>
    <fill>
      <patternFill patternType="solid">
        <fgColor indexed="12"/>
        <bgColor indexed="64"/>
      </patternFill>
    </fill>
    <fill>
      <patternFill patternType="solid">
        <fgColor indexed="11"/>
        <bgColor indexed="64"/>
      </patternFill>
    </fill>
    <fill>
      <patternFill patternType="solid">
        <fgColor indexed="41"/>
        <bgColor indexed="64"/>
      </patternFill>
    </fill>
    <fill>
      <patternFill patternType="solid">
        <fgColor indexed="54"/>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8" tint="0.39997558519241921"/>
        <bgColor indexed="64"/>
      </patternFill>
    </fill>
    <fill>
      <patternFill patternType="solid">
        <fgColor rgb="FF99FFCC"/>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theme="9" tint="0.59999389629810485"/>
        <bgColor indexed="34"/>
      </patternFill>
    </fill>
    <fill>
      <patternFill patternType="solid">
        <fgColor rgb="FFFF00FF"/>
        <bgColor indexed="34"/>
      </patternFill>
    </fill>
    <fill>
      <patternFill patternType="solid">
        <fgColor theme="4" tint="0.79998168889431442"/>
        <bgColor indexed="64"/>
      </patternFill>
    </fill>
    <fill>
      <patternFill patternType="solid">
        <fgColor rgb="FFFF00FF"/>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1"/>
        <bgColor indexed="64"/>
      </patternFill>
    </fill>
    <fill>
      <patternFill patternType="solid">
        <fgColor rgb="FF6699FF"/>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rgb="FF92D050"/>
        <bgColor indexed="64"/>
      </patternFill>
    </fill>
    <fill>
      <patternFill patternType="solid">
        <fgColor rgb="FFEAF1DD"/>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6"/>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tint="-0.249977111117893"/>
        <bgColor theme="4" tint="0.79998168889431442"/>
      </patternFill>
    </fill>
    <fill>
      <patternFill patternType="solid">
        <fgColor rgb="FF92D050"/>
        <bgColor theme="4" tint="0.79998168889431442"/>
      </patternFill>
    </fill>
    <fill>
      <patternFill patternType="solid">
        <fgColor theme="5"/>
        <bgColor indexed="64"/>
      </patternFill>
    </fill>
  </fills>
  <borders count="1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12"/>
      </left>
      <right/>
      <top/>
      <bottom style="thin">
        <color indexed="64"/>
      </bottom>
      <diagonal/>
    </border>
    <border>
      <left style="medium">
        <color indexed="64"/>
      </left>
      <right style="medium">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style="thick">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thin">
        <color indexed="64"/>
      </bottom>
      <diagonal/>
    </border>
    <border>
      <left/>
      <right/>
      <top/>
      <bottom style="double">
        <color indexed="64"/>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style="thin">
        <color indexed="8"/>
      </left>
      <right/>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top/>
      <bottom style="thin">
        <color indexed="8"/>
      </bottom>
      <diagonal/>
    </border>
    <border>
      <left/>
      <right/>
      <top/>
      <bottom style="double">
        <color indexed="8"/>
      </bottom>
      <diagonal/>
    </border>
    <border>
      <left style="thin">
        <color indexed="8"/>
      </left>
      <right style="thin">
        <color indexed="8"/>
      </right>
      <top/>
      <bottom style="thin">
        <color indexed="8"/>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ck">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medium">
        <color indexed="64"/>
      </top>
      <bottom/>
      <diagonal/>
    </border>
    <border>
      <left/>
      <right/>
      <top/>
      <bottom style="thick">
        <color indexed="8"/>
      </bottom>
      <diagonal/>
    </border>
    <border>
      <left style="thin">
        <color indexed="22"/>
      </left>
      <right style="thin">
        <color indexed="22"/>
      </right>
      <top style="thin">
        <color indexed="22"/>
      </top>
      <bottom style="thin">
        <color indexed="64"/>
      </bottom>
      <diagonal/>
    </border>
    <border>
      <left/>
      <right/>
      <top style="thin">
        <color indexed="64"/>
      </top>
      <bottom style="medium">
        <color indexed="64"/>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style="thin">
        <color indexed="65"/>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rgb="FF00B050"/>
      </left>
      <right/>
      <top style="medium">
        <color rgb="FF00B050"/>
      </top>
      <bottom/>
      <diagonal/>
    </border>
    <border>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right style="medium">
        <color rgb="FF00B050"/>
      </right>
      <top/>
      <bottom/>
      <diagonal/>
    </border>
    <border>
      <left style="medium">
        <color rgb="FF00B050"/>
      </left>
      <right/>
      <top/>
      <bottom style="medium">
        <color rgb="FF00B050"/>
      </bottom>
      <diagonal/>
    </border>
    <border>
      <left/>
      <right/>
      <top/>
      <bottom style="medium">
        <color rgb="FF00B050"/>
      </bottom>
      <diagonal/>
    </border>
    <border>
      <left/>
      <right style="medium">
        <color rgb="FF00B050"/>
      </right>
      <top/>
      <bottom style="medium">
        <color rgb="FF00B05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double">
        <color theme="4"/>
      </top>
      <bottom style="thin">
        <color theme="4" tint="0.39997558519241921"/>
      </bottom>
      <diagonal/>
    </border>
    <border>
      <left/>
      <right/>
      <top style="double">
        <color theme="4"/>
      </top>
      <bottom style="thin">
        <color theme="4" tint="0.39997558519241921"/>
      </bottom>
      <diagonal/>
    </border>
    <border>
      <left/>
      <right/>
      <top style="double">
        <color theme="4"/>
      </top>
      <bottom style="medium">
        <color indexed="64"/>
      </bottom>
      <diagonal/>
    </border>
    <border>
      <left/>
      <right style="thin">
        <color theme="4" tint="0.39997558519241921"/>
      </right>
      <top style="double">
        <color theme="4"/>
      </top>
      <bottom style="thin">
        <color theme="4" tint="0.39997558519241921"/>
      </bottom>
      <diagonal/>
    </border>
  </borders>
  <cellStyleXfs count="115">
    <xf numFmtId="0" fontId="0"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7" fillId="12"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0" fontId="48" fillId="3" borderId="0" applyNumberFormat="0" applyBorder="0" applyAlignment="0" applyProtection="0"/>
    <xf numFmtId="0" fontId="49" fillId="20" borderId="1" applyNumberFormat="0" applyAlignment="0" applyProtection="0"/>
    <xf numFmtId="0" fontId="50" fillId="21" borderId="2" applyNumberFormat="0" applyAlignment="0" applyProtection="0"/>
    <xf numFmtId="43" fontId="1"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81" fillId="0" borderId="0" applyFont="0" applyFill="0" applyBorder="0" applyAlignment="0" applyProtection="0"/>
    <xf numFmtId="43" fontId="82"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3" fillId="0" borderId="0" applyFont="0" applyFill="0" applyBorder="0" applyAlignment="0" applyProtection="0"/>
    <xf numFmtId="43" fontId="46" fillId="0" borderId="0" applyFont="0" applyFill="0" applyBorder="0" applyAlignment="0" applyProtection="0"/>
    <xf numFmtId="43" fontId="95" fillId="0" borderId="0" applyFont="0" applyFill="0" applyBorder="0" applyAlignment="0" applyProtection="0"/>
    <xf numFmtId="43" fontId="98" fillId="0" borderId="0" applyFont="0" applyFill="0" applyBorder="0" applyAlignment="0" applyProtection="0"/>
    <xf numFmtId="43" fontId="6" fillId="0" borderId="0" applyFont="0" applyFill="0" applyBorder="0" applyAlignment="0" applyProtection="0"/>
    <xf numFmtId="180" fontId="6" fillId="0" borderId="0" applyFont="0" applyFill="0" applyBorder="0" applyAlignment="0" applyProtection="0"/>
    <xf numFmtId="43" fontId="6"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9" fillId="0" borderId="0" applyFont="0" applyFill="0" applyBorder="0" applyAlignment="0" applyProtection="0"/>
    <xf numFmtId="44" fontId="81" fillId="0" borderId="0" applyFont="0" applyFill="0" applyBorder="0" applyAlignment="0" applyProtection="0"/>
    <xf numFmtId="44" fontId="9" fillId="0" borderId="0" applyFont="0" applyFill="0" applyBorder="0" applyAlignment="0" applyProtection="0"/>
    <xf numFmtId="44" fontId="6" fillId="0" borderId="0" applyFont="0" applyFill="0" applyBorder="0" applyAlignment="0" applyProtection="0"/>
    <xf numFmtId="44" fontId="93" fillId="0" borderId="0" applyFont="0" applyFill="0" applyBorder="0" applyAlignment="0" applyProtection="0"/>
    <xf numFmtId="44" fontId="95" fillId="0" borderId="0" applyFont="0" applyFill="0" applyBorder="0" applyAlignment="0" applyProtection="0"/>
    <xf numFmtId="44" fontId="98" fillId="0" borderId="0" applyFont="0" applyFill="0" applyBorder="0" applyAlignment="0" applyProtection="0"/>
    <xf numFmtId="44" fontId="46" fillId="0" borderId="0" applyFont="0" applyFill="0" applyBorder="0" applyAlignment="0" applyProtection="0"/>
    <xf numFmtId="44" fontId="6" fillId="0" borderId="0" applyFont="0" applyFill="0" applyBorder="0" applyAlignment="0" applyProtection="0"/>
    <xf numFmtId="179" fontId="6" fillId="0" borderId="0" applyFont="0" applyFill="0" applyBorder="0" applyAlignment="0" applyProtection="0"/>
    <xf numFmtId="14" fontId="6" fillId="0" borderId="0"/>
    <xf numFmtId="0" fontId="51" fillId="0" borderId="0" applyNumberFormat="0" applyFill="0" applyBorder="0" applyAlignment="0" applyProtection="0"/>
    <xf numFmtId="1" fontId="6" fillId="0" borderId="0">
      <alignment horizontal="center"/>
    </xf>
    <xf numFmtId="0" fontId="52" fillId="4" borderId="0" applyNumberFormat="0" applyBorder="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56" fillId="7" borderId="1" applyNumberFormat="0" applyAlignment="0" applyProtection="0"/>
    <xf numFmtId="0" fontId="57" fillId="0" borderId="6" applyNumberFormat="0" applyFill="0" applyAlignment="0" applyProtection="0"/>
    <xf numFmtId="0" fontId="58" fillId="22" borderId="0" applyNumberFormat="0" applyBorder="0" applyAlignment="0" applyProtection="0"/>
    <xf numFmtId="0" fontId="99" fillId="0" borderId="0"/>
    <xf numFmtId="0" fontId="6" fillId="0" borderId="0"/>
    <xf numFmtId="0" fontId="82" fillId="0" borderId="0"/>
    <xf numFmtId="0" fontId="9" fillId="0" borderId="0"/>
    <xf numFmtId="0" fontId="6" fillId="0" borderId="0"/>
    <xf numFmtId="0" fontId="6" fillId="0" borderId="0"/>
    <xf numFmtId="0" fontId="6" fillId="0" borderId="0"/>
    <xf numFmtId="0" fontId="6" fillId="0" borderId="0"/>
    <xf numFmtId="0" fontId="9" fillId="0" borderId="0"/>
    <xf numFmtId="38" fontId="10" fillId="0" borderId="0"/>
    <xf numFmtId="0" fontId="5" fillId="23" borderId="0" applyProtection="0"/>
    <xf numFmtId="0" fontId="91" fillId="0" borderId="0"/>
    <xf numFmtId="0" fontId="6" fillId="0" borderId="0"/>
    <xf numFmtId="0" fontId="6" fillId="0" borderId="0"/>
    <xf numFmtId="0" fontId="10" fillId="24" borderId="0"/>
    <xf numFmtId="0" fontId="5" fillId="0" borderId="0"/>
    <xf numFmtId="0" fontId="6" fillId="0" borderId="0"/>
    <xf numFmtId="0" fontId="6" fillId="0" borderId="0"/>
    <xf numFmtId="0" fontId="9" fillId="0" borderId="0"/>
    <xf numFmtId="0" fontId="5" fillId="0" borderId="0"/>
    <xf numFmtId="0" fontId="1" fillId="25" borderId="7" applyNumberFormat="0" applyFont="0" applyAlignment="0" applyProtection="0"/>
    <xf numFmtId="0" fontId="81" fillId="25" borderId="7" applyNumberFormat="0" applyFont="0" applyAlignment="0" applyProtection="0"/>
    <xf numFmtId="0" fontId="9" fillId="25" borderId="7" applyNumberFormat="0" applyFont="0" applyAlignment="0" applyProtection="0"/>
    <xf numFmtId="0" fontId="93" fillId="25" borderId="7" applyNumberFormat="0" applyFont="0" applyAlignment="0" applyProtection="0"/>
    <xf numFmtId="0" fontId="95" fillId="25" borderId="7" applyNumberFormat="0" applyFont="0" applyAlignment="0" applyProtection="0"/>
    <xf numFmtId="0" fontId="98" fillId="25" borderId="7" applyNumberFormat="0" applyFont="0" applyAlignment="0" applyProtection="0"/>
    <xf numFmtId="0" fontId="59" fillId="20" borderId="8" applyNumberFormat="0" applyAlignment="0" applyProtection="0"/>
    <xf numFmtId="9" fontId="1" fillId="0" borderId="0" applyFont="0" applyFill="0" applyBorder="0" applyAlignment="0" applyProtection="0"/>
    <xf numFmtId="9" fontId="9" fillId="0" borderId="0" applyFont="0" applyFill="0" applyBorder="0" applyAlignment="0" applyProtection="0"/>
    <xf numFmtId="9" fontId="81" fillId="0" borderId="0" applyFont="0" applyFill="0" applyBorder="0" applyAlignment="0" applyProtection="0"/>
    <xf numFmtId="9" fontId="9" fillId="0" borderId="0" applyFont="0" applyFill="0" applyBorder="0" applyAlignment="0" applyProtection="0"/>
    <xf numFmtId="9" fontId="93"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8" fillId="0" borderId="0" applyFont="0" applyFill="0" applyBorder="0" applyAlignment="0" applyProtection="0"/>
    <xf numFmtId="9" fontId="46"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37" fontId="32" fillId="0" borderId="0"/>
    <xf numFmtId="37" fontId="33" fillId="0" borderId="0"/>
    <xf numFmtId="0" fontId="60" fillId="0" borderId="9" applyNumberFormat="0" applyFill="0" applyAlignment="0" applyProtection="0"/>
    <xf numFmtId="0" fontId="61" fillId="0" borderId="0" applyNumberFormat="0" applyFill="0" applyBorder="0" applyAlignment="0" applyProtection="0"/>
  </cellStyleXfs>
  <cellXfs count="2259">
    <xf numFmtId="0" fontId="0" fillId="0" borderId="0" xfId="0"/>
    <xf numFmtId="0" fontId="2" fillId="0" borderId="0" xfId="0" applyFont="1"/>
    <xf numFmtId="0" fontId="3" fillId="0" borderId="0" xfId="0" applyFont="1" applyAlignment="1">
      <alignment horizontal="right"/>
    </xf>
    <xf numFmtId="0" fontId="2" fillId="26" borderId="10" xfId="0" applyFont="1" applyFill="1" applyBorder="1"/>
    <xf numFmtId="14" fontId="2" fillId="26" borderId="10" xfId="0" applyNumberFormat="1" applyFont="1" applyFill="1" applyBorder="1"/>
    <xf numFmtId="14" fontId="2" fillId="0" borderId="0" xfId="0" applyNumberFormat="1" applyFont="1"/>
    <xf numFmtId="0" fontId="2" fillId="0" borderId="11" xfId="0" applyFont="1" applyBorder="1"/>
    <xf numFmtId="0" fontId="4" fillId="27" borderId="12" xfId="0" applyFont="1" applyFill="1" applyBorder="1" applyAlignment="1">
      <alignment horizontal="center"/>
    </xf>
    <xf numFmtId="0" fontId="2" fillId="0" borderId="0" xfId="0" applyFont="1" applyBorder="1"/>
    <xf numFmtId="0" fontId="2" fillId="0" borderId="13" xfId="0" applyFont="1" applyBorder="1"/>
    <xf numFmtId="0" fontId="4" fillId="0" borderId="11" xfId="0" applyFont="1" applyBorder="1" applyAlignment="1">
      <alignment horizontal="right"/>
    </xf>
    <xf numFmtId="164" fontId="2" fillId="26" borderId="10" xfId="94" applyNumberFormat="1" applyFont="1" applyFill="1" applyBorder="1"/>
    <xf numFmtId="164" fontId="2" fillId="0" borderId="10" xfId="94" applyNumberFormat="1" applyFont="1" applyFill="1" applyBorder="1"/>
    <xf numFmtId="0" fontId="4" fillId="0" borderId="11" xfId="0" applyFont="1" applyBorder="1"/>
    <xf numFmtId="164" fontId="4" fillId="26" borderId="10" xfId="94" applyNumberFormat="1" applyFont="1" applyFill="1" applyBorder="1"/>
    <xf numFmtId="164" fontId="4" fillId="0" borderId="10" xfId="94" applyNumberFormat="1" applyFont="1" applyFill="1" applyBorder="1"/>
    <xf numFmtId="164" fontId="2" fillId="0" borderId="14" xfId="94" applyNumberFormat="1" applyFont="1" applyFill="1" applyBorder="1"/>
    <xf numFmtId="38" fontId="9" fillId="0" borderId="0" xfId="76" applyFont="1" applyFill="1" applyBorder="1"/>
    <xf numFmtId="0" fontId="11" fillId="0" borderId="0" xfId="85" applyFont="1" applyFill="1" applyBorder="1" applyAlignment="1">
      <alignment horizontal="center"/>
    </xf>
    <xf numFmtId="38" fontId="9" fillId="0" borderId="0" xfId="76" applyFont="1" applyFill="1" applyBorder="1" applyAlignment="1">
      <alignment horizontal="center"/>
    </xf>
    <xf numFmtId="38" fontId="9" fillId="0" borderId="0" xfId="76" applyFont="1" applyFill="1" applyBorder="1" applyAlignment="1">
      <alignment horizontal="right"/>
    </xf>
    <xf numFmtId="38" fontId="9" fillId="0" borderId="15" xfId="76" applyFont="1" applyFill="1" applyBorder="1"/>
    <xf numFmtId="38" fontId="9" fillId="0" borderId="16" xfId="76" applyFont="1" applyFill="1" applyBorder="1"/>
    <xf numFmtId="0" fontId="9" fillId="0" borderId="0" xfId="85" applyFont="1" applyFill="1"/>
    <xf numFmtId="38" fontId="9" fillId="0" borderId="0" xfId="76" applyFont="1" applyFill="1"/>
    <xf numFmtId="164" fontId="9" fillId="0" borderId="10" xfId="94" applyNumberFormat="1" applyFont="1" applyFill="1" applyBorder="1" applyAlignment="1">
      <alignment horizontal="center"/>
    </xf>
    <xf numFmtId="171" fontId="9" fillId="0" borderId="15" xfId="76" applyNumberFormat="1" applyFont="1" applyFill="1" applyBorder="1"/>
    <xf numFmtId="0" fontId="9" fillId="0" borderId="0" xfId="85" applyFont="1" applyFill="1" applyAlignment="1">
      <alignment horizontal="center"/>
    </xf>
    <xf numFmtId="164" fontId="9" fillId="0" borderId="17" xfId="94" applyNumberFormat="1" applyFont="1" applyFill="1" applyBorder="1" applyAlignment="1">
      <alignment horizontal="center"/>
    </xf>
    <xf numFmtId="38" fontId="9" fillId="0" borderId="15" xfId="76" applyFont="1" applyFill="1" applyBorder="1" applyAlignment="1">
      <alignment horizontal="center"/>
    </xf>
    <xf numFmtId="38" fontId="9" fillId="0" borderId="16" xfId="76" applyFont="1" applyFill="1" applyBorder="1" applyAlignment="1">
      <alignment horizontal="center"/>
    </xf>
    <xf numFmtId="38" fontId="11" fillId="27" borderId="18" xfId="76" applyFont="1" applyFill="1" applyBorder="1" applyAlignment="1">
      <alignment horizontal="center"/>
    </xf>
    <xf numFmtId="0" fontId="9" fillId="28" borderId="0" xfId="85" applyFont="1" applyFill="1" applyAlignment="1">
      <alignment horizontal="center"/>
    </xf>
    <xf numFmtId="0" fontId="9" fillId="0" borderId="19" xfId="85" applyFont="1" applyFill="1" applyBorder="1" applyAlignment="1">
      <alignment horizontal="center"/>
    </xf>
    <xf numFmtId="0" fontId="11" fillId="0" borderId="0" xfId="85" applyFont="1" applyFill="1" applyBorder="1"/>
    <xf numFmtId="10" fontId="9" fillId="0" borderId="20" xfId="94" applyNumberFormat="1" applyFont="1" applyBorder="1" applyAlignment="1">
      <alignment horizontal="center"/>
    </xf>
    <xf numFmtId="38" fontId="9" fillId="0" borderId="15" xfId="76" applyFont="1" applyBorder="1"/>
    <xf numFmtId="38" fontId="9" fillId="0" borderId="16" xfId="76" applyFont="1" applyBorder="1"/>
    <xf numFmtId="38" fontId="9" fillId="0" borderId="0" xfId="76" applyFont="1"/>
    <xf numFmtId="38" fontId="9" fillId="0" borderId="21" xfId="76" applyFont="1" applyBorder="1" applyAlignment="1">
      <alignment horizontal="center"/>
    </xf>
    <xf numFmtId="38" fontId="9" fillId="0" borderId="19" xfId="76" applyFont="1" applyBorder="1" applyAlignment="1">
      <alignment horizontal="center"/>
    </xf>
    <xf numFmtId="41" fontId="9" fillId="0" borderId="22" xfId="76" applyNumberFormat="1" applyFont="1" applyBorder="1" applyAlignment="1"/>
    <xf numFmtId="41" fontId="9" fillId="0" borderId="23" xfId="76" applyNumberFormat="1" applyFont="1" applyBorder="1" applyAlignment="1"/>
    <xf numFmtId="38" fontId="9" fillId="0" borderId="0" xfId="76" applyFont="1" applyBorder="1" applyAlignment="1">
      <alignment horizontal="center"/>
    </xf>
    <xf numFmtId="0" fontId="9" fillId="0" borderId="0" xfId="85" applyFont="1" applyBorder="1"/>
    <xf numFmtId="41" fontId="9" fillId="0" borderId="24" xfId="76" applyNumberFormat="1" applyFont="1" applyBorder="1" applyAlignment="1"/>
    <xf numFmtId="41" fontId="9" fillId="0" borderId="25" xfId="76" applyNumberFormat="1" applyFont="1" applyBorder="1" applyAlignment="1"/>
    <xf numFmtId="0" fontId="9" fillId="29" borderId="0" xfId="85" applyFont="1" applyFill="1" applyBorder="1" applyAlignment="1"/>
    <xf numFmtId="38" fontId="9" fillId="0" borderId="26" xfId="76" applyFont="1" applyBorder="1"/>
    <xf numFmtId="38" fontId="9" fillId="0" borderId="26" xfId="76" applyFont="1" applyBorder="1" applyAlignment="1">
      <alignment horizontal="center"/>
    </xf>
    <xf numFmtId="10" fontId="9" fillId="0" borderId="27" xfId="94" applyNumberFormat="1" applyFont="1" applyBorder="1" applyAlignment="1"/>
    <xf numFmtId="41" fontId="9" fillId="0" borderId="0" xfId="76" applyNumberFormat="1" applyFont="1" applyBorder="1" applyAlignment="1"/>
    <xf numFmtId="41" fontId="9" fillId="0" borderId="15" xfId="76" applyNumberFormat="1" applyFont="1" applyBorder="1" applyAlignment="1"/>
    <xf numFmtId="41" fontId="9" fillId="0" borderId="19" xfId="76" applyNumberFormat="1" applyFont="1" applyBorder="1" applyAlignment="1"/>
    <xf numFmtId="49" fontId="9" fillId="29" borderId="0" xfId="85" applyNumberFormat="1" applyFont="1" applyFill="1" applyBorder="1" applyAlignment="1"/>
    <xf numFmtId="41" fontId="9" fillId="0" borderId="28" xfId="76" applyNumberFormat="1" applyFont="1" applyBorder="1" applyAlignment="1"/>
    <xf numFmtId="0" fontId="9" fillId="0" borderId="29" xfId="85" applyFont="1" applyBorder="1"/>
    <xf numFmtId="49" fontId="9" fillId="29" borderId="0" xfId="85" quotePrefix="1" applyNumberFormat="1" applyFont="1" applyFill="1" applyBorder="1" applyAlignment="1"/>
    <xf numFmtId="38" fontId="9" fillId="0" borderId="30" xfId="76" applyFont="1" applyBorder="1"/>
    <xf numFmtId="38" fontId="9" fillId="0" borderId="0" xfId="76" applyFont="1" applyBorder="1"/>
    <xf numFmtId="41" fontId="9" fillId="0" borderId="13" xfId="76" applyNumberFormat="1" applyFont="1" applyBorder="1" applyAlignment="1"/>
    <xf numFmtId="41" fontId="9" fillId="0" borderId="0" xfId="76" applyNumberFormat="1" applyFont="1" applyFill="1" applyBorder="1" applyAlignment="1"/>
    <xf numFmtId="41" fontId="9" fillId="0" borderId="22" xfId="76" applyNumberFormat="1" applyFont="1" applyFill="1" applyBorder="1" applyAlignment="1"/>
    <xf numFmtId="41" fontId="9" fillId="0" borderId="25" xfId="76" applyNumberFormat="1" applyFont="1" applyFill="1" applyBorder="1" applyAlignment="1"/>
    <xf numFmtId="41" fontId="9" fillId="0" borderId="31" xfId="76" applyNumberFormat="1" applyFont="1" applyBorder="1" applyAlignment="1"/>
    <xf numFmtId="41" fontId="9" fillId="0" borderId="28" xfId="76" applyNumberFormat="1" applyFont="1" applyFill="1" applyBorder="1" applyAlignment="1"/>
    <xf numFmtId="41" fontId="9" fillId="0" borderId="22" xfId="94" applyNumberFormat="1" applyFont="1" applyBorder="1" applyAlignment="1"/>
    <xf numFmtId="41" fontId="9" fillId="0" borderId="27" xfId="76" applyNumberFormat="1" applyFont="1" applyBorder="1" applyAlignment="1"/>
    <xf numFmtId="41" fontId="9" fillId="0" borderId="32" xfId="76" applyNumberFormat="1" applyFont="1" applyBorder="1" applyAlignment="1"/>
    <xf numFmtId="41" fontId="9" fillId="0" borderId="33" xfId="76" applyNumberFormat="1" applyFont="1" applyBorder="1" applyAlignment="1"/>
    <xf numFmtId="0" fontId="9" fillId="29" borderId="34" xfId="85" applyFont="1" applyFill="1" applyBorder="1" applyAlignment="1">
      <alignment horizontal="center"/>
    </xf>
    <xf numFmtId="41" fontId="9" fillId="0" borderId="35" xfId="76" applyNumberFormat="1" applyFont="1" applyBorder="1" applyAlignment="1"/>
    <xf numFmtId="38" fontId="9" fillId="0" borderId="12" xfId="76" applyFont="1" applyBorder="1"/>
    <xf numFmtId="0" fontId="9" fillId="29" borderId="0" xfId="85" applyFont="1" applyFill="1" applyBorder="1" applyAlignment="1">
      <alignment horizontal="center"/>
    </xf>
    <xf numFmtId="10" fontId="9" fillId="0" borderId="0" xfId="94" applyNumberFormat="1" applyFont="1" applyBorder="1" applyAlignment="1"/>
    <xf numFmtId="38" fontId="9" fillId="0" borderId="0" xfId="76" applyFont="1" applyBorder="1" applyAlignment="1"/>
    <xf numFmtId="40" fontId="9" fillId="0" borderId="0" xfId="76" applyNumberFormat="1" applyFont="1" applyBorder="1" applyAlignment="1"/>
    <xf numFmtId="0" fontId="11" fillId="0" borderId="0" xfId="85" applyFont="1" applyBorder="1"/>
    <xf numFmtId="0" fontId="11" fillId="29" borderId="0" xfId="85" applyFont="1" applyFill="1" applyBorder="1" applyAlignment="1">
      <alignment horizontal="center"/>
    </xf>
    <xf numFmtId="0" fontId="5" fillId="0" borderId="0" xfId="82" applyFont="1" applyProtection="1"/>
    <xf numFmtId="0" fontId="14" fillId="0" borderId="0" xfId="82" applyFont="1" applyProtection="1"/>
    <xf numFmtId="0" fontId="8" fillId="0" borderId="0" xfId="82" applyFont="1" applyProtection="1"/>
    <xf numFmtId="0" fontId="5" fillId="0" borderId="0" xfId="82"/>
    <xf numFmtId="0" fontId="10" fillId="0" borderId="0" xfId="82" applyFont="1" applyProtection="1"/>
    <xf numFmtId="0" fontId="5" fillId="0" borderId="0" xfId="82" applyFont="1" applyAlignment="1" applyProtection="1">
      <alignment horizontal="center"/>
    </xf>
    <xf numFmtId="0" fontId="15" fillId="0" borderId="0" xfId="82" applyFont="1" applyProtection="1"/>
    <xf numFmtId="5" fontId="5" fillId="0" borderId="0" xfId="82" applyNumberFormat="1" applyFont="1" applyProtection="1"/>
    <xf numFmtId="37" fontId="5" fillId="0" borderId="0" xfId="82" applyNumberFormat="1" applyFont="1" applyProtection="1"/>
    <xf numFmtId="39" fontId="5" fillId="0" borderId="0" xfId="82" applyNumberFormat="1" applyFont="1" applyProtection="1"/>
    <xf numFmtId="172" fontId="5" fillId="0" borderId="0" xfId="82" applyNumberFormat="1" applyFont="1" applyProtection="1"/>
    <xf numFmtId="0" fontId="5" fillId="0" borderId="0" xfId="82" applyProtection="1"/>
    <xf numFmtId="173" fontId="5" fillId="0" borderId="0" xfId="82" applyNumberFormat="1" applyFont="1" applyProtection="1"/>
    <xf numFmtId="0" fontId="5" fillId="0" borderId="0" xfId="82" applyFont="1" applyAlignment="1" applyProtection="1">
      <alignment horizontal="right"/>
    </xf>
    <xf numFmtId="167" fontId="5" fillId="0" borderId="0" xfId="82" applyNumberFormat="1" applyFont="1" applyProtection="1"/>
    <xf numFmtId="5" fontId="7" fillId="0" borderId="0" xfId="82" applyNumberFormat="1" applyFont="1" applyFill="1" applyProtection="1"/>
    <xf numFmtId="165" fontId="5" fillId="0" borderId="0" xfId="82" applyNumberFormat="1" applyFont="1" applyProtection="1"/>
    <xf numFmtId="0" fontId="5" fillId="0" borderId="0" xfId="82" applyFont="1" applyAlignment="1" applyProtection="1">
      <alignment horizontal="fill"/>
    </xf>
    <xf numFmtId="9" fontId="5" fillId="0" borderId="0" xfId="82" applyNumberFormat="1" applyFont="1" applyFill="1" applyProtection="1"/>
    <xf numFmtId="9" fontId="5" fillId="0" borderId="0" xfId="82" applyNumberFormat="1" applyFont="1" applyProtection="1"/>
    <xf numFmtId="165" fontId="10" fillId="0" borderId="0" xfId="82" applyNumberFormat="1" applyFont="1" applyFill="1" applyProtection="1"/>
    <xf numFmtId="10" fontId="5" fillId="0" borderId="0" xfId="82" applyNumberFormat="1" applyFont="1" applyProtection="1"/>
    <xf numFmtId="167" fontId="5" fillId="0" borderId="0" xfId="28" applyNumberFormat="1" applyFont="1" applyFill="1" applyProtection="1"/>
    <xf numFmtId="43" fontId="5" fillId="0" borderId="0" xfId="28" applyFont="1" applyFill="1" applyProtection="1"/>
    <xf numFmtId="37" fontId="5" fillId="30" borderId="0" xfId="82" applyNumberFormat="1" applyFont="1" applyFill="1" applyProtection="1"/>
    <xf numFmtId="167" fontId="5" fillId="0" borderId="0" xfId="42" applyNumberFormat="1" applyFont="1" applyProtection="1"/>
    <xf numFmtId="0" fontId="5" fillId="0" borderId="0" xfId="82" applyAlignment="1" applyProtection="1">
      <alignment horizontal="fill"/>
    </xf>
    <xf numFmtId="0" fontId="5" fillId="0" borderId="0" xfId="82" applyNumberFormat="1" applyAlignment="1" applyProtection="1">
      <alignment horizontal="fill"/>
    </xf>
    <xf numFmtId="44" fontId="5" fillId="0" borderId="0" xfId="43" applyFont="1" applyProtection="1"/>
    <xf numFmtId="0" fontId="16" fillId="0" borderId="0" xfId="82" applyFont="1" applyProtection="1"/>
    <xf numFmtId="0" fontId="17" fillId="0" borderId="0" xfId="82" applyFont="1" applyProtection="1"/>
    <xf numFmtId="5" fontId="10" fillId="0" borderId="0" xfId="82" applyNumberFormat="1" applyFont="1" applyProtection="1"/>
    <xf numFmtId="173" fontId="10" fillId="0" borderId="0" xfId="82" applyNumberFormat="1" applyFont="1" applyProtection="1"/>
    <xf numFmtId="0" fontId="10" fillId="0" borderId="0" xfId="82" applyFont="1" applyAlignment="1" applyProtection="1">
      <alignment horizontal="right"/>
    </xf>
    <xf numFmtId="167" fontId="10" fillId="0" borderId="0" xfId="82" applyNumberFormat="1" applyFont="1" applyProtection="1"/>
    <xf numFmtId="39" fontId="10" fillId="0" borderId="0" xfId="82" applyNumberFormat="1" applyFont="1" applyProtection="1"/>
    <xf numFmtId="0" fontId="10" fillId="0" borderId="0" xfId="82" applyFont="1" applyAlignment="1" applyProtection="1">
      <alignment horizontal="fill"/>
    </xf>
    <xf numFmtId="10" fontId="10" fillId="0" borderId="0" xfId="82" applyNumberFormat="1" applyFont="1" applyProtection="1"/>
    <xf numFmtId="172" fontId="10" fillId="0" borderId="0" xfId="82" applyNumberFormat="1" applyFont="1" applyProtection="1"/>
    <xf numFmtId="174" fontId="10" fillId="0" borderId="0" xfId="82" applyNumberFormat="1" applyFont="1" applyProtection="1"/>
    <xf numFmtId="164" fontId="10" fillId="0" borderId="0" xfId="94" applyNumberFormat="1" applyFont="1" applyProtection="1"/>
    <xf numFmtId="167" fontId="10" fillId="0" borderId="0" xfId="42" applyNumberFormat="1" applyFont="1" applyProtection="1"/>
    <xf numFmtId="10" fontId="10" fillId="31" borderId="0" xfId="82" applyNumberFormat="1" applyFont="1" applyFill="1" applyProtection="1"/>
    <xf numFmtId="5" fontId="18" fillId="0" borderId="0" xfId="82" applyNumberFormat="1" applyFont="1" applyProtection="1"/>
    <xf numFmtId="164" fontId="10" fillId="0" borderId="0" xfId="82" applyNumberFormat="1" applyFont="1" applyFill="1" applyProtection="1"/>
    <xf numFmtId="10" fontId="10" fillId="0" borderId="0" xfId="82" applyNumberFormat="1" applyFont="1" applyFill="1" applyProtection="1"/>
    <xf numFmtId="10" fontId="9" fillId="0" borderId="10" xfId="94" applyNumberFormat="1" applyFont="1" applyFill="1" applyBorder="1" applyAlignment="1">
      <alignment horizontal="center"/>
    </xf>
    <xf numFmtId="2" fontId="9" fillId="0" borderId="0" xfId="77" applyNumberFormat="1" applyFont="1" applyFill="1"/>
    <xf numFmtId="41" fontId="9" fillId="26" borderId="22" xfId="76" applyNumberFormat="1" applyFont="1" applyFill="1" applyBorder="1" applyAlignment="1"/>
    <xf numFmtId="41" fontId="9" fillId="26" borderId="25" xfId="76" applyNumberFormat="1" applyFont="1" applyFill="1" applyBorder="1" applyAlignment="1"/>
    <xf numFmtId="38" fontId="9" fillId="0" borderId="36" xfId="76" applyFont="1" applyFill="1" applyBorder="1" applyAlignment="1">
      <alignment horizontal="center"/>
    </xf>
    <xf numFmtId="10" fontId="9" fillId="0" borderId="25" xfId="94" applyNumberFormat="1" applyFont="1" applyBorder="1" applyAlignment="1">
      <alignment horizontal="center"/>
    </xf>
    <xf numFmtId="38" fontId="9" fillId="0" borderId="27" xfId="76" applyFont="1" applyBorder="1" applyAlignment="1"/>
    <xf numFmtId="41" fontId="9" fillId="27" borderId="22" xfId="76" applyNumberFormat="1" applyFont="1" applyFill="1" applyBorder="1" applyAlignment="1"/>
    <xf numFmtId="38" fontId="9" fillId="27" borderId="36" xfId="76" applyFont="1" applyFill="1" applyBorder="1" applyAlignment="1">
      <alignment horizontal="center"/>
    </xf>
    <xf numFmtId="10" fontId="9" fillId="0" borderId="27" xfId="94" applyNumberFormat="1" applyFont="1" applyBorder="1" applyAlignment="1">
      <alignment horizontal="center"/>
    </xf>
    <xf numFmtId="38" fontId="9" fillId="27" borderId="27" xfId="76" applyFont="1" applyFill="1" applyBorder="1" applyAlignment="1">
      <alignment horizontal="center"/>
    </xf>
    <xf numFmtId="38" fontId="9" fillId="0" borderId="27" xfId="76" applyFont="1" applyFill="1" applyBorder="1" applyAlignment="1">
      <alignment horizontal="center"/>
    </xf>
    <xf numFmtId="41" fontId="9" fillId="0" borderId="37" xfId="76" applyNumberFormat="1" applyFont="1" applyBorder="1" applyAlignment="1"/>
    <xf numFmtId="41" fontId="9" fillId="0" borderId="13" xfId="76" applyNumberFormat="1" applyFont="1" applyFill="1" applyBorder="1" applyAlignment="1"/>
    <xf numFmtId="41" fontId="9" fillId="0" borderId="23" xfId="76" applyNumberFormat="1" applyFont="1" applyFill="1" applyBorder="1" applyAlignment="1"/>
    <xf numFmtId="38" fontId="11" fillId="0" borderId="13" xfId="76" applyFont="1" applyFill="1" applyBorder="1" applyAlignment="1">
      <alignment horizontal="center"/>
    </xf>
    <xf numFmtId="38" fontId="9" fillId="0" borderId="13" xfId="76" applyFont="1" applyBorder="1" applyAlignment="1">
      <alignment horizontal="center"/>
    </xf>
    <xf numFmtId="41" fontId="11" fillId="0" borderId="13" xfId="76" applyNumberFormat="1" applyFont="1" applyBorder="1" applyAlignment="1"/>
    <xf numFmtId="38" fontId="9" fillId="0" borderId="13" xfId="76" applyFont="1" applyBorder="1" applyAlignment="1"/>
    <xf numFmtId="38" fontId="11" fillId="0" borderId="38" xfId="76" applyFont="1" applyFill="1" applyBorder="1" applyAlignment="1">
      <alignment horizontal="center"/>
    </xf>
    <xf numFmtId="38" fontId="11" fillId="0" borderId="39" xfId="76" applyFont="1" applyFill="1" applyBorder="1" applyAlignment="1">
      <alignment horizontal="center"/>
    </xf>
    <xf numFmtId="38" fontId="11" fillId="0" borderId="24" xfId="76" applyFont="1" applyFill="1" applyBorder="1" applyAlignment="1">
      <alignment horizontal="center"/>
    </xf>
    <xf numFmtId="41" fontId="9" fillId="0" borderId="11" xfId="76" applyNumberFormat="1" applyFont="1" applyBorder="1" applyAlignment="1"/>
    <xf numFmtId="10" fontId="9" fillId="0" borderId="19" xfId="94" applyNumberFormat="1" applyFont="1" applyBorder="1" applyAlignment="1">
      <alignment horizontal="center"/>
    </xf>
    <xf numFmtId="10" fontId="9" fillId="0" borderId="37" xfId="94" applyNumberFormat="1" applyFont="1" applyBorder="1" applyAlignment="1"/>
    <xf numFmtId="41" fontId="9" fillId="0" borderId="0" xfId="94" applyNumberFormat="1" applyFont="1" applyBorder="1" applyAlignment="1"/>
    <xf numFmtId="167" fontId="9" fillId="0" borderId="15" xfId="28" applyNumberFormat="1" applyFont="1" applyBorder="1"/>
    <xf numFmtId="167" fontId="9" fillId="0" borderId="40" xfId="28" applyNumberFormat="1" applyFont="1" applyBorder="1"/>
    <xf numFmtId="0" fontId="4" fillId="27" borderId="10" xfId="0" applyFont="1" applyFill="1" applyBorder="1" applyAlignment="1">
      <alignment horizontal="center" wrapText="1"/>
    </xf>
    <xf numFmtId="0" fontId="4" fillId="27" borderId="14" xfId="0" applyFont="1" applyFill="1" applyBorder="1" applyAlignment="1">
      <alignment horizontal="center" wrapText="1"/>
    </xf>
    <xf numFmtId="167" fontId="9" fillId="0" borderId="0" xfId="28" applyNumberFormat="1" applyFont="1" applyFill="1"/>
    <xf numFmtId="0" fontId="9" fillId="28" borderId="0" xfId="85" applyFont="1" applyFill="1" applyBorder="1" applyAlignment="1">
      <alignment horizontal="center"/>
    </xf>
    <xf numFmtId="41" fontId="10" fillId="0" borderId="0" xfId="82" applyNumberFormat="1" applyFont="1" applyProtection="1"/>
    <xf numFmtId="41" fontId="5" fillId="0" borderId="0" xfId="82" applyNumberFormat="1" applyFont="1" applyProtection="1"/>
    <xf numFmtId="0" fontId="9" fillId="0" borderId="0" xfId="77" applyNumberFormat="1" applyFont="1" applyFill="1"/>
    <xf numFmtId="0" fontId="9" fillId="0" borderId="0" xfId="77" applyNumberFormat="1" applyFont="1" applyFill="1" applyBorder="1"/>
    <xf numFmtId="0" fontId="9" fillId="0" borderId="37" xfId="77" applyNumberFormat="1" applyFont="1" applyFill="1" applyBorder="1"/>
    <xf numFmtId="0" fontId="11" fillId="0" borderId="0" xfId="77" applyNumberFormat="1" applyFont="1" applyFill="1"/>
    <xf numFmtId="166" fontId="9" fillId="0" borderId="0" xfId="77" applyNumberFormat="1" applyFont="1" applyFill="1"/>
    <xf numFmtId="37" fontId="9" fillId="0" borderId="0" xfId="77" applyNumberFormat="1" applyFont="1" applyFill="1"/>
    <xf numFmtId="37" fontId="9" fillId="0" borderId="0" xfId="77" applyNumberFormat="1" applyFont="1" applyFill="1" applyAlignment="1">
      <alignment horizontal="center"/>
    </xf>
    <xf numFmtId="41" fontId="9" fillId="0" borderId="0" xfId="77" applyNumberFormat="1" applyFont="1" applyFill="1"/>
    <xf numFmtId="164" fontId="10" fillId="0" borderId="0" xfId="82" applyNumberFormat="1" applyFont="1" applyProtection="1"/>
    <xf numFmtId="175" fontId="10" fillId="0" borderId="0" xfId="43" applyNumberFormat="1" applyFont="1" applyProtection="1"/>
    <xf numFmtId="175" fontId="18" fillId="0" borderId="0" xfId="82" applyNumberFormat="1" applyFont="1" applyFill="1" applyProtection="1"/>
    <xf numFmtId="8" fontId="10" fillId="0" borderId="0" xfId="82" applyNumberFormat="1" applyFont="1" applyProtection="1"/>
    <xf numFmtId="175" fontId="10" fillId="0" borderId="0" xfId="82" applyNumberFormat="1" applyFont="1" applyProtection="1"/>
    <xf numFmtId="170" fontId="10" fillId="0" borderId="0" xfId="82" applyNumberFormat="1" applyFont="1" applyProtection="1"/>
    <xf numFmtId="0" fontId="9" fillId="0" borderId="17" xfId="77" applyNumberFormat="1" applyFont="1" applyFill="1" applyBorder="1" applyAlignment="1">
      <alignment horizontal="center"/>
    </xf>
    <xf numFmtId="0" fontId="12" fillId="0" borderId="0" xfId="77" applyNumberFormat="1" applyFont="1" applyFill="1" applyAlignment="1">
      <alignment horizontal="center"/>
    </xf>
    <xf numFmtId="43" fontId="9" fillId="0" borderId="0" xfId="77" applyNumberFormat="1" applyFont="1" applyFill="1"/>
    <xf numFmtId="37" fontId="9" fillId="0" borderId="17" xfId="77" applyNumberFormat="1" applyFont="1" applyFill="1" applyBorder="1" applyAlignment="1">
      <alignment horizontal="center"/>
    </xf>
    <xf numFmtId="167" fontId="9" fillId="0" borderId="0" xfId="76" applyNumberFormat="1" applyFont="1" applyBorder="1"/>
    <xf numFmtId="3" fontId="9" fillId="0" borderId="0" xfId="77" applyNumberFormat="1" applyFont="1" applyFill="1"/>
    <xf numFmtId="165" fontId="9" fillId="0" borderId="0" xfId="77" applyNumberFormat="1" applyFont="1" applyFill="1"/>
    <xf numFmtId="37" fontId="20" fillId="0" borderId="12" xfId="77" applyNumberFormat="1" applyFont="1" applyFill="1" applyBorder="1"/>
    <xf numFmtId="0" fontId="11" fillId="0" borderId="0" xfId="0" applyFont="1" applyFill="1"/>
    <xf numFmtId="0" fontId="23" fillId="0" borderId="0" xfId="83" applyFont="1"/>
    <xf numFmtId="0" fontId="24" fillId="0" borderId="0" xfId="83" applyFont="1" applyAlignment="1">
      <alignment horizontal="center"/>
    </xf>
    <xf numFmtId="4" fontId="24" fillId="0" borderId="0" xfId="83" applyNumberFormat="1" applyFont="1" applyAlignment="1">
      <alignment horizontal="center"/>
    </xf>
    <xf numFmtId="0" fontId="24" fillId="0" borderId="0" xfId="83" applyFont="1"/>
    <xf numFmtId="0" fontId="24" fillId="0" borderId="0" xfId="83" applyFont="1" applyBorder="1" applyAlignment="1">
      <alignment horizontal="center"/>
    </xf>
    <xf numFmtId="0" fontId="24" fillId="0" borderId="0" xfId="83" applyFont="1" applyAlignment="1" applyProtection="1">
      <alignment horizontal="center"/>
    </xf>
    <xf numFmtId="0" fontId="24" fillId="0" borderId="0" xfId="83" applyFont="1" applyProtection="1"/>
    <xf numFmtId="0" fontId="24" fillId="0" borderId="19" xfId="83" applyFont="1" applyBorder="1" applyAlignment="1" applyProtection="1">
      <alignment horizontal="center"/>
    </xf>
    <xf numFmtId="4" fontId="24" fillId="0" borderId="19" xfId="83" applyNumberFormat="1" applyFont="1" applyBorder="1" applyAlignment="1" applyProtection="1">
      <alignment horizontal="center"/>
    </xf>
    <xf numFmtId="0" fontId="24" fillId="0" borderId="19" xfId="83" applyFont="1" applyBorder="1" applyAlignment="1">
      <alignment horizontal="center"/>
    </xf>
    <xf numFmtId="0" fontId="24" fillId="0" borderId="0" xfId="83" applyFont="1" applyBorder="1" applyAlignment="1" applyProtection="1">
      <alignment horizontal="center"/>
    </xf>
    <xf numFmtId="4" fontId="24" fillId="0" borderId="0" xfId="83" applyNumberFormat="1" applyFont="1" applyBorder="1" applyAlignment="1" applyProtection="1">
      <alignment horizontal="center"/>
    </xf>
    <xf numFmtId="0" fontId="23" fillId="0" borderId="19" xfId="83" applyFont="1" applyBorder="1" applyProtection="1"/>
    <xf numFmtId="4" fontId="24" fillId="0" borderId="0" xfId="83" applyNumberFormat="1" applyFont="1" applyAlignment="1" applyProtection="1">
      <alignment horizontal="center"/>
    </xf>
    <xf numFmtId="0" fontId="24" fillId="0" borderId="0" xfId="83" applyFont="1" applyAlignment="1">
      <alignment horizontal="left"/>
    </xf>
    <xf numFmtId="37" fontId="24" fillId="0" borderId="0" xfId="83" applyNumberFormat="1" applyFont="1" applyAlignment="1" applyProtection="1">
      <alignment horizontal="center"/>
    </xf>
    <xf numFmtId="4" fontId="25" fillId="0" borderId="0" xfId="83" applyNumberFormat="1" applyFont="1" applyAlignment="1" applyProtection="1">
      <alignment horizontal="center"/>
    </xf>
    <xf numFmtId="41" fontId="24" fillId="0" borderId="0" xfId="83" applyNumberFormat="1" applyFont="1" applyAlignment="1">
      <alignment horizontal="center"/>
    </xf>
    <xf numFmtId="167" fontId="24" fillId="0" borderId="0" xfId="83" applyNumberFormat="1" applyFont="1"/>
    <xf numFmtId="41" fontId="24" fillId="0" borderId="0" xfId="83" applyNumberFormat="1" applyFont="1"/>
    <xf numFmtId="0" fontId="24" fillId="0" borderId="19" xfId="83" applyFont="1" applyBorder="1" applyAlignment="1">
      <alignment horizontal="left"/>
    </xf>
    <xf numFmtId="3" fontId="25" fillId="0" borderId="19" xfId="83" applyNumberFormat="1" applyFont="1" applyBorder="1" applyAlignment="1">
      <alignment horizontal="center"/>
    </xf>
    <xf numFmtId="37" fontId="24" fillId="0" borderId="19" xfId="83" applyNumberFormat="1" applyFont="1" applyBorder="1" applyAlignment="1" applyProtection="1">
      <alignment horizontal="center"/>
    </xf>
    <xf numFmtId="4" fontId="25" fillId="0" borderId="19" xfId="83" applyNumberFormat="1" applyFont="1" applyBorder="1" applyAlignment="1" applyProtection="1">
      <alignment horizontal="center"/>
    </xf>
    <xf numFmtId="41" fontId="24" fillId="0" borderId="19" xfId="83" applyNumberFormat="1" applyFont="1" applyBorder="1" applyAlignment="1">
      <alignment horizontal="center"/>
    </xf>
    <xf numFmtId="39" fontId="26" fillId="0" borderId="19" xfId="83" applyNumberFormat="1" applyFont="1" applyBorder="1" applyAlignment="1" applyProtection="1">
      <alignment horizontal="center"/>
    </xf>
    <xf numFmtId="167" fontId="24" fillId="0" borderId="19" xfId="83" applyNumberFormat="1" applyFont="1" applyBorder="1"/>
    <xf numFmtId="41" fontId="24" fillId="0" borderId="19" xfId="83" applyNumberFormat="1" applyFont="1" applyBorder="1"/>
    <xf numFmtId="167" fontId="25" fillId="0" borderId="0" xfId="28" applyNumberFormat="1" applyFont="1" applyAlignment="1" applyProtection="1">
      <alignment horizontal="center"/>
    </xf>
    <xf numFmtId="4" fontId="25" fillId="0" borderId="0" xfId="28" applyNumberFormat="1" applyFont="1" applyAlignment="1" applyProtection="1">
      <alignment horizontal="center"/>
    </xf>
    <xf numFmtId="0" fontId="23" fillId="0" borderId="0" xfId="83" applyFont="1" applyProtection="1"/>
    <xf numFmtId="3" fontId="25" fillId="0" borderId="0" xfId="83" applyNumberFormat="1" applyFont="1" applyAlignment="1" applyProtection="1">
      <alignment horizontal="center"/>
    </xf>
    <xf numFmtId="41" fontId="27" fillId="0" borderId="41" xfId="83" applyNumberFormat="1" applyFont="1" applyBorder="1" applyAlignment="1">
      <alignment horizontal="center"/>
    </xf>
    <xf numFmtId="39" fontId="24" fillId="0" borderId="0" xfId="83" applyNumberFormat="1" applyFont="1" applyAlignment="1" applyProtection="1">
      <alignment horizontal="center"/>
    </xf>
    <xf numFmtId="10" fontId="24" fillId="0" borderId="0" xfId="83" applyNumberFormat="1" applyFont="1"/>
    <xf numFmtId="0" fontId="24" fillId="0" borderId="0" xfId="83" applyFont="1" applyFill="1" applyAlignment="1">
      <alignment horizontal="center"/>
    </xf>
    <xf numFmtId="43" fontId="25" fillId="0" borderId="0" xfId="28" applyFont="1" applyAlignment="1" applyProtection="1">
      <alignment horizontal="center"/>
    </xf>
    <xf numFmtId="167" fontId="24" fillId="26" borderId="10" xfId="28" applyNumberFormat="1" applyFont="1" applyFill="1" applyBorder="1" applyAlignment="1">
      <alignment horizontal="center"/>
    </xf>
    <xf numFmtId="10" fontId="24" fillId="0" borderId="0" xfId="94" applyNumberFormat="1" applyFont="1" applyAlignment="1">
      <alignment horizontal="center"/>
    </xf>
    <xf numFmtId="17" fontId="24" fillId="0" borderId="0" xfId="83" applyNumberFormat="1" applyFont="1" applyProtection="1"/>
    <xf numFmtId="0" fontId="25" fillId="0" borderId="0" xfId="83" applyFont="1" applyAlignment="1" applyProtection="1">
      <alignment horizontal="center"/>
    </xf>
    <xf numFmtId="0" fontId="24" fillId="0" borderId="0" xfId="0" applyFont="1"/>
    <xf numFmtId="37" fontId="24" fillId="0" borderId="0" xfId="83" applyNumberFormat="1" applyFont="1" applyAlignment="1" applyProtection="1">
      <alignment horizontal="right"/>
    </xf>
    <xf numFmtId="4" fontId="25" fillId="0" borderId="0" xfId="83" applyNumberFormat="1" applyFont="1" applyFill="1" applyAlignment="1" applyProtection="1"/>
    <xf numFmtId="178" fontId="24" fillId="0" borderId="0" xfId="83" applyNumberFormat="1" applyFont="1" applyAlignment="1"/>
    <xf numFmtId="41" fontId="24" fillId="0" borderId="0" xfId="83" applyNumberFormat="1" applyFont="1" applyAlignment="1"/>
    <xf numFmtId="4" fontId="25" fillId="0" borderId="0" xfId="83" applyNumberFormat="1" applyFont="1" applyAlignment="1"/>
    <xf numFmtId="167" fontId="24" fillId="0" borderId="0" xfId="83" applyNumberFormat="1" applyFont="1" applyAlignment="1"/>
    <xf numFmtId="175" fontId="24" fillId="0" borderId="0" xfId="43" applyNumberFormat="1" applyFont="1" applyAlignment="1"/>
    <xf numFmtId="0" fontId="24" fillId="0" borderId="0" xfId="83" applyFont="1" applyAlignment="1"/>
    <xf numFmtId="170" fontId="24" fillId="0" borderId="0" xfId="28" applyNumberFormat="1" applyFont="1" applyAlignment="1"/>
    <xf numFmtId="167" fontId="24" fillId="0" borderId="0" xfId="28" applyNumberFormat="1" applyFont="1" applyAlignment="1"/>
    <xf numFmtId="1" fontId="24" fillId="0" borderId="0" xfId="83" applyNumberFormat="1" applyFont="1" applyAlignment="1" applyProtection="1">
      <alignment horizontal="right"/>
    </xf>
    <xf numFmtId="4" fontId="25" fillId="0" borderId="0" xfId="83" applyNumberFormat="1" applyFont="1" applyAlignment="1" applyProtection="1"/>
    <xf numFmtId="0" fontId="25" fillId="0" borderId="0" xfId="83" applyFont="1" applyAlignment="1" applyProtection="1">
      <alignment horizontal="right"/>
    </xf>
    <xf numFmtId="175" fontId="24" fillId="0" borderId="0" xfId="83" applyNumberFormat="1" applyFont="1" applyAlignment="1"/>
    <xf numFmtId="39" fontId="24" fillId="0" borderId="0" xfId="83" applyNumberFormat="1" applyFont="1" applyAlignment="1" applyProtection="1"/>
    <xf numFmtId="0" fontId="28" fillId="0" borderId="0" xfId="83" applyFont="1" applyBorder="1" applyAlignment="1" applyProtection="1">
      <alignment horizontal="center"/>
    </xf>
    <xf numFmtId="0" fontId="24" fillId="0" borderId="19" xfId="0" applyFont="1" applyBorder="1"/>
    <xf numFmtId="4" fontId="25" fillId="0" borderId="19" xfId="83" applyNumberFormat="1" applyFont="1" applyBorder="1" applyAlignment="1" applyProtection="1"/>
    <xf numFmtId="178" fontId="24" fillId="0" borderId="19" xfId="83" applyNumberFormat="1" applyFont="1" applyBorder="1" applyAlignment="1"/>
    <xf numFmtId="41" fontId="24" fillId="0" borderId="19" xfId="83" applyNumberFormat="1" applyFont="1" applyBorder="1" applyAlignment="1"/>
    <xf numFmtId="167" fontId="24" fillId="0" borderId="19" xfId="83" applyNumberFormat="1" applyFont="1" applyBorder="1" applyAlignment="1"/>
    <xf numFmtId="37" fontId="24" fillId="0" borderId="0" xfId="83" applyNumberFormat="1" applyFont="1" applyBorder="1" applyAlignment="1" applyProtection="1"/>
    <xf numFmtId="4" fontId="25" fillId="0" borderId="0" xfId="83" applyNumberFormat="1" applyFont="1" applyBorder="1" applyAlignment="1" applyProtection="1"/>
    <xf numFmtId="0" fontId="24" fillId="0" borderId="42" xfId="83" applyFont="1" applyBorder="1"/>
    <xf numFmtId="167" fontId="25" fillId="0" borderId="42" xfId="28" applyNumberFormat="1" applyFont="1" applyBorder="1" applyAlignment="1"/>
    <xf numFmtId="4" fontId="25" fillId="0" borderId="42" xfId="28" applyNumberFormat="1" applyFont="1" applyBorder="1" applyAlignment="1"/>
    <xf numFmtId="43" fontId="25" fillId="0" borderId="42" xfId="28" applyNumberFormat="1" applyFont="1" applyBorder="1" applyAlignment="1"/>
    <xf numFmtId="37" fontId="24" fillId="0" borderId="42" xfId="83" applyNumberFormat="1" applyFont="1" applyBorder="1" applyAlignment="1" applyProtection="1"/>
    <xf numFmtId="167" fontId="24" fillId="0" borderId="42" xfId="83" applyNumberFormat="1" applyFont="1" applyBorder="1" applyAlignment="1"/>
    <xf numFmtId="167" fontId="25" fillId="0" borderId="0" xfId="28" applyNumberFormat="1" applyFont="1" applyBorder="1" applyAlignment="1"/>
    <xf numFmtId="4" fontId="25" fillId="0" borderId="0" xfId="28" applyNumberFormat="1" applyFont="1" applyBorder="1" applyAlignment="1"/>
    <xf numFmtId="37" fontId="24" fillId="0" borderId="0" xfId="83" applyNumberFormat="1" applyFont="1" applyAlignment="1" applyProtection="1"/>
    <xf numFmtId="10" fontId="24" fillId="0" borderId="0" xfId="83" applyNumberFormat="1" applyFont="1" applyAlignment="1"/>
    <xf numFmtId="4" fontId="24" fillId="0" borderId="0" xfId="83" applyNumberFormat="1" applyFont="1" applyAlignment="1"/>
    <xf numFmtId="0" fontId="23" fillId="0" borderId="0" xfId="83" applyFont="1" applyAlignment="1">
      <alignment horizontal="center"/>
    </xf>
    <xf numFmtId="4" fontId="23" fillId="0" borderId="0" xfId="83" applyNumberFormat="1" applyFont="1" applyAlignment="1">
      <alignment horizontal="center"/>
    </xf>
    <xf numFmtId="0" fontId="23" fillId="0" borderId="0" xfId="83" applyFont="1" applyAlignment="1" applyProtection="1">
      <alignment horizontal="center"/>
    </xf>
    <xf numFmtId="0" fontId="23" fillId="28" borderId="0" xfId="83" applyFont="1" applyFill="1" applyAlignment="1">
      <alignment horizontal="center"/>
    </xf>
    <xf numFmtId="177" fontId="24" fillId="0" borderId="0" xfId="83" applyNumberFormat="1" applyFont="1" applyAlignment="1" applyProtection="1">
      <alignment horizontal="left"/>
    </xf>
    <xf numFmtId="4" fontId="23" fillId="0" borderId="19" xfId="83" applyNumberFormat="1" applyFont="1" applyBorder="1" applyAlignment="1" applyProtection="1">
      <alignment horizontal="center"/>
    </xf>
    <xf numFmtId="0" fontId="23" fillId="28" borderId="19" xfId="83" applyFont="1" applyFill="1" applyBorder="1" applyAlignment="1">
      <alignment horizontal="center"/>
    </xf>
    <xf numFmtId="0" fontId="23" fillId="0" borderId="19" xfId="83" applyFont="1" applyBorder="1" applyAlignment="1" applyProtection="1">
      <alignment horizontal="center"/>
    </xf>
    <xf numFmtId="0" fontId="24" fillId="28" borderId="19" xfId="83" applyFont="1" applyFill="1" applyBorder="1" applyAlignment="1">
      <alignment horizontal="center"/>
    </xf>
    <xf numFmtId="0" fontId="23" fillId="28" borderId="19" xfId="83" applyFont="1" applyFill="1" applyBorder="1" applyProtection="1"/>
    <xf numFmtId="1" fontId="24" fillId="0" borderId="0" xfId="83" applyNumberFormat="1" applyFont="1" applyAlignment="1" applyProtection="1">
      <alignment horizontal="center"/>
    </xf>
    <xf numFmtId="1" fontId="24" fillId="26" borderId="0" xfId="83" applyNumberFormat="1" applyFont="1" applyFill="1" applyAlignment="1" applyProtection="1">
      <alignment horizontal="center"/>
    </xf>
    <xf numFmtId="4" fontId="25" fillId="26" borderId="0" xfId="83" applyNumberFormat="1" applyFont="1" applyFill="1" applyAlignment="1" applyProtection="1">
      <alignment horizontal="center"/>
    </xf>
    <xf numFmtId="0" fontId="25" fillId="0" borderId="0" xfId="0" applyFont="1" applyAlignment="1">
      <alignment horizontal="center"/>
    </xf>
    <xf numFmtId="43" fontId="25" fillId="0" borderId="0" xfId="28" applyFont="1" applyAlignment="1">
      <alignment horizontal="center"/>
    </xf>
    <xf numFmtId="167" fontId="24" fillId="0" borderId="0" xfId="28" applyNumberFormat="1" applyFont="1"/>
    <xf numFmtId="43" fontId="24" fillId="0" borderId="0" xfId="28" applyNumberFormat="1" applyFont="1"/>
    <xf numFmtId="1" fontId="24" fillId="26" borderId="19" xfId="83" applyNumberFormat="1" applyFont="1" applyFill="1" applyBorder="1" applyAlignment="1" applyProtection="1">
      <alignment horizontal="center"/>
    </xf>
    <xf numFmtId="1" fontId="24" fillId="0" borderId="0" xfId="83" applyNumberFormat="1" applyFont="1" applyFill="1" applyAlignment="1" applyProtection="1">
      <alignment horizontal="center"/>
    </xf>
    <xf numFmtId="4" fontId="25" fillId="0" borderId="0" xfId="83" applyNumberFormat="1" applyFont="1" applyFill="1" applyAlignment="1" applyProtection="1">
      <alignment horizontal="center"/>
    </xf>
    <xf numFmtId="167" fontId="24" fillId="0" borderId="0" xfId="28" applyNumberFormat="1" applyFont="1" applyBorder="1" applyAlignment="1">
      <alignment horizontal="center"/>
    </xf>
    <xf numFmtId="167" fontId="24" fillId="0" borderId="0" xfId="83" applyNumberFormat="1" applyFont="1" applyAlignment="1">
      <alignment horizontal="center"/>
    </xf>
    <xf numFmtId="1" fontId="25" fillId="0" borderId="0" xfId="0" applyNumberFormat="1" applyFont="1" applyAlignment="1">
      <alignment horizontal="center"/>
    </xf>
    <xf numFmtId="0" fontId="23" fillId="0" borderId="0" xfId="0" applyFont="1"/>
    <xf numFmtId="0" fontId="24" fillId="0" borderId="19" xfId="83" applyFont="1" applyBorder="1"/>
    <xf numFmtId="39" fontId="25" fillId="0" borderId="0" xfId="83" applyNumberFormat="1" applyFont="1" applyAlignment="1" applyProtection="1">
      <alignment horizontal="center"/>
    </xf>
    <xf numFmtId="167" fontId="24" fillId="0" borderId="19" xfId="28" applyNumberFormat="1" applyFont="1" applyBorder="1" applyAlignment="1">
      <alignment horizontal="center"/>
    </xf>
    <xf numFmtId="167" fontId="24" fillId="0" borderId="19" xfId="28" applyNumberFormat="1" applyFont="1" applyBorder="1" applyAlignment="1" applyProtection="1">
      <alignment horizontal="center"/>
    </xf>
    <xf numFmtId="39" fontId="24" fillId="0" borderId="19" xfId="83" applyNumberFormat="1" applyFont="1" applyBorder="1" applyAlignment="1" applyProtection="1">
      <alignment horizontal="center"/>
    </xf>
    <xf numFmtId="167" fontId="25" fillId="0" borderId="0" xfId="28" applyNumberFormat="1" applyFont="1" applyBorder="1" applyAlignment="1">
      <alignment horizontal="center"/>
    </xf>
    <xf numFmtId="4" fontId="25" fillId="0" borderId="0" xfId="28" applyNumberFormat="1" applyFont="1" applyBorder="1" applyAlignment="1">
      <alignment horizontal="center"/>
    </xf>
    <xf numFmtId="167" fontId="25" fillId="28" borderId="0" xfId="28" applyNumberFormat="1" applyFont="1" applyFill="1" applyBorder="1" applyAlignment="1">
      <alignment horizontal="center"/>
    </xf>
    <xf numFmtId="167" fontId="24" fillId="28" borderId="0" xfId="28" applyNumberFormat="1" applyFont="1" applyFill="1" applyBorder="1" applyAlignment="1">
      <alignment horizontal="center"/>
    </xf>
    <xf numFmtId="1" fontId="24" fillId="0" borderId="0" xfId="83" applyNumberFormat="1" applyFont="1" applyAlignment="1">
      <alignment horizontal="center"/>
    </xf>
    <xf numFmtId="167" fontId="27" fillId="0" borderId="41" xfId="28" applyNumberFormat="1" applyFont="1" applyBorder="1" applyAlignment="1">
      <alignment horizontal="center"/>
    </xf>
    <xf numFmtId="41" fontId="24" fillId="0" borderId="0" xfId="94" applyNumberFormat="1" applyFont="1" applyAlignment="1">
      <alignment horizontal="center"/>
    </xf>
    <xf numFmtId="167" fontId="24" fillId="28" borderId="0" xfId="83" applyNumberFormat="1" applyFont="1" applyFill="1"/>
    <xf numFmtId="0" fontId="24" fillId="28" borderId="43" xfId="83" applyFont="1" applyFill="1" applyBorder="1" applyAlignment="1">
      <alignment horizontal="center"/>
    </xf>
    <xf numFmtId="167" fontId="24" fillId="28" borderId="44" xfId="83" applyNumberFormat="1" applyFont="1" applyFill="1" applyBorder="1" applyAlignment="1">
      <alignment horizontal="center"/>
    </xf>
    <xf numFmtId="0" fontId="24" fillId="28" borderId="29" xfId="83" applyFont="1" applyFill="1" applyBorder="1" applyAlignment="1">
      <alignment horizontal="center"/>
    </xf>
    <xf numFmtId="41" fontId="24" fillId="28" borderId="15" xfId="83" applyNumberFormat="1" applyFont="1" applyFill="1" applyBorder="1" applyAlignment="1">
      <alignment horizontal="center"/>
    </xf>
    <xf numFmtId="0" fontId="24" fillId="28" borderId="15" xfId="83" applyFont="1" applyFill="1" applyBorder="1" applyAlignment="1">
      <alignment horizontal="center"/>
    </xf>
    <xf numFmtId="0" fontId="30" fillId="0" borderId="0" xfId="83" applyFont="1" applyAlignment="1">
      <alignment horizontal="center"/>
    </xf>
    <xf numFmtId="0" fontId="24" fillId="28" borderId="45" xfId="83" applyFont="1" applyFill="1" applyBorder="1" applyAlignment="1">
      <alignment horizontal="center"/>
    </xf>
    <xf numFmtId="43" fontId="24" fillId="28" borderId="40" xfId="83" applyNumberFormat="1" applyFont="1" applyFill="1" applyBorder="1" applyAlignment="1">
      <alignment horizontal="center"/>
    </xf>
    <xf numFmtId="164" fontId="24" fillId="0" borderId="0" xfId="94" applyNumberFormat="1" applyFont="1" applyAlignment="1">
      <alignment horizontal="center"/>
    </xf>
    <xf numFmtId="0" fontId="29" fillId="0" borderId="0" xfId="83" applyFont="1"/>
    <xf numFmtId="167" fontId="24" fillId="0" borderId="0" xfId="28" applyNumberFormat="1" applyFont="1" applyAlignment="1">
      <alignment horizontal="center"/>
    </xf>
    <xf numFmtId="3" fontId="24" fillId="0" borderId="19" xfId="83" applyNumberFormat="1" applyFont="1" applyBorder="1" applyAlignment="1">
      <alignment horizontal="center"/>
    </xf>
    <xf numFmtId="44" fontId="24" fillId="0" borderId="19" xfId="43" applyFont="1" applyBorder="1" applyAlignment="1">
      <alignment horizontal="center"/>
    </xf>
    <xf numFmtId="175" fontId="24" fillId="0" borderId="19" xfId="43" applyNumberFormat="1" applyFont="1" applyBorder="1" applyAlignment="1"/>
    <xf numFmtId="3" fontId="24" fillId="0" borderId="0" xfId="83" applyNumberFormat="1" applyFont="1" applyBorder="1" applyAlignment="1">
      <alignment horizontal="center"/>
    </xf>
    <xf numFmtId="44" fontId="24" fillId="0" borderId="0" xfId="43" applyFont="1" applyBorder="1" applyAlignment="1">
      <alignment horizontal="center"/>
    </xf>
    <xf numFmtId="0" fontId="24" fillId="0" borderId="29" xfId="83" applyFont="1" applyBorder="1"/>
    <xf numFmtId="0" fontId="23" fillId="0" borderId="29" xfId="83" applyFont="1" applyBorder="1"/>
    <xf numFmtId="0" fontId="24" fillId="0" borderId="0" xfId="83" applyFont="1" applyBorder="1"/>
    <xf numFmtId="0" fontId="24" fillId="0" borderId="15" xfId="83" applyFont="1" applyBorder="1"/>
    <xf numFmtId="0" fontId="24" fillId="0" borderId="29" xfId="83" applyFont="1" applyBorder="1" applyAlignment="1">
      <alignment horizontal="left" indent="1"/>
    </xf>
    <xf numFmtId="175" fontId="24" fillId="0" borderId="0" xfId="43" applyNumberFormat="1" applyFont="1" applyBorder="1" applyAlignment="1"/>
    <xf numFmtId="175" fontId="24" fillId="0" borderId="15" xfId="43" applyNumberFormat="1" applyFont="1" applyBorder="1" applyAlignment="1"/>
    <xf numFmtId="175" fontId="24" fillId="0" borderId="40" xfId="43" applyNumberFormat="1" applyFont="1" applyBorder="1" applyAlignment="1"/>
    <xf numFmtId="3" fontId="23" fillId="0" borderId="0" xfId="83" applyNumberFormat="1" applyFont="1" applyBorder="1" applyAlignment="1">
      <alignment horizontal="center"/>
    </xf>
    <xf numFmtId="44" fontId="23" fillId="0" borderId="0" xfId="43" applyFont="1" applyBorder="1" applyAlignment="1">
      <alignment horizontal="center"/>
    </xf>
    <xf numFmtId="175" fontId="23" fillId="0" borderId="0" xfId="43" applyNumberFormat="1" applyFont="1" applyBorder="1" applyAlignment="1"/>
    <xf numFmtId="0" fontId="23" fillId="0" borderId="0" xfId="83" applyFont="1" applyBorder="1" applyAlignment="1">
      <alignment horizontal="center"/>
    </xf>
    <xf numFmtId="175" fontId="23" fillId="0" borderId="15" xfId="43" applyNumberFormat="1" applyFont="1" applyBorder="1" applyAlignment="1"/>
    <xf numFmtId="4" fontId="24" fillId="0" borderId="0" xfId="83" applyNumberFormat="1" applyFont="1" applyBorder="1" applyAlignment="1">
      <alignment horizontal="center"/>
    </xf>
    <xf numFmtId="0" fontId="23" fillId="0" borderId="45" xfId="83" applyFont="1" applyBorder="1"/>
    <xf numFmtId="3" fontId="23" fillId="0" borderId="19" xfId="83" applyNumberFormat="1" applyFont="1" applyBorder="1" applyAlignment="1">
      <alignment horizontal="center"/>
    </xf>
    <xf numFmtId="44" fontId="23" fillId="0" borderId="19" xfId="43" applyFont="1" applyBorder="1" applyAlignment="1">
      <alignment horizontal="center"/>
    </xf>
    <xf numFmtId="175" fontId="23" fillId="0" borderId="19" xfId="43" applyNumberFormat="1" applyFont="1" applyBorder="1" applyAlignment="1"/>
    <xf numFmtId="0" fontId="23" fillId="0" borderId="19" xfId="83" applyFont="1" applyBorder="1" applyAlignment="1">
      <alignment horizontal="center"/>
    </xf>
    <xf numFmtId="175" fontId="23" fillId="0" borderId="40" xfId="43" applyNumberFormat="1" applyFont="1" applyBorder="1" applyAlignment="1"/>
    <xf numFmtId="0" fontId="24" fillId="27" borderId="43" xfId="83" applyFont="1" applyFill="1" applyBorder="1"/>
    <xf numFmtId="0" fontId="24" fillId="27" borderId="46" xfId="83" applyFont="1" applyFill="1" applyBorder="1" applyAlignment="1">
      <alignment horizontal="center"/>
    </xf>
    <xf numFmtId="4" fontId="24" fillId="27" borderId="46" xfId="83" applyNumberFormat="1" applyFont="1" applyFill="1" applyBorder="1" applyAlignment="1">
      <alignment horizontal="center"/>
    </xf>
    <xf numFmtId="0" fontId="24" fillId="27" borderId="44" xfId="83" applyFont="1" applyFill="1" applyBorder="1" applyAlignment="1">
      <alignment horizontal="center"/>
    </xf>
    <xf numFmtId="0" fontId="24" fillId="27" borderId="29" xfId="83" applyFont="1" applyFill="1" applyBorder="1"/>
    <xf numFmtId="0" fontId="24" fillId="27" borderId="0" xfId="83" applyFont="1" applyFill="1" applyBorder="1" applyAlignment="1">
      <alignment horizontal="center"/>
    </xf>
    <xf numFmtId="4" fontId="24" fillId="27" borderId="0" xfId="83" applyNumberFormat="1" applyFont="1" applyFill="1" applyBorder="1" applyAlignment="1">
      <alignment horizontal="center"/>
    </xf>
    <xf numFmtId="0" fontId="24" fillId="27" borderId="15" xfId="83" applyFont="1" applyFill="1" applyBorder="1" applyAlignment="1">
      <alignment horizontal="center"/>
    </xf>
    <xf numFmtId="0" fontId="24" fillId="27" borderId="45" xfId="83" applyFont="1" applyFill="1" applyBorder="1"/>
    <xf numFmtId="0" fontId="24" fillId="27" borderId="19" xfId="83" applyFont="1" applyFill="1" applyBorder="1" applyAlignment="1" applyProtection="1">
      <alignment horizontal="center"/>
    </xf>
    <xf numFmtId="4" fontId="24" fillId="27" borderId="19" xfId="83" applyNumberFormat="1" applyFont="1" applyFill="1" applyBorder="1" applyAlignment="1" applyProtection="1">
      <alignment horizontal="center"/>
    </xf>
    <xf numFmtId="0" fontId="24" fillId="27" borderId="19" xfId="83" applyFont="1" applyFill="1" applyBorder="1" applyAlignment="1">
      <alignment horizontal="center"/>
    </xf>
    <xf numFmtId="0" fontId="24" fillId="27" borderId="40" xfId="83" applyFont="1" applyFill="1" applyBorder="1" applyAlignment="1">
      <alignment horizontal="center"/>
    </xf>
    <xf numFmtId="167" fontId="27" fillId="0" borderId="0" xfId="28" applyNumberFormat="1" applyFont="1" applyBorder="1" applyAlignment="1"/>
    <xf numFmtId="164" fontId="24" fillId="0" borderId="0" xfId="94" applyNumberFormat="1" applyFont="1" applyAlignment="1"/>
    <xf numFmtId="0" fontId="4" fillId="27" borderId="12" xfId="0" applyFont="1" applyFill="1" applyBorder="1" applyAlignment="1">
      <alignment horizontal="center" wrapText="1"/>
    </xf>
    <xf numFmtId="10" fontId="2" fillId="0" borderId="0" xfId="94" applyNumberFormat="1" applyFont="1"/>
    <xf numFmtId="0" fontId="34" fillId="0" borderId="0" xfId="77" applyFont="1" applyFill="1"/>
    <xf numFmtId="0" fontId="11" fillId="0" borderId="0" xfId="86" applyFont="1"/>
    <xf numFmtId="0" fontId="9" fillId="0" borderId="0" xfId="86" applyFont="1"/>
    <xf numFmtId="0" fontId="9" fillId="0" borderId="0" xfId="86" applyFont="1" applyFill="1"/>
    <xf numFmtId="17" fontId="12" fillId="26" borderId="0" xfId="86" applyNumberFormat="1" applyFont="1" applyFill="1" applyAlignment="1">
      <alignment horizontal="center"/>
    </xf>
    <xf numFmtId="17" fontId="12" fillId="0" borderId="0" xfId="86" applyNumberFormat="1" applyFont="1" applyAlignment="1">
      <alignment horizontal="center"/>
    </xf>
    <xf numFmtId="0" fontId="12" fillId="0" borderId="0" xfId="86" applyFont="1" applyAlignment="1">
      <alignment horizontal="center"/>
    </xf>
    <xf numFmtId="167" fontId="9" fillId="26" borderId="0" xfId="28" applyNumberFormat="1" applyFont="1" applyFill="1"/>
    <xf numFmtId="167" fontId="9" fillId="26" borderId="0" xfId="28" applyNumberFormat="1" applyFont="1" applyFill="1" applyBorder="1"/>
    <xf numFmtId="167" fontId="9" fillId="0" borderId="0" xfId="28" applyNumberFormat="1" applyFont="1" applyFill="1" applyBorder="1"/>
    <xf numFmtId="167" fontId="9" fillId="0" borderId="46" xfId="28" applyNumberFormat="1" applyFont="1" applyBorder="1"/>
    <xf numFmtId="167" fontId="9" fillId="0" borderId="0" xfId="86" applyNumberFormat="1" applyFont="1"/>
    <xf numFmtId="0" fontId="38" fillId="0" borderId="0" xfId="79" applyFont="1"/>
    <xf numFmtId="0" fontId="6" fillId="0" borderId="0" xfId="79"/>
    <xf numFmtId="0" fontId="6" fillId="0" borderId="0" xfId="79" applyAlignment="1">
      <alignment horizontal="right"/>
    </xf>
    <xf numFmtId="17" fontId="38" fillId="26" borderId="0" xfId="79" applyNumberFormat="1" applyFont="1" applyFill="1" applyAlignment="1">
      <alignment horizontal="center"/>
    </xf>
    <xf numFmtId="17" fontId="38" fillId="0" borderId="0" xfId="79" applyNumberFormat="1" applyFont="1" applyAlignment="1">
      <alignment horizontal="center"/>
    </xf>
    <xf numFmtId="0" fontId="38" fillId="0" borderId="0" xfId="79" applyFont="1" applyAlignment="1">
      <alignment horizontal="center"/>
    </xf>
    <xf numFmtId="0" fontId="39" fillId="0" borderId="0" xfId="79" applyFont="1" applyAlignment="1">
      <alignment horizontal="center"/>
    </xf>
    <xf numFmtId="0" fontId="14" fillId="0" borderId="0" xfId="79" applyFont="1"/>
    <xf numFmtId="17" fontId="39" fillId="0" borderId="0" xfId="79" applyNumberFormat="1" applyFont="1" applyAlignment="1">
      <alignment horizontal="center"/>
    </xf>
    <xf numFmtId="167" fontId="6" fillId="0" borderId="0" xfId="40" applyNumberFormat="1"/>
    <xf numFmtId="167" fontId="6" fillId="0" borderId="46" xfId="40" applyNumberFormat="1" applyBorder="1"/>
    <xf numFmtId="0" fontId="26" fillId="0" borderId="0" xfId="79" applyFont="1"/>
    <xf numFmtId="37" fontId="26" fillId="0" borderId="0" xfId="41" applyNumberFormat="1" applyFont="1"/>
    <xf numFmtId="37" fontId="26" fillId="0" borderId="0" xfId="41" applyNumberFormat="1" applyFont="1" applyBorder="1"/>
    <xf numFmtId="167" fontId="40" fillId="0" borderId="0" xfId="40" applyNumberFormat="1" applyFont="1"/>
    <xf numFmtId="0" fontId="40" fillId="0" borderId="0" xfId="79" applyFont="1"/>
    <xf numFmtId="0" fontId="41" fillId="0" borderId="0" xfId="79" applyFont="1"/>
    <xf numFmtId="164" fontId="26" fillId="0" borderId="0" xfId="94" applyNumberFormat="1" applyFont="1"/>
    <xf numFmtId="43" fontId="38" fillId="0" borderId="0" xfId="79" applyNumberFormat="1" applyFont="1"/>
    <xf numFmtId="43" fontId="6" fillId="0" borderId="0" xfId="79" applyNumberFormat="1"/>
    <xf numFmtId="167" fontId="6" fillId="26" borderId="0" xfId="40" applyNumberFormat="1" applyFill="1"/>
    <xf numFmtId="10" fontId="6" fillId="0" borderId="0" xfId="94" applyNumberFormat="1" applyFont="1"/>
    <xf numFmtId="43" fontId="6" fillId="0" borderId="0" xfId="40" applyNumberFormat="1"/>
    <xf numFmtId="167" fontId="6" fillId="26" borderId="0" xfId="40" applyNumberFormat="1" applyFont="1" applyFill="1"/>
    <xf numFmtId="0" fontId="38" fillId="0" borderId="47" xfId="79" applyFont="1" applyBorder="1"/>
    <xf numFmtId="0" fontId="38" fillId="0" borderId="48" xfId="79" applyFont="1" applyBorder="1"/>
    <xf numFmtId="167" fontId="38" fillId="0" borderId="48" xfId="40" applyNumberFormat="1" applyFont="1" applyBorder="1"/>
    <xf numFmtId="167" fontId="38" fillId="0" borderId="49" xfId="40" applyNumberFormat="1" applyFont="1" applyBorder="1"/>
    <xf numFmtId="167" fontId="6" fillId="0" borderId="0" xfId="79" applyNumberFormat="1"/>
    <xf numFmtId="167" fontId="6" fillId="0" borderId="0" xfId="40" applyNumberFormat="1" applyFill="1"/>
    <xf numFmtId="0" fontId="6" fillId="0" borderId="30" xfId="79" applyBorder="1"/>
    <xf numFmtId="0" fontId="6" fillId="0" borderId="26" xfId="79" applyBorder="1"/>
    <xf numFmtId="167" fontId="6" fillId="26" borderId="26" xfId="40" applyNumberFormat="1" applyFill="1" applyBorder="1"/>
    <xf numFmtId="167" fontId="6" fillId="0" borderId="50" xfId="40" applyNumberFormat="1" applyBorder="1"/>
    <xf numFmtId="0" fontId="6" fillId="0" borderId="43" xfId="79" applyBorder="1"/>
    <xf numFmtId="0" fontId="6" fillId="0" borderId="46" xfId="79" applyBorder="1"/>
    <xf numFmtId="167" fontId="6" fillId="26" borderId="46" xfId="40" applyNumberFormat="1" applyFill="1" applyBorder="1"/>
    <xf numFmtId="167" fontId="6" fillId="0" borderId="44" xfId="40" applyNumberFormat="1" applyBorder="1"/>
    <xf numFmtId="43" fontId="6" fillId="0" borderId="0" xfId="40"/>
    <xf numFmtId="181" fontId="6" fillId="0" borderId="0" xfId="41" applyNumberFormat="1"/>
    <xf numFmtId="167" fontId="38" fillId="0" borderId="48" xfId="79" applyNumberFormat="1" applyFont="1" applyBorder="1"/>
    <xf numFmtId="167" fontId="38" fillId="0" borderId="49" xfId="79" applyNumberFormat="1" applyFont="1" applyBorder="1"/>
    <xf numFmtId="167" fontId="38" fillId="0" borderId="46" xfId="40" applyNumberFormat="1" applyFont="1" applyBorder="1"/>
    <xf numFmtId="167" fontId="38" fillId="0" borderId="0" xfId="40" applyNumberFormat="1" applyFont="1" applyBorder="1"/>
    <xf numFmtId="180" fontId="6" fillId="0" borderId="0" xfId="41" applyFill="1"/>
    <xf numFmtId="180" fontId="38" fillId="0" borderId="0" xfId="41" applyFont="1"/>
    <xf numFmtId="180" fontId="6" fillId="32" borderId="0" xfId="41" applyFill="1"/>
    <xf numFmtId="44" fontId="6" fillId="0" borderId="0" xfId="55" applyNumberFormat="1" applyFill="1"/>
    <xf numFmtId="44" fontId="38" fillId="0" borderId="0" xfId="55" applyNumberFormat="1" applyFont="1"/>
    <xf numFmtId="44" fontId="6" fillId="0" borderId="46" xfId="55" applyNumberFormat="1" applyBorder="1"/>
    <xf numFmtId="44" fontId="6" fillId="0" borderId="0" xfId="55" applyNumberFormat="1"/>
    <xf numFmtId="44" fontId="6" fillId="0" borderId="0" xfId="54"/>
    <xf numFmtId="44" fontId="6" fillId="0" borderId="0" xfId="55" applyNumberFormat="1" applyFont="1" applyFill="1"/>
    <xf numFmtId="44" fontId="38" fillId="0" borderId="0" xfId="55" applyNumberFormat="1" applyFont="1" applyFill="1"/>
    <xf numFmtId="167" fontId="6" fillId="0" borderId="0" xfId="40" applyNumberFormat="1" applyBorder="1"/>
    <xf numFmtId="167" fontId="38" fillId="0" borderId="0" xfId="40" applyNumberFormat="1" applyFont="1"/>
    <xf numFmtId="167" fontId="38" fillId="0" borderId="0" xfId="40" applyNumberFormat="1" applyFont="1" applyFill="1" applyBorder="1"/>
    <xf numFmtId="167" fontId="38" fillId="0" borderId="0" xfId="79" applyNumberFormat="1" applyFont="1"/>
    <xf numFmtId="167" fontId="26" fillId="0" borderId="0" xfId="40" applyNumberFormat="1" applyFont="1"/>
    <xf numFmtId="167" fontId="6" fillId="0" borderId="0" xfId="40" applyNumberFormat="1" applyFont="1" applyFill="1"/>
    <xf numFmtId="167" fontId="38" fillId="0" borderId="19" xfId="40" applyNumberFormat="1" applyFont="1" applyBorder="1"/>
    <xf numFmtId="182" fontId="6" fillId="0" borderId="0" xfId="55" applyNumberFormat="1"/>
    <xf numFmtId="17" fontId="38" fillId="0" borderId="19" xfId="79" quotePrefix="1" applyNumberFormat="1" applyFont="1" applyBorder="1" applyAlignment="1">
      <alignment horizontal="center"/>
    </xf>
    <xf numFmtId="0" fontId="38" fillId="0" borderId="19" xfId="79" applyFont="1" applyBorder="1" applyAlignment="1">
      <alignment horizontal="center"/>
    </xf>
    <xf numFmtId="180" fontId="6" fillId="0" borderId="0" xfId="41"/>
    <xf numFmtId="17" fontId="6" fillId="0" borderId="0" xfId="79" applyNumberFormat="1"/>
    <xf numFmtId="179" fontId="6" fillId="0" borderId="0" xfId="55"/>
    <xf numFmtId="0" fontId="14" fillId="0" borderId="0" xfId="80" applyFont="1"/>
    <xf numFmtId="167" fontId="6" fillId="0" borderId="0" xfId="28" applyNumberFormat="1" applyFont="1"/>
    <xf numFmtId="176" fontId="6" fillId="0" borderId="0" xfId="28" applyNumberFormat="1" applyFont="1"/>
    <xf numFmtId="43" fontId="6" fillId="0" borderId="0" xfId="28" applyNumberFormat="1" applyFont="1"/>
    <xf numFmtId="43" fontId="6" fillId="0" borderId="0" xfId="28" applyFont="1"/>
    <xf numFmtId="0" fontId="6" fillId="0" borderId="0" xfId="80"/>
    <xf numFmtId="0" fontId="38" fillId="0" borderId="0" xfId="80" applyFont="1"/>
    <xf numFmtId="0" fontId="6" fillId="33" borderId="0" xfId="80" applyFill="1" applyAlignment="1">
      <alignment horizontal="center"/>
    </xf>
    <xf numFmtId="167" fontId="6" fillId="0" borderId="0" xfId="28" applyNumberFormat="1" applyFont="1" applyFill="1" applyBorder="1" applyAlignment="1">
      <alignment horizontal="center"/>
    </xf>
    <xf numFmtId="0" fontId="6" fillId="34" borderId="10" xfId="80" applyFill="1" applyBorder="1" applyAlignment="1">
      <alignment horizontal="center" vertical="top" wrapText="1"/>
    </xf>
    <xf numFmtId="167" fontId="6" fillId="34" borderId="26" xfId="28" applyNumberFormat="1" applyFont="1" applyFill="1" applyBorder="1" applyAlignment="1">
      <alignment horizontal="center" vertical="top" wrapText="1"/>
    </xf>
    <xf numFmtId="43" fontId="6" fillId="34" borderId="26" xfId="28" applyNumberFormat="1" applyFont="1" applyFill="1" applyBorder="1" applyAlignment="1">
      <alignment horizontal="center" vertical="top" wrapText="1"/>
    </xf>
    <xf numFmtId="43" fontId="6" fillId="34" borderId="50" xfId="28" applyNumberFormat="1" applyFont="1" applyFill="1" applyBorder="1" applyAlignment="1">
      <alignment horizontal="center" vertical="top" wrapText="1"/>
    </xf>
    <xf numFmtId="43" fontId="6" fillId="34" borderId="30" xfId="28" applyNumberFormat="1" applyFont="1" applyFill="1" applyBorder="1" applyAlignment="1">
      <alignment horizontal="center" vertical="top" wrapText="1"/>
    </xf>
    <xf numFmtId="176" fontId="6" fillId="34" borderId="26" xfId="28" applyNumberFormat="1" applyFont="1" applyFill="1" applyBorder="1" applyAlignment="1">
      <alignment horizontal="center" vertical="top" wrapText="1"/>
    </xf>
    <xf numFmtId="43" fontId="6" fillId="34" borderId="50" xfId="28" applyFont="1" applyFill="1" applyBorder="1" applyAlignment="1">
      <alignment horizontal="center" vertical="top" wrapText="1"/>
    </xf>
    <xf numFmtId="167" fontId="6" fillId="34" borderId="30" xfId="28" applyNumberFormat="1" applyFont="1" applyFill="1" applyBorder="1" applyAlignment="1">
      <alignment horizontal="center" vertical="top" wrapText="1"/>
    </xf>
    <xf numFmtId="176" fontId="6" fillId="34" borderId="50" xfId="28" applyNumberFormat="1" applyFont="1" applyFill="1" applyBorder="1" applyAlignment="1">
      <alignment horizontal="center" vertical="top" wrapText="1"/>
    </xf>
    <xf numFmtId="0" fontId="6" fillId="0" borderId="0" xfId="80" applyAlignment="1">
      <alignment vertical="top" wrapText="1"/>
    </xf>
    <xf numFmtId="0" fontId="6" fillId="0" borderId="17" xfId="80" applyBorder="1"/>
    <xf numFmtId="167" fontId="6" fillId="0" borderId="46" xfId="28" applyNumberFormat="1" applyFont="1" applyBorder="1"/>
    <xf numFmtId="176" fontId="6" fillId="0" borderId="46" xfId="28" applyNumberFormat="1" applyFont="1" applyBorder="1"/>
    <xf numFmtId="43" fontId="6" fillId="0" borderId="15" xfId="28" applyNumberFormat="1" applyFont="1" applyBorder="1"/>
    <xf numFmtId="43" fontId="6" fillId="0" borderId="29" xfId="28" applyNumberFormat="1" applyFont="1" applyBorder="1"/>
    <xf numFmtId="176" fontId="6" fillId="0" borderId="0" xfId="28" applyNumberFormat="1" applyFont="1" applyBorder="1"/>
    <xf numFmtId="43" fontId="6" fillId="0" borderId="15" xfId="28" applyFont="1" applyBorder="1"/>
    <xf numFmtId="167" fontId="38" fillId="0" borderId="43" xfId="28" applyNumberFormat="1" applyFont="1" applyBorder="1"/>
    <xf numFmtId="176" fontId="38" fillId="0" borderId="46" xfId="28" applyNumberFormat="1" applyFont="1" applyBorder="1"/>
    <xf numFmtId="176" fontId="38" fillId="0" borderId="15" xfId="28" applyNumberFormat="1" applyFont="1" applyBorder="1"/>
    <xf numFmtId="17" fontId="6" fillId="26" borderId="16" xfId="80" applyNumberFormat="1" applyFill="1" applyBorder="1"/>
    <xf numFmtId="43" fontId="35" fillId="0" borderId="29" xfId="28" applyNumberFormat="1" applyFont="1" applyBorder="1"/>
    <xf numFmtId="44" fontId="34" fillId="0" borderId="0" xfId="43" applyFont="1" applyFill="1" applyBorder="1"/>
    <xf numFmtId="44" fontId="35" fillId="0" borderId="15" xfId="43" applyFont="1" applyBorder="1"/>
    <xf numFmtId="43" fontId="34" fillId="0" borderId="0" xfId="28" applyNumberFormat="1" applyFont="1" applyBorder="1"/>
    <xf numFmtId="44" fontId="34" fillId="0" borderId="15" xfId="43" applyNumberFormat="1" applyFont="1" applyBorder="1"/>
    <xf numFmtId="17" fontId="6" fillId="0" borderId="16" xfId="80" applyNumberFormat="1" applyBorder="1"/>
    <xf numFmtId="17" fontId="6" fillId="34" borderId="10" xfId="80" applyNumberFormat="1" applyFill="1" applyBorder="1"/>
    <xf numFmtId="43" fontId="6" fillId="34" borderId="26" xfId="28" applyNumberFormat="1" applyFont="1" applyFill="1" applyBorder="1"/>
    <xf numFmtId="44" fontId="6" fillId="34" borderId="26" xfId="43" applyFont="1" applyFill="1" applyBorder="1"/>
    <xf numFmtId="44" fontId="6" fillId="34" borderId="50" xfId="43" applyFont="1" applyFill="1" applyBorder="1"/>
    <xf numFmtId="43" fontId="6" fillId="34" borderId="30" xfId="28" applyNumberFormat="1" applyFont="1" applyFill="1" applyBorder="1"/>
    <xf numFmtId="43" fontId="34" fillId="34" borderId="30" xfId="28" applyNumberFormat="1" applyFont="1" applyFill="1" applyBorder="1"/>
    <xf numFmtId="43" fontId="34" fillId="34" borderId="26" xfId="28" applyNumberFormat="1" applyFont="1" applyFill="1" applyBorder="1"/>
    <xf numFmtId="44" fontId="38" fillId="34" borderId="50" xfId="43" applyFont="1" applyFill="1" applyBorder="1"/>
    <xf numFmtId="164" fontId="6" fillId="0" borderId="0" xfId="94" applyNumberFormat="1" applyFont="1"/>
    <xf numFmtId="17" fontId="6" fillId="0" borderId="0" xfId="80" applyNumberFormat="1" applyBorder="1"/>
    <xf numFmtId="167" fontId="6" fillId="0" borderId="0" xfId="28" applyNumberFormat="1" applyFont="1" applyBorder="1"/>
    <xf numFmtId="170" fontId="6" fillId="0" borderId="0" xfId="28" applyNumberFormat="1" applyFont="1"/>
    <xf numFmtId="175" fontId="35" fillId="0" borderId="15" xfId="43" applyNumberFormat="1" applyFont="1" applyBorder="1"/>
    <xf numFmtId="175" fontId="38" fillId="34" borderId="50" xfId="43" applyNumberFormat="1" applyFont="1" applyFill="1" applyBorder="1"/>
    <xf numFmtId="0" fontId="6" fillId="0" borderId="0" xfId="80" applyFont="1"/>
    <xf numFmtId="0" fontId="6" fillId="0" borderId="0" xfId="74"/>
    <xf numFmtId="0" fontId="6" fillId="27" borderId="10" xfId="74" applyFill="1" applyBorder="1" applyAlignment="1">
      <alignment horizontal="center"/>
    </xf>
    <xf numFmtId="0" fontId="40" fillId="27" borderId="10" xfId="74" applyFont="1" applyFill="1" applyBorder="1" applyAlignment="1">
      <alignment horizontal="center"/>
    </xf>
    <xf numFmtId="0" fontId="6" fillId="0" borderId="10" xfId="74" applyBorder="1"/>
    <xf numFmtId="0" fontId="40" fillId="0" borderId="10" xfId="74" applyFont="1" applyBorder="1"/>
    <xf numFmtId="0" fontId="6" fillId="0" borderId="51" xfId="74" applyBorder="1"/>
    <xf numFmtId="167" fontId="6" fillId="0" borderId="12" xfId="28" applyNumberFormat="1" applyFont="1" applyBorder="1"/>
    <xf numFmtId="167" fontId="40" fillId="0" borderId="10" xfId="74" applyNumberFormat="1" applyFont="1" applyBorder="1"/>
    <xf numFmtId="0" fontId="6" fillId="0" borderId="52" xfId="74" applyBorder="1"/>
    <xf numFmtId="0" fontId="6" fillId="0" borderId="0" xfId="74" applyAlignment="1">
      <alignment horizontal="right"/>
    </xf>
    <xf numFmtId="0" fontId="38" fillId="0" borderId="26" xfId="74" applyFont="1" applyBorder="1" applyAlignment="1">
      <alignment horizontal="right"/>
    </xf>
    <xf numFmtId="0" fontId="38" fillId="0" borderId="26" xfId="74" applyFont="1" applyBorder="1"/>
    <xf numFmtId="167" fontId="38" fillId="0" borderId="26" xfId="74" applyNumberFormat="1" applyFont="1" applyBorder="1"/>
    <xf numFmtId="0" fontId="38" fillId="0" borderId="0" xfId="74" applyFont="1" applyBorder="1"/>
    <xf numFmtId="167" fontId="38" fillId="0" borderId="0" xfId="74" applyNumberFormat="1" applyFont="1" applyBorder="1"/>
    <xf numFmtId="0" fontId="6" fillId="27" borderId="10" xfId="74" applyFill="1" applyBorder="1" applyAlignment="1"/>
    <xf numFmtId="0" fontId="40" fillId="27" borderId="10" xfId="74" applyFont="1" applyFill="1" applyBorder="1" applyAlignment="1"/>
    <xf numFmtId="167" fontId="40" fillId="0" borderId="10" xfId="28" applyNumberFormat="1" applyFont="1" applyBorder="1"/>
    <xf numFmtId="0" fontId="6" fillId="0" borderId="0" xfId="74" applyBorder="1"/>
    <xf numFmtId="167" fontId="40" fillId="0" borderId="0" xfId="28" applyNumberFormat="1" applyFont="1" applyBorder="1"/>
    <xf numFmtId="164" fontId="38" fillId="0" borderId="26" xfId="94" applyNumberFormat="1" applyFont="1" applyBorder="1"/>
    <xf numFmtId="167" fontId="6" fillId="0" borderId="0" xfId="74" applyNumberFormat="1"/>
    <xf numFmtId="0" fontId="6" fillId="0" borderId="0" xfId="74" applyAlignment="1">
      <alignment horizontal="center"/>
    </xf>
    <xf numFmtId="0" fontId="6" fillId="0" borderId="0" xfId="74" applyFont="1"/>
    <xf numFmtId="0" fontId="6" fillId="0" borderId="0" xfId="74" applyFont="1" applyAlignment="1">
      <alignment horizontal="center"/>
    </xf>
    <xf numFmtId="9" fontId="6" fillId="0" borderId="0" xfId="94" applyFont="1"/>
    <xf numFmtId="9" fontId="6" fillId="0" borderId="0" xfId="74" applyNumberFormat="1"/>
    <xf numFmtId="9" fontId="6" fillId="0" borderId="0" xfId="94" applyFont="1" applyAlignment="1">
      <alignment horizontal="right"/>
    </xf>
    <xf numFmtId="0" fontId="6" fillId="0" borderId="0" xfId="74" applyFont="1" applyAlignment="1">
      <alignment horizontal="right"/>
    </xf>
    <xf numFmtId="0" fontId="6" fillId="0" borderId="0" xfId="0" applyFont="1"/>
    <xf numFmtId="164" fontId="5" fillId="0" borderId="0" xfId="94" applyNumberFormat="1" applyFont="1" applyProtection="1"/>
    <xf numFmtId="0" fontId="24" fillId="0" borderId="0" xfId="83" applyFont="1" applyAlignment="1">
      <alignment horizontal="right"/>
    </xf>
    <xf numFmtId="44" fontId="24" fillId="0" borderId="0" xfId="43" applyNumberFormat="1" applyFont="1" applyBorder="1" applyAlignment="1"/>
    <xf numFmtId="44" fontId="24" fillId="0" borderId="19" xfId="43" applyNumberFormat="1" applyFont="1" applyBorder="1" applyAlignment="1"/>
    <xf numFmtId="44" fontId="23" fillId="0" borderId="0" xfId="43" applyNumberFormat="1" applyFont="1" applyBorder="1" applyAlignment="1"/>
    <xf numFmtId="44" fontId="23" fillId="0" borderId="19" xfId="43" applyNumberFormat="1" applyFont="1" applyBorder="1" applyAlignment="1"/>
    <xf numFmtId="0" fontId="24" fillId="0" borderId="16" xfId="83" applyFont="1" applyBorder="1"/>
    <xf numFmtId="0" fontId="24" fillId="0" borderId="12" xfId="83" applyFont="1" applyBorder="1"/>
    <xf numFmtId="0" fontId="24" fillId="31" borderId="17" xfId="83" applyFont="1" applyFill="1" applyBorder="1" applyAlignment="1">
      <alignment horizontal="center"/>
    </xf>
    <xf numFmtId="0" fontId="24" fillId="31" borderId="16" xfId="83" applyFont="1" applyFill="1" applyBorder="1" applyAlignment="1">
      <alignment horizontal="center"/>
    </xf>
    <xf numFmtId="0" fontId="24" fillId="31" borderId="12" xfId="83" applyFont="1" applyFill="1" applyBorder="1" applyAlignment="1">
      <alignment horizontal="center"/>
    </xf>
    <xf numFmtId="5" fontId="24" fillId="0" borderId="12" xfId="83" applyNumberFormat="1" applyFont="1" applyBorder="1"/>
    <xf numFmtId="44" fontId="24" fillId="0" borderId="0" xfId="43" applyFont="1" applyAlignment="1" applyProtection="1">
      <alignment horizontal="center"/>
    </xf>
    <xf numFmtId="164" fontId="24" fillId="0" borderId="0" xfId="94" applyNumberFormat="1" applyFont="1"/>
    <xf numFmtId="44" fontId="24" fillId="0" borderId="18" xfId="43" applyFont="1" applyBorder="1" applyAlignment="1">
      <alignment horizontal="center"/>
    </xf>
    <xf numFmtId="44" fontId="24" fillId="0" borderId="0" xfId="83" applyNumberFormat="1" applyFont="1"/>
    <xf numFmtId="184" fontId="24" fillId="0" borderId="0" xfId="83" applyNumberFormat="1" applyFont="1"/>
    <xf numFmtId="167" fontId="5" fillId="0" borderId="0" xfId="28" applyNumberFormat="1" applyFont="1" applyProtection="1"/>
    <xf numFmtId="175" fontId="5" fillId="0" borderId="0" xfId="43" applyNumberFormat="1" applyFont="1" applyProtection="1"/>
    <xf numFmtId="3" fontId="5" fillId="0" borderId="0" xfId="82" applyNumberFormat="1" applyFont="1" applyProtection="1"/>
    <xf numFmtId="0" fontId="34" fillId="0" borderId="0" xfId="82" applyFont="1" applyAlignment="1" applyProtection="1">
      <alignment horizontal="center"/>
    </xf>
    <xf numFmtId="0" fontId="34" fillId="0" borderId="0" xfId="82" applyFont="1" applyProtection="1"/>
    <xf numFmtId="5" fontId="34" fillId="0" borderId="0" xfId="82" applyNumberFormat="1" applyFont="1" applyProtection="1"/>
    <xf numFmtId="3" fontId="5" fillId="0" borderId="0" xfId="82" applyNumberFormat="1"/>
    <xf numFmtId="175" fontId="5" fillId="0" borderId="0" xfId="82" applyNumberFormat="1" applyFont="1" applyProtection="1"/>
    <xf numFmtId="175" fontId="5" fillId="0" borderId="0" xfId="82" applyNumberFormat="1" applyFont="1" applyBorder="1" applyProtection="1"/>
    <xf numFmtId="175" fontId="5" fillId="0" borderId="19" xfId="82" applyNumberFormat="1" applyFont="1" applyBorder="1" applyProtection="1"/>
    <xf numFmtId="3" fontId="5" fillId="0" borderId="19" xfId="82" applyNumberFormat="1" applyFont="1" applyBorder="1" applyProtection="1"/>
    <xf numFmtId="0" fontId="5" fillId="0" borderId="0" xfId="82" applyFont="1"/>
    <xf numFmtId="3" fontId="5" fillId="0" borderId="19" xfId="82" applyNumberFormat="1" applyBorder="1"/>
    <xf numFmtId="44" fontId="5" fillId="0" borderId="0" xfId="43" applyFont="1"/>
    <xf numFmtId="5" fontId="5" fillId="0" borderId="19" xfId="82" applyNumberFormat="1" applyFont="1" applyBorder="1" applyProtection="1"/>
    <xf numFmtId="0" fontId="0" fillId="0" borderId="0" xfId="0" applyAlignment="1">
      <alignment horizontal="left" indent="1"/>
    </xf>
    <xf numFmtId="0" fontId="0" fillId="0" borderId="0" xfId="0" applyBorder="1"/>
    <xf numFmtId="167" fontId="24" fillId="0" borderId="26" xfId="28" applyNumberFormat="1" applyFont="1" applyBorder="1" applyAlignment="1"/>
    <xf numFmtId="43" fontId="24" fillId="0" borderId="0" xfId="83" applyNumberFormat="1" applyFont="1"/>
    <xf numFmtId="38" fontId="9" fillId="0" borderId="40" xfId="76" applyFont="1" applyBorder="1"/>
    <xf numFmtId="164" fontId="5" fillId="0" borderId="0" xfId="82" applyNumberFormat="1" applyFont="1" applyFill="1" applyProtection="1"/>
    <xf numFmtId="5" fontId="11" fillId="0" borderId="28" xfId="76" applyNumberFormat="1" applyFont="1" applyBorder="1" applyAlignment="1"/>
    <xf numFmtId="167" fontId="9" fillId="0" borderId="0" xfId="76" applyNumberFormat="1" applyFont="1" applyBorder="1" applyAlignment="1">
      <alignment horizontal="right"/>
    </xf>
    <xf numFmtId="10" fontId="9" fillId="0" borderId="0" xfId="94" applyNumberFormat="1" applyFont="1" applyBorder="1"/>
    <xf numFmtId="10" fontId="9" fillId="0" borderId="0" xfId="85" applyNumberFormat="1" applyFont="1" applyBorder="1"/>
    <xf numFmtId="41" fontId="11" fillId="0" borderId="23" xfId="76" applyNumberFormat="1" applyFont="1" applyBorder="1" applyAlignment="1"/>
    <xf numFmtId="41" fontId="11" fillId="0" borderId="22" xfId="76" applyNumberFormat="1" applyFont="1" applyBorder="1" applyAlignment="1"/>
    <xf numFmtId="5" fontId="11" fillId="0" borderId="22" xfId="76" applyNumberFormat="1" applyFont="1" applyBorder="1" applyAlignment="1"/>
    <xf numFmtId="49" fontId="9" fillId="0" borderId="0" xfId="85" applyNumberFormat="1" applyFont="1" applyFill="1" applyBorder="1" applyAlignment="1"/>
    <xf numFmtId="167" fontId="9" fillId="0" borderId="15" xfId="28" applyNumberFormat="1" applyFont="1" applyFill="1" applyBorder="1"/>
    <xf numFmtId="0" fontId="9" fillId="0" borderId="13" xfId="85" applyFont="1" applyBorder="1" applyAlignment="1">
      <alignment horizontal="left" indent="1"/>
    </xf>
    <xf numFmtId="0" fontId="11" fillId="0" borderId="13" xfId="85" applyFont="1" applyBorder="1" applyAlignment="1">
      <alignment horizontal="left"/>
    </xf>
    <xf numFmtId="0" fontId="11" fillId="0" borderId="13" xfId="85" applyFont="1" applyFill="1" applyBorder="1"/>
    <xf numFmtId="0" fontId="11" fillId="0" borderId="53" xfId="85" applyFont="1" applyFill="1" applyBorder="1"/>
    <xf numFmtId="0" fontId="11" fillId="0" borderId="13" xfId="85" applyFont="1" applyBorder="1"/>
    <xf numFmtId="0" fontId="41" fillId="0" borderId="14" xfId="85" applyFont="1" applyFill="1" applyBorder="1"/>
    <xf numFmtId="41" fontId="41" fillId="0" borderId="54" xfId="76" applyNumberFormat="1" applyFont="1" applyFill="1" applyBorder="1" applyAlignment="1"/>
    <xf numFmtId="41" fontId="41" fillId="0" borderId="14" xfId="76" applyNumberFormat="1" applyFont="1" applyFill="1" applyBorder="1" applyAlignment="1"/>
    <xf numFmtId="0" fontId="23" fillId="0" borderId="13" xfId="85" applyFont="1" applyBorder="1" applyAlignment="1">
      <alignment horizontal="left" indent="2"/>
    </xf>
    <xf numFmtId="41" fontId="23" fillId="0" borderId="24" xfId="76" applyNumberFormat="1" applyFont="1" applyBorder="1" applyAlignment="1"/>
    <xf numFmtId="41" fontId="23" fillId="0" borderId="23" xfId="76" applyNumberFormat="1" applyFont="1" applyBorder="1" applyAlignment="1"/>
    <xf numFmtId="9" fontId="43" fillId="34" borderId="47" xfId="94" applyFont="1" applyFill="1" applyBorder="1" applyAlignment="1"/>
    <xf numFmtId="38" fontId="43" fillId="34" borderId="49" xfId="76" applyFont="1" applyFill="1" applyBorder="1" applyAlignment="1"/>
    <xf numFmtId="38" fontId="43" fillId="34" borderId="48" xfId="76" applyFont="1" applyFill="1" applyBorder="1" applyAlignment="1"/>
    <xf numFmtId="0" fontId="44" fillId="34" borderId="18" xfId="85" applyFont="1" applyFill="1" applyBorder="1"/>
    <xf numFmtId="0" fontId="44" fillId="34" borderId="47" xfId="85" applyFont="1" applyFill="1" applyBorder="1"/>
    <xf numFmtId="0" fontId="41" fillId="0" borderId="55" xfId="85" applyFont="1" applyFill="1" applyBorder="1"/>
    <xf numFmtId="0" fontId="9" fillId="0" borderId="0" xfId="85" applyFont="1" applyFill="1" applyBorder="1" applyAlignment="1">
      <alignment horizontal="center"/>
    </xf>
    <xf numFmtId="38" fontId="9" fillId="34" borderId="47" xfId="76" applyFont="1" applyFill="1" applyBorder="1"/>
    <xf numFmtId="38" fontId="9" fillId="34" borderId="48" xfId="76" applyFont="1" applyFill="1" applyBorder="1"/>
    <xf numFmtId="38" fontId="9" fillId="34" borderId="48" xfId="76" applyFont="1" applyFill="1" applyBorder="1" applyAlignment="1"/>
    <xf numFmtId="38" fontId="41" fillId="0" borderId="26" xfId="76" applyFont="1" applyBorder="1"/>
    <xf numFmtId="0" fontId="9" fillId="0" borderId="19" xfId="85" applyFont="1" applyFill="1" applyBorder="1"/>
    <xf numFmtId="38" fontId="23" fillId="0" borderId="0" xfId="76" applyFont="1" applyFill="1"/>
    <xf numFmtId="38" fontId="23" fillId="0" borderId="0" xfId="76" applyFont="1"/>
    <xf numFmtId="0" fontId="9" fillId="0" borderId="0" xfId="85" applyFont="1" applyBorder="1" applyAlignment="1">
      <alignment horizontal="center"/>
    </xf>
    <xf numFmtId="0" fontId="9" fillId="28" borderId="19" xfId="85" applyFont="1" applyFill="1" applyBorder="1" applyAlignment="1">
      <alignment horizontal="center"/>
    </xf>
    <xf numFmtId="41" fontId="41" fillId="0" borderId="56" xfId="76" applyNumberFormat="1" applyFont="1" applyFill="1" applyBorder="1" applyAlignment="1"/>
    <xf numFmtId="41" fontId="23" fillId="27" borderId="23" xfId="76" applyNumberFormat="1" applyFont="1" applyFill="1" applyBorder="1" applyAlignment="1"/>
    <xf numFmtId="41" fontId="9" fillId="27" borderId="22" xfId="94" applyNumberFormat="1" applyFont="1" applyFill="1" applyBorder="1" applyAlignment="1"/>
    <xf numFmtId="41" fontId="9" fillId="27" borderId="27" xfId="76" applyNumberFormat="1" applyFont="1" applyFill="1" applyBorder="1" applyAlignment="1"/>
    <xf numFmtId="41" fontId="23" fillId="27" borderId="22" xfId="76" applyNumberFormat="1" applyFont="1" applyFill="1" applyBorder="1" applyAlignment="1"/>
    <xf numFmtId="41" fontId="23" fillId="0" borderId="22" xfId="76" applyNumberFormat="1" applyFont="1" applyBorder="1" applyAlignment="1"/>
    <xf numFmtId="38" fontId="9" fillId="34" borderId="57" xfId="76" applyFont="1" applyFill="1" applyBorder="1"/>
    <xf numFmtId="38" fontId="9" fillId="0" borderId="29" xfId="76" applyFont="1" applyBorder="1"/>
    <xf numFmtId="38" fontId="41" fillId="0" borderId="30" xfId="76" applyFont="1" applyBorder="1"/>
    <xf numFmtId="38" fontId="9" fillId="0" borderId="29" xfId="76" applyFont="1" applyFill="1" applyBorder="1"/>
    <xf numFmtId="38" fontId="23" fillId="0" borderId="29" xfId="76" applyFont="1" applyFill="1" applyBorder="1"/>
    <xf numFmtId="38" fontId="23" fillId="0" borderId="29" xfId="76" applyFont="1" applyBorder="1"/>
    <xf numFmtId="41" fontId="9" fillId="27" borderId="25" xfId="76" applyNumberFormat="1" applyFont="1" applyFill="1" applyBorder="1" applyAlignment="1"/>
    <xf numFmtId="164" fontId="9" fillId="0" borderId="58" xfId="94" applyNumberFormat="1" applyFont="1" applyFill="1" applyBorder="1" applyAlignment="1">
      <alignment horizontal="center"/>
    </xf>
    <xf numFmtId="0" fontId="9" fillId="0" borderId="10" xfId="85" applyFont="1" applyFill="1" applyBorder="1" applyAlignment="1">
      <alignment horizontal="center"/>
    </xf>
    <xf numFmtId="167" fontId="2" fillId="0" borderId="0" xfId="28" applyNumberFormat="1" applyFont="1"/>
    <xf numFmtId="0" fontId="6" fillId="0" borderId="0" xfId="79" applyFont="1" applyBorder="1" applyAlignment="1">
      <alignment horizontal="right"/>
    </xf>
    <xf numFmtId="0" fontId="6" fillId="0" borderId="0" xfId="79" applyFont="1"/>
    <xf numFmtId="0" fontId="6" fillId="0" borderId="43" xfId="79" applyFont="1" applyBorder="1"/>
    <xf numFmtId="0" fontId="6" fillId="0" borderId="0" xfId="79" applyFill="1"/>
    <xf numFmtId="0" fontId="6" fillId="0" borderId="0" xfId="79" applyFill="1" applyBorder="1"/>
    <xf numFmtId="167" fontId="6" fillId="0" borderId="0" xfId="40" applyNumberFormat="1" applyFill="1" applyBorder="1"/>
    <xf numFmtId="43" fontId="6" fillId="0" borderId="0" xfId="40" applyNumberFormat="1" applyFill="1"/>
    <xf numFmtId="0" fontId="6" fillId="0" borderId="0" xfId="79" applyFont="1" applyFill="1" applyBorder="1"/>
    <xf numFmtId="0" fontId="25" fillId="0" borderId="46" xfId="0" applyFont="1" applyBorder="1" applyAlignment="1">
      <alignment horizontal="center"/>
    </xf>
    <xf numFmtId="44" fontId="24" fillId="0" borderId="0" xfId="43" applyFont="1"/>
    <xf numFmtId="0" fontId="6" fillId="0" borderId="10" xfId="74" applyFont="1" applyBorder="1" applyAlignment="1">
      <alignment horizontal="center"/>
    </xf>
    <xf numFmtId="167" fontId="6" fillId="0" borderId="0" xfId="28" applyNumberFormat="1" applyFont="1" applyFill="1" applyBorder="1"/>
    <xf numFmtId="167" fontId="40" fillId="0" borderId="0" xfId="74" applyNumberFormat="1" applyFont="1" applyBorder="1"/>
    <xf numFmtId="167" fontId="1" fillId="0" borderId="0" xfId="28" applyNumberFormat="1" applyFont="1" applyBorder="1" applyAlignment="1">
      <alignment horizontal="center"/>
    </xf>
    <xf numFmtId="167" fontId="6" fillId="0" borderId="29" xfId="28" applyNumberFormat="1" applyFont="1" applyBorder="1"/>
    <xf numFmtId="0" fontId="6" fillId="0" borderId="29" xfId="74" applyFont="1" applyBorder="1"/>
    <xf numFmtId="1" fontId="24" fillId="26" borderId="0" xfId="83" applyNumberFormat="1" applyFont="1" applyFill="1" applyBorder="1" applyAlignment="1" applyProtection="1">
      <alignment horizontal="center"/>
    </xf>
    <xf numFmtId="41" fontId="24" fillId="0" borderId="0" xfId="83" applyNumberFormat="1" applyFont="1" applyBorder="1" applyAlignment="1">
      <alignment horizontal="center"/>
    </xf>
    <xf numFmtId="167" fontId="24" fillId="0" borderId="0" xfId="83" applyNumberFormat="1" applyFont="1" applyBorder="1"/>
    <xf numFmtId="0" fontId="25" fillId="0" borderId="0" xfId="0" applyFont="1" applyBorder="1" applyAlignment="1">
      <alignment horizontal="center"/>
    </xf>
    <xf numFmtId="43" fontId="25" fillId="0" borderId="0" xfId="28" applyFont="1" applyBorder="1" applyAlignment="1">
      <alignment horizontal="center"/>
    </xf>
    <xf numFmtId="4" fontId="25" fillId="26" borderId="0" xfId="83" applyNumberFormat="1" applyFont="1" applyFill="1" applyBorder="1" applyAlignment="1" applyProtection="1">
      <alignment horizontal="center"/>
    </xf>
    <xf numFmtId="37" fontId="24" fillId="0" borderId="0" xfId="83" applyNumberFormat="1" applyFont="1" applyFill="1" applyAlignment="1" applyProtection="1">
      <alignment horizontal="center"/>
    </xf>
    <xf numFmtId="167" fontId="9" fillId="0" borderId="0" xfId="77" applyNumberFormat="1" applyFont="1" applyFill="1"/>
    <xf numFmtId="176" fontId="34" fillId="34" borderId="50" xfId="28" applyNumberFormat="1" applyFont="1" applyFill="1" applyBorder="1" applyAlignment="1">
      <alignment horizontal="center" vertical="top" wrapText="1"/>
    </xf>
    <xf numFmtId="175" fontId="6" fillId="0" borderId="0" xfId="80" applyNumberFormat="1"/>
    <xf numFmtId="175" fontId="6" fillId="0" borderId="18" xfId="80" applyNumberFormat="1" applyBorder="1"/>
    <xf numFmtId="17" fontId="6" fillId="32" borderId="16" xfId="80" applyNumberFormat="1" applyFill="1" applyBorder="1"/>
    <xf numFmtId="44" fontId="34" fillId="32" borderId="0" xfId="43" applyFont="1" applyFill="1" applyBorder="1"/>
    <xf numFmtId="43" fontId="35" fillId="32" borderId="29" xfId="28" applyNumberFormat="1" applyFont="1" applyFill="1" applyBorder="1"/>
    <xf numFmtId="43" fontId="34" fillId="32" borderId="0" xfId="28" applyNumberFormat="1" applyFont="1" applyFill="1" applyBorder="1"/>
    <xf numFmtId="44" fontId="34" fillId="32" borderId="15" xfId="43" applyNumberFormat="1" applyFont="1" applyFill="1" applyBorder="1"/>
    <xf numFmtId="175" fontId="35" fillId="32" borderId="15" xfId="43" applyNumberFormat="1" applyFont="1" applyFill="1" applyBorder="1"/>
    <xf numFmtId="0" fontId="62" fillId="0" borderId="0" xfId="0" applyFont="1" applyAlignment="1">
      <alignment horizontal="center" wrapText="1"/>
    </xf>
    <xf numFmtId="0" fontId="63" fillId="0" borderId="0" xfId="0" applyFont="1" applyAlignment="1">
      <alignment horizontal="center" wrapText="1"/>
    </xf>
    <xf numFmtId="0" fontId="62" fillId="0" borderId="0" xfId="0" applyFont="1"/>
    <xf numFmtId="175" fontId="1" fillId="0" borderId="0" xfId="43" applyNumberFormat="1"/>
    <xf numFmtId="175" fontId="0" fillId="0" borderId="0" xfId="0" applyNumberFormat="1"/>
    <xf numFmtId="164" fontId="1" fillId="0" borderId="0" xfId="94" applyNumberFormat="1"/>
    <xf numFmtId="10" fontId="1" fillId="0" borderId="0" xfId="94" applyNumberFormat="1"/>
    <xf numFmtId="175" fontId="1" fillId="0" borderId="19" xfId="43" applyNumberFormat="1" applyBorder="1"/>
    <xf numFmtId="175" fontId="0" fillId="0" borderId="19" xfId="0" applyNumberFormat="1" applyBorder="1"/>
    <xf numFmtId="164" fontId="1" fillId="0" borderId="19" xfId="94" applyNumberFormat="1" applyBorder="1"/>
    <xf numFmtId="175" fontId="1" fillId="0" borderId="26" xfId="43" applyNumberFormat="1" applyBorder="1"/>
    <xf numFmtId="0" fontId="6" fillId="0" borderId="0" xfId="0" applyFont="1" applyAlignment="1">
      <alignment horizontal="left" indent="1"/>
    </xf>
    <xf numFmtId="183" fontId="6" fillId="0" borderId="0" xfId="43" applyNumberFormat="1" applyFont="1"/>
    <xf numFmtId="170" fontId="6" fillId="0" borderId="19" xfId="28" applyNumberFormat="1" applyFont="1" applyBorder="1"/>
    <xf numFmtId="0" fontId="38" fillId="0" borderId="0" xfId="0" applyFont="1"/>
    <xf numFmtId="183" fontId="38" fillId="0" borderId="0" xfId="43" applyNumberFormat="1" applyFont="1"/>
    <xf numFmtId="0" fontId="38" fillId="0" borderId="26" xfId="0" applyFont="1" applyBorder="1" applyAlignment="1">
      <alignment horizontal="left"/>
    </xf>
    <xf numFmtId="183" fontId="38" fillId="0" borderId="26" xfId="43" applyNumberFormat="1" applyFont="1" applyBorder="1"/>
    <xf numFmtId="0" fontId="38" fillId="0" borderId="42" xfId="0" applyFont="1" applyBorder="1" applyAlignment="1">
      <alignment horizontal="left"/>
    </xf>
    <xf numFmtId="183" fontId="38" fillId="0" borderId="42" xfId="43" applyNumberFormat="1" applyFont="1" applyBorder="1"/>
    <xf numFmtId="0" fontId="38" fillId="0" borderId="26" xfId="0" applyFont="1" applyBorder="1"/>
    <xf numFmtId="10" fontId="38" fillId="0" borderId="26" xfId="94" applyNumberFormat="1" applyFont="1" applyBorder="1"/>
    <xf numFmtId="0" fontId="6" fillId="0" borderId="46" xfId="0" applyFont="1" applyBorder="1" applyAlignment="1"/>
    <xf numFmtId="0" fontId="38" fillId="27" borderId="30" xfId="0" applyFont="1" applyFill="1" applyBorder="1"/>
    <xf numFmtId="0" fontId="6" fillId="27" borderId="50" xfId="0" applyFont="1" applyFill="1" applyBorder="1"/>
    <xf numFmtId="0" fontId="6" fillId="35" borderId="0" xfId="0" applyFont="1" applyFill="1"/>
    <xf numFmtId="164" fontId="6" fillId="35" borderId="0" xfId="94" applyNumberFormat="1" applyFont="1" applyFill="1"/>
    <xf numFmtId="38" fontId="11" fillId="26" borderId="59" xfId="76" applyFont="1" applyFill="1" applyBorder="1" applyAlignment="1">
      <alignment horizontal="center"/>
    </xf>
    <xf numFmtId="38" fontId="11" fillId="26" borderId="37" xfId="76" applyFont="1" applyFill="1" applyBorder="1" applyAlignment="1">
      <alignment horizontal="center"/>
    </xf>
    <xf numFmtId="38" fontId="11" fillId="27" borderId="36" xfId="76" applyFont="1" applyFill="1" applyBorder="1" applyAlignment="1">
      <alignment horizontal="center"/>
    </xf>
    <xf numFmtId="38" fontId="11" fillId="27" borderId="27" xfId="76" applyFont="1" applyFill="1" applyBorder="1" applyAlignment="1">
      <alignment horizontal="center"/>
    </xf>
    <xf numFmtId="38" fontId="9" fillId="35" borderId="36" xfId="76" applyFont="1" applyFill="1" applyBorder="1" applyAlignment="1">
      <alignment horizontal="center"/>
    </xf>
    <xf numFmtId="38" fontId="9" fillId="35" borderId="27" xfId="76" applyFont="1" applyFill="1" applyBorder="1" applyAlignment="1">
      <alignment horizontal="center"/>
    </xf>
    <xf numFmtId="38" fontId="9" fillId="36" borderId="36" xfId="76" applyFont="1" applyFill="1" applyBorder="1" applyAlignment="1">
      <alignment horizontal="center"/>
    </xf>
    <xf numFmtId="38" fontId="9" fillId="36" borderId="27" xfId="76" applyFont="1" applyFill="1" applyBorder="1" applyAlignment="1">
      <alignment horizontal="center"/>
    </xf>
    <xf numFmtId="10" fontId="38" fillId="35" borderId="26" xfId="94" applyNumberFormat="1" applyFont="1" applyFill="1" applyBorder="1"/>
    <xf numFmtId="5" fontId="9" fillId="37" borderId="27" xfId="94" applyNumberFormat="1" applyFont="1" applyFill="1" applyBorder="1" applyAlignment="1">
      <alignment horizontal="center"/>
    </xf>
    <xf numFmtId="5" fontId="9" fillId="37" borderId="25" xfId="94" applyNumberFormat="1" applyFont="1" applyFill="1" applyBorder="1" applyAlignment="1">
      <alignment horizontal="center"/>
    </xf>
    <xf numFmtId="5" fontId="9" fillId="37" borderId="20" xfId="94" applyNumberFormat="1" applyFont="1" applyFill="1" applyBorder="1" applyAlignment="1">
      <alignment horizontal="center"/>
    </xf>
    <xf numFmtId="0" fontId="23" fillId="28" borderId="29" xfId="83" applyFont="1" applyFill="1" applyBorder="1"/>
    <xf numFmtId="175" fontId="23" fillId="28" borderId="19" xfId="43" applyNumberFormat="1" applyFont="1" applyFill="1" applyBorder="1" applyAlignment="1"/>
    <xf numFmtId="185" fontId="6" fillId="0" borderId="29" xfId="74" applyNumberFormat="1" applyBorder="1"/>
    <xf numFmtId="164" fontId="5" fillId="0" borderId="0" xfId="82" applyNumberFormat="1" applyFont="1" applyProtection="1"/>
    <xf numFmtId="10" fontId="9" fillId="0" borderId="0" xfId="94" applyNumberFormat="1" applyFont="1" applyFill="1" applyBorder="1" applyAlignment="1"/>
    <xf numFmtId="0" fontId="10" fillId="28" borderId="0" xfId="82" applyFont="1" applyFill="1" applyProtection="1"/>
    <xf numFmtId="0" fontId="5" fillId="28" borderId="0" xfId="82" applyFont="1" applyFill="1" applyProtection="1"/>
    <xf numFmtId="0" fontId="5" fillId="28" borderId="0" xfId="82" applyFill="1"/>
    <xf numFmtId="164" fontId="10" fillId="28" borderId="0" xfId="82" applyNumberFormat="1" applyFont="1" applyFill="1" applyProtection="1"/>
    <xf numFmtId="0" fontId="64" fillId="0" borderId="0" xfId="82" applyFont="1" applyFill="1" applyProtection="1"/>
    <xf numFmtId="0" fontId="64" fillId="28" borderId="0" xfId="82" applyFont="1" applyFill="1"/>
    <xf numFmtId="167" fontId="35" fillId="28" borderId="0" xfId="28" applyNumberFormat="1" applyFont="1" applyFill="1"/>
    <xf numFmtId="167" fontId="34" fillId="28" borderId="30" xfId="28" applyNumberFormat="1" applyFont="1" applyFill="1" applyBorder="1"/>
    <xf numFmtId="167" fontId="35" fillId="28" borderId="50" xfId="28" applyNumberFormat="1" applyFont="1" applyFill="1" applyBorder="1"/>
    <xf numFmtId="164" fontId="6" fillId="26" borderId="0" xfId="94" applyNumberFormat="1" applyFont="1" applyFill="1"/>
    <xf numFmtId="5" fontId="10" fillId="28" borderId="0" xfId="82" applyNumberFormat="1" applyFont="1" applyFill="1" applyProtection="1"/>
    <xf numFmtId="167" fontId="6" fillId="0" borderId="0" xfId="79" applyNumberFormat="1" applyFill="1"/>
    <xf numFmtId="167" fontId="6" fillId="38" borderId="10" xfId="28" applyNumberFormat="1" applyFont="1" applyFill="1" applyBorder="1" applyAlignment="1">
      <alignment horizontal="center"/>
    </xf>
    <xf numFmtId="167" fontId="6" fillId="38" borderId="0" xfId="28" applyNumberFormat="1" applyFont="1" applyFill="1" applyBorder="1" applyAlignment="1">
      <alignment horizontal="center"/>
    </xf>
    <xf numFmtId="176" fontId="9" fillId="0" borderId="50" xfId="28" applyNumberFormat="1" applyFont="1" applyFill="1" applyBorder="1" applyAlignment="1">
      <alignment horizontal="center" vertical="top" wrapText="1"/>
    </xf>
    <xf numFmtId="167" fontId="34" fillId="0" borderId="15" xfId="28" applyNumberFormat="1" applyFont="1" applyBorder="1"/>
    <xf numFmtId="167" fontId="34" fillId="32" borderId="15" xfId="28" applyNumberFormat="1" applyFont="1" applyFill="1" applyBorder="1"/>
    <xf numFmtId="44" fontId="34" fillId="0" borderId="15" xfId="43" applyFont="1" applyBorder="1"/>
    <xf numFmtId="167" fontId="34" fillId="0" borderId="0" xfId="28" applyNumberFormat="1" applyFont="1" applyFill="1" applyAlignment="1">
      <alignment horizontal="center"/>
    </xf>
    <xf numFmtId="167" fontId="35" fillId="0" borderId="0" xfId="28" applyNumberFormat="1" applyFont="1" applyFill="1" applyAlignment="1">
      <alignment horizontal="center"/>
    </xf>
    <xf numFmtId="167" fontId="35" fillId="0" borderId="0" xfId="28" applyNumberFormat="1" applyFont="1" applyFill="1" applyBorder="1" applyAlignment="1">
      <alignment horizontal="center"/>
    </xf>
    <xf numFmtId="1" fontId="34" fillId="0" borderId="0" xfId="77" applyNumberFormat="1" applyFont="1" applyFill="1"/>
    <xf numFmtId="0" fontId="34" fillId="0" borderId="0" xfId="77" applyNumberFormat="1" applyFont="1" applyFill="1"/>
    <xf numFmtId="0" fontId="34" fillId="0" borderId="0" xfId="77" applyNumberFormat="1" applyFont="1" applyFill="1" applyAlignment="1">
      <alignment horizontal="center"/>
    </xf>
    <xf numFmtId="37" fontId="34" fillId="0" borderId="60" xfId="77" applyNumberFormat="1" applyFont="1" applyFill="1" applyBorder="1" applyAlignment="1">
      <alignment horizontal="center"/>
    </xf>
    <xf numFmtId="37" fontId="34" fillId="0" borderId="61" xfId="77" applyNumberFormat="1" applyFont="1" applyFill="1" applyBorder="1" applyAlignment="1">
      <alignment horizontal="center"/>
    </xf>
    <xf numFmtId="0" fontId="34" fillId="0" borderId="61" xfId="77" applyNumberFormat="1" applyFont="1" applyFill="1" applyBorder="1" applyAlignment="1">
      <alignment horizontal="center"/>
    </xf>
    <xf numFmtId="39" fontId="34" fillId="0" borderId="0" xfId="77" applyNumberFormat="1" applyFont="1" applyFill="1"/>
    <xf numFmtId="37" fontId="34" fillId="0" borderId="0" xfId="77" applyNumberFormat="1" applyFont="1" applyFill="1"/>
    <xf numFmtId="10" fontId="34" fillId="0" borderId="0" xfId="77" applyNumberFormat="1" applyFont="1" applyFill="1"/>
    <xf numFmtId="37" fontId="35" fillId="0" borderId="0" xfId="77" applyNumberFormat="1" applyFont="1" applyFill="1" applyAlignment="1">
      <alignment horizontal="center"/>
    </xf>
    <xf numFmtId="37" fontId="34" fillId="0" borderId="0" xfId="77" applyNumberFormat="1" applyFont="1" applyFill="1" applyBorder="1" applyAlignment="1">
      <alignment horizontal="center"/>
    </xf>
    <xf numFmtId="0" fontId="34" fillId="0" borderId="0" xfId="77" applyNumberFormat="1" applyFont="1" applyFill="1" applyBorder="1" applyAlignment="1">
      <alignment horizontal="center"/>
    </xf>
    <xf numFmtId="167" fontId="34" fillId="0" borderId="0" xfId="28" applyNumberFormat="1" applyFont="1" applyFill="1"/>
    <xf numFmtId="167" fontId="35" fillId="0" borderId="0" xfId="28" applyNumberFormat="1" applyFont="1" applyFill="1"/>
    <xf numFmtId="167" fontId="36" fillId="0" borderId="0" xfId="28" applyNumberFormat="1" applyFont="1" applyFill="1"/>
    <xf numFmtId="167" fontId="34" fillId="0" borderId="0" xfId="28" applyNumberFormat="1" applyFont="1" applyFill="1" applyBorder="1"/>
    <xf numFmtId="167" fontId="34" fillId="0" borderId="42" xfId="28" applyNumberFormat="1" applyFont="1" applyFill="1" applyBorder="1" applyAlignment="1">
      <alignment horizontal="center"/>
    </xf>
    <xf numFmtId="167" fontId="34" fillId="0" borderId="42" xfId="28" applyNumberFormat="1" applyFont="1" applyFill="1" applyBorder="1"/>
    <xf numFmtId="167" fontId="34" fillId="0" borderId="62" xfId="28" applyNumberFormat="1" applyFont="1" applyFill="1" applyBorder="1"/>
    <xf numFmtId="0" fontId="6" fillId="0" borderId="0" xfId="74" applyFont="1" applyAlignment="1"/>
    <xf numFmtId="0" fontId="9" fillId="0" borderId="0" xfId="74" applyFont="1" applyAlignment="1">
      <alignment horizontal="right"/>
    </xf>
    <xf numFmtId="164" fontId="9" fillId="0" borderId="10" xfId="94" applyNumberFormat="1" applyFont="1" applyBorder="1" applyAlignment="1"/>
    <xf numFmtId="0" fontId="24" fillId="0" borderId="0" xfId="83" applyFont="1" applyFill="1" applyAlignment="1">
      <alignment horizontal="left"/>
    </xf>
    <xf numFmtId="41" fontId="24" fillId="0" borderId="0" xfId="83" applyNumberFormat="1" applyFont="1" applyFill="1" applyAlignment="1">
      <alignment horizontal="center"/>
    </xf>
    <xf numFmtId="10" fontId="24" fillId="0" borderId="0" xfId="94" applyNumberFormat="1" applyFont="1" applyAlignment="1"/>
    <xf numFmtId="44" fontId="5" fillId="0" borderId="0" xfId="82" applyNumberFormat="1" applyFont="1" applyProtection="1"/>
    <xf numFmtId="39" fontId="24" fillId="0" borderId="0" xfId="83" applyNumberFormat="1" applyFont="1" applyFill="1" applyAlignment="1" applyProtection="1">
      <alignment horizontal="center"/>
    </xf>
    <xf numFmtId="14" fontId="6" fillId="0" borderId="0" xfId="80" applyNumberFormat="1"/>
    <xf numFmtId="167" fontId="67" fillId="0" borderId="0" xfId="40" applyNumberFormat="1" applyFont="1"/>
    <xf numFmtId="167" fontId="68" fillId="26" borderId="0" xfId="0" applyNumberFormat="1" applyFont="1" applyFill="1"/>
    <xf numFmtId="3" fontId="69" fillId="0" borderId="0" xfId="0" applyNumberFormat="1" applyFont="1"/>
    <xf numFmtId="3" fontId="6" fillId="0" borderId="0" xfId="79" applyNumberFormat="1"/>
    <xf numFmtId="4" fontId="25" fillId="0" borderId="0" xfId="83" applyNumberFormat="1" applyFont="1" applyFill="1" applyAlignment="1"/>
    <xf numFmtId="0" fontId="0" fillId="0" borderId="0" xfId="0" applyAlignment="1">
      <alignment horizontal="center"/>
    </xf>
    <xf numFmtId="9" fontId="1" fillId="0" borderId="0" xfId="94" applyNumberFormat="1" applyFont="1" applyAlignment="1">
      <alignment horizontal="center"/>
    </xf>
    <xf numFmtId="9" fontId="0" fillId="0" borderId="0" xfId="0" applyNumberFormat="1" applyAlignment="1">
      <alignment horizontal="center"/>
    </xf>
    <xf numFmtId="49" fontId="11" fillId="0" borderId="26" xfId="85" applyNumberFormat="1" applyFont="1" applyFill="1" applyBorder="1" applyProtection="1">
      <protection locked="0"/>
    </xf>
    <xf numFmtId="0" fontId="11" fillId="0" borderId="53" xfId="85" applyFont="1" applyBorder="1"/>
    <xf numFmtId="41" fontId="0" fillId="0" borderId="0" xfId="0" applyNumberFormat="1"/>
    <xf numFmtId="5" fontId="0" fillId="0" borderId="0" xfId="0" applyNumberFormat="1"/>
    <xf numFmtId="0" fontId="11" fillId="0" borderId="63" xfId="85" applyFont="1" applyBorder="1"/>
    <xf numFmtId="0" fontId="23" fillId="0" borderId="14" xfId="85" applyFont="1" applyFill="1" applyBorder="1"/>
    <xf numFmtId="41" fontId="11" fillId="0" borderId="26" xfId="0" applyNumberFormat="1" applyFont="1" applyFill="1" applyBorder="1"/>
    <xf numFmtId="41" fontId="11" fillId="0" borderId="0" xfId="0" applyNumberFormat="1" applyFont="1" applyFill="1" applyBorder="1"/>
    <xf numFmtId="0" fontId="11" fillId="0" borderId="0" xfId="0" applyFont="1" applyFill="1" applyAlignment="1">
      <alignment horizontal="left" indent="1"/>
    </xf>
    <xf numFmtId="0" fontId="23" fillId="0" borderId="0" xfId="85" applyFont="1" applyFill="1" applyBorder="1"/>
    <xf numFmtId="41" fontId="9" fillId="0" borderId="0" xfId="0" applyNumberFormat="1" applyFont="1" applyFill="1" applyBorder="1"/>
    <xf numFmtId="0" fontId="11" fillId="0" borderId="0" xfId="0" applyFont="1" applyAlignment="1">
      <alignment horizontal="left" indent="1"/>
    </xf>
    <xf numFmtId="0" fontId="11" fillId="0" borderId="0" xfId="0" applyFont="1"/>
    <xf numFmtId="0" fontId="11" fillId="0" borderId="63" xfId="85" applyFont="1" applyFill="1" applyBorder="1" applyAlignment="1">
      <alignment horizontal="left"/>
    </xf>
    <xf numFmtId="0" fontId="9" fillId="0" borderId="0" xfId="0" applyFont="1" applyFill="1" applyBorder="1"/>
    <xf numFmtId="9" fontId="37" fillId="34" borderId="47" xfId="94" applyFont="1" applyFill="1" applyBorder="1" applyAlignment="1"/>
    <xf numFmtId="9" fontId="37" fillId="34" borderId="48" xfId="94" applyFont="1" applyFill="1" applyBorder="1" applyAlignment="1"/>
    <xf numFmtId="9" fontId="37" fillId="34" borderId="49" xfId="94" applyFont="1" applyFill="1" applyBorder="1" applyAlignment="1"/>
    <xf numFmtId="0" fontId="24" fillId="0" borderId="64" xfId="85" applyFont="1" applyFill="1" applyBorder="1" applyAlignment="1">
      <alignment horizontal="left" indent="2"/>
    </xf>
    <xf numFmtId="41" fontId="9" fillId="0" borderId="11" xfId="0" applyNumberFormat="1" applyFont="1" applyFill="1" applyBorder="1"/>
    <xf numFmtId="0" fontId="24" fillId="0" borderId="63" xfId="85" applyFont="1" applyFill="1" applyBorder="1" applyAlignment="1">
      <alignment horizontal="left" indent="2"/>
    </xf>
    <xf numFmtId="41" fontId="0" fillId="0" borderId="65" xfId="0" applyNumberFormat="1" applyBorder="1"/>
    <xf numFmtId="41" fontId="0" fillId="0" borderId="19" xfId="0" applyNumberFormat="1" applyBorder="1"/>
    <xf numFmtId="0" fontId="24" fillId="0" borderId="13" xfId="85" applyFont="1" applyFill="1" applyBorder="1" applyAlignment="1">
      <alignment horizontal="left" indent="1"/>
    </xf>
    <xf numFmtId="41" fontId="0" fillId="0" borderId="11" xfId="0" applyNumberFormat="1" applyBorder="1"/>
    <xf numFmtId="0" fontId="0" fillId="0" borderId="11" xfId="0" applyBorder="1"/>
    <xf numFmtId="0" fontId="23" fillId="0" borderId="14" xfId="85" applyFont="1" applyFill="1" applyBorder="1" applyAlignment="1">
      <alignment horizontal="left" indent="1"/>
    </xf>
    <xf numFmtId="41" fontId="11" fillId="0" borderId="54" xfId="0" applyNumberFormat="1" applyFont="1" applyBorder="1"/>
    <xf numFmtId="41" fontId="11" fillId="0" borderId="26" xfId="0" applyNumberFormat="1" applyFont="1" applyBorder="1"/>
    <xf numFmtId="0" fontId="24" fillId="0" borderId="13" xfId="85" applyFont="1" applyBorder="1" applyAlignment="1">
      <alignment horizontal="left" indent="2"/>
    </xf>
    <xf numFmtId="0" fontId="24" fillId="0" borderId="14" xfId="85" applyFont="1" applyFill="1" applyBorder="1"/>
    <xf numFmtId="41" fontId="0" fillId="0" borderId="54" xfId="0" applyNumberFormat="1" applyBorder="1"/>
    <xf numFmtId="41" fontId="0" fillId="0" borderId="26" xfId="0" applyNumberFormat="1" applyBorder="1"/>
    <xf numFmtId="0" fontId="11" fillId="0" borderId="13" xfId="85" applyFont="1" applyBorder="1" applyAlignment="1">
      <alignment horizontal="left" indent="1"/>
    </xf>
    <xf numFmtId="0" fontId="11" fillId="0" borderId="66" xfId="85" applyFont="1" applyBorder="1"/>
    <xf numFmtId="0" fontId="23" fillId="0" borderId="55" xfId="85" applyFont="1" applyFill="1" applyBorder="1"/>
    <xf numFmtId="41" fontId="0" fillId="0" borderId="67" xfId="0" applyNumberFormat="1" applyBorder="1"/>
    <xf numFmtId="41" fontId="0" fillId="0" borderId="68" xfId="0" applyNumberFormat="1" applyBorder="1"/>
    <xf numFmtId="164" fontId="13" fillId="0" borderId="0" xfId="94" applyNumberFormat="1" applyFont="1"/>
    <xf numFmtId="41" fontId="41" fillId="0" borderId="28" xfId="76" applyNumberFormat="1" applyFont="1" applyFill="1" applyBorder="1" applyAlignment="1"/>
    <xf numFmtId="41" fontId="11" fillId="0" borderId="28" xfId="76" applyNumberFormat="1" applyFont="1" applyFill="1" applyBorder="1" applyAlignment="1"/>
    <xf numFmtId="164" fontId="9" fillId="0" borderId="22" xfId="94" applyNumberFormat="1" applyFont="1" applyFill="1" applyBorder="1" applyAlignment="1"/>
    <xf numFmtId="20" fontId="0" fillId="0" borderId="0" xfId="0" applyNumberFormat="1"/>
    <xf numFmtId="167" fontId="0" fillId="0" borderId="0" xfId="28" applyNumberFormat="1" applyFont="1"/>
    <xf numFmtId="0" fontId="44" fillId="0" borderId="0" xfId="85" applyFont="1" applyFill="1" applyBorder="1"/>
    <xf numFmtId="38" fontId="43" fillId="0" borderId="13" xfId="76" applyFont="1" applyFill="1" applyBorder="1" applyAlignment="1"/>
    <xf numFmtId="38" fontId="9" fillId="0" borderId="13" xfId="76" applyFont="1" applyFill="1" applyBorder="1" applyAlignment="1"/>
    <xf numFmtId="10" fontId="9" fillId="0" borderId="22" xfId="94" applyNumberFormat="1" applyFont="1" applyFill="1" applyBorder="1" applyAlignment="1"/>
    <xf numFmtId="38" fontId="9" fillId="0" borderId="22" xfId="76" applyFont="1" applyFill="1" applyBorder="1" applyAlignment="1"/>
    <xf numFmtId="0" fontId="41" fillId="0" borderId="69" xfId="85" applyFont="1" applyFill="1" applyBorder="1"/>
    <xf numFmtId="0" fontId="41" fillId="0" borderId="70" xfId="85" applyFont="1" applyFill="1" applyBorder="1"/>
    <xf numFmtId="0" fontId="41" fillId="0" borderId="42" xfId="85" applyFont="1" applyFill="1" applyBorder="1"/>
    <xf numFmtId="38" fontId="9" fillId="0" borderId="71" xfId="76" applyFont="1" applyBorder="1"/>
    <xf numFmtId="0" fontId="9" fillId="0" borderId="43" xfId="86" applyFont="1" applyBorder="1"/>
    <xf numFmtId="0" fontId="9" fillId="0" borderId="46" xfId="86" applyFont="1" applyBorder="1"/>
    <xf numFmtId="0" fontId="9" fillId="0" borderId="44" xfId="86" applyFont="1" applyBorder="1"/>
    <xf numFmtId="0" fontId="9" fillId="0" borderId="29" xfId="86" applyFont="1" applyBorder="1"/>
    <xf numFmtId="0" fontId="9" fillId="0" borderId="0" xfId="86" applyFont="1" applyBorder="1"/>
    <xf numFmtId="0" fontId="9" fillId="0" borderId="15" xfId="86" applyFont="1" applyBorder="1"/>
    <xf numFmtId="0" fontId="9" fillId="0" borderId="45" xfId="86" applyFont="1" applyBorder="1"/>
    <xf numFmtId="0" fontId="9" fillId="0" borderId="19" xfId="86" applyFont="1" applyBorder="1"/>
    <xf numFmtId="167" fontId="9" fillId="0" borderId="44" xfId="28" applyNumberFormat="1" applyFont="1" applyFill="1" applyBorder="1"/>
    <xf numFmtId="167" fontId="9" fillId="32" borderId="0" xfId="28" applyNumberFormat="1" applyFont="1" applyFill="1" applyBorder="1"/>
    <xf numFmtId="167" fontId="37" fillId="39" borderId="15" xfId="86" applyNumberFormat="1" applyFont="1" applyFill="1" applyBorder="1"/>
    <xf numFmtId="167" fontId="9" fillId="0" borderId="26" xfId="28" applyNumberFormat="1" applyFont="1" applyFill="1" applyBorder="1"/>
    <xf numFmtId="167" fontId="37" fillId="39" borderId="40" xfId="86" applyNumberFormat="1" applyFont="1" applyFill="1" applyBorder="1"/>
    <xf numFmtId="0" fontId="9" fillId="0" borderId="0" xfId="86" applyFont="1" applyFill="1" applyBorder="1"/>
    <xf numFmtId="167" fontId="9" fillId="0" borderId="19" xfId="28" applyNumberFormat="1" applyFont="1" applyBorder="1"/>
    <xf numFmtId="43" fontId="9" fillId="0" borderId="19" xfId="86" applyNumberFormat="1" applyFont="1" applyBorder="1"/>
    <xf numFmtId="0" fontId="9" fillId="43" borderId="30" xfId="86" applyFont="1" applyFill="1" applyBorder="1"/>
    <xf numFmtId="0" fontId="9" fillId="43" borderId="26" xfId="86" applyFont="1" applyFill="1" applyBorder="1"/>
    <xf numFmtId="0" fontId="9" fillId="43" borderId="50" xfId="86" applyFont="1" applyFill="1" applyBorder="1"/>
    <xf numFmtId="182" fontId="6" fillId="0" borderId="26" xfId="55" applyNumberFormat="1" applyBorder="1"/>
    <xf numFmtId="0" fontId="9" fillId="0" borderId="94" xfId="86" applyFont="1" applyBorder="1"/>
    <xf numFmtId="0" fontId="9" fillId="0" borderId="95" xfId="86" applyFont="1" applyBorder="1"/>
    <xf numFmtId="0" fontId="9" fillId="0" borderId="96" xfId="86" applyFont="1" applyBorder="1"/>
    <xf numFmtId="0" fontId="9" fillId="0" borderId="97" xfId="86" applyFont="1" applyBorder="1"/>
    <xf numFmtId="0" fontId="9" fillId="0" borderId="98" xfId="86" applyFont="1" applyBorder="1"/>
    <xf numFmtId="0" fontId="9" fillId="0" borderId="99" xfId="86" applyFont="1" applyBorder="1"/>
    <xf numFmtId="0" fontId="9" fillId="0" borderId="100" xfId="86" applyFont="1" applyBorder="1"/>
    <xf numFmtId="0" fontId="9" fillId="0" borderId="101" xfId="86" applyFont="1" applyBorder="1"/>
    <xf numFmtId="168" fontId="9" fillId="0" borderId="0" xfId="86" applyNumberFormat="1" applyFont="1"/>
    <xf numFmtId="43" fontId="9" fillId="0" borderId="0" xfId="28" applyFont="1"/>
    <xf numFmtId="167" fontId="9" fillId="26" borderId="22" xfId="76" applyNumberFormat="1" applyFont="1" applyFill="1" applyBorder="1" applyAlignment="1"/>
    <xf numFmtId="167" fontId="35" fillId="44" borderId="0" xfId="28" applyNumberFormat="1" applyFont="1" applyFill="1" applyAlignment="1">
      <alignment horizontal="center"/>
    </xf>
    <xf numFmtId="0" fontId="33" fillId="0" borderId="0" xfId="77" applyNumberFormat="1" applyFont="1" applyFill="1"/>
    <xf numFmtId="0" fontId="9" fillId="0" borderId="0" xfId="77" applyNumberFormat="1" applyFont="1" applyFill="1" applyAlignment="1">
      <alignment horizontal="right"/>
    </xf>
    <xf numFmtId="0" fontId="9" fillId="45" borderId="10" xfId="77" applyNumberFormat="1" applyFont="1" applyFill="1" applyBorder="1"/>
    <xf numFmtId="44" fontId="9" fillId="0" borderId="0" xfId="53" applyFont="1" applyFill="1"/>
    <xf numFmtId="178" fontId="9" fillId="0" borderId="0" xfId="77" applyNumberFormat="1" applyFont="1" applyFill="1"/>
    <xf numFmtId="0" fontId="13" fillId="0" borderId="0" xfId="77" applyNumberFormat="1" applyFont="1" applyFill="1"/>
    <xf numFmtId="0" fontId="9" fillId="0" borderId="0" xfId="53" applyNumberFormat="1" applyFont="1" applyFill="1"/>
    <xf numFmtId="37" fontId="100" fillId="0" borderId="0" xfId="77" applyNumberFormat="1" applyFont="1" applyFill="1"/>
    <xf numFmtId="0" fontId="9" fillId="46" borderId="0" xfId="77" applyNumberFormat="1" applyFont="1" applyFill="1"/>
    <xf numFmtId="39" fontId="101" fillId="0" borderId="0" xfId="77" applyNumberFormat="1" applyFont="1" applyFill="1"/>
    <xf numFmtId="167" fontId="9" fillId="0" borderId="0" xfId="30" applyNumberFormat="1" applyFont="1" applyFill="1"/>
    <xf numFmtId="37" fontId="9" fillId="0" borderId="40" xfId="77" applyNumberFormat="1" applyFont="1" applyFill="1" applyBorder="1"/>
    <xf numFmtId="167" fontId="13" fillId="0" borderId="0" xfId="30" applyNumberFormat="1" applyFont="1" applyFill="1"/>
    <xf numFmtId="167" fontId="11" fillId="0" borderId="29" xfId="30" applyNumberFormat="1" applyFont="1" applyFill="1" applyBorder="1"/>
    <xf numFmtId="37" fontId="101" fillId="0" borderId="0" xfId="77" applyNumberFormat="1" applyFont="1" applyFill="1"/>
    <xf numFmtId="0" fontId="9" fillId="46" borderId="0" xfId="77" applyNumberFormat="1" applyFont="1" applyFill="1" applyAlignment="1">
      <alignment horizontal="center"/>
    </xf>
    <xf numFmtId="37" fontId="13" fillId="0" borderId="0" xfId="77" applyNumberFormat="1" applyFont="1" applyFill="1"/>
    <xf numFmtId="37" fontId="11" fillId="0" borderId="29" xfId="77" applyNumberFormat="1" applyFont="1" applyFill="1" applyBorder="1" applyAlignment="1"/>
    <xf numFmtId="37" fontId="102" fillId="0" borderId="0" xfId="77" applyNumberFormat="1" applyFont="1" applyFill="1"/>
    <xf numFmtId="37" fontId="11" fillId="0" borderId="29" xfId="77" applyNumberFormat="1" applyFont="1" applyFill="1" applyBorder="1"/>
    <xf numFmtId="10" fontId="100" fillId="47" borderId="10" xfId="99" applyNumberFormat="1" applyFont="1" applyFill="1" applyBorder="1"/>
    <xf numFmtId="44" fontId="9" fillId="0" borderId="0" xfId="53" applyFont="1" applyFill="1" applyAlignment="1">
      <alignment horizontal="center"/>
    </xf>
    <xf numFmtId="0" fontId="11" fillId="0" borderId="26" xfId="77" applyNumberFormat="1" applyFont="1" applyFill="1" applyBorder="1"/>
    <xf numFmtId="167" fontId="11" fillId="0" borderId="26" xfId="30" applyNumberFormat="1" applyFont="1" applyFill="1" applyBorder="1"/>
    <xf numFmtId="167" fontId="11" fillId="0" borderId="26" xfId="30" applyNumberFormat="1" applyFont="1" applyFill="1" applyBorder="1" applyAlignment="1">
      <alignment horizontal="center"/>
    </xf>
    <xf numFmtId="178" fontId="11" fillId="0" borderId="26" xfId="30" applyNumberFormat="1" applyFont="1" applyFill="1" applyBorder="1"/>
    <xf numFmtId="167" fontId="11" fillId="46" borderId="26" xfId="30" applyNumberFormat="1" applyFont="1" applyFill="1" applyBorder="1"/>
    <xf numFmtId="167" fontId="70" fillId="0" borderId="26" xfId="30" applyNumberFormat="1" applyFont="1" applyFill="1" applyBorder="1"/>
    <xf numFmtId="167" fontId="11" fillId="0" borderId="30" xfId="30" applyNumberFormat="1" applyFont="1" applyFill="1" applyBorder="1"/>
    <xf numFmtId="167" fontId="9" fillId="0" borderId="26" xfId="30" applyNumberFormat="1" applyFont="1" applyFill="1" applyBorder="1"/>
    <xf numFmtId="44" fontId="11" fillId="0" borderId="26" xfId="53" applyFont="1" applyFill="1" applyBorder="1"/>
    <xf numFmtId="0" fontId="9" fillId="48" borderId="0" xfId="77" applyNumberFormat="1" applyFont="1" applyFill="1"/>
    <xf numFmtId="167" fontId="9" fillId="48" borderId="0" xfId="30" applyNumberFormat="1" applyFont="1" applyFill="1"/>
    <xf numFmtId="178" fontId="9" fillId="48" borderId="0" xfId="30" applyNumberFormat="1" applyFont="1" applyFill="1"/>
    <xf numFmtId="167" fontId="9" fillId="46" borderId="0" xfId="30" applyNumberFormat="1" applyFont="1" applyFill="1"/>
    <xf numFmtId="167" fontId="13" fillId="48" borderId="0" xfId="30" applyNumberFormat="1" applyFont="1" applyFill="1"/>
    <xf numFmtId="167" fontId="9" fillId="48" borderId="44" xfId="30" applyNumberFormat="1" applyFont="1" applyFill="1" applyBorder="1"/>
    <xf numFmtId="10" fontId="9" fillId="48" borderId="0" xfId="77" applyNumberFormat="1" applyFont="1" applyFill="1"/>
    <xf numFmtId="0" fontId="9" fillId="48" borderId="0" xfId="77" applyNumberFormat="1" applyFont="1" applyFill="1" applyBorder="1"/>
    <xf numFmtId="167" fontId="9" fillId="48" borderId="0" xfId="30" applyNumberFormat="1" applyFont="1" applyFill="1" applyBorder="1"/>
    <xf numFmtId="178" fontId="9" fillId="48" borderId="0" xfId="30" applyNumberFormat="1" applyFont="1" applyFill="1" applyBorder="1"/>
    <xf numFmtId="167" fontId="9" fillId="46" borderId="0" xfId="30" applyNumberFormat="1" applyFont="1" applyFill="1" applyBorder="1"/>
    <xf numFmtId="167" fontId="9" fillId="48" borderId="15" xfId="30" applyNumberFormat="1" applyFont="1" applyFill="1" applyBorder="1"/>
    <xf numFmtId="164" fontId="9" fillId="0" borderId="0" xfId="102" applyNumberFormat="1" applyFont="1" applyFill="1" applyBorder="1"/>
    <xf numFmtId="0" fontId="9" fillId="48" borderId="37" xfId="77" applyNumberFormat="1" applyFont="1" applyFill="1" applyBorder="1"/>
    <xf numFmtId="167" fontId="19" fillId="48" borderId="37" xfId="30" applyNumberFormat="1" applyFont="1" applyFill="1" applyBorder="1"/>
    <xf numFmtId="167" fontId="21" fillId="48" borderId="37" xfId="30" applyNumberFormat="1" applyFont="1" applyFill="1" applyBorder="1"/>
    <xf numFmtId="178" fontId="21" fillId="48" borderId="37" xfId="30" applyNumberFormat="1" applyFont="1" applyFill="1" applyBorder="1"/>
    <xf numFmtId="167" fontId="19" fillId="46" borderId="37" xfId="30" applyNumberFormat="1" applyFont="1" applyFill="1" applyBorder="1"/>
    <xf numFmtId="167" fontId="19" fillId="48" borderId="33" xfId="30" applyNumberFormat="1" applyFont="1" applyFill="1" applyBorder="1"/>
    <xf numFmtId="10" fontId="9" fillId="48" borderId="37" xfId="77" applyNumberFormat="1" applyFont="1" applyFill="1" applyBorder="1"/>
    <xf numFmtId="0" fontId="9" fillId="0" borderId="0" xfId="77" applyNumberFormat="1" applyFont="1" applyFill="1" applyBorder="1" applyAlignment="1">
      <alignment wrapText="1"/>
    </xf>
    <xf numFmtId="0" fontId="9" fillId="0" borderId="0" xfId="77" applyNumberFormat="1" applyFont="1" applyFill="1" applyAlignment="1">
      <alignment horizontal="center" wrapText="1"/>
    </xf>
    <xf numFmtId="2" fontId="9" fillId="0" borderId="0" xfId="77" applyNumberFormat="1" applyFont="1" applyFill="1" applyAlignment="1">
      <alignment horizontal="center" wrapText="1"/>
    </xf>
    <xf numFmtId="44" fontId="9" fillId="0" borderId="0" xfId="53" applyFont="1" applyFill="1" applyAlignment="1">
      <alignment horizontal="center" wrapText="1"/>
    </xf>
    <xf numFmtId="178" fontId="9" fillId="0" borderId="0" xfId="77" applyNumberFormat="1" applyFont="1" applyFill="1" applyAlignment="1">
      <alignment horizontal="center" wrapText="1"/>
    </xf>
    <xf numFmtId="0" fontId="9" fillId="46" borderId="0" xfId="77" applyNumberFormat="1" applyFont="1" applyFill="1" applyAlignment="1">
      <alignment horizontal="center" wrapText="1"/>
    </xf>
    <xf numFmtId="0" fontId="13" fillId="0" borderId="0" xfId="77" applyNumberFormat="1" applyFont="1" applyFill="1" applyAlignment="1">
      <alignment horizontal="center" wrapText="1"/>
    </xf>
    <xf numFmtId="0" fontId="11" fillId="0" borderId="29" xfId="77" applyNumberFormat="1" applyFont="1" applyFill="1" applyBorder="1" applyAlignment="1">
      <alignment horizontal="center" wrapText="1"/>
    </xf>
    <xf numFmtId="0" fontId="9" fillId="0" borderId="0" xfId="77" applyNumberFormat="1" applyFont="1" applyFill="1" applyAlignment="1">
      <alignment wrapText="1"/>
    </xf>
    <xf numFmtId="0" fontId="11" fillId="0" borderId="72" xfId="77" applyNumberFormat="1" applyFont="1" applyFill="1" applyBorder="1"/>
    <xf numFmtId="44" fontId="9" fillId="0" borderId="0" xfId="77" applyNumberFormat="1" applyFont="1" applyFill="1"/>
    <xf numFmtId="10" fontId="9" fillId="0" borderId="0" xfId="99" applyNumberFormat="1" applyFont="1" applyFill="1"/>
    <xf numFmtId="0" fontId="9" fillId="44" borderId="0" xfId="84" applyNumberFormat="1" applyFont="1" applyFill="1" applyAlignment="1">
      <alignment horizontal="left"/>
    </xf>
    <xf numFmtId="167" fontId="20" fillId="44" borderId="0" xfId="30" applyNumberFormat="1" applyFont="1" applyFill="1" applyAlignment="1">
      <alignment vertical="center"/>
    </xf>
    <xf numFmtId="167" fontId="9" fillId="44" borderId="0" xfId="30" applyNumberFormat="1" applyFont="1" applyFill="1" applyAlignment="1">
      <alignment vertical="center"/>
    </xf>
    <xf numFmtId="44" fontId="20" fillId="44" borderId="0" xfId="53" applyFont="1" applyFill="1" applyAlignment="1" applyProtection="1">
      <alignment vertical="center"/>
    </xf>
    <xf numFmtId="43" fontId="101" fillId="44" borderId="0" xfId="37" applyFont="1" applyFill="1" applyAlignment="1" applyProtection="1">
      <alignment vertical="center"/>
    </xf>
    <xf numFmtId="178" fontId="9" fillId="44" borderId="0" xfId="77" applyNumberFormat="1" applyFont="1" applyFill="1" applyAlignment="1">
      <alignment vertical="center"/>
    </xf>
    <xf numFmtId="169" fontId="9" fillId="44" borderId="0" xfId="77" applyNumberFormat="1" applyFont="1" applyFill="1" applyAlignment="1">
      <alignment vertical="center"/>
    </xf>
    <xf numFmtId="2" fontId="9" fillId="44" borderId="0" xfId="77" applyNumberFormat="1" applyFont="1" applyFill="1" applyAlignment="1">
      <alignment vertical="center"/>
    </xf>
    <xf numFmtId="0" fontId="9" fillId="46" borderId="0" xfId="77" applyNumberFormat="1" applyFont="1" applyFill="1" applyAlignment="1">
      <alignment vertical="center"/>
    </xf>
    <xf numFmtId="2" fontId="101" fillId="44" borderId="0" xfId="77" applyNumberFormat="1" applyFont="1" applyFill="1" applyAlignment="1">
      <alignment vertical="center"/>
    </xf>
    <xf numFmtId="0" fontId="9" fillId="44" borderId="0" xfId="77" applyNumberFormat="1" applyFont="1" applyFill="1" applyAlignment="1">
      <alignment vertical="center"/>
    </xf>
    <xf numFmtId="168" fontId="9" fillId="44" borderId="0" xfId="77" applyNumberFormat="1" applyFont="1" applyFill="1" applyAlignment="1">
      <alignment vertical="center"/>
    </xf>
    <xf numFmtId="167" fontId="9" fillId="47" borderId="0" xfId="30" applyNumberFormat="1" applyFont="1" applyFill="1" applyAlignment="1">
      <alignment vertical="center"/>
    </xf>
    <xf numFmtId="167" fontId="9" fillId="44" borderId="0" xfId="30" applyNumberFormat="1" applyFont="1" applyFill="1" applyBorder="1" applyAlignment="1">
      <alignment vertical="center"/>
    </xf>
    <xf numFmtId="167" fontId="13" fillId="44" borderId="0" xfId="30" applyNumberFormat="1" applyFont="1" applyFill="1" applyAlignment="1">
      <alignment vertical="center"/>
    </xf>
    <xf numFmtId="167" fontId="103" fillId="44" borderId="29" xfId="30" applyNumberFormat="1" applyFont="1" applyFill="1" applyBorder="1" applyAlignment="1">
      <alignment vertical="center"/>
    </xf>
    <xf numFmtId="44" fontId="104" fillId="44" borderId="0" xfId="77" applyNumberFormat="1" applyFont="1" applyFill="1" applyAlignment="1">
      <alignment vertical="center"/>
    </xf>
    <xf numFmtId="167" fontId="104" fillId="44" borderId="0" xfId="77" applyNumberFormat="1" applyFont="1" applyFill="1" applyAlignment="1">
      <alignment vertical="center"/>
    </xf>
    <xf numFmtId="10" fontId="9" fillId="44" borderId="0" xfId="77" applyNumberFormat="1" applyFont="1" applyFill="1" applyAlignment="1">
      <alignment vertical="center"/>
    </xf>
    <xf numFmtId="44" fontId="22" fillId="44" borderId="0" xfId="53" applyFont="1" applyFill="1" applyAlignment="1">
      <alignment vertical="center"/>
    </xf>
    <xf numFmtId="167" fontId="101" fillId="44" borderId="0" xfId="77" applyNumberFormat="1" applyFont="1" applyFill="1" applyBorder="1" applyAlignment="1">
      <alignment vertical="center"/>
    </xf>
    <xf numFmtId="44" fontId="20" fillId="44" borderId="0" xfId="53" applyFont="1" applyFill="1" applyAlignment="1">
      <alignment vertical="center"/>
    </xf>
    <xf numFmtId="167" fontId="100" fillId="44" borderId="0" xfId="77" applyNumberFormat="1" applyFont="1" applyFill="1" applyAlignment="1">
      <alignment vertical="center"/>
    </xf>
    <xf numFmtId="10" fontId="9" fillId="44" borderId="0" xfId="102" applyNumberFormat="1" applyFont="1" applyFill="1" applyAlignment="1">
      <alignment vertical="center"/>
    </xf>
    <xf numFmtId="44" fontId="20" fillId="44" borderId="0" xfId="53" applyFont="1" applyFill="1" applyBorder="1" applyAlignment="1" applyProtection="1">
      <alignment vertical="center"/>
    </xf>
    <xf numFmtId="0" fontId="9" fillId="46" borderId="19" xfId="77" applyNumberFormat="1" applyFont="1" applyFill="1" applyBorder="1" applyAlignment="1">
      <alignment vertical="center"/>
    </xf>
    <xf numFmtId="167" fontId="9" fillId="47" borderId="19" xfId="30" applyNumberFormat="1" applyFont="1" applyFill="1" applyBorder="1" applyAlignment="1">
      <alignment vertical="center"/>
    </xf>
    <xf numFmtId="167" fontId="11" fillId="0" borderId="0" xfId="30" applyNumberFormat="1" applyFont="1" applyFill="1" applyAlignment="1">
      <alignment vertical="center"/>
    </xf>
    <xf numFmtId="44" fontId="11" fillId="0" borderId="0" xfId="53" applyFont="1" applyFill="1" applyAlignment="1">
      <alignment vertical="center"/>
    </xf>
    <xf numFmtId="0" fontId="11" fillId="0" borderId="0" xfId="77" applyNumberFormat="1" applyFont="1" applyFill="1" applyAlignment="1">
      <alignment vertical="center"/>
    </xf>
    <xf numFmtId="178" fontId="11" fillId="0" borderId="0" xfId="77" applyNumberFormat="1" applyFont="1" applyFill="1" applyAlignment="1">
      <alignment vertical="center"/>
    </xf>
    <xf numFmtId="41" fontId="11" fillId="0" borderId="0" xfId="37" applyNumberFormat="1" applyFont="1" applyFill="1" applyAlignment="1">
      <alignment vertical="center"/>
    </xf>
    <xf numFmtId="0" fontId="11" fillId="46" borderId="0" xfId="77" applyNumberFormat="1" applyFont="1" applyFill="1" applyAlignment="1">
      <alignment vertical="center"/>
    </xf>
    <xf numFmtId="167" fontId="70" fillId="0" borderId="0" xfId="30" applyNumberFormat="1" applyFont="1" applyFill="1" applyAlignment="1">
      <alignment vertical="center"/>
    </xf>
    <xf numFmtId="167" fontId="11" fillId="0" borderId="29" xfId="30" applyNumberFormat="1" applyFont="1" applyFill="1" applyBorder="1" applyAlignment="1">
      <alignment vertical="center"/>
    </xf>
    <xf numFmtId="2" fontId="11" fillId="0" borderId="0" xfId="77" applyNumberFormat="1" applyFont="1" applyFill="1" applyAlignment="1">
      <alignment vertical="center"/>
    </xf>
    <xf numFmtId="37" fontId="11" fillId="0" borderId="37" xfId="77" applyNumberFormat="1" applyFont="1" applyFill="1" applyBorder="1" applyAlignment="1">
      <alignment vertical="center"/>
    </xf>
    <xf numFmtId="167" fontId="20" fillId="0" borderId="0" xfId="30" applyNumberFormat="1" applyFont="1" applyFill="1" applyAlignment="1">
      <alignment vertical="center"/>
    </xf>
    <xf numFmtId="167" fontId="9" fillId="0" borderId="0" xfId="30" applyNumberFormat="1" applyFont="1" applyFill="1" applyAlignment="1">
      <alignment vertical="center"/>
    </xf>
    <xf numFmtId="44" fontId="20" fillId="0" borderId="0" xfId="53" applyFont="1" applyFill="1" applyAlignment="1" applyProtection="1">
      <alignment vertical="center"/>
    </xf>
    <xf numFmtId="0" fontId="9" fillId="0" borderId="0" xfId="77" applyNumberFormat="1" applyFont="1" applyFill="1" applyAlignment="1">
      <alignment vertical="center"/>
    </xf>
    <xf numFmtId="178" fontId="9" fillId="0" borderId="0" xfId="77" applyNumberFormat="1" applyFont="1" applyFill="1" applyAlignment="1">
      <alignment vertical="center"/>
    </xf>
    <xf numFmtId="37" fontId="9" fillId="0" borderId="0" xfId="77" applyNumberFormat="1" applyFont="1" applyFill="1" applyAlignment="1">
      <alignment vertical="center"/>
    </xf>
    <xf numFmtId="2" fontId="9" fillId="0" borderId="0" xfId="77" applyNumberFormat="1" applyFont="1" applyFill="1" applyAlignment="1">
      <alignment vertical="center"/>
    </xf>
    <xf numFmtId="168" fontId="9" fillId="0" borderId="0" xfId="77" applyNumberFormat="1" applyFont="1" applyFill="1" applyAlignment="1">
      <alignment vertical="center"/>
    </xf>
    <xf numFmtId="167" fontId="13" fillId="0" borderId="0" xfId="30" applyNumberFormat="1" applyFont="1" applyFill="1" applyAlignment="1">
      <alignment vertical="center"/>
    </xf>
    <xf numFmtId="167" fontId="9" fillId="0" borderId="0" xfId="37" applyNumberFormat="1" applyFont="1" applyFill="1" applyAlignment="1">
      <alignment vertical="center"/>
    </xf>
    <xf numFmtId="44" fontId="9" fillId="0" borderId="0" xfId="53" applyFont="1" applyFill="1" applyAlignment="1">
      <alignment vertical="center"/>
    </xf>
    <xf numFmtId="44" fontId="20" fillId="0" borderId="0" xfId="53" applyFont="1" applyFill="1" applyAlignment="1">
      <alignment vertical="center"/>
    </xf>
    <xf numFmtId="44" fontId="9" fillId="0" borderId="0" xfId="77" applyNumberFormat="1" applyFont="1" applyFill="1" applyAlignment="1">
      <alignment vertical="center"/>
    </xf>
    <xf numFmtId="10" fontId="9" fillId="0" borderId="0" xfId="99" applyNumberFormat="1" applyFont="1" applyFill="1" applyAlignment="1">
      <alignment vertical="center"/>
    </xf>
    <xf numFmtId="0" fontId="9" fillId="49" borderId="0" xfId="67" applyFont="1" applyFill="1"/>
    <xf numFmtId="167" fontId="20" fillId="49" borderId="0" xfId="30" applyNumberFormat="1" applyFont="1" applyFill="1" applyBorder="1" applyAlignment="1">
      <alignment vertical="center"/>
    </xf>
    <xf numFmtId="167" fontId="9" fillId="49" borderId="0" xfId="30" applyNumberFormat="1" applyFont="1" applyFill="1" applyAlignment="1">
      <alignment vertical="center"/>
    </xf>
    <xf numFmtId="44" fontId="20" fillId="49" borderId="0" xfId="53" applyFont="1" applyFill="1" applyAlignment="1" applyProtection="1">
      <alignment vertical="center"/>
    </xf>
    <xf numFmtId="167" fontId="9" fillId="49" borderId="0" xfId="30" applyNumberFormat="1" applyFont="1" applyFill="1" applyBorder="1" applyAlignment="1">
      <alignment vertical="center"/>
    </xf>
    <xf numFmtId="43" fontId="101" fillId="49" borderId="0" xfId="37" applyFont="1" applyFill="1" applyAlignment="1" applyProtection="1">
      <alignment vertical="center"/>
    </xf>
    <xf numFmtId="178" fontId="9" fillId="49" borderId="0" xfId="77" applyNumberFormat="1" applyFont="1" applyFill="1" applyBorder="1" applyAlignment="1">
      <alignment vertical="center"/>
    </xf>
    <xf numFmtId="169" fontId="9" fillId="49" borderId="0" xfId="77" applyNumberFormat="1" applyFont="1" applyFill="1" applyBorder="1" applyAlignment="1">
      <alignment vertical="center"/>
    </xf>
    <xf numFmtId="2" fontId="9" fillId="49" borderId="0" xfId="77" applyNumberFormat="1" applyFont="1" applyFill="1" applyBorder="1" applyAlignment="1">
      <alignment vertical="center"/>
    </xf>
    <xf numFmtId="2" fontId="101" fillId="49" borderId="0" xfId="77" applyNumberFormat="1" applyFont="1" applyFill="1" applyAlignment="1">
      <alignment vertical="center"/>
    </xf>
    <xf numFmtId="2" fontId="9" fillId="49" borderId="0" xfId="77" applyNumberFormat="1" applyFont="1" applyFill="1" applyAlignment="1">
      <alignment vertical="center"/>
    </xf>
    <xf numFmtId="0" fontId="9" fillId="49" borderId="0" xfId="77" applyNumberFormat="1" applyFont="1" applyFill="1" applyAlignment="1">
      <alignment vertical="center"/>
    </xf>
    <xf numFmtId="168" fontId="9" fillId="49" borderId="0" xfId="77" applyNumberFormat="1" applyFont="1" applyFill="1" applyAlignment="1">
      <alignment vertical="center"/>
    </xf>
    <xf numFmtId="167" fontId="9" fillId="47" borderId="0" xfId="30" applyNumberFormat="1" applyFont="1" applyFill="1" applyBorder="1" applyAlignment="1">
      <alignment vertical="center"/>
    </xf>
    <xf numFmtId="167" fontId="13" fillId="49" borderId="0" xfId="30" applyNumberFormat="1" applyFont="1" applyFill="1" applyAlignment="1">
      <alignment vertical="center"/>
    </xf>
    <xf numFmtId="167" fontId="103" fillId="49" borderId="29" xfId="30" applyNumberFormat="1" applyFont="1" applyFill="1" applyBorder="1" applyAlignment="1">
      <alignment vertical="center"/>
    </xf>
    <xf numFmtId="44" fontId="104" fillId="49" borderId="0" xfId="77" applyNumberFormat="1" applyFont="1" applyFill="1" applyAlignment="1">
      <alignment vertical="center"/>
    </xf>
    <xf numFmtId="167" fontId="104" fillId="49" borderId="0" xfId="77" applyNumberFormat="1" applyFont="1" applyFill="1" applyBorder="1" applyAlignment="1">
      <alignment vertical="center"/>
    </xf>
    <xf numFmtId="10" fontId="9" fillId="49" borderId="0" xfId="77" applyNumberFormat="1" applyFont="1" applyFill="1" applyAlignment="1">
      <alignment vertical="center"/>
    </xf>
    <xf numFmtId="44" fontId="22" fillId="49" borderId="0" xfId="53" applyFont="1" applyFill="1" applyAlignment="1">
      <alignment vertical="center"/>
    </xf>
    <xf numFmtId="167" fontId="101" fillId="49" borderId="0" xfId="77" applyNumberFormat="1" applyFont="1" applyFill="1" applyBorder="1" applyAlignment="1">
      <alignment vertical="center"/>
    </xf>
    <xf numFmtId="44" fontId="20" fillId="49" borderId="0" xfId="53" applyFont="1" applyFill="1" applyAlignment="1">
      <alignment vertical="center"/>
    </xf>
    <xf numFmtId="167" fontId="100" fillId="49" borderId="0" xfId="37" applyNumberFormat="1" applyFont="1" applyFill="1" applyBorder="1" applyAlignment="1">
      <alignment vertical="center"/>
    </xf>
    <xf numFmtId="10" fontId="9" fillId="49" borderId="0" xfId="102" applyNumberFormat="1" applyFont="1" applyFill="1" applyAlignment="1">
      <alignment vertical="center"/>
    </xf>
    <xf numFmtId="43" fontId="9" fillId="0" borderId="0" xfId="37" applyFont="1" applyFill="1"/>
    <xf numFmtId="164" fontId="9" fillId="0" borderId="0" xfId="102" applyNumberFormat="1" applyFont="1" applyFill="1"/>
    <xf numFmtId="170" fontId="9" fillId="49" borderId="0" xfId="30" applyNumberFormat="1" applyFont="1" applyFill="1" applyAlignment="1">
      <alignment vertical="center"/>
    </xf>
    <xf numFmtId="44" fontId="20" fillId="49" borderId="0" xfId="53" applyFont="1" applyFill="1" applyBorder="1" applyAlignment="1" applyProtection="1">
      <alignment vertical="center"/>
    </xf>
    <xf numFmtId="0" fontId="9" fillId="46" borderId="0" xfId="77" applyNumberFormat="1" applyFont="1" applyFill="1" applyBorder="1" applyAlignment="1">
      <alignment vertical="center"/>
    </xf>
    <xf numFmtId="0" fontId="9" fillId="49" borderId="0" xfId="77" applyNumberFormat="1" applyFont="1" applyFill="1" applyBorder="1" applyAlignment="1">
      <alignment vertical="center"/>
    </xf>
    <xf numFmtId="168" fontId="9" fillId="49" borderId="0" xfId="77" applyNumberFormat="1" applyFont="1" applyFill="1" applyBorder="1" applyAlignment="1">
      <alignment vertical="center"/>
    </xf>
    <xf numFmtId="167" fontId="13" fillId="49" borderId="0" xfId="30" applyNumberFormat="1" applyFont="1" applyFill="1" applyBorder="1" applyAlignment="1">
      <alignment vertical="center"/>
    </xf>
    <xf numFmtId="44" fontId="104" fillId="49" borderId="0" xfId="77" applyNumberFormat="1" applyFont="1" applyFill="1" applyBorder="1" applyAlignment="1">
      <alignment vertical="center"/>
    </xf>
    <xf numFmtId="10" fontId="9" fillId="49" borderId="0" xfId="77" applyNumberFormat="1" applyFont="1" applyFill="1" applyBorder="1" applyAlignment="1">
      <alignment vertical="center"/>
    </xf>
    <xf numFmtId="44" fontId="22" fillId="49" borderId="0" xfId="53" applyFont="1" applyFill="1" applyBorder="1" applyAlignment="1">
      <alignment vertical="center"/>
    </xf>
    <xf numFmtId="10" fontId="9" fillId="49" borderId="0" xfId="102" applyNumberFormat="1" applyFont="1" applyFill="1" applyBorder="1" applyAlignment="1">
      <alignment vertical="center"/>
    </xf>
    <xf numFmtId="0" fontId="11" fillId="0" borderId="0" xfId="84" applyFont="1" applyFill="1" applyBorder="1" applyAlignment="1" applyProtection="1">
      <alignment horizontal="left"/>
    </xf>
    <xf numFmtId="44" fontId="71" fillId="0" borderId="0" xfId="53" applyFont="1" applyFill="1" applyAlignment="1" applyProtection="1">
      <alignment vertical="center"/>
    </xf>
    <xf numFmtId="37" fontId="11" fillId="0" borderId="0" xfId="77" applyNumberFormat="1" applyFont="1" applyFill="1" applyAlignment="1">
      <alignment vertical="center"/>
    </xf>
    <xf numFmtId="37" fontId="11" fillId="46" borderId="0" xfId="77" applyNumberFormat="1" applyFont="1" applyFill="1" applyAlignment="1">
      <alignment vertical="center"/>
    </xf>
    <xf numFmtId="167" fontId="11" fillId="0" borderId="15" xfId="30" applyNumberFormat="1" applyFont="1" applyFill="1" applyBorder="1" applyAlignment="1">
      <alignment vertical="center"/>
    </xf>
    <xf numFmtId="164" fontId="11" fillId="0" borderId="0" xfId="102" applyNumberFormat="1" applyFont="1" applyFill="1" applyAlignment="1">
      <alignment vertical="center"/>
    </xf>
    <xf numFmtId="43" fontId="9" fillId="0" borderId="0" xfId="77" applyNumberFormat="1" applyFont="1" applyFill="1" applyAlignment="1">
      <alignment vertical="center"/>
    </xf>
    <xf numFmtId="167" fontId="9" fillId="0" borderId="0" xfId="77" applyNumberFormat="1" applyFont="1" applyFill="1" applyAlignment="1">
      <alignment vertical="center"/>
    </xf>
    <xf numFmtId="0" fontId="9" fillId="50" borderId="0" xfId="67" applyFont="1" applyFill="1"/>
    <xf numFmtId="167" fontId="20" fillId="50" borderId="0" xfId="30" applyNumberFormat="1" applyFont="1" applyFill="1" applyAlignment="1">
      <alignment vertical="center"/>
    </xf>
    <xf numFmtId="167" fontId="9" fillId="50" borderId="0" xfId="30" applyNumberFormat="1" applyFont="1" applyFill="1" applyAlignment="1">
      <alignment vertical="center"/>
    </xf>
    <xf numFmtId="44" fontId="20" fillId="50" borderId="0" xfId="53" applyFont="1" applyFill="1" applyAlignment="1" applyProtection="1">
      <alignment vertical="center"/>
    </xf>
    <xf numFmtId="167" fontId="9" fillId="50" borderId="0" xfId="30" applyNumberFormat="1" applyFont="1" applyFill="1" applyBorder="1" applyAlignment="1">
      <alignment vertical="center"/>
    </xf>
    <xf numFmtId="168" fontId="9" fillId="50" borderId="0" xfId="77" applyNumberFormat="1" applyFont="1" applyFill="1" applyBorder="1" applyAlignment="1">
      <alignment vertical="center"/>
    </xf>
    <xf numFmtId="2" fontId="9" fillId="50" borderId="0" xfId="77" applyNumberFormat="1" applyFont="1" applyFill="1" applyBorder="1" applyAlignment="1">
      <alignment vertical="center"/>
    </xf>
    <xf numFmtId="2" fontId="101" fillId="50" borderId="0" xfId="77" applyNumberFormat="1" applyFont="1" applyFill="1" applyAlignment="1">
      <alignment vertical="center"/>
    </xf>
    <xf numFmtId="2" fontId="9" fillId="50" borderId="0" xfId="77" applyNumberFormat="1" applyFont="1" applyFill="1" applyAlignment="1">
      <alignment vertical="center"/>
    </xf>
    <xf numFmtId="2" fontId="9" fillId="50" borderId="0" xfId="37" applyNumberFormat="1" applyFont="1" applyFill="1" applyAlignment="1">
      <alignment vertical="center"/>
    </xf>
    <xf numFmtId="167" fontId="13" fillId="50" borderId="0" xfId="30" applyNumberFormat="1" applyFont="1" applyFill="1" applyAlignment="1">
      <alignment vertical="center"/>
    </xf>
    <xf numFmtId="167" fontId="103" fillId="50" borderId="29" xfId="30" applyNumberFormat="1" applyFont="1" applyFill="1" applyBorder="1" applyAlignment="1">
      <alignment vertical="center"/>
    </xf>
    <xf numFmtId="44" fontId="104" fillId="50" borderId="0" xfId="77" applyNumberFormat="1" applyFont="1" applyFill="1" applyAlignment="1">
      <alignment vertical="center"/>
    </xf>
    <xf numFmtId="167" fontId="104" fillId="50" borderId="0" xfId="77" applyNumberFormat="1" applyFont="1" applyFill="1" applyBorder="1" applyAlignment="1">
      <alignment vertical="center"/>
    </xf>
    <xf numFmtId="10" fontId="9" fillId="50" borderId="0" xfId="77" applyNumberFormat="1" applyFont="1" applyFill="1" applyAlignment="1">
      <alignment vertical="center"/>
    </xf>
    <xf numFmtId="44" fontId="22" fillId="50" borderId="0" xfId="53" applyFont="1" applyFill="1" applyAlignment="1">
      <alignment vertical="center"/>
    </xf>
    <xf numFmtId="167" fontId="101" fillId="50" borderId="0" xfId="77" applyNumberFormat="1" applyFont="1" applyFill="1" applyBorder="1" applyAlignment="1">
      <alignment vertical="center"/>
    </xf>
    <xf numFmtId="44" fontId="20" fillId="50" borderId="0" xfId="53" applyFont="1" applyFill="1" applyAlignment="1">
      <alignment vertical="center"/>
    </xf>
    <xf numFmtId="167" fontId="100" fillId="50" borderId="0" xfId="77" applyNumberFormat="1" applyFont="1" applyFill="1" applyBorder="1" applyAlignment="1">
      <alignment vertical="center"/>
    </xf>
    <xf numFmtId="10" fontId="9" fillId="50" borderId="0" xfId="102" applyNumberFormat="1" applyFont="1" applyFill="1" applyAlignment="1">
      <alignment vertical="center"/>
    </xf>
    <xf numFmtId="167" fontId="20" fillId="50" borderId="0" xfId="30" applyNumberFormat="1" applyFont="1" applyFill="1" applyBorder="1" applyAlignment="1">
      <alignment vertical="center"/>
    </xf>
    <xf numFmtId="44" fontId="20" fillId="50" borderId="0" xfId="53" applyFont="1" applyFill="1" applyBorder="1" applyAlignment="1" applyProtection="1">
      <alignment vertical="center"/>
    </xf>
    <xf numFmtId="43" fontId="101" fillId="50" borderId="0" xfId="30" applyFont="1" applyFill="1" applyBorder="1" applyAlignment="1">
      <alignment vertical="center"/>
    </xf>
    <xf numFmtId="2" fontId="101" fillId="50" borderId="0" xfId="77" applyNumberFormat="1" applyFont="1" applyFill="1" applyBorder="1" applyAlignment="1">
      <alignment vertical="center"/>
    </xf>
    <xf numFmtId="167" fontId="20" fillId="50" borderId="19" xfId="30" applyNumberFormat="1" applyFont="1" applyFill="1" applyBorder="1" applyAlignment="1">
      <alignment vertical="center"/>
    </xf>
    <xf numFmtId="167" fontId="9" fillId="50" borderId="19" xfId="30" applyNumberFormat="1" applyFont="1" applyFill="1" applyBorder="1" applyAlignment="1">
      <alignment vertical="center"/>
    </xf>
    <xf numFmtId="44" fontId="20" fillId="50" borderId="19" xfId="53" applyFont="1" applyFill="1" applyBorder="1" applyAlignment="1" applyProtection="1">
      <alignment vertical="center"/>
    </xf>
    <xf numFmtId="43" fontId="101" fillId="50" borderId="19" xfId="30" applyFont="1" applyFill="1" applyBorder="1" applyAlignment="1">
      <alignment vertical="center"/>
    </xf>
    <xf numFmtId="178" fontId="9" fillId="50" borderId="19" xfId="77" applyNumberFormat="1" applyFont="1" applyFill="1" applyBorder="1" applyAlignment="1">
      <alignment vertical="center"/>
    </xf>
    <xf numFmtId="168" fontId="9" fillId="50" borderId="19" xfId="77" applyNumberFormat="1" applyFont="1" applyFill="1" applyBorder="1" applyAlignment="1">
      <alignment vertical="center"/>
    </xf>
    <xf numFmtId="2" fontId="9" fillId="50" borderId="19" xfId="77" applyNumberFormat="1" applyFont="1" applyFill="1" applyBorder="1" applyAlignment="1">
      <alignment vertical="center"/>
    </xf>
    <xf numFmtId="2" fontId="101" fillId="50" borderId="19" xfId="77" applyNumberFormat="1" applyFont="1" applyFill="1" applyBorder="1" applyAlignment="1">
      <alignment vertical="center"/>
    </xf>
    <xf numFmtId="2" fontId="9" fillId="50" borderId="19" xfId="37" applyNumberFormat="1" applyFont="1" applyFill="1" applyBorder="1" applyAlignment="1">
      <alignment vertical="center"/>
    </xf>
    <xf numFmtId="167" fontId="13" fillId="50" borderId="19" xfId="30" applyNumberFormat="1" applyFont="1" applyFill="1" applyBorder="1" applyAlignment="1">
      <alignment vertical="center"/>
    </xf>
    <xf numFmtId="167" fontId="103" fillId="50" borderId="45" xfId="30" applyNumberFormat="1" applyFont="1" applyFill="1" applyBorder="1" applyAlignment="1">
      <alignment vertical="center"/>
    </xf>
    <xf numFmtId="44" fontId="104" fillId="50" borderId="19" xfId="77" applyNumberFormat="1" applyFont="1" applyFill="1" applyBorder="1" applyAlignment="1">
      <alignment vertical="center"/>
    </xf>
    <xf numFmtId="167" fontId="104" fillId="50" borderId="19" xfId="77" applyNumberFormat="1" applyFont="1" applyFill="1" applyBorder="1" applyAlignment="1">
      <alignment vertical="center"/>
    </xf>
    <xf numFmtId="10" fontId="9" fillId="50" borderId="19" xfId="77" applyNumberFormat="1" applyFont="1" applyFill="1" applyBorder="1" applyAlignment="1">
      <alignment vertical="center"/>
    </xf>
    <xf numFmtId="44" fontId="22" fillId="50" borderId="19" xfId="53" applyFont="1" applyFill="1" applyBorder="1" applyAlignment="1">
      <alignment vertical="center"/>
    </xf>
    <xf numFmtId="167" fontId="101" fillId="50" borderId="19" xfId="77" applyNumberFormat="1" applyFont="1" applyFill="1" applyBorder="1" applyAlignment="1">
      <alignment vertical="center"/>
    </xf>
    <xf numFmtId="167" fontId="100" fillId="50" borderId="19" xfId="77" applyNumberFormat="1" applyFont="1" applyFill="1" applyBorder="1" applyAlignment="1">
      <alignment vertical="center"/>
    </xf>
    <xf numFmtId="10" fontId="9" fillId="50" borderId="19" xfId="102" applyNumberFormat="1" applyFont="1" applyFill="1" applyBorder="1" applyAlignment="1">
      <alignment vertical="center"/>
    </xf>
    <xf numFmtId="167" fontId="11" fillId="0" borderId="0" xfId="37" applyNumberFormat="1" applyFont="1" applyFill="1" applyAlignment="1">
      <alignment vertical="center"/>
    </xf>
    <xf numFmtId="178" fontId="11" fillId="0" borderId="0" xfId="37" applyNumberFormat="1" applyFont="1" applyFill="1" applyAlignment="1">
      <alignment vertical="center"/>
    </xf>
    <xf numFmtId="170" fontId="24" fillId="0" borderId="0" xfId="29" applyNumberFormat="1" applyFont="1" applyAlignment="1">
      <alignment horizontal="center"/>
    </xf>
    <xf numFmtId="4" fontId="24" fillId="0" borderId="0" xfId="83" applyNumberFormat="1" applyFont="1" applyAlignment="1">
      <alignment horizontal="right"/>
    </xf>
    <xf numFmtId="43" fontId="24" fillId="0" borderId="0" xfId="28" applyFont="1" applyAlignment="1"/>
    <xf numFmtId="167" fontId="24" fillId="0" borderId="26" xfId="28" applyNumberFormat="1" applyFont="1" applyBorder="1" applyAlignment="1">
      <alignment horizontal="center"/>
    </xf>
    <xf numFmtId="38" fontId="9" fillId="0" borderId="12" xfId="76" applyFont="1" applyFill="1" applyBorder="1"/>
    <xf numFmtId="170" fontId="9" fillId="44" borderId="0" xfId="30" applyNumberFormat="1" applyFont="1" applyFill="1" applyAlignment="1">
      <alignment vertical="center"/>
    </xf>
    <xf numFmtId="167" fontId="9" fillId="27" borderId="22" xfId="76" applyNumberFormat="1" applyFont="1" applyFill="1" applyBorder="1" applyAlignment="1"/>
    <xf numFmtId="44" fontId="20" fillId="50" borderId="19" xfId="53" applyFont="1" applyFill="1" applyBorder="1" applyAlignment="1">
      <alignment vertical="center"/>
    </xf>
    <xf numFmtId="4" fontId="24" fillId="0" borderId="0" xfId="83" applyNumberFormat="1" applyFont="1"/>
    <xf numFmtId="41" fontId="0" fillId="0" borderId="0" xfId="0" applyNumberFormat="1" applyFill="1" applyBorder="1"/>
    <xf numFmtId="164" fontId="6" fillId="0" borderId="26" xfId="94" applyNumberFormat="1" applyFont="1" applyBorder="1"/>
    <xf numFmtId="167" fontId="9" fillId="0" borderId="22" xfId="76" applyNumberFormat="1" applyFont="1" applyBorder="1" applyAlignment="1"/>
    <xf numFmtId="0" fontId="43" fillId="0" borderId="0" xfId="0" applyFont="1" applyFill="1" applyAlignment="1">
      <alignment horizontal="center"/>
    </xf>
    <xf numFmtId="0" fontId="72" fillId="0" borderId="0" xfId="0" applyFont="1"/>
    <xf numFmtId="0" fontId="9" fillId="0" borderId="0" xfId="0" applyFont="1"/>
    <xf numFmtId="43" fontId="0" fillId="0" borderId="0" xfId="28" applyFont="1"/>
    <xf numFmtId="0" fontId="9" fillId="0" borderId="22" xfId="76" applyNumberFormat="1" applyFont="1" applyBorder="1" applyAlignment="1"/>
    <xf numFmtId="4" fontId="25" fillId="45" borderId="0" xfId="83" applyNumberFormat="1" applyFont="1" applyFill="1" applyAlignment="1" applyProtection="1"/>
    <xf numFmtId="1" fontId="24" fillId="0" borderId="19" xfId="83" applyNumberFormat="1" applyFont="1" applyBorder="1" applyAlignment="1" applyProtection="1">
      <alignment horizontal="right"/>
    </xf>
    <xf numFmtId="0" fontId="24" fillId="0" borderId="19" xfId="83" applyFont="1" applyBorder="1" applyAlignment="1"/>
    <xf numFmtId="164" fontId="24" fillId="0" borderId="19" xfId="94" applyNumberFormat="1" applyFont="1" applyBorder="1" applyAlignment="1"/>
    <xf numFmtId="4" fontId="25" fillId="45" borderId="19" xfId="83" applyNumberFormat="1" applyFont="1" applyFill="1" applyBorder="1" applyAlignment="1" applyProtection="1"/>
    <xf numFmtId="43" fontId="25" fillId="0" borderId="0" xfId="29" applyFont="1" applyAlignment="1">
      <alignment horizontal="center"/>
    </xf>
    <xf numFmtId="44" fontId="24" fillId="0" borderId="0" xfId="44" applyFont="1" applyAlignment="1" applyProtection="1">
      <alignment horizontal="center"/>
    </xf>
    <xf numFmtId="164" fontId="24" fillId="0" borderId="0" xfId="95" applyNumberFormat="1" applyFont="1"/>
    <xf numFmtId="44" fontId="6" fillId="0" borderId="0" xfId="43" applyFont="1"/>
    <xf numFmtId="176" fontId="45" fillId="34" borderId="50" xfId="28" applyNumberFormat="1" applyFont="1" applyFill="1" applyBorder="1" applyAlignment="1">
      <alignment horizontal="center" vertical="top" wrapText="1"/>
    </xf>
    <xf numFmtId="44" fontId="35" fillId="32" borderId="0" xfId="43" applyFont="1" applyFill="1" applyBorder="1"/>
    <xf numFmtId="44" fontId="34" fillId="32" borderId="19" xfId="43" applyFont="1" applyFill="1" applyBorder="1"/>
    <xf numFmtId="0" fontId="101" fillId="0" borderId="0" xfId="86" applyFont="1"/>
    <xf numFmtId="167" fontId="24" fillId="0" borderId="0" xfId="28" applyNumberFormat="1" applyFont="1" applyBorder="1" applyAlignment="1" applyProtection="1">
      <alignment horizontal="center"/>
    </xf>
    <xf numFmtId="167" fontId="25" fillId="0" borderId="0" xfId="28" applyNumberFormat="1" applyFont="1" applyAlignment="1"/>
    <xf numFmtId="167" fontId="25" fillId="0" borderId="0" xfId="28" applyNumberFormat="1" applyFont="1" applyAlignment="1" applyProtection="1"/>
    <xf numFmtId="167" fontId="25" fillId="0" borderId="19" xfId="28" applyNumberFormat="1" applyFont="1" applyBorder="1" applyAlignment="1"/>
    <xf numFmtId="38" fontId="105" fillId="0" borderId="0" xfId="76" applyFont="1" applyBorder="1" applyAlignment="1">
      <alignment horizontal="left"/>
    </xf>
    <xf numFmtId="167" fontId="0" fillId="0" borderId="0" xfId="0" applyNumberFormat="1"/>
    <xf numFmtId="0" fontId="0" fillId="0" borderId="0" xfId="0" applyAlignment="1">
      <alignment horizontal="right"/>
    </xf>
    <xf numFmtId="0" fontId="9" fillId="0" borderId="0" xfId="0" quotePrefix="1" applyFont="1" applyAlignment="1">
      <alignment horizontal="right"/>
    </xf>
    <xf numFmtId="9" fontId="9" fillId="0" borderId="0" xfId="94" applyFont="1" applyBorder="1" applyAlignment="1"/>
    <xf numFmtId="44" fontId="24" fillId="25" borderId="7" xfId="87" applyNumberFormat="1" applyFont="1" applyAlignment="1">
      <alignment horizontal="center"/>
    </xf>
    <xf numFmtId="4" fontId="25" fillId="25" borderId="7" xfId="87" applyNumberFormat="1" applyFont="1" applyAlignment="1" applyProtection="1">
      <alignment horizontal="center"/>
    </xf>
    <xf numFmtId="4" fontId="25" fillId="25" borderId="7" xfId="87" applyNumberFormat="1" applyFont="1" applyAlignment="1">
      <alignment horizontal="center"/>
    </xf>
    <xf numFmtId="3" fontId="24" fillId="25" borderId="7" xfId="87" applyNumberFormat="1" applyFont="1" applyAlignment="1">
      <alignment horizontal="center"/>
    </xf>
    <xf numFmtId="3" fontId="25" fillId="25" borderId="7" xfId="87" applyNumberFormat="1" applyFont="1" applyAlignment="1">
      <alignment horizontal="center"/>
    </xf>
    <xf numFmtId="44" fontId="24" fillId="0" borderId="0" xfId="83" applyNumberFormat="1" applyFont="1" applyBorder="1" applyAlignment="1">
      <alignment horizontal="center"/>
    </xf>
    <xf numFmtId="37" fontId="25" fillId="0" borderId="0" xfId="83" applyNumberFormat="1" applyFont="1" applyAlignment="1" applyProtection="1"/>
    <xf numFmtId="1" fontId="25" fillId="25" borderId="7" xfId="87" applyNumberFormat="1" applyFont="1" applyAlignment="1">
      <alignment horizontal="center"/>
    </xf>
    <xf numFmtId="1" fontId="25" fillId="25" borderId="73" xfId="87" applyNumberFormat="1" applyFont="1" applyBorder="1" applyAlignment="1">
      <alignment horizontal="center"/>
    </xf>
    <xf numFmtId="4" fontId="25" fillId="25" borderId="73" xfId="87" applyNumberFormat="1" applyFont="1" applyBorder="1" applyAlignment="1">
      <alignment horizontal="center"/>
    </xf>
    <xf numFmtId="0" fontId="106" fillId="0" borderId="0" xfId="79" applyFont="1"/>
    <xf numFmtId="181" fontId="6" fillId="0" borderId="0" xfId="79" applyNumberFormat="1"/>
    <xf numFmtId="180" fontId="6" fillId="0" borderId="0" xfId="41" applyBorder="1"/>
    <xf numFmtId="181" fontId="6" fillId="0" borderId="0" xfId="41" applyNumberFormat="1" applyBorder="1"/>
    <xf numFmtId="0" fontId="6" fillId="0" borderId="0" xfId="79" applyBorder="1"/>
    <xf numFmtId="181" fontId="6" fillId="0" borderId="0" xfId="79" applyNumberFormat="1" applyBorder="1"/>
    <xf numFmtId="164" fontId="75" fillId="0" borderId="0" xfId="94" applyNumberFormat="1" applyFont="1" applyAlignment="1" applyProtection="1">
      <alignment horizontal="left"/>
    </xf>
    <xf numFmtId="0" fontId="4" fillId="0" borderId="0" xfId="82" applyFont="1" applyProtection="1"/>
    <xf numFmtId="0" fontId="76" fillId="0" borderId="0" xfId="82" applyFont="1" applyProtection="1"/>
    <xf numFmtId="0" fontId="9" fillId="29" borderId="0" xfId="85" quotePrefix="1" applyNumberFormat="1" applyFont="1" applyFill="1" applyBorder="1" applyAlignment="1"/>
    <xf numFmtId="0" fontId="9" fillId="0" borderId="0" xfId="76" applyNumberFormat="1" applyFont="1" applyFill="1" applyBorder="1"/>
    <xf numFmtId="0" fontId="11" fillId="0" borderId="0" xfId="85" applyNumberFormat="1" applyFont="1" applyFill="1" applyBorder="1" applyAlignment="1">
      <alignment horizontal="center"/>
    </xf>
    <xf numFmtId="0" fontId="9" fillId="0" borderId="0" xfId="85" applyNumberFormat="1" applyFont="1" applyFill="1" applyBorder="1"/>
    <xf numFmtId="0" fontId="11" fillId="0" borderId="0" xfId="85" applyNumberFormat="1" applyFont="1" applyFill="1" applyBorder="1"/>
    <xf numFmtId="0" fontId="44" fillId="34" borderId="47" xfId="85" applyNumberFormat="1" applyFont="1" applyFill="1" applyBorder="1"/>
    <xf numFmtId="0" fontId="43" fillId="34" borderId="49" xfId="94" applyNumberFormat="1" applyFont="1" applyFill="1" applyBorder="1" applyAlignment="1"/>
    <xf numFmtId="0" fontId="9" fillId="29" borderId="0" xfId="85" applyNumberFormat="1" applyFont="1" applyFill="1" applyBorder="1" applyAlignment="1"/>
    <xf numFmtId="0" fontId="0" fillId="0" borderId="13" xfId="0" applyNumberFormat="1" applyBorder="1"/>
    <xf numFmtId="0" fontId="9" fillId="0" borderId="13" xfId="85" applyNumberFormat="1" applyFont="1" applyBorder="1"/>
    <xf numFmtId="0" fontId="9" fillId="0" borderId="63" xfId="85" applyNumberFormat="1" applyFont="1" applyBorder="1"/>
    <xf numFmtId="0" fontId="41" fillId="0" borderId="14" xfId="85" applyNumberFormat="1" applyFont="1" applyFill="1" applyBorder="1"/>
    <xf numFmtId="0" fontId="11" fillId="0" borderId="13" xfId="85" applyNumberFormat="1" applyFont="1" applyBorder="1"/>
    <xf numFmtId="0" fontId="9" fillId="0" borderId="0" xfId="85" applyNumberFormat="1" applyFont="1" applyFill="1" applyBorder="1" applyAlignment="1"/>
    <xf numFmtId="0" fontId="11" fillId="0" borderId="53" xfId="85" applyNumberFormat="1" applyFont="1" applyFill="1" applyBorder="1"/>
    <xf numFmtId="0" fontId="0" fillId="0" borderId="0" xfId="0" applyNumberFormat="1"/>
    <xf numFmtId="0" fontId="9" fillId="0" borderId="13" xfId="85" applyNumberFormat="1" applyFont="1" applyFill="1" applyBorder="1"/>
    <xf numFmtId="0" fontId="9" fillId="0" borderId="63" xfId="85" applyNumberFormat="1" applyFont="1" applyFill="1" applyBorder="1" applyAlignment="1">
      <alignment horizontal="left"/>
    </xf>
    <xf numFmtId="0" fontId="11" fillId="0" borderId="13" xfId="85" applyNumberFormat="1" applyFont="1" applyBorder="1" applyAlignment="1">
      <alignment horizontal="left"/>
    </xf>
    <xf numFmtId="0" fontId="9" fillId="0" borderId="13" xfId="85" applyNumberFormat="1" applyFont="1" applyBorder="1" applyAlignment="1">
      <alignment horizontal="left"/>
    </xf>
    <xf numFmtId="0" fontId="11" fillId="0" borderId="13" xfId="85" applyNumberFormat="1" applyFont="1" applyFill="1" applyBorder="1"/>
    <xf numFmtId="0" fontId="44" fillId="34" borderId="18" xfId="85" applyNumberFormat="1" applyFont="1" applyFill="1" applyBorder="1"/>
    <xf numFmtId="0" fontId="43" fillId="34" borderId="18" xfId="94" applyNumberFormat="1" applyFont="1" applyFill="1" applyBorder="1" applyAlignment="1"/>
    <xf numFmtId="0" fontId="44" fillId="0" borderId="0" xfId="85" applyNumberFormat="1" applyFont="1" applyFill="1" applyBorder="1"/>
    <xf numFmtId="0" fontId="43" fillId="0" borderId="13" xfId="94" applyNumberFormat="1" applyFont="1" applyFill="1" applyBorder="1" applyAlignment="1"/>
    <xf numFmtId="0" fontId="9" fillId="0" borderId="13" xfId="85" applyNumberFormat="1" applyFont="1" applyBorder="1" applyAlignment="1">
      <alignment horizontal="left" indent="1"/>
    </xf>
    <xf numFmtId="0" fontId="9" fillId="0" borderId="13" xfId="85" applyNumberFormat="1" applyFont="1" applyFill="1" applyBorder="1" applyAlignment="1">
      <alignment horizontal="left" indent="1"/>
    </xf>
    <xf numFmtId="0" fontId="23" fillId="0" borderId="13" xfId="85" applyNumberFormat="1" applyFont="1" applyBorder="1" applyAlignment="1">
      <alignment horizontal="left" indent="2"/>
    </xf>
    <xf numFmtId="0" fontId="9" fillId="0" borderId="66" xfId="85" applyNumberFormat="1" applyFont="1" applyBorder="1"/>
    <xf numFmtId="0" fontId="9" fillId="29" borderId="34" xfId="85" applyNumberFormat="1" applyFont="1" applyFill="1" applyBorder="1" applyAlignment="1">
      <alignment horizontal="center"/>
    </xf>
    <xf numFmtId="0" fontId="41" fillId="0" borderId="55" xfId="85" applyNumberFormat="1" applyFont="1" applyFill="1" applyBorder="1"/>
    <xf numFmtId="0" fontId="9" fillId="29" borderId="0" xfId="85" applyNumberFormat="1" applyFont="1" applyFill="1" applyBorder="1" applyAlignment="1">
      <alignment horizontal="center"/>
    </xf>
    <xf numFmtId="0" fontId="9" fillId="0" borderId="0" xfId="85" applyNumberFormat="1" applyFont="1" applyBorder="1"/>
    <xf numFmtId="0" fontId="13" fillId="0" borderId="0" xfId="85" applyNumberFormat="1" applyFont="1" applyBorder="1"/>
    <xf numFmtId="0" fontId="11" fillId="0" borderId="0" xfId="85" applyNumberFormat="1" applyFont="1" applyBorder="1"/>
    <xf numFmtId="0" fontId="11" fillId="29" borderId="0" xfId="85" applyNumberFormat="1" applyFont="1" applyFill="1" applyBorder="1" applyAlignment="1">
      <alignment horizontal="center"/>
    </xf>
    <xf numFmtId="0" fontId="9" fillId="51" borderId="0" xfId="0" applyFont="1" applyFill="1" applyAlignment="1">
      <alignment horizontal="center"/>
    </xf>
    <xf numFmtId="9" fontId="9" fillId="0" borderId="0" xfId="95" applyNumberFormat="1" applyFont="1" applyAlignment="1">
      <alignment horizontal="center"/>
    </xf>
    <xf numFmtId="9" fontId="37" fillId="34" borderId="48" xfId="95" applyFont="1" applyFill="1" applyBorder="1" applyAlignment="1"/>
    <xf numFmtId="164" fontId="13" fillId="0" borderId="0" xfId="95" applyNumberFormat="1" applyFont="1"/>
    <xf numFmtId="0" fontId="9" fillId="45" borderId="0" xfId="0" applyFont="1" applyFill="1" applyBorder="1"/>
    <xf numFmtId="0" fontId="9" fillId="51" borderId="0" xfId="0" applyFont="1" applyFill="1" applyBorder="1"/>
    <xf numFmtId="167" fontId="9" fillId="27" borderId="22" xfId="28" applyNumberFormat="1" applyFont="1" applyFill="1" applyBorder="1" applyAlignment="1"/>
    <xf numFmtId="167" fontId="9" fillId="0" borderId="22" xfId="28" applyNumberFormat="1" applyFont="1" applyBorder="1" applyAlignment="1"/>
    <xf numFmtId="38" fontId="9" fillId="45" borderId="0" xfId="76" applyFont="1" applyFill="1"/>
    <xf numFmtId="39" fontId="24" fillId="0" borderId="0" xfId="83" applyNumberFormat="1" applyFont="1" applyBorder="1" applyAlignment="1" applyProtection="1">
      <alignment horizontal="center"/>
    </xf>
    <xf numFmtId="164" fontId="9" fillId="0" borderId="0" xfId="94" applyNumberFormat="1" applyFont="1"/>
    <xf numFmtId="167" fontId="9" fillId="0" borderId="0" xfId="28" applyNumberFormat="1" applyFont="1"/>
    <xf numFmtId="167" fontId="107" fillId="0" borderId="0" xfId="86" applyNumberFormat="1" applyFont="1"/>
    <xf numFmtId="0" fontId="6" fillId="0" borderId="0" xfId="0" applyFont="1" applyAlignment="1"/>
    <xf numFmtId="170" fontId="11" fillId="0" borderId="0" xfId="30" applyNumberFormat="1" applyFont="1" applyFill="1" applyAlignment="1">
      <alignment vertical="center"/>
    </xf>
    <xf numFmtId="170" fontId="9" fillId="0" borderId="0" xfId="30" applyNumberFormat="1" applyFont="1" applyFill="1" applyAlignment="1">
      <alignment vertical="center"/>
    </xf>
    <xf numFmtId="170" fontId="9" fillId="49" borderId="0" xfId="30" applyNumberFormat="1" applyFont="1" applyFill="1" applyBorder="1" applyAlignment="1">
      <alignment vertical="center"/>
    </xf>
    <xf numFmtId="170" fontId="9" fillId="50" borderId="0" xfId="30" applyNumberFormat="1" applyFont="1" applyFill="1" applyAlignment="1">
      <alignment vertical="center"/>
    </xf>
    <xf numFmtId="170" fontId="9" fillId="50" borderId="19" xfId="30" applyNumberFormat="1" applyFont="1" applyFill="1" applyBorder="1" applyAlignment="1">
      <alignment vertical="center"/>
    </xf>
    <xf numFmtId="43" fontId="9" fillId="44" borderId="0" xfId="30" applyNumberFormat="1" applyFont="1" applyFill="1" applyAlignment="1">
      <alignment vertical="center"/>
    </xf>
    <xf numFmtId="167" fontId="9" fillId="49" borderId="0" xfId="28" applyNumberFormat="1" applyFont="1" applyFill="1"/>
    <xf numFmtId="0" fontId="108" fillId="0" borderId="0" xfId="0" applyFont="1"/>
    <xf numFmtId="0" fontId="108" fillId="0" borderId="0" xfId="0" applyFont="1" applyAlignment="1">
      <alignment horizontal="center"/>
    </xf>
    <xf numFmtId="0" fontId="108" fillId="0" borderId="37" xfId="0" applyFont="1" applyBorder="1"/>
    <xf numFmtId="0" fontId="109" fillId="0" borderId="37" xfId="0" applyFont="1" applyBorder="1" applyAlignment="1">
      <alignment horizontal="center"/>
    </xf>
    <xf numFmtId="167" fontId="0" fillId="0" borderId="0" xfId="28" applyNumberFormat="1" applyFont="1" applyAlignment="1">
      <alignment horizontal="right"/>
    </xf>
    <xf numFmtId="43" fontId="0" fillId="0" borderId="0" xfId="0" applyNumberFormat="1"/>
    <xf numFmtId="43" fontId="105" fillId="44" borderId="0" xfId="37" applyFont="1" applyFill="1" applyAlignment="1" applyProtection="1">
      <alignment vertical="center"/>
    </xf>
    <xf numFmtId="43" fontId="9" fillId="49" borderId="0" xfId="30" applyNumberFormat="1" applyFont="1" applyFill="1" applyBorder="1" applyAlignment="1">
      <alignment vertical="center"/>
    </xf>
    <xf numFmtId="43" fontId="105" fillId="49" borderId="0" xfId="37" applyFont="1" applyFill="1" applyAlignment="1" applyProtection="1">
      <alignment vertical="center"/>
    </xf>
    <xf numFmtId="0" fontId="101" fillId="0" borderId="0" xfId="77" applyNumberFormat="1" applyFont="1" applyFill="1" applyAlignment="1">
      <alignment horizontal="right"/>
    </xf>
    <xf numFmtId="43" fontId="9" fillId="50" borderId="0" xfId="30" applyNumberFormat="1" applyFont="1" applyFill="1" applyBorder="1" applyAlignment="1">
      <alignment vertical="center"/>
    </xf>
    <xf numFmtId="167" fontId="105" fillId="50" borderId="0" xfId="30" applyNumberFormat="1" applyFont="1" applyFill="1" applyAlignment="1">
      <alignment vertical="center"/>
    </xf>
    <xf numFmtId="167" fontId="101" fillId="50" borderId="0" xfId="30" applyNumberFormat="1" applyFont="1" applyFill="1" applyAlignment="1">
      <alignment vertical="center"/>
    </xf>
    <xf numFmtId="167" fontId="101" fillId="50" borderId="0" xfId="30" applyNumberFormat="1" applyFont="1" applyFill="1" applyBorder="1" applyAlignment="1">
      <alignment vertical="center"/>
    </xf>
    <xf numFmtId="167" fontId="105" fillId="50" borderId="0" xfId="30" applyNumberFormat="1" applyFont="1" applyFill="1" applyBorder="1" applyAlignment="1">
      <alignment vertical="center"/>
    </xf>
    <xf numFmtId="41" fontId="9" fillId="50" borderId="0" xfId="77" applyNumberFormat="1" applyFont="1" applyFill="1" applyBorder="1" applyAlignment="1">
      <alignment vertical="center"/>
    </xf>
    <xf numFmtId="175" fontId="77" fillId="0" borderId="0" xfId="43" applyNumberFormat="1" applyFont="1" applyProtection="1"/>
    <xf numFmtId="43" fontId="9" fillId="50" borderId="0" xfId="30" applyNumberFormat="1" applyFont="1" applyFill="1" applyAlignment="1">
      <alignment vertical="center"/>
    </xf>
    <xf numFmtId="43" fontId="9" fillId="50" borderId="19" xfId="30" applyNumberFormat="1" applyFont="1" applyFill="1" applyBorder="1" applyAlignment="1">
      <alignment vertical="center"/>
    </xf>
    <xf numFmtId="0" fontId="110" fillId="0" borderId="0" xfId="77" applyNumberFormat="1" applyFont="1" applyFill="1"/>
    <xf numFmtId="0" fontId="111" fillId="0" borderId="26" xfId="77" applyNumberFormat="1" applyFont="1" applyFill="1" applyBorder="1"/>
    <xf numFmtId="0" fontId="110" fillId="0" borderId="0" xfId="77" applyNumberFormat="1" applyFont="1" applyFill="1" applyBorder="1"/>
    <xf numFmtId="0" fontId="110" fillId="0" borderId="37" xfId="77" applyNumberFormat="1" applyFont="1" applyFill="1" applyBorder="1"/>
    <xf numFmtId="0" fontId="110" fillId="0" borderId="0" xfId="77" applyNumberFormat="1" applyFont="1" applyFill="1" applyAlignment="1">
      <alignment horizontal="center" vertical="center" wrapText="1"/>
    </xf>
    <xf numFmtId="167" fontId="110" fillId="0" borderId="0" xfId="77" applyNumberFormat="1" applyFont="1" applyFill="1"/>
    <xf numFmtId="167" fontId="111" fillId="0" borderId="74" xfId="77" applyNumberFormat="1" applyFont="1" applyFill="1" applyBorder="1"/>
    <xf numFmtId="37" fontId="111" fillId="0" borderId="74" xfId="77" applyNumberFormat="1" applyFont="1" applyFill="1" applyBorder="1" applyAlignment="1">
      <alignment vertical="center"/>
    </xf>
    <xf numFmtId="43" fontId="110" fillId="0" borderId="0" xfId="77" applyNumberFormat="1" applyFont="1" applyFill="1"/>
    <xf numFmtId="0" fontId="6" fillId="0" borderId="0" xfId="0" applyFont="1" applyBorder="1" applyAlignment="1"/>
    <xf numFmtId="0" fontId="38" fillId="27" borderId="26" xfId="0" applyFont="1" applyFill="1" applyBorder="1"/>
    <xf numFmtId="0" fontId="38" fillId="27" borderId="50" xfId="28" applyNumberFormat="1" applyFont="1" applyFill="1" applyBorder="1"/>
    <xf numFmtId="10" fontId="38" fillId="35" borderId="50" xfId="94" applyNumberFormat="1" applyFont="1" applyFill="1" applyBorder="1"/>
    <xf numFmtId="14" fontId="6" fillId="0" borderId="19" xfId="0" applyNumberFormat="1" applyFont="1" applyBorder="1"/>
    <xf numFmtId="0" fontId="38" fillId="35" borderId="30" xfId="0" applyFont="1" applyFill="1" applyBorder="1"/>
    <xf numFmtId="0" fontId="23" fillId="0" borderId="0" xfId="83" applyFont="1" applyAlignment="1">
      <alignment vertical="center"/>
    </xf>
    <xf numFmtId="0" fontId="24" fillId="0" borderId="0" xfId="83" applyFont="1" applyFill="1" applyAlignment="1">
      <alignment vertical="center" wrapText="1"/>
    </xf>
    <xf numFmtId="0" fontId="112" fillId="0" borderId="0" xfId="79" applyFont="1"/>
    <xf numFmtId="0" fontId="0" fillId="45" borderId="0" xfId="0" applyFill="1"/>
    <xf numFmtId="0" fontId="72" fillId="45" borderId="0" xfId="0" applyFont="1" applyFill="1"/>
    <xf numFmtId="0" fontId="113" fillId="0" borderId="0" xfId="79" applyFont="1"/>
    <xf numFmtId="167" fontId="113" fillId="0" borderId="0" xfId="40" applyNumberFormat="1" applyFont="1"/>
    <xf numFmtId="164" fontId="114" fillId="0" borderId="0" xfId="94" applyNumberFormat="1" applyFont="1"/>
    <xf numFmtId="0" fontId="115" fillId="0" borderId="0" xfId="79" applyFont="1"/>
    <xf numFmtId="167" fontId="115" fillId="0" borderId="0" xfId="40" applyNumberFormat="1" applyFont="1"/>
    <xf numFmtId="0" fontId="6" fillId="0" borderId="0" xfId="74" applyAlignment="1">
      <alignment vertical="center"/>
    </xf>
    <xf numFmtId="0" fontId="9" fillId="27" borderId="10" xfId="74" applyFont="1" applyFill="1" applyBorder="1" applyAlignment="1">
      <alignment horizontal="center" vertical="center" shrinkToFit="1"/>
    </xf>
    <xf numFmtId="164" fontId="6" fillId="0" borderId="0" xfId="94" applyNumberFormat="1" applyFont="1" applyAlignment="1">
      <alignment horizontal="left"/>
    </xf>
    <xf numFmtId="167" fontId="11" fillId="0" borderId="0" xfId="28" applyNumberFormat="1" applyFont="1"/>
    <xf numFmtId="0" fontId="11" fillId="0" borderId="42" xfId="0" applyFont="1" applyBorder="1"/>
    <xf numFmtId="167" fontId="11" fillId="0" borderId="42" xfId="28" applyNumberFormat="1" applyFont="1" applyBorder="1"/>
    <xf numFmtId="0" fontId="70" fillId="0" borderId="0" xfId="0" applyFont="1"/>
    <xf numFmtId="167" fontId="70" fillId="0" borderId="0" xfId="28" applyNumberFormat="1" applyFont="1"/>
    <xf numFmtId="0" fontId="11" fillId="0" borderId="74" xfId="0" applyFont="1" applyBorder="1"/>
    <xf numFmtId="167" fontId="11" fillId="0" borderId="74" xfId="28" applyNumberFormat="1" applyFont="1" applyBorder="1"/>
    <xf numFmtId="40" fontId="9" fillId="0" borderId="0" xfId="76" applyNumberFormat="1" applyFont="1"/>
    <xf numFmtId="14" fontId="0" fillId="0" borderId="0" xfId="0" applyNumberFormat="1"/>
    <xf numFmtId="14" fontId="0" fillId="51" borderId="0" xfId="0" applyNumberFormat="1" applyFill="1"/>
    <xf numFmtId="167" fontId="79" fillId="51" borderId="0" xfId="28" applyNumberFormat="1" applyFont="1" applyFill="1"/>
    <xf numFmtId="167" fontId="0" fillId="51" borderId="0" xfId="0" applyNumberFormat="1" applyFill="1"/>
    <xf numFmtId="0" fontId="0" fillId="51" borderId="0" xfId="0" applyFill="1"/>
    <xf numFmtId="14" fontId="0" fillId="52" borderId="0" xfId="0" applyNumberFormat="1" applyFill="1"/>
    <xf numFmtId="167" fontId="79" fillId="52" borderId="0" xfId="28" applyNumberFormat="1" applyFont="1" applyFill="1"/>
    <xf numFmtId="167" fontId="0" fillId="52" borderId="0" xfId="0" applyNumberFormat="1" applyFill="1"/>
    <xf numFmtId="0" fontId="0" fillId="52" borderId="0" xfId="0" applyFill="1"/>
    <xf numFmtId="14" fontId="13" fillId="0" borderId="0" xfId="0" quotePrefix="1" applyNumberFormat="1" applyFont="1"/>
    <xf numFmtId="0" fontId="9" fillId="0" borderId="0" xfId="0" quotePrefix="1" applyFont="1"/>
    <xf numFmtId="167" fontId="80" fillId="45" borderId="0" xfId="28" applyNumberFormat="1" applyFont="1" applyFill="1"/>
    <xf numFmtId="0" fontId="9" fillId="45" borderId="0" xfId="0" quotePrefix="1" applyFont="1" applyFill="1"/>
    <xf numFmtId="14" fontId="23" fillId="0" borderId="0" xfId="0" applyNumberFormat="1" applyFont="1"/>
    <xf numFmtId="0" fontId="23" fillId="0" borderId="0" xfId="0" applyFont="1" applyBorder="1" applyAlignment="1">
      <alignment horizontal="center"/>
    </xf>
    <xf numFmtId="0" fontId="23" fillId="0" borderId="0" xfId="0" applyFont="1" applyBorder="1"/>
    <xf numFmtId="0" fontId="23" fillId="0" borderId="0" xfId="0" applyFont="1" applyBorder="1" applyAlignment="1">
      <alignment horizontal="centerContinuous"/>
    </xf>
    <xf numFmtId="17" fontId="23" fillId="0" borderId="0" xfId="0" applyNumberFormat="1" applyFont="1" applyBorder="1" applyAlignment="1">
      <alignment horizontal="center"/>
    </xf>
    <xf numFmtId="43" fontId="9" fillId="0" borderId="0" xfId="29"/>
    <xf numFmtId="44" fontId="9" fillId="0" borderId="0" xfId="47" applyFont="1"/>
    <xf numFmtId="2" fontId="23" fillId="0" borderId="0" xfId="0" applyNumberFormat="1" applyFont="1" applyBorder="1"/>
    <xf numFmtId="43" fontId="23" fillId="0" borderId="0" xfId="32" applyFont="1" applyBorder="1"/>
    <xf numFmtId="167" fontId="24" fillId="0" borderId="0" xfId="29" applyNumberFormat="1" applyFont="1" applyFill="1" applyBorder="1" applyAlignment="1">
      <alignment horizontal="center"/>
    </xf>
    <xf numFmtId="0" fontId="0" fillId="0" borderId="0" xfId="0" applyFill="1" applyBorder="1"/>
    <xf numFmtId="43" fontId="9" fillId="0" borderId="0" xfId="29" applyBorder="1"/>
    <xf numFmtId="43" fontId="0" fillId="0" borderId="0" xfId="29" applyFont="1"/>
    <xf numFmtId="44" fontId="0" fillId="0" borderId="0" xfId="47" applyFont="1"/>
    <xf numFmtId="44" fontId="0" fillId="0" borderId="0" xfId="44" applyFont="1"/>
    <xf numFmtId="43" fontId="23" fillId="0" borderId="0" xfId="29" applyFont="1" applyBorder="1" applyAlignment="1">
      <alignment horizontal="center"/>
    </xf>
    <xf numFmtId="176" fontId="6" fillId="34" borderId="50" xfId="32" applyNumberFormat="1" applyFont="1" applyFill="1" applyBorder="1" applyAlignment="1">
      <alignment horizontal="center" vertical="top" wrapText="1"/>
    </xf>
    <xf numFmtId="176" fontId="45" fillId="34" borderId="50" xfId="32" applyNumberFormat="1" applyFont="1" applyFill="1" applyBorder="1" applyAlignment="1">
      <alignment horizontal="center" vertical="top" wrapText="1"/>
    </xf>
    <xf numFmtId="43" fontId="35" fillId="32" borderId="29" xfId="32" applyNumberFormat="1" applyFont="1" applyFill="1" applyBorder="1"/>
    <xf numFmtId="44" fontId="6" fillId="0" borderId="15" xfId="44" applyNumberFormat="1" applyFont="1" applyBorder="1"/>
    <xf numFmtId="44" fontId="6" fillId="0" borderId="15" xfId="44" applyNumberFormat="1" applyFont="1" applyFill="1" applyBorder="1"/>
    <xf numFmtId="44" fontId="6" fillId="32" borderId="15" xfId="44" applyNumberFormat="1" applyFont="1" applyFill="1" applyBorder="1"/>
    <xf numFmtId="2" fontId="6" fillId="0" borderId="0" xfId="80" applyNumberFormat="1"/>
    <xf numFmtId="14" fontId="6" fillId="53" borderId="0" xfId="80" applyNumberFormat="1" applyFill="1"/>
    <xf numFmtId="43" fontId="81" fillId="53" borderId="0" xfId="29" applyFont="1" applyFill="1"/>
    <xf numFmtId="44" fontId="81" fillId="53" borderId="0" xfId="47" applyFont="1" applyFill="1"/>
    <xf numFmtId="2" fontId="23" fillId="53" borderId="0" xfId="0" applyNumberFormat="1" applyFont="1" applyFill="1" applyBorder="1"/>
    <xf numFmtId="43" fontId="23" fillId="53" borderId="0" xfId="32" applyFont="1" applyFill="1" applyBorder="1"/>
    <xf numFmtId="43" fontId="23" fillId="0" borderId="0" xfId="0" applyNumberFormat="1" applyFont="1" applyBorder="1" applyAlignment="1">
      <alignment horizontal="center"/>
    </xf>
    <xf numFmtId="43" fontId="34" fillId="32" borderId="16" xfId="28" applyNumberFormat="1" applyFont="1" applyFill="1" applyBorder="1"/>
    <xf numFmtId="43" fontId="34" fillId="32" borderId="12" xfId="28" applyNumberFormat="1" applyFont="1" applyFill="1" applyBorder="1"/>
    <xf numFmtId="17" fontId="23" fillId="0" borderId="0" xfId="0" applyNumberFormat="1" applyFont="1" applyBorder="1" applyAlignment="1">
      <alignment horizontal="left"/>
    </xf>
    <xf numFmtId="17" fontId="23" fillId="0" borderId="0" xfId="0" applyNumberFormat="1" applyFont="1" applyFill="1" applyBorder="1" applyAlignment="1">
      <alignment horizontal="center"/>
    </xf>
    <xf numFmtId="175" fontId="6" fillId="0" borderId="0" xfId="43" applyNumberFormat="1" applyFont="1"/>
    <xf numFmtId="0" fontId="82" fillId="0" borderId="0" xfId="69"/>
    <xf numFmtId="0" fontId="82" fillId="0" borderId="0" xfId="69" applyAlignment="1">
      <alignment horizontal="right"/>
    </xf>
    <xf numFmtId="0" fontId="82" fillId="0" borderId="0" xfId="69" applyAlignment="1"/>
    <xf numFmtId="0" fontId="82" fillId="0" borderId="0" xfId="69" applyFill="1" applyBorder="1"/>
    <xf numFmtId="0" fontId="82" fillId="0" borderId="0" xfId="69" applyFill="1" applyAlignment="1">
      <alignment horizontal="right"/>
    </xf>
    <xf numFmtId="0" fontId="82" fillId="0" borderId="0" xfId="69" applyFill="1"/>
    <xf numFmtId="167" fontId="0" fillId="0" borderId="0" xfId="33" applyNumberFormat="1" applyFont="1" applyFill="1"/>
    <xf numFmtId="0" fontId="38" fillId="0" borderId="0" xfId="69" applyFont="1" applyAlignment="1" applyProtection="1">
      <alignment horizontal="left" wrapText="1"/>
      <protection locked="0"/>
    </xf>
    <xf numFmtId="0" fontId="38" fillId="0" borderId="0" xfId="69" applyFont="1" applyAlignment="1" applyProtection="1">
      <alignment horizontal="right" wrapText="1"/>
      <protection locked="0"/>
    </xf>
    <xf numFmtId="0" fontId="82" fillId="0" borderId="0" xfId="69" applyAlignment="1">
      <alignment vertical="top"/>
    </xf>
    <xf numFmtId="0" fontId="82" fillId="0" borderId="0" xfId="69" applyAlignment="1" applyProtection="1">
      <alignment horizontal="left"/>
      <protection locked="0"/>
    </xf>
    <xf numFmtId="186" fontId="82" fillId="0" borderId="0" xfId="69" applyNumberFormat="1" applyAlignment="1" applyProtection="1">
      <alignment horizontal="right"/>
      <protection locked="0"/>
    </xf>
    <xf numFmtId="187" fontId="82" fillId="0" borderId="0" xfId="69" applyNumberFormat="1" applyAlignment="1" applyProtection="1">
      <alignment horizontal="right"/>
      <protection locked="0"/>
    </xf>
    <xf numFmtId="188" fontId="82" fillId="0" borderId="0" xfId="69" applyNumberFormat="1" applyAlignment="1" applyProtection="1">
      <alignment horizontal="right"/>
      <protection locked="0"/>
    </xf>
    <xf numFmtId="189" fontId="82" fillId="0" borderId="0" xfId="69" applyNumberFormat="1" applyAlignment="1" applyProtection="1">
      <alignment horizontal="right"/>
      <protection locked="0"/>
    </xf>
    <xf numFmtId="190" fontId="82" fillId="0" borderId="0" xfId="69" applyNumberFormat="1" applyAlignment="1" applyProtection="1">
      <alignment horizontal="right"/>
      <protection locked="0"/>
    </xf>
    <xf numFmtId="191" fontId="82" fillId="0" borderId="0" xfId="69" applyNumberFormat="1" applyAlignment="1" applyProtection="1">
      <alignment horizontal="right"/>
      <protection locked="0"/>
    </xf>
    <xf numFmtId="0" fontId="23" fillId="54" borderId="0" xfId="83" applyFont="1" applyFill="1"/>
    <xf numFmtId="167" fontId="6" fillId="54" borderId="0" xfId="28" applyNumberFormat="1" applyFont="1" applyFill="1"/>
    <xf numFmtId="167" fontId="6" fillId="27" borderId="10" xfId="32" applyNumberFormat="1" applyFont="1" applyFill="1" applyBorder="1"/>
    <xf numFmtId="167" fontId="6" fillId="0" borderId="10" xfId="32" applyNumberFormat="1" applyFont="1" applyFill="1" applyBorder="1"/>
    <xf numFmtId="43" fontId="34" fillId="0" borderId="0" xfId="28" applyNumberFormat="1" applyFont="1" applyFill="1"/>
    <xf numFmtId="167" fontId="6" fillId="0" borderId="0" xfId="32" applyNumberFormat="1" applyFont="1" applyFill="1"/>
    <xf numFmtId="167" fontId="36" fillId="0" borderId="0" xfId="32" applyNumberFormat="1" applyFont="1" applyFill="1"/>
    <xf numFmtId="167" fontId="35" fillId="0" borderId="0" xfId="32" applyNumberFormat="1" applyFont="1" applyFill="1" applyAlignment="1">
      <alignment horizontal="center"/>
    </xf>
    <xf numFmtId="167" fontId="25" fillId="0" borderId="0" xfId="32" applyNumberFormat="1" applyFont="1" applyAlignment="1"/>
    <xf numFmtId="167" fontId="6" fillId="54" borderId="0" xfId="40" applyNumberFormat="1" applyFont="1" applyFill="1"/>
    <xf numFmtId="167" fontId="6" fillId="54" borderId="46" xfId="40" applyNumberFormat="1" applyFill="1" applyBorder="1"/>
    <xf numFmtId="167" fontId="6" fillId="54" borderId="0" xfId="40" applyNumberFormat="1" applyFill="1"/>
    <xf numFmtId="167" fontId="38" fillId="54" borderId="48" xfId="40" applyNumberFormat="1" applyFont="1" applyFill="1" applyBorder="1"/>
    <xf numFmtId="0" fontId="38" fillId="0" borderId="0" xfId="79" applyFont="1" applyBorder="1"/>
    <xf numFmtId="180" fontId="6" fillId="25" borderId="7" xfId="87" applyNumberFormat="1" applyFont="1"/>
    <xf numFmtId="167" fontId="9" fillId="54" borderId="46" xfId="28" applyNumberFormat="1" applyFont="1" applyFill="1" applyBorder="1"/>
    <xf numFmtId="180" fontId="6" fillId="25" borderId="73" xfId="87" applyNumberFormat="1" applyFont="1" applyBorder="1"/>
    <xf numFmtId="182" fontId="6" fillId="25" borderId="7" xfId="87" applyNumberFormat="1" applyFont="1"/>
    <xf numFmtId="181" fontId="6" fillId="25" borderId="7" xfId="87" applyNumberFormat="1" applyFont="1"/>
    <xf numFmtId="0" fontId="116" fillId="0" borderId="0" xfId="0" applyFont="1"/>
    <xf numFmtId="167" fontId="116" fillId="0" borderId="0" xfId="28" applyNumberFormat="1" applyFont="1"/>
    <xf numFmtId="167" fontId="40" fillId="0" borderId="0" xfId="28" applyNumberFormat="1" applyFont="1"/>
    <xf numFmtId="167" fontId="40" fillId="0" borderId="42" xfId="79" applyNumberFormat="1" applyFont="1" applyBorder="1"/>
    <xf numFmtId="182" fontId="40" fillId="0" borderId="0" xfId="79" applyNumberFormat="1" applyFont="1"/>
    <xf numFmtId="182" fontId="40" fillId="0" borderId="42" xfId="79" applyNumberFormat="1" applyFont="1" applyBorder="1"/>
    <xf numFmtId="167" fontId="6" fillId="25" borderId="7" xfId="30" applyNumberFormat="1" applyFont="1" applyFill="1" applyBorder="1" applyAlignment="1"/>
    <xf numFmtId="167" fontId="6" fillId="25" borderId="7" xfId="30" applyNumberFormat="1" applyFont="1" applyFill="1" applyBorder="1"/>
    <xf numFmtId="43" fontId="24" fillId="0" borderId="26" xfId="83" applyNumberFormat="1" applyFont="1" applyBorder="1" applyAlignment="1"/>
    <xf numFmtId="164" fontId="1" fillId="0" borderId="0" xfId="94" applyNumberFormat="1" applyFont="1" applyAlignment="1">
      <alignment horizontal="center"/>
    </xf>
    <xf numFmtId="164" fontId="0" fillId="0" borderId="0" xfId="0" applyNumberFormat="1" applyAlignment="1">
      <alignment horizontal="center"/>
    </xf>
    <xf numFmtId="0" fontId="38" fillId="55" borderId="0" xfId="69" applyFont="1" applyFill="1" applyAlignment="1" applyProtection="1">
      <alignment horizontal="left" wrapText="1"/>
      <protection locked="0"/>
    </xf>
    <xf numFmtId="0" fontId="82" fillId="55" borderId="0" xfId="69" applyFill="1"/>
    <xf numFmtId="0" fontId="0" fillId="0" borderId="51" xfId="0" pivotButton="1" applyBorder="1"/>
    <xf numFmtId="0" fontId="0" fillId="0" borderId="75" xfId="0" applyBorder="1"/>
    <xf numFmtId="0" fontId="0" fillId="0" borderId="76" xfId="0" applyBorder="1"/>
    <xf numFmtId="0" fontId="0" fillId="0" borderId="51" xfId="0" applyBorder="1"/>
    <xf numFmtId="0" fontId="0" fillId="0" borderId="77" xfId="0" applyBorder="1"/>
    <xf numFmtId="0" fontId="0" fillId="0" borderId="78" xfId="0" applyBorder="1"/>
    <xf numFmtId="167" fontId="0" fillId="0" borderId="51" xfId="0" applyNumberFormat="1" applyBorder="1"/>
    <xf numFmtId="167" fontId="0" fillId="0" borderId="77" xfId="0" applyNumberFormat="1" applyBorder="1"/>
    <xf numFmtId="167" fontId="0" fillId="0" borderId="78" xfId="0" applyNumberFormat="1" applyBorder="1"/>
    <xf numFmtId="0" fontId="0" fillId="0" borderId="79" xfId="0" applyBorder="1"/>
    <xf numFmtId="0" fontId="0" fillId="0" borderId="52" xfId="0" applyBorder="1"/>
    <xf numFmtId="167" fontId="0" fillId="0" borderId="52" xfId="0" applyNumberFormat="1" applyBorder="1"/>
    <xf numFmtId="167" fontId="0" fillId="0" borderId="80" xfId="0" applyNumberFormat="1" applyBorder="1"/>
    <xf numFmtId="0" fontId="0" fillId="0" borderId="81" xfId="0" applyBorder="1"/>
    <xf numFmtId="0" fontId="0" fillId="0" borderId="82" xfId="0" applyBorder="1"/>
    <xf numFmtId="167" fontId="0" fillId="0" borderId="81" xfId="0" applyNumberFormat="1" applyBorder="1"/>
    <xf numFmtId="167" fontId="0" fillId="0" borderId="83" xfId="0" applyNumberFormat="1" applyBorder="1"/>
    <xf numFmtId="167" fontId="0" fillId="0" borderId="84" xfId="0" applyNumberFormat="1" applyBorder="1"/>
    <xf numFmtId="0" fontId="0" fillId="0" borderId="84" xfId="0" pivotButton="1" applyBorder="1"/>
    <xf numFmtId="0" fontId="0" fillId="0" borderId="84" xfId="0" applyBorder="1"/>
    <xf numFmtId="0" fontId="82" fillId="55" borderId="0" xfId="69" applyFill="1" applyAlignment="1">
      <alignment horizontal="right"/>
    </xf>
    <xf numFmtId="167" fontId="84" fillId="55" borderId="0" xfId="33" applyNumberFormat="1" applyFont="1" applyFill="1"/>
    <xf numFmtId="167" fontId="0" fillId="0" borderId="0" xfId="0" applyNumberFormat="1" applyBorder="1"/>
    <xf numFmtId="0" fontId="6" fillId="55" borderId="0" xfId="69" applyFont="1" applyFill="1"/>
    <xf numFmtId="167" fontId="112" fillId="48" borderId="0" xfId="28" applyNumberFormat="1" applyFont="1" applyFill="1" applyAlignment="1">
      <alignment horizontal="left"/>
    </xf>
    <xf numFmtId="167" fontId="112" fillId="48" borderId="0" xfId="28" applyNumberFormat="1" applyFont="1" applyFill="1" applyBorder="1"/>
    <xf numFmtId="0" fontId="4" fillId="27" borderId="31" xfId="0" applyFont="1" applyFill="1" applyBorder="1" applyAlignment="1">
      <alignment horizontal="center" wrapText="1"/>
    </xf>
    <xf numFmtId="164" fontId="2" fillId="0" borderId="14" xfId="0" applyNumberFormat="1" applyFont="1" applyFill="1" applyBorder="1"/>
    <xf numFmtId="43" fontId="9" fillId="0" borderId="13" xfId="76" applyNumberFormat="1" applyFont="1" applyBorder="1" applyAlignment="1"/>
    <xf numFmtId="164" fontId="9" fillId="0" borderId="0" xfId="94" applyNumberFormat="1" applyFont="1" applyFill="1" applyBorder="1" applyAlignment="1">
      <alignment horizontal="center"/>
    </xf>
    <xf numFmtId="164" fontId="11" fillId="0" borderId="13" xfId="94" applyNumberFormat="1" applyFont="1" applyFill="1" applyBorder="1" applyAlignment="1">
      <alignment horizontal="center"/>
    </xf>
    <xf numFmtId="164" fontId="9" fillId="0" borderId="13" xfId="94" applyNumberFormat="1" applyFont="1" applyBorder="1" applyAlignment="1">
      <alignment horizontal="center"/>
    </xf>
    <xf numFmtId="164" fontId="9" fillId="0" borderId="13" xfId="94" applyNumberFormat="1" applyFont="1" applyBorder="1" applyAlignment="1"/>
    <xf numFmtId="164" fontId="9" fillId="0" borderId="13" xfId="94" applyNumberFormat="1" applyFont="1" applyFill="1" applyBorder="1" applyAlignment="1"/>
    <xf numFmtId="164" fontId="11" fillId="0" borderId="13" xfId="94" applyNumberFormat="1" applyFont="1" applyBorder="1" applyAlignment="1"/>
    <xf numFmtId="164" fontId="9" fillId="0" borderId="0" xfId="94" applyNumberFormat="1" applyFont="1" applyBorder="1" applyAlignment="1"/>
    <xf numFmtId="164" fontId="9" fillId="0" borderId="0" xfId="94" applyNumberFormat="1" applyFont="1" applyBorder="1" applyAlignment="1">
      <alignment horizontal="center"/>
    </xf>
    <xf numFmtId="164" fontId="117" fillId="0" borderId="13" xfId="94" applyNumberFormat="1" applyFont="1" applyBorder="1" applyAlignment="1"/>
    <xf numFmtId="38" fontId="9" fillId="45" borderId="15" xfId="76" applyFont="1" applyFill="1" applyBorder="1"/>
    <xf numFmtId="0" fontId="2" fillId="0" borderId="59" xfId="0" applyFont="1" applyBorder="1"/>
    <xf numFmtId="43" fontId="6" fillId="0" borderId="0" xfId="32" applyNumberFormat="1" applyFont="1" applyFill="1"/>
    <xf numFmtId="164" fontId="118" fillId="0" borderId="0" xfId="94" applyNumberFormat="1" applyFont="1" applyFill="1" applyBorder="1"/>
    <xf numFmtId="175" fontId="2" fillId="0" borderId="59" xfId="0" applyNumberFormat="1" applyFont="1" applyBorder="1"/>
    <xf numFmtId="0" fontId="6" fillId="25" borderId="7" xfId="87" applyFont="1"/>
    <xf numFmtId="44" fontId="6" fillId="25" borderId="7" xfId="43" applyFont="1" applyFill="1" applyBorder="1"/>
    <xf numFmtId="167" fontId="6" fillId="0" borderId="7" xfId="30" applyNumberFormat="1" applyFont="1" applyFill="1" applyBorder="1"/>
    <xf numFmtId="0" fontId="6" fillId="0" borderId="0" xfId="79" applyAlignment="1">
      <alignment horizontal="center"/>
    </xf>
    <xf numFmtId="0" fontId="40" fillId="0" borderId="0" xfId="79" applyFont="1" applyFill="1"/>
    <xf numFmtId="43" fontId="40" fillId="0" borderId="7" xfId="28" applyFont="1" applyFill="1" applyBorder="1"/>
    <xf numFmtId="41" fontId="24" fillId="0" borderId="16" xfId="83" applyNumberFormat="1" applyFont="1" applyBorder="1"/>
    <xf numFmtId="0" fontId="9" fillId="25" borderId="7" xfId="87" applyNumberFormat="1" applyFont="1"/>
    <xf numFmtId="0" fontId="108" fillId="44" borderId="85" xfId="0" applyFont="1" applyFill="1" applyBorder="1"/>
    <xf numFmtId="0" fontId="108" fillId="44" borderId="86" xfId="0" applyFont="1" applyFill="1" applyBorder="1" applyAlignment="1">
      <alignment horizontal="right" wrapText="1"/>
    </xf>
    <xf numFmtId="0" fontId="108" fillId="44" borderId="86" xfId="0" applyFont="1" applyFill="1" applyBorder="1" applyAlignment="1">
      <alignment wrapText="1"/>
    </xf>
    <xf numFmtId="0" fontId="108" fillId="44" borderId="49" xfId="0" applyFont="1" applyFill="1" applyBorder="1"/>
    <xf numFmtId="0" fontId="0" fillId="56" borderId="24" xfId="0" applyFill="1" applyBorder="1"/>
    <xf numFmtId="0" fontId="0" fillId="56" borderId="16" xfId="0" applyFill="1" applyBorder="1" applyAlignment="1">
      <alignment horizontal="right"/>
    </xf>
    <xf numFmtId="0" fontId="0" fillId="56" borderId="16" xfId="0" applyFill="1" applyBorder="1"/>
    <xf numFmtId="0" fontId="0" fillId="56" borderId="13" xfId="0" applyFill="1" applyBorder="1"/>
    <xf numFmtId="0" fontId="0" fillId="47" borderId="24" xfId="0" applyFill="1" applyBorder="1"/>
    <xf numFmtId="0" fontId="0" fillId="47" borderId="16" xfId="0" applyFill="1" applyBorder="1" applyAlignment="1">
      <alignment horizontal="right"/>
    </xf>
    <xf numFmtId="0" fontId="0" fillId="47" borderId="16" xfId="0" applyFill="1" applyBorder="1"/>
    <xf numFmtId="0" fontId="0" fillId="47" borderId="13" xfId="0" applyFill="1" applyBorder="1"/>
    <xf numFmtId="0" fontId="0" fillId="56" borderId="87" xfId="0" applyFill="1" applyBorder="1"/>
    <xf numFmtId="0" fontId="0" fillId="56" borderId="88" xfId="0" applyFill="1" applyBorder="1" applyAlignment="1">
      <alignment horizontal="right"/>
    </xf>
    <xf numFmtId="0" fontId="0" fillId="56" borderId="88" xfId="0" applyFill="1" applyBorder="1"/>
    <xf numFmtId="0" fontId="0" fillId="56" borderId="89" xfId="0" applyFill="1" applyBorder="1"/>
    <xf numFmtId="44" fontId="24" fillId="0" borderId="7" xfId="87" applyNumberFormat="1" applyFont="1" applyFill="1" applyAlignment="1">
      <alignment horizontal="center"/>
    </xf>
    <xf numFmtId="0" fontId="11" fillId="47" borderId="24" xfId="0" applyFont="1" applyFill="1" applyBorder="1"/>
    <xf numFmtId="0" fontId="11" fillId="47" borderId="16" xfId="0" applyFont="1" applyFill="1" applyBorder="1" applyAlignment="1">
      <alignment horizontal="right"/>
    </xf>
    <xf numFmtId="0" fontId="11" fillId="47" borderId="16" xfId="0" applyFont="1" applyFill="1" applyBorder="1"/>
    <xf numFmtId="0" fontId="11" fillId="47" borderId="13" xfId="0" applyFont="1" applyFill="1" applyBorder="1"/>
    <xf numFmtId="0" fontId="11" fillId="56" borderId="24" xfId="0" applyFont="1" applyFill="1" applyBorder="1"/>
    <xf numFmtId="0" fontId="11" fillId="56" borderId="16" xfId="0" applyFont="1" applyFill="1" applyBorder="1" applyAlignment="1">
      <alignment horizontal="right"/>
    </xf>
    <xf numFmtId="0" fontId="11" fillId="56" borderId="16" xfId="0" applyFont="1" applyFill="1" applyBorder="1"/>
    <xf numFmtId="0" fontId="11" fillId="56" borderId="13" xfId="0" applyFont="1" applyFill="1" applyBorder="1"/>
    <xf numFmtId="0" fontId="9" fillId="0" borderId="0" xfId="0" applyFont="1" applyAlignment="1">
      <alignment horizontal="right"/>
    </xf>
    <xf numFmtId="0" fontId="9" fillId="0" borderId="0" xfId="0" applyFont="1" applyFill="1" applyBorder="1" applyAlignment="1">
      <alignment horizontal="right"/>
    </xf>
    <xf numFmtId="164" fontId="0" fillId="0" borderId="0" xfId="94" applyNumberFormat="1" applyFont="1" applyAlignment="1">
      <alignment horizontal="center"/>
    </xf>
    <xf numFmtId="2" fontId="0" fillId="0" borderId="0" xfId="0" applyNumberFormat="1" applyAlignment="1">
      <alignment horizontal="left"/>
    </xf>
    <xf numFmtId="2" fontId="9" fillId="0" borderId="0" xfId="0" applyNumberFormat="1" applyFont="1" applyAlignment="1">
      <alignment horizontal="center"/>
    </xf>
    <xf numFmtId="2" fontId="0" fillId="0" borderId="0" xfId="0" applyNumberFormat="1" applyAlignment="1">
      <alignment horizontal="center"/>
    </xf>
    <xf numFmtId="2" fontId="11" fillId="0" borderId="74" xfId="0" applyNumberFormat="1" applyFont="1" applyBorder="1" applyAlignment="1">
      <alignment horizontal="left"/>
    </xf>
    <xf numFmtId="43" fontId="13" fillId="44" borderId="0" xfId="30" applyNumberFormat="1" applyFont="1" applyFill="1" applyAlignment="1">
      <alignment vertical="center"/>
    </xf>
    <xf numFmtId="43" fontId="9" fillId="49" borderId="0" xfId="30" applyNumberFormat="1" applyFont="1" applyFill="1" applyAlignment="1">
      <alignment vertical="center"/>
    </xf>
    <xf numFmtId="0" fontId="101" fillId="45" borderId="0" xfId="0" applyFont="1" applyFill="1"/>
    <xf numFmtId="0" fontId="9" fillId="45" borderId="0" xfId="77" applyNumberFormat="1" applyFont="1" applyFill="1" applyAlignment="1">
      <alignment horizontal="center" wrapText="1"/>
    </xf>
    <xf numFmtId="0" fontId="24" fillId="45" borderId="0" xfId="83" applyFont="1" applyFill="1"/>
    <xf numFmtId="0" fontId="112" fillId="45" borderId="0" xfId="80" applyFont="1" applyFill="1"/>
    <xf numFmtId="0" fontId="6" fillId="45" borderId="0" xfId="74" applyFill="1"/>
    <xf numFmtId="0" fontId="112" fillId="45" borderId="0" xfId="69" applyFont="1" applyFill="1"/>
    <xf numFmtId="167" fontId="11" fillId="0" borderId="0" xfId="28" applyNumberFormat="1" applyFont="1" applyFill="1" applyBorder="1" applyAlignment="1">
      <alignment horizontal="center"/>
    </xf>
    <xf numFmtId="167" fontId="9" fillId="0" borderId="0" xfId="28" applyNumberFormat="1" applyFont="1" applyBorder="1"/>
    <xf numFmtId="167" fontId="11" fillId="0" borderId="0" xfId="28" applyNumberFormat="1" applyFont="1" applyBorder="1"/>
    <xf numFmtId="167" fontId="9" fillId="29" borderId="0" xfId="28" applyNumberFormat="1" applyFont="1" applyFill="1" applyBorder="1" applyAlignment="1">
      <alignment horizontal="center"/>
    </xf>
    <xf numFmtId="167" fontId="13" fillId="0" borderId="0" xfId="28" applyNumberFormat="1" applyFont="1" applyBorder="1"/>
    <xf numFmtId="49" fontId="9" fillId="57" borderId="0" xfId="85" quotePrefix="1" applyNumberFormat="1" applyFont="1" applyFill="1" applyBorder="1" applyAlignment="1"/>
    <xf numFmtId="49" fontId="9" fillId="58" borderId="0" xfId="85" quotePrefix="1" applyNumberFormat="1" applyFont="1" applyFill="1" applyBorder="1" applyAlignment="1"/>
    <xf numFmtId="38" fontId="11" fillId="59" borderId="0" xfId="76" applyFont="1" applyFill="1" applyBorder="1" applyAlignment="1">
      <alignment horizontal="center"/>
    </xf>
    <xf numFmtId="38" fontId="11" fillId="59" borderId="90" xfId="76" applyFont="1" applyFill="1" applyBorder="1" applyAlignment="1">
      <alignment horizontal="center"/>
    </xf>
    <xf numFmtId="41" fontId="11" fillId="59" borderId="16" xfId="76" applyNumberFormat="1" applyFont="1" applyFill="1" applyBorder="1" applyAlignment="1"/>
    <xf numFmtId="41" fontId="41" fillId="59" borderId="30" xfId="76" applyNumberFormat="1" applyFont="1" applyFill="1" applyBorder="1" applyAlignment="1"/>
    <xf numFmtId="41" fontId="41" fillId="59" borderId="56" xfId="76" applyNumberFormat="1" applyFont="1" applyFill="1" applyBorder="1" applyAlignment="1"/>
    <xf numFmtId="10" fontId="11" fillId="59" borderId="0" xfId="94" applyNumberFormat="1" applyFont="1" applyFill="1" applyBorder="1" applyAlignment="1"/>
    <xf numFmtId="38" fontId="11" fillId="59" borderId="0" xfId="76" applyFont="1" applyFill="1" applyBorder="1" applyAlignment="1"/>
    <xf numFmtId="49" fontId="9" fillId="60" borderId="0" xfId="85" quotePrefix="1" applyNumberFormat="1" applyFont="1" applyFill="1" applyBorder="1" applyAlignment="1"/>
    <xf numFmtId="49" fontId="9" fillId="61" borderId="0" xfId="85" quotePrefix="1" applyNumberFormat="1" applyFont="1" applyFill="1" applyBorder="1" applyAlignment="1"/>
    <xf numFmtId="0" fontId="41" fillId="60" borderId="14" xfId="85" applyFont="1" applyFill="1" applyBorder="1"/>
    <xf numFmtId="0" fontId="11" fillId="60" borderId="0" xfId="0" applyFont="1" applyFill="1"/>
    <xf numFmtId="9" fontId="37" fillId="0" borderId="0" xfId="94" applyFont="1" applyFill="1" applyBorder="1" applyAlignment="1"/>
    <xf numFmtId="0" fontId="11" fillId="60" borderId="13" xfId="85" applyFont="1" applyFill="1" applyBorder="1" applyAlignment="1">
      <alignment horizontal="left" indent="1"/>
    </xf>
    <xf numFmtId="41" fontId="11" fillId="0" borderId="13" xfId="85" applyNumberFormat="1" applyFont="1" applyFill="1" applyBorder="1" applyAlignment="1">
      <alignment horizontal="left" indent="1"/>
    </xf>
    <xf numFmtId="41" fontId="11" fillId="0" borderId="13" xfId="85" applyNumberFormat="1" applyFont="1" applyBorder="1" applyAlignment="1">
      <alignment horizontal="left" indent="1"/>
    </xf>
    <xf numFmtId="0" fontId="11" fillId="62" borderId="13" xfId="85" applyFont="1" applyFill="1" applyBorder="1" applyAlignment="1">
      <alignment horizontal="left" indent="1"/>
    </xf>
    <xf numFmtId="0" fontId="70" fillId="0" borderId="0" xfId="85" applyFont="1" applyBorder="1"/>
    <xf numFmtId="38" fontId="11" fillId="0" borderId="0" xfId="76" applyFont="1" applyFill="1" applyBorder="1" applyAlignment="1">
      <alignment horizontal="center"/>
    </xf>
    <xf numFmtId="167" fontId="9" fillId="54" borderId="0" xfId="28" applyNumberFormat="1" applyFont="1" applyFill="1" applyBorder="1"/>
    <xf numFmtId="49" fontId="11" fillId="54" borderId="0" xfId="28" applyNumberFormat="1" applyFont="1" applyFill="1" applyBorder="1" applyAlignment="1">
      <alignment horizontal="center" wrapText="1"/>
    </xf>
    <xf numFmtId="167" fontId="43" fillId="54" borderId="48" xfId="28" applyNumberFormat="1" applyFont="1" applyFill="1" applyBorder="1" applyAlignment="1"/>
    <xf numFmtId="167" fontId="86" fillId="54" borderId="0" xfId="28" applyNumberFormat="1" applyFont="1" applyFill="1"/>
    <xf numFmtId="167" fontId="41" fillId="54" borderId="26" xfId="28" applyNumberFormat="1" applyFont="1" applyFill="1" applyBorder="1"/>
    <xf numFmtId="167" fontId="11" fillId="54" borderId="0" xfId="28" applyNumberFormat="1" applyFont="1" applyFill="1" applyBorder="1"/>
    <xf numFmtId="167" fontId="9" fillId="54" borderId="19" xfId="28" applyNumberFormat="1" applyFont="1" applyFill="1" applyBorder="1" applyAlignment="1">
      <alignment horizontal="left"/>
    </xf>
    <xf numFmtId="41" fontId="41" fillId="54" borderId="54" xfId="76" applyNumberFormat="1" applyFont="1" applyFill="1" applyBorder="1" applyAlignment="1"/>
    <xf numFmtId="167" fontId="11" fillId="54" borderId="0" xfId="28" applyNumberFormat="1" applyFont="1" applyFill="1" applyBorder="1" applyAlignment="1">
      <alignment horizontal="left"/>
    </xf>
    <xf numFmtId="167" fontId="9" fillId="54" borderId="0" xfId="28" applyNumberFormat="1" applyFont="1" applyFill="1" applyBorder="1" applyAlignment="1">
      <alignment horizontal="left"/>
    </xf>
    <xf numFmtId="167" fontId="43" fillId="54" borderId="47" xfId="28" applyNumberFormat="1" applyFont="1" applyFill="1" applyBorder="1" applyAlignment="1"/>
    <xf numFmtId="167" fontId="43" fillId="54" borderId="0" xfId="28" applyNumberFormat="1" applyFont="1" applyFill="1" applyBorder="1" applyAlignment="1"/>
    <xf numFmtId="167" fontId="9" fillId="54" borderId="0" xfId="28" applyNumberFormat="1" applyFont="1" applyFill="1" applyBorder="1" applyAlignment="1">
      <alignment horizontal="left" indent="1"/>
    </xf>
    <xf numFmtId="38" fontId="9" fillId="54" borderId="0" xfId="76" applyFont="1" applyFill="1"/>
    <xf numFmtId="167" fontId="23" fillId="54" borderId="0" xfId="28" applyNumberFormat="1" applyFont="1" applyFill="1" applyBorder="1" applyAlignment="1">
      <alignment horizontal="left" indent="2"/>
    </xf>
    <xf numFmtId="0" fontId="11" fillId="61" borderId="13" xfId="85" applyFont="1" applyFill="1" applyBorder="1" applyAlignment="1">
      <alignment horizontal="left" indent="1"/>
    </xf>
    <xf numFmtId="0" fontId="0" fillId="0" borderId="0" xfId="0" applyAlignment="1">
      <alignment wrapText="1"/>
    </xf>
    <xf numFmtId="41" fontId="0" fillId="0" borderId="0" xfId="0" applyNumberFormat="1" applyAlignment="1">
      <alignment wrapText="1"/>
    </xf>
    <xf numFmtId="167" fontId="0" fillId="0" borderId="0" xfId="28" applyNumberFormat="1" applyFont="1" applyAlignment="1">
      <alignment wrapText="1"/>
    </xf>
    <xf numFmtId="0" fontId="11" fillId="0" borderId="45" xfId="0" applyFont="1" applyBorder="1" applyAlignment="1">
      <alignment wrapText="1"/>
    </xf>
    <xf numFmtId="0" fontId="11" fillId="0" borderId="19" xfId="0" applyFont="1" applyBorder="1" applyAlignment="1">
      <alignment wrapText="1"/>
    </xf>
    <xf numFmtId="167" fontId="87" fillId="51" borderId="0" xfId="28" applyNumberFormat="1" applyFont="1" applyFill="1" applyAlignment="1">
      <alignment wrapText="1"/>
    </xf>
    <xf numFmtId="167" fontId="87" fillId="51" borderId="0" xfId="28" applyNumberFormat="1" applyFont="1" applyFill="1"/>
    <xf numFmtId="167" fontId="0" fillId="0" borderId="0" xfId="28" applyNumberFormat="1" applyFont="1" applyFill="1" applyAlignment="1">
      <alignment wrapText="1"/>
    </xf>
    <xf numFmtId="167" fontId="0" fillId="0" borderId="0" xfId="28" applyNumberFormat="1" applyFont="1" applyFill="1"/>
    <xf numFmtId="0" fontId="0" fillId="0" borderId="0" xfId="0" applyFill="1"/>
    <xf numFmtId="0" fontId="0" fillId="0" borderId="0" xfId="0" applyFill="1" applyAlignment="1">
      <alignment wrapText="1"/>
    </xf>
    <xf numFmtId="0" fontId="119" fillId="0" borderId="0" xfId="0" applyFont="1" applyFill="1"/>
    <xf numFmtId="0" fontId="9" fillId="0" borderId="0" xfId="0" applyFont="1" applyFill="1" applyBorder="1" applyAlignment="1">
      <alignment wrapText="1"/>
    </xf>
    <xf numFmtId="14" fontId="0" fillId="0" borderId="0" xfId="0" applyNumberFormat="1" applyAlignment="1">
      <alignment horizontal="right"/>
    </xf>
    <xf numFmtId="14" fontId="0" fillId="0" borderId="0" xfId="0" applyNumberFormat="1" applyFill="1" applyAlignment="1">
      <alignment horizontal="center"/>
    </xf>
    <xf numFmtId="14" fontId="11" fillId="61" borderId="0" xfId="0" applyNumberFormat="1" applyFont="1" applyFill="1" applyAlignment="1">
      <alignment horizontal="left"/>
    </xf>
    <xf numFmtId="0" fontId="11" fillId="61" borderId="0" xfId="0" applyFont="1" applyFill="1"/>
    <xf numFmtId="0" fontId="11" fillId="44" borderId="0" xfId="0" applyFont="1" applyFill="1"/>
    <xf numFmtId="0" fontId="11" fillId="44" borderId="0" xfId="0" applyFont="1" applyFill="1" applyAlignment="1">
      <alignment wrapText="1"/>
    </xf>
    <xf numFmtId="14" fontId="0" fillId="61" borderId="0" xfId="0" applyNumberFormat="1" applyFill="1" applyAlignment="1">
      <alignment horizontal="right"/>
    </xf>
    <xf numFmtId="2" fontId="9" fillId="61" borderId="0" xfId="43" applyNumberFormat="1" applyFont="1" applyFill="1"/>
    <xf numFmtId="44" fontId="9" fillId="61" borderId="0" xfId="43" applyFont="1" applyFill="1"/>
    <xf numFmtId="44" fontId="9" fillId="44" borderId="0" xfId="43" applyFont="1" applyFill="1"/>
    <xf numFmtId="44" fontId="0" fillId="44" borderId="0" xfId="0" applyNumberFormat="1" applyFill="1"/>
    <xf numFmtId="0" fontId="0" fillId="44" borderId="0" xfId="0" applyFill="1"/>
    <xf numFmtId="44" fontId="9" fillId="0" borderId="0" xfId="43" applyFont="1" applyFill="1"/>
    <xf numFmtId="44" fontId="9" fillId="0" borderId="0" xfId="43" applyFont="1" applyFill="1" applyAlignment="1"/>
    <xf numFmtId="44" fontId="38" fillId="0" borderId="0" xfId="43" applyFont="1" applyFill="1" applyAlignment="1"/>
    <xf numFmtId="2" fontId="11" fillId="0" borderId="46" xfId="43" applyNumberFormat="1" applyFont="1" applyBorder="1"/>
    <xf numFmtId="44" fontId="38" fillId="0" borderId="0" xfId="43" applyFont="1" applyFill="1" applyAlignment="1">
      <alignment wrapText="1"/>
    </xf>
    <xf numFmtId="0" fontId="38" fillId="0" borderId="0" xfId="0" applyFont="1" applyFill="1" applyAlignment="1">
      <alignment wrapText="1"/>
    </xf>
    <xf numFmtId="0" fontId="11" fillId="0" borderId="0" xfId="0" applyFont="1" applyFill="1" applyAlignment="1">
      <alignment wrapText="1"/>
    </xf>
    <xf numFmtId="44" fontId="0" fillId="0" borderId="0" xfId="43" applyFont="1"/>
    <xf numFmtId="44" fontId="38" fillId="54" borderId="0" xfId="43" applyFont="1" applyFill="1" applyAlignment="1">
      <alignment wrapText="1"/>
    </xf>
    <xf numFmtId="0" fontId="38" fillId="54" borderId="0" xfId="0" applyFont="1" applyFill="1" applyAlignment="1">
      <alignment wrapText="1"/>
    </xf>
    <xf numFmtId="2" fontId="9" fillId="54" borderId="0" xfId="43" applyNumberFormat="1" applyFont="1" applyFill="1"/>
    <xf numFmtId="44" fontId="0" fillId="54" borderId="0" xfId="0" applyNumberFormat="1" applyFill="1"/>
    <xf numFmtId="44" fontId="9" fillId="54" borderId="0" xfId="43" applyFont="1" applyFill="1"/>
    <xf numFmtId="44" fontId="9" fillId="54" borderId="0" xfId="0" applyNumberFormat="1" applyFont="1" applyFill="1"/>
    <xf numFmtId="0" fontId="0" fillId="54" borderId="0" xfId="0" applyFill="1"/>
    <xf numFmtId="2" fontId="0" fillId="54" borderId="0" xfId="0" applyNumberFormat="1" applyFill="1"/>
    <xf numFmtId="44" fontId="38" fillId="54" borderId="0" xfId="0" applyNumberFormat="1" applyFont="1" applyFill="1" applyAlignment="1">
      <alignment wrapText="1"/>
    </xf>
    <xf numFmtId="44" fontId="38" fillId="54" borderId="0" xfId="43" applyFont="1" applyFill="1"/>
    <xf numFmtId="44" fontId="9" fillId="54" borderId="0" xfId="43" applyFont="1" applyFill="1" applyAlignment="1">
      <alignment wrapText="1"/>
    </xf>
    <xf numFmtId="44" fontId="9" fillId="59" borderId="0" xfId="43" applyFont="1" applyFill="1" applyAlignment="1"/>
    <xf numFmtId="44" fontId="38" fillId="59" borderId="0" xfId="43" applyFont="1" applyFill="1" applyAlignment="1">
      <alignment wrapText="1"/>
    </xf>
    <xf numFmtId="0" fontId="38" fillId="59" borderId="0" xfId="0" applyFont="1" applyFill="1" applyAlignment="1">
      <alignment wrapText="1"/>
    </xf>
    <xf numFmtId="2" fontId="9" fillId="59" borderId="0" xfId="43" applyNumberFormat="1" applyFont="1" applyFill="1" applyBorder="1"/>
    <xf numFmtId="44" fontId="9" fillId="59" borderId="0" xfId="0" applyNumberFormat="1" applyFont="1" applyFill="1"/>
    <xf numFmtId="44" fontId="9" fillId="59" borderId="0" xfId="43" applyFont="1" applyFill="1"/>
    <xf numFmtId="0" fontId="6" fillId="59" borderId="0" xfId="0" applyFont="1" applyFill="1" applyAlignment="1">
      <alignment wrapText="1"/>
    </xf>
    <xf numFmtId="2" fontId="9" fillId="59" borderId="0" xfId="43" applyNumberFormat="1" applyFont="1" applyFill="1"/>
    <xf numFmtId="2" fontId="0" fillId="59" borderId="0" xfId="0" applyNumberFormat="1" applyFill="1"/>
    <xf numFmtId="44" fontId="0" fillId="59" borderId="0" xfId="0" applyNumberFormat="1" applyFill="1"/>
    <xf numFmtId="0" fontId="0" fillId="59" borderId="0" xfId="0" applyFill="1"/>
    <xf numFmtId="44" fontId="38" fillId="59" borderId="0" xfId="0" applyNumberFormat="1" applyFont="1" applyFill="1" applyAlignment="1">
      <alignment wrapText="1"/>
    </xf>
    <xf numFmtId="44" fontId="38" fillId="59" borderId="0" xfId="43" applyFont="1" applyFill="1"/>
    <xf numFmtId="44" fontId="9" fillId="59" borderId="0" xfId="43" applyFont="1" applyFill="1" applyAlignment="1">
      <alignment wrapText="1"/>
    </xf>
    <xf numFmtId="0" fontId="0" fillId="61" borderId="0" xfId="0" applyFill="1" applyBorder="1"/>
    <xf numFmtId="0" fontId="38" fillId="61" borderId="0" xfId="0" applyFont="1" applyFill="1" applyBorder="1" applyAlignment="1">
      <alignment horizontal="left" wrapText="1"/>
    </xf>
    <xf numFmtId="14" fontId="6" fillId="61" borderId="0" xfId="0" applyNumberFormat="1" applyFont="1" applyFill="1" applyBorder="1" applyAlignment="1">
      <alignment horizontal="left"/>
    </xf>
    <xf numFmtId="0" fontId="6" fillId="61" borderId="0" xfId="0" applyFont="1" applyFill="1" applyBorder="1" applyAlignment="1">
      <alignment horizontal="left"/>
    </xf>
    <xf numFmtId="44" fontId="6" fillId="61" borderId="0" xfId="43" applyFont="1" applyFill="1" applyBorder="1" applyAlignment="1">
      <alignment horizontal="left"/>
    </xf>
    <xf numFmtId="43" fontId="6" fillId="61" borderId="0" xfId="29" applyFont="1" applyFill="1" applyBorder="1" applyAlignment="1">
      <alignment horizontal="left"/>
    </xf>
    <xf numFmtId="167" fontId="6" fillId="61" borderId="0" xfId="29" applyNumberFormat="1" applyFont="1" applyFill="1" applyBorder="1" applyAlignment="1">
      <alignment horizontal="left"/>
    </xf>
    <xf numFmtId="14" fontId="6" fillId="61" borderId="0" xfId="0" applyNumberFormat="1" applyFont="1" applyFill="1" applyAlignment="1">
      <alignment horizontal="left"/>
    </xf>
    <xf numFmtId="0" fontId="6" fillId="61" borderId="0" xfId="0" applyFont="1" applyFill="1" applyAlignment="1">
      <alignment horizontal="left"/>
    </xf>
    <xf numFmtId="44" fontId="6" fillId="61" borderId="0" xfId="43" applyFont="1" applyFill="1" applyAlignment="1">
      <alignment horizontal="left"/>
    </xf>
    <xf numFmtId="43" fontId="6" fillId="61" borderId="0" xfId="0" applyNumberFormat="1" applyFont="1" applyFill="1" applyAlignment="1">
      <alignment horizontal="left"/>
    </xf>
    <xf numFmtId="0" fontId="38" fillId="61" borderId="46" xfId="0" applyFont="1" applyFill="1" applyBorder="1" applyAlignment="1">
      <alignment horizontal="left"/>
    </xf>
    <xf numFmtId="167" fontId="38" fillId="61" borderId="46" xfId="0" applyNumberFormat="1" applyFont="1" applyFill="1" applyBorder="1" applyAlignment="1">
      <alignment horizontal="left"/>
    </xf>
    <xf numFmtId="44" fontId="38" fillId="61" borderId="46" xfId="43" applyFont="1" applyFill="1" applyBorder="1" applyAlignment="1">
      <alignment horizontal="left"/>
    </xf>
    <xf numFmtId="0" fontId="6" fillId="61" borderId="46" xfId="0" applyFont="1" applyFill="1" applyBorder="1" applyAlignment="1">
      <alignment horizontal="left"/>
    </xf>
    <xf numFmtId="43" fontId="38" fillId="61" borderId="46" xfId="0" applyNumberFormat="1" applyFont="1" applyFill="1" applyBorder="1" applyAlignment="1">
      <alignment horizontal="left"/>
    </xf>
    <xf numFmtId="44" fontId="38" fillId="61" borderId="46" xfId="0" applyNumberFormat="1" applyFont="1" applyFill="1" applyBorder="1" applyAlignment="1">
      <alignment horizontal="left"/>
    </xf>
    <xf numFmtId="44" fontId="6" fillId="61" borderId="46" xfId="0" applyNumberFormat="1" applyFont="1" applyFill="1" applyBorder="1" applyAlignment="1">
      <alignment horizontal="left"/>
    </xf>
    <xf numFmtId="0" fontId="6" fillId="0" borderId="0" xfId="0" applyFont="1" applyAlignment="1">
      <alignment horizontal="left"/>
    </xf>
    <xf numFmtId="44" fontId="6" fillId="0" borderId="0" xfId="43" applyFont="1" applyAlignment="1">
      <alignment horizontal="left"/>
    </xf>
    <xf numFmtId="14" fontId="6" fillId="61" borderId="0" xfId="0" applyNumberFormat="1" applyFont="1" applyFill="1" applyAlignment="1"/>
    <xf numFmtId="0" fontId="6" fillId="61" borderId="0" xfId="0" applyFont="1" applyFill="1"/>
    <xf numFmtId="44" fontId="6" fillId="61" borderId="0" xfId="43" applyFont="1" applyFill="1"/>
    <xf numFmtId="14" fontId="6" fillId="61" borderId="0" xfId="0" applyNumberFormat="1" applyFont="1" applyFill="1"/>
    <xf numFmtId="0" fontId="0" fillId="61" borderId="0" xfId="0" applyFill="1"/>
    <xf numFmtId="44" fontId="6" fillId="61" borderId="0" xfId="0" applyNumberFormat="1" applyFont="1" applyFill="1"/>
    <xf numFmtId="0" fontId="6" fillId="63" borderId="0" xfId="0" applyFont="1" applyFill="1"/>
    <xf numFmtId="44" fontId="6" fillId="63" borderId="0" xfId="43" applyFont="1" applyFill="1"/>
    <xf numFmtId="0" fontId="0" fillId="63" borderId="0" xfId="0" applyFill="1"/>
    <xf numFmtId="0" fontId="38" fillId="54" borderId="19" xfId="0" applyFont="1" applyFill="1" applyBorder="1" applyAlignment="1">
      <alignment horizontal="left" wrapText="1"/>
    </xf>
    <xf numFmtId="0" fontId="38" fillId="54" borderId="19" xfId="0" applyFont="1" applyFill="1" applyBorder="1" applyAlignment="1">
      <alignment wrapText="1"/>
    </xf>
    <xf numFmtId="0" fontId="0" fillId="54" borderId="30" xfId="0" applyFill="1" applyBorder="1"/>
    <xf numFmtId="0" fontId="0" fillId="54" borderId="26" xfId="0" applyFill="1" applyBorder="1"/>
    <xf numFmtId="0" fontId="9" fillId="54" borderId="0" xfId="0" applyFont="1" applyFill="1"/>
    <xf numFmtId="44" fontId="0" fillId="54" borderId="0" xfId="0" applyNumberFormat="1" applyFill="1" applyAlignment="1"/>
    <xf numFmtId="0" fontId="0" fillId="54" borderId="0" xfId="0" applyFill="1" applyAlignment="1"/>
    <xf numFmtId="0" fontId="38" fillId="59" borderId="19" xfId="0" applyFont="1" applyFill="1" applyBorder="1" applyAlignment="1">
      <alignment horizontal="left" wrapText="1"/>
    </xf>
    <xf numFmtId="0" fontId="38" fillId="59" borderId="19" xfId="0" applyFont="1" applyFill="1" applyBorder="1" applyAlignment="1">
      <alignment wrapText="1"/>
    </xf>
    <xf numFmtId="0" fontId="0" fillId="59" borderId="30" xfId="0" applyFill="1" applyBorder="1"/>
    <xf numFmtId="0" fontId="0" fillId="59" borderId="26" xfId="0" applyFill="1" applyBorder="1"/>
    <xf numFmtId="44" fontId="0" fillId="59" borderId="0" xfId="0" applyNumberFormat="1" applyFill="1" applyAlignment="1"/>
    <xf numFmtId="0" fontId="0" fillId="59" borderId="0" xfId="0" applyFill="1" applyAlignment="1"/>
    <xf numFmtId="2" fontId="0" fillId="59" borderId="26" xfId="0" applyNumberFormat="1" applyFill="1" applyBorder="1"/>
    <xf numFmtId="2" fontId="0" fillId="59" borderId="50" xfId="0" applyNumberFormat="1" applyFill="1" applyBorder="1"/>
    <xf numFmtId="2" fontId="9" fillId="59" borderId="0" xfId="0" applyNumberFormat="1" applyFont="1" applyFill="1"/>
    <xf numFmtId="2" fontId="0" fillId="54" borderId="26" xfId="0" applyNumberFormat="1" applyFill="1" applyBorder="1"/>
    <xf numFmtId="2" fontId="0" fillId="54" borderId="50" xfId="0" applyNumberFormat="1" applyFill="1" applyBorder="1"/>
    <xf numFmtId="0" fontId="38" fillId="0" borderId="0" xfId="0" applyFont="1" applyAlignment="1"/>
    <xf numFmtId="0" fontId="38" fillId="44" borderId="0" xfId="0" applyFont="1" applyFill="1" applyAlignment="1"/>
    <xf numFmtId="0" fontId="38" fillId="44" borderId="0" xfId="0" applyFont="1" applyFill="1" applyAlignment="1">
      <alignment wrapText="1"/>
    </xf>
    <xf numFmtId="2" fontId="0" fillId="44" borderId="0" xfId="0" applyNumberFormat="1" applyFill="1"/>
    <xf numFmtId="38" fontId="0" fillId="0" borderId="0" xfId="0" applyNumberFormat="1" applyAlignment="1">
      <alignment wrapText="1"/>
    </xf>
    <xf numFmtId="10" fontId="0" fillId="0" borderId="0" xfId="94" applyNumberFormat="1" applyFont="1"/>
    <xf numFmtId="0" fontId="0" fillId="0" borderId="0" xfId="0" quotePrefix="1" applyAlignment="1">
      <alignment horizontal="center"/>
    </xf>
    <xf numFmtId="0" fontId="0" fillId="0" borderId="0" xfId="0" quotePrefix="1"/>
    <xf numFmtId="43" fontId="9" fillId="0" borderId="0" xfId="29" applyAlignment="1">
      <alignment horizontal="center"/>
    </xf>
    <xf numFmtId="43" fontId="38" fillId="26" borderId="0" xfId="29" applyFont="1" applyFill="1" applyBorder="1" applyAlignment="1">
      <alignment horizontal="center"/>
    </xf>
    <xf numFmtId="43" fontId="38" fillId="0" borderId="0" xfId="29" applyFont="1" applyBorder="1" applyAlignment="1">
      <alignment horizontal="center"/>
    </xf>
    <xf numFmtId="43" fontId="38" fillId="32" borderId="0" xfId="29" applyFont="1" applyFill="1" applyBorder="1" applyAlignment="1">
      <alignment horizontal="center"/>
    </xf>
    <xf numFmtId="43" fontId="38" fillId="31" borderId="0" xfId="29" applyFont="1" applyFill="1" applyBorder="1" applyAlignment="1">
      <alignment horizontal="center"/>
    </xf>
    <xf numFmtId="43" fontId="38" fillId="41" borderId="0" xfId="29" applyFont="1" applyFill="1" applyBorder="1" applyAlignment="1">
      <alignment horizontal="center"/>
    </xf>
    <xf numFmtId="0" fontId="38" fillId="0" borderId="0" xfId="0" applyFont="1" applyAlignment="1">
      <alignment horizontal="center" vertical="center" wrapText="1"/>
    </xf>
    <xf numFmtId="43" fontId="38" fillId="0" borderId="0" xfId="29" applyFont="1" applyAlignment="1">
      <alignment horizontal="center" vertical="center" wrapText="1"/>
    </xf>
    <xf numFmtId="43" fontId="38" fillId="0" borderId="0" xfId="29" quotePrefix="1" applyFont="1" applyAlignment="1">
      <alignment horizontal="center" vertical="center" wrapText="1"/>
    </xf>
    <xf numFmtId="43" fontId="38" fillId="26" borderId="0" xfId="29" applyFont="1" applyFill="1" applyBorder="1" applyAlignment="1">
      <alignment horizontal="center" vertical="center" wrapText="1"/>
    </xf>
    <xf numFmtId="43" fontId="38" fillId="0" borderId="0" xfId="29" applyFont="1" applyBorder="1" applyAlignment="1">
      <alignment horizontal="center" vertical="center" wrapText="1"/>
    </xf>
    <xf numFmtId="43" fontId="38" fillId="32" borderId="0" xfId="29" applyFont="1" applyFill="1" applyBorder="1" applyAlignment="1">
      <alignment horizontal="center" vertical="center" wrapText="1"/>
    </xf>
    <xf numFmtId="43" fontId="38" fillId="31" borderId="0" xfId="29" applyFont="1" applyFill="1" applyBorder="1" applyAlignment="1">
      <alignment horizontal="center" vertical="center" wrapText="1"/>
    </xf>
    <xf numFmtId="43" fontId="38" fillId="41" borderId="0" xfId="29" applyFont="1" applyFill="1" applyBorder="1" applyAlignment="1">
      <alignment horizontal="center" vertical="center" wrapText="1"/>
    </xf>
    <xf numFmtId="10" fontId="6" fillId="0" borderId="0" xfId="99" applyNumberFormat="1"/>
    <xf numFmtId="43" fontId="9" fillId="26" borderId="0" xfId="29" applyFill="1"/>
    <xf numFmtId="43" fontId="9" fillId="32" borderId="0" xfId="29" applyFill="1" applyBorder="1"/>
    <xf numFmtId="43" fontId="9" fillId="31" borderId="0" xfId="29" applyFill="1" applyBorder="1"/>
    <xf numFmtId="43" fontId="9" fillId="41" borderId="0" xfId="29" applyFill="1" applyBorder="1"/>
    <xf numFmtId="0" fontId="38" fillId="45" borderId="0" xfId="0" applyFont="1" applyFill="1" applyAlignment="1">
      <alignment horizontal="center"/>
    </xf>
    <xf numFmtId="43" fontId="38" fillId="45" borderId="0" xfId="29" applyFont="1" applyFill="1"/>
    <xf numFmtId="43" fontId="38" fillId="45" borderId="0" xfId="29" applyFont="1" applyFill="1" applyAlignment="1">
      <alignment horizontal="center"/>
    </xf>
    <xf numFmtId="10" fontId="38" fillId="45" borderId="0" xfId="99" applyNumberFormat="1" applyFont="1" applyFill="1"/>
    <xf numFmtId="43" fontId="38" fillId="0" borderId="0" xfId="29" applyFont="1"/>
    <xf numFmtId="43" fontId="38" fillId="26" borderId="0" xfId="29" applyFont="1" applyFill="1"/>
    <xf numFmtId="43" fontId="38" fillId="32" borderId="0" xfId="29" applyFont="1" applyFill="1" applyBorder="1"/>
    <xf numFmtId="43" fontId="38" fillId="0" borderId="0" xfId="29" applyFont="1" applyBorder="1"/>
    <xf numFmtId="43" fontId="38" fillId="31" borderId="0" xfId="29" applyFont="1" applyFill="1" applyBorder="1"/>
    <xf numFmtId="43" fontId="38" fillId="41" borderId="0" xfId="29" applyFont="1" applyFill="1" applyBorder="1"/>
    <xf numFmtId="0" fontId="6" fillId="0" borderId="0" xfId="0" applyFont="1" applyAlignment="1">
      <alignment horizontal="center"/>
    </xf>
    <xf numFmtId="43" fontId="9" fillId="0" borderId="0" xfId="29" quotePrefix="1"/>
    <xf numFmtId="43" fontId="9" fillId="0" borderId="0" xfId="29" quotePrefix="1" applyBorder="1"/>
    <xf numFmtId="43" fontId="9" fillId="61" borderId="0" xfId="29" applyFill="1" applyBorder="1"/>
    <xf numFmtId="0" fontId="6" fillId="64" borderId="0" xfId="29" quotePrefix="1" applyNumberFormat="1" applyFont="1" applyFill="1"/>
    <xf numFmtId="167" fontId="6" fillId="64" borderId="0" xfId="29" applyNumberFormat="1" applyFont="1" applyFill="1" applyBorder="1"/>
    <xf numFmtId="10" fontId="9" fillId="61" borderId="0" xfId="29" applyNumberFormat="1" applyFill="1" applyBorder="1"/>
    <xf numFmtId="10" fontId="9" fillId="61" borderId="0" xfId="95" applyNumberFormat="1" applyFill="1" applyBorder="1"/>
    <xf numFmtId="43" fontId="0" fillId="32" borderId="0" xfId="29" quotePrefix="1" applyFont="1" applyFill="1"/>
    <xf numFmtId="167" fontId="9" fillId="32" borderId="0" xfId="29" quotePrefix="1" applyNumberFormat="1" applyFill="1"/>
    <xf numFmtId="167" fontId="9" fillId="32" borderId="0" xfId="29" applyNumberFormat="1" applyFill="1"/>
    <xf numFmtId="167" fontId="9" fillId="32" borderId="0" xfId="29" applyNumberFormat="1" applyFill="1" applyBorder="1"/>
    <xf numFmtId="43" fontId="0" fillId="26" borderId="0" xfId="29" quotePrefix="1" applyFont="1" applyFill="1"/>
    <xf numFmtId="167" fontId="9" fillId="26" borderId="0" xfId="29" applyNumberFormat="1" applyFill="1"/>
    <xf numFmtId="167" fontId="9" fillId="26" borderId="0" xfId="29" applyNumberFormat="1" applyFill="1" applyBorder="1"/>
    <xf numFmtId="43" fontId="9" fillId="0" borderId="0" xfId="29" applyFill="1" applyBorder="1"/>
    <xf numFmtId="167" fontId="9" fillId="41" borderId="26" xfId="29" applyNumberFormat="1" applyFill="1" applyBorder="1"/>
    <xf numFmtId="0" fontId="6" fillId="0" borderId="0" xfId="0" quotePrefix="1" applyFont="1"/>
    <xf numFmtId="0" fontId="88" fillId="0" borderId="0" xfId="0" applyFont="1" applyAlignment="1">
      <alignment vertical="center"/>
    </xf>
    <xf numFmtId="0" fontId="38" fillId="0" borderId="0" xfId="0" quotePrefix="1" applyFont="1"/>
    <xf numFmtId="0" fontId="6" fillId="0" borderId="0" xfId="30" applyNumberFormat="1"/>
    <xf numFmtId="43" fontId="6" fillId="0" borderId="0" xfId="30"/>
    <xf numFmtId="0" fontId="38" fillId="0" borderId="0" xfId="0" applyFont="1" applyAlignment="1">
      <alignment horizontal="center"/>
    </xf>
    <xf numFmtId="0" fontId="38" fillId="0" borderId="0" xfId="0" quotePrefix="1" applyFont="1" applyAlignment="1">
      <alignment horizontal="center"/>
    </xf>
    <xf numFmtId="0" fontId="38" fillId="0" borderId="19" xfId="0" applyFont="1" applyBorder="1" applyAlignment="1">
      <alignment horizontal="center"/>
    </xf>
    <xf numFmtId="43" fontId="38" fillId="0" borderId="19" xfId="30" applyFont="1" applyBorder="1" applyAlignment="1">
      <alignment horizontal="center"/>
    </xf>
    <xf numFmtId="0" fontId="6" fillId="0" borderId="0" xfId="30" quotePrefix="1" applyNumberFormat="1"/>
    <xf numFmtId="43" fontId="6" fillId="0" borderId="0" xfId="30" quotePrefix="1"/>
    <xf numFmtId="10" fontId="0" fillId="0" borderId="0" xfId="99" applyNumberFormat="1" applyFont="1"/>
    <xf numFmtId="0" fontId="0" fillId="45" borderId="0" xfId="0" applyFill="1" applyAlignment="1">
      <alignment horizontal="center"/>
    </xf>
    <xf numFmtId="10" fontId="6" fillId="47" borderId="0" xfId="99" applyNumberFormat="1" applyFont="1" applyFill="1" applyBorder="1"/>
    <xf numFmtId="10" fontId="6" fillId="0" borderId="0" xfId="99" applyNumberFormat="1" applyFont="1"/>
    <xf numFmtId="43" fontId="0" fillId="0" borderId="0" xfId="30" quotePrefix="1" applyFont="1" applyBorder="1"/>
    <xf numFmtId="43" fontId="0" fillId="0" borderId="26" xfId="30" applyFont="1" applyBorder="1"/>
    <xf numFmtId="43" fontId="0" fillId="0" borderId="26" xfId="30" applyFont="1" applyFill="1" applyBorder="1"/>
    <xf numFmtId="43" fontId="6" fillId="0" borderId="0" xfId="30" quotePrefix="1" applyFont="1" applyBorder="1"/>
    <xf numFmtId="43" fontId="0" fillId="0" borderId="0" xfId="30" applyFont="1" applyBorder="1"/>
    <xf numFmtId="43" fontId="6" fillId="65" borderId="0" xfId="30" applyFont="1" applyFill="1" applyBorder="1"/>
    <xf numFmtId="43" fontId="6" fillId="44" borderId="0" xfId="30" applyFont="1" applyFill="1" applyBorder="1"/>
    <xf numFmtId="43" fontId="6" fillId="47" borderId="0" xfId="30" applyFont="1" applyFill="1" applyBorder="1"/>
    <xf numFmtId="43" fontId="0" fillId="0" borderId="0" xfId="30" applyFont="1" applyAlignment="1">
      <alignment horizontal="right"/>
    </xf>
    <xf numFmtId="43" fontId="6" fillId="0" borderId="0" xfId="30" quotePrefix="1" applyFill="1"/>
    <xf numFmtId="43" fontId="0" fillId="0" borderId="0" xfId="30" applyFont="1" applyFill="1"/>
    <xf numFmtId="10" fontId="0" fillId="0" borderId="0" xfId="99" applyNumberFormat="1" applyFont="1" applyFill="1"/>
    <xf numFmtId="44" fontId="0" fillId="0" borderId="0" xfId="0" applyNumberFormat="1"/>
    <xf numFmtId="43" fontId="6" fillId="48" borderId="0" xfId="30" applyFont="1" applyFill="1"/>
    <xf numFmtId="43" fontId="6" fillId="0" borderId="0" xfId="30" applyFont="1"/>
    <xf numFmtId="44" fontId="0" fillId="62" borderId="0" xfId="0" applyNumberFormat="1" applyFill="1"/>
    <xf numFmtId="164" fontId="0" fillId="0" borderId="0" xfId="99" applyNumberFormat="1" applyFont="1"/>
    <xf numFmtId="0" fontId="0" fillId="44" borderId="91" xfId="0" applyFill="1" applyBorder="1"/>
    <xf numFmtId="0" fontId="0" fillId="44" borderId="59" xfId="0" applyFill="1" applyBorder="1"/>
    <xf numFmtId="0" fontId="0" fillId="44" borderId="92" xfId="0" applyFill="1" applyBorder="1"/>
    <xf numFmtId="0" fontId="0" fillId="44" borderId="11" xfId="0" applyFill="1" applyBorder="1"/>
    <xf numFmtId="0" fontId="38" fillId="44" borderId="19" xfId="0" applyFont="1" applyFill="1" applyBorder="1" applyAlignment="1">
      <alignment horizontal="center"/>
    </xf>
    <xf numFmtId="43" fontId="38" fillId="44" borderId="19" xfId="30" applyFont="1" applyFill="1" applyBorder="1" applyAlignment="1">
      <alignment horizontal="center"/>
    </xf>
    <xf numFmtId="0" fontId="0" fillId="44" borderId="13" xfId="0" applyFill="1" applyBorder="1"/>
    <xf numFmtId="43" fontId="0" fillId="0" borderId="0" xfId="30" quotePrefix="1" applyFont="1" applyAlignment="1">
      <alignment horizontal="right"/>
    </xf>
    <xf numFmtId="0" fontId="0" fillId="45" borderId="0" xfId="0" applyFill="1" applyBorder="1" applyAlignment="1">
      <alignment horizontal="center"/>
    </xf>
    <xf numFmtId="10" fontId="0" fillId="44" borderId="0" xfId="0" applyNumberFormat="1" applyFill="1" applyBorder="1"/>
    <xf numFmtId="44" fontId="0" fillId="44" borderId="0" xfId="0" applyNumberFormat="1" applyFill="1" applyBorder="1"/>
    <xf numFmtId="0" fontId="0" fillId="44" borderId="0" xfId="0" applyFill="1" applyBorder="1"/>
    <xf numFmtId="43" fontId="9" fillId="44" borderId="0" xfId="30" applyFont="1" applyFill="1" applyBorder="1"/>
    <xf numFmtId="44" fontId="89" fillId="0" borderId="0" xfId="0" applyNumberFormat="1" applyFont="1"/>
    <xf numFmtId="43" fontId="6" fillId="44" borderId="0" xfId="30" applyFont="1" applyFill="1" applyBorder="1" applyAlignment="1">
      <alignment horizontal="right"/>
    </xf>
    <xf numFmtId="44" fontId="6" fillId="44" borderId="0" xfId="44" applyFont="1" applyFill="1" applyBorder="1"/>
    <xf numFmtId="0" fontId="89" fillId="0" borderId="0" xfId="0" applyFont="1"/>
    <xf numFmtId="0" fontId="6" fillId="45" borderId="0" xfId="30" quotePrefix="1" applyNumberFormat="1" applyFill="1"/>
    <xf numFmtId="43" fontId="9" fillId="48" borderId="0" xfId="30" quotePrefix="1" applyFont="1" applyFill="1" applyAlignment="1">
      <alignment horizontal="right"/>
    </xf>
    <xf numFmtId="43" fontId="0" fillId="44" borderId="0" xfId="0" applyNumberFormat="1" applyFill="1" applyBorder="1"/>
    <xf numFmtId="0" fontId="0" fillId="44" borderId="93" xfId="0" applyFill="1" applyBorder="1"/>
    <xf numFmtId="0" fontId="0" fillId="44" borderId="37" xfId="0" applyFill="1" applyBorder="1"/>
    <xf numFmtId="0" fontId="0" fillId="44" borderId="89" xfId="0" applyFill="1" applyBorder="1"/>
    <xf numFmtId="0" fontId="0" fillId="45" borderId="0" xfId="0" quotePrefix="1" applyFill="1"/>
    <xf numFmtId="43" fontId="6" fillId="48" borderId="0" xfId="30" quotePrefix="1" applyFont="1" applyFill="1" applyAlignment="1">
      <alignment horizontal="right"/>
    </xf>
    <xf numFmtId="43" fontId="9" fillId="48" borderId="0" xfId="30" applyFont="1" applyFill="1" applyAlignment="1">
      <alignment horizontal="right"/>
    </xf>
    <xf numFmtId="43" fontId="90" fillId="48" borderId="0" xfId="30" quotePrefix="1" applyFont="1" applyFill="1" applyAlignment="1">
      <alignment horizontal="right"/>
    </xf>
    <xf numFmtId="43" fontId="87" fillId="48" borderId="0" xfId="30" applyFont="1" applyFill="1" applyAlignment="1">
      <alignment horizontal="right"/>
    </xf>
    <xf numFmtId="43" fontId="87" fillId="48" borderId="0" xfId="30" quotePrefix="1" applyFont="1" applyFill="1" applyAlignment="1">
      <alignment horizontal="right"/>
    </xf>
    <xf numFmtId="43" fontId="9" fillId="66" borderId="0" xfId="30" applyFont="1" applyFill="1" applyAlignment="1">
      <alignment horizontal="right"/>
    </xf>
    <xf numFmtId="43" fontId="9" fillId="66" borderId="0" xfId="30" quotePrefix="1" applyFont="1" applyFill="1" applyAlignment="1">
      <alignment horizontal="right"/>
    </xf>
    <xf numFmtId="43" fontId="6" fillId="66" borderId="0" xfId="30" applyFont="1" applyFill="1"/>
    <xf numFmtId="43" fontId="6" fillId="66" borderId="0" xfId="30" quotePrefix="1" applyFont="1" applyFill="1" applyAlignment="1">
      <alignment horizontal="right"/>
    </xf>
    <xf numFmtId="0" fontId="0" fillId="0" borderId="0" xfId="0" quotePrefix="1" applyFill="1"/>
    <xf numFmtId="43" fontId="0" fillId="0" borderId="0" xfId="30" quotePrefix="1" applyFont="1" applyFill="1"/>
    <xf numFmtId="0" fontId="6" fillId="45" borderId="0" xfId="30" applyNumberFormat="1" applyFill="1"/>
    <xf numFmtId="43" fontId="6" fillId="45" borderId="0" xfId="30" applyFont="1" applyFill="1" applyAlignment="1">
      <alignment horizontal="right"/>
    </xf>
    <xf numFmtId="0" fontId="39" fillId="0" borderId="0" xfId="0" applyFont="1"/>
    <xf numFmtId="43" fontId="90" fillId="48" borderId="0" xfId="0" applyNumberFormat="1" applyFont="1" applyFill="1"/>
    <xf numFmtId="43" fontId="6" fillId="66" borderId="0" xfId="30" applyFill="1"/>
    <xf numFmtId="43" fontId="0" fillId="0" borderId="102" xfId="0" applyNumberFormat="1" applyBorder="1"/>
    <xf numFmtId="43" fontId="0" fillId="0" borderId="103" xfId="0" applyNumberFormat="1" applyFill="1" applyBorder="1"/>
    <xf numFmtId="43" fontId="0" fillId="0" borderId="104" xfId="0" applyNumberFormat="1" applyBorder="1"/>
    <xf numFmtId="0" fontId="116" fillId="0" borderId="0" xfId="0" applyFont="1" applyFill="1"/>
    <xf numFmtId="0" fontId="6" fillId="66" borderId="0" xfId="0" applyFont="1" applyFill="1"/>
    <xf numFmtId="175" fontId="0" fillId="0" borderId="0" xfId="0" applyNumberFormat="1" applyFill="1"/>
    <xf numFmtId="43" fontId="0" fillId="0" borderId="0" xfId="30" applyFont="1"/>
    <xf numFmtId="43" fontId="6" fillId="0" borderId="0" xfId="30" applyFill="1"/>
    <xf numFmtId="0" fontId="0" fillId="48" borderId="0" xfId="0" applyFill="1"/>
    <xf numFmtId="175" fontId="0" fillId="0" borderId="0" xfId="44" applyNumberFormat="1" applyFont="1"/>
    <xf numFmtId="0" fontId="6" fillId="0" borderId="0" xfId="30" quotePrefix="1" applyNumberFormat="1" applyFill="1"/>
    <xf numFmtId="9" fontId="0" fillId="0" borderId="0" xfId="0" applyNumberFormat="1"/>
    <xf numFmtId="0" fontId="0" fillId="61" borderId="91" xfId="0" applyFill="1" applyBorder="1"/>
    <xf numFmtId="0" fontId="0" fillId="61" borderId="59" xfId="0" applyFill="1" applyBorder="1"/>
    <xf numFmtId="0" fontId="0" fillId="61" borderId="92" xfId="0" applyFill="1" applyBorder="1"/>
    <xf numFmtId="0" fontId="0" fillId="61" borderId="11" xfId="0" applyFill="1" applyBorder="1"/>
    <xf numFmtId="0" fontId="38" fillId="61" borderId="19" xfId="0" applyFont="1" applyFill="1" applyBorder="1" applyAlignment="1">
      <alignment horizontal="center"/>
    </xf>
    <xf numFmtId="43" fontId="38" fillId="61" borderId="19" xfId="30" applyFont="1" applyFill="1" applyBorder="1" applyAlignment="1">
      <alignment horizontal="center"/>
    </xf>
    <xf numFmtId="0" fontId="0" fillId="61" borderId="13" xfId="0" applyFill="1" applyBorder="1"/>
    <xf numFmtId="0" fontId="0" fillId="61" borderId="0" xfId="0" applyFill="1" applyBorder="1" applyAlignment="1">
      <alignment horizontal="center"/>
    </xf>
    <xf numFmtId="10" fontId="0" fillId="61" borderId="0" xfId="0" applyNumberFormat="1" applyFill="1" applyBorder="1"/>
    <xf numFmtId="44" fontId="0" fillId="61" borderId="0" xfId="0" applyNumberFormat="1" applyFill="1" applyBorder="1"/>
    <xf numFmtId="43" fontId="6" fillId="61" borderId="0" xfId="30" applyFont="1" applyFill="1" applyBorder="1"/>
    <xf numFmtId="43" fontId="9" fillId="61" borderId="0" xfId="30" applyFont="1" applyFill="1" applyBorder="1"/>
    <xf numFmtId="43" fontId="6" fillId="61" borderId="0" xfId="30" applyFont="1" applyFill="1" applyBorder="1" applyAlignment="1">
      <alignment horizontal="right"/>
    </xf>
    <xf numFmtId="44" fontId="6" fillId="61" borderId="0" xfId="44" applyFont="1" applyFill="1" applyBorder="1"/>
    <xf numFmtId="43" fontId="0" fillId="61" borderId="0" xfId="0" applyNumberFormat="1" applyFill="1" applyBorder="1"/>
    <xf numFmtId="44" fontId="0" fillId="66" borderId="0" xfId="0" applyNumberFormat="1" applyFill="1"/>
    <xf numFmtId="0" fontId="0" fillId="61" borderId="93" xfId="0" applyFill="1" applyBorder="1"/>
    <xf numFmtId="0" fontId="0" fillId="61" borderId="37" xfId="0" applyFill="1" applyBorder="1"/>
    <xf numFmtId="0" fontId="0" fillId="61" borderId="89" xfId="0" applyFill="1" applyBorder="1"/>
    <xf numFmtId="43" fontId="87" fillId="45" borderId="0" xfId="30" applyFont="1" applyFill="1" applyAlignment="1">
      <alignment horizontal="right"/>
    </xf>
    <xf numFmtId="43" fontId="87" fillId="45" borderId="0" xfId="30" quotePrefix="1" applyFont="1" applyFill="1" applyAlignment="1">
      <alignment horizontal="right"/>
    </xf>
    <xf numFmtId="43" fontId="6" fillId="45" borderId="0" xfId="30" quotePrefix="1" applyFill="1"/>
    <xf numFmtId="43" fontId="87" fillId="67" borderId="0" xfId="28" applyFont="1" applyFill="1"/>
    <xf numFmtId="167" fontId="87" fillId="67" borderId="0" xfId="28" applyNumberFormat="1" applyFont="1" applyFill="1"/>
    <xf numFmtId="43" fontId="0" fillId="0" borderId="19" xfId="28" applyFont="1" applyBorder="1" applyAlignment="1"/>
    <xf numFmtId="0" fontId="0" fillId="0" borderId="19" xfId="0" applyBorder="1" applyAlignment="1"/>
    <xf numFmtId="167" fontId="87" fillId="45" borderId="0" xfId="28" applyNumberFormat="1" applyFont="1" applyFill="1"/>
    <xf numFmtId="43" fontId="87" fillId="45" borderId="0" xfId="28" applyFont="1" applyFill="1"/>
    <xf numFmtId="0" fontId="120" fillId="0" borderId="0" xfId="78" applyFont="1"/>
    <xf numFmtId="0" fontId="120" fillId="0" borderId="0" xfId="78" applyFont="1" applyAlignment="1">
      <alignment horizontal="left"/>
    </xf>
    <xf numFmtId="0" fontId="121" fillId="0" borderId="0" xfId="72" applyFont="1" applyFill="1" applyAlignment="1" applyProtection="1">
      <alignment horizontal="left" vertical="center"/>
    </xf>
    <xf numFmtId="175" fontId="120" fillId="0" borderId="0" xfId="49" applyNumberFormat="1" applyFont="1"/>
    <xf numFmtId="175" fontId="120" fillId="0" borderId="0" xfId="49" applyNumberFormat="1" applyFont="1" applyFill="1"/>
    <xf numFmtId="0" fontId="122" fillId="0" borderId="0" xfId="78" applyFont="1"/>
    <xf numFmtId="0" fontId="120" fillId="0" borderId="0" xfId="78" applyFont="1" applyAlignment="1">
      <alignment wrapText="1"/>
    </xf>
    <xf numFmtId="175" fontId="120" fillId="0" borderId="0" xfId="49" applyNumberFormat="1" applyFont="1" applyAlignment="1">
      <alignment horizontal="left"/>
    </xf>
    <xf numFmtId="0" fontId="122" fillId="0" borderId="0" xfId="78" applyFont="1" applyAlignment="1">
      <alignment horizontal="left"/>
    </xf>
    <xf numFmtId="0" fontId="123" fillId="0" borderId="10" xfId="78" applyFont="1" applyBorder="1" applyAlignment="1">
      <alignment horizontal="center"/>
    </xf>
    <xf numFmtId="0" fontId="123" fillId="0" borderId="10" xfId="78" applyFont="1" applyFill="1" applyBorder="1" applyAlignment="1">
      <alignment horizontal="center"/>
    </xf>
    <xf numFmtId="0" fontId="124" fillId="47" borderId="10" xfId="78" applyFont="1" applyFill="1" applyBorder="1" applyAlignment="1">
      <alignment horizontal="center"/>
    </xf>
    <xf numFmtId="175" fontId="120" fillId="0" borderId="0" xfId="49" applyNumberFormat="1" applyFont="1" applyFill="1" applyAlignment="1">
      <alignment horizontal="center"/>
    </xf>
    <xf numFmtId="175" fontId="120" fillId="0" borderId="0" xfId="49" applyNumberFormat="1" applyFont="1" applyAlignment="1">
      <alignment horizontal="center"/>
    </xf>
    <xf numFmtId="0" fontId="120" fillId="0" borderId="0" xfId="78" applyFont="1" applyAlignment="1">
      <alignment horizontal="center"/>
    </xf>
    <xf numFmtId="0" fontId="120" fillId="0" borderId="16" xfId="78" applyFont="1" applyBorder="1" applyAlignment="1">
      <alignment horizontal="center"/>
    </xf>
    <xf numFmtId="175" fontId="120" fillId="0" borderId="12" xfId="45" applyNumberFormat="1" applyFont="1" applyBorder="1" applyAlignment="1">
      <alignment horizontal="center" wrapText="1"/>
    </xf>
    <xf numFmtId="175" fontId="122" fillId="0" borderId="12" xfId="45" applyNumberFormat="1" applyFont="1" applyBorder="1" applyAlignment="1">
      <alignment horizontal="center" wrapText="1"/>
    </xf>
    <xf numFmtId="0" fontId="120" fillId="47" borderId="10" xfId="78" applyFont="1" applyFill="1" applyBorder="1" applyAlignment="1">
      <alignment horizontal="center"/>
    </xf>
    <xf numFmtId="175" fontId="120" fillId="47" borderId="10" xfId="49" applyNumberFormat="1" applyFont="1" applyFill="1" applyBorder="1" applyAlignment="1">
      <alignment horizontal="center" wrapText="1"/>
    </xf>
    <xf numFmtId="0" fontId="120" fillId="47" borderId="10" xfId="78" applyFont="1" applyFill="1" applyBorder="1" applyAlignment="1">
      <alignment horizontal="center" wrapText="1"/>
    </xf>
    <xf numFmtId="0" fontId="120" fillId="0" borderId="10" xfId="78" applyFont="1" applyBorder="1" applyAlignment="1">
      <alignment horizontal="center"/>
    </xf>
    <xf numFmtId="0" fontId="120" fillId="68" borderId="10" xfId="78" applyFont="1" applyFill="1" applyBorder="1" applyAlignment="1">
      <alignment horizontal="center"/>
    </xf>
    <xf numFmtId="175" fontId="120" fillId="68" borderId="10" xfId="49" applyNumberFormat="1" applyFont="1" applyFill="1" applyBorder="1" applyAlignment="1">
      <alignment horizontal="center" wrapText="1"/>
    </xf>
    <xf numFmtId="175" fontId="120" fillId="0" borderId="10" xfId="49" applyNumberFormat="1" applyFont="1" applyBorder="1" applyAlignment="1">
      <alignment horizontal="center" wrapText="1"/>
    </xf>
    <xf numFmtId="175" fontId="120" fillId="0" borderId="10" xfId="49" applyNumberFormat="1" applyFont="1" applyBorder="1" applyAlignment="1">
      <alignment horizontal="center"/>
    </xf>
    <xf numFmtId="175" fontId="120" fillId="59" borderId="10" xfId="49" applyNumberFormat="1" applyFont="1" applyFill="1" applyBorder="1" applyAlignment="1">
      <alignment horizontal="center"/>
    </xf>
    <xf numFmtId="175" fontId="120" fillId="0" borderId="10" xfId="45" applyNumberFormat="1" applyFont="1" applyBorder="1" applyAlignment="1">
      <alignment horizontal="center" wrapText="1"/>
    </xf>
    <xf numFmtId="175" fontId="120" fillId="0" borderId="10" xfId="45" applyNumberFormat="1" applyFont="1" applyBorder="1" applyAlignment="1">
      <alignment horizontal="center"/>
    </xf>
    <xf numFmtId="175" fontId="122" fillId="0" borderId="10" xfId="45" applyNumberFormat="1" applyFont="1" applyBorder="1" applyAlignment="1">
      <alignment horizontal="center"/>
    </xf>
    <xf numFmtId="0" fontId="120" fillId="0" borderId="0" xfId="78" applyFont="1" applyFill="1" applyBorder="1" applyAlignment="1">
      <alignment horizontal="center"/>
    </xf>
    <xf numFmtId="0" fontId="125" fillId="0" borderId="0" xfId="78" applyFont="1" applyFill="1" applyAlignment="1">
      <alignment horizontal="left"/>
    </xf>
    <xf numFmtId="175" fontId="120" fillId="0" borderId="0" xfId="49" applyNumberFormat="1" applyFont="1" applyFill="1" applyBorder="1" applyAlignment="1">
      <alignment horizontal="center" wrapText="1"/>
    </xf>
    <xf numFmtId="0" fontId="120" fillId="0" borderId="0" xfId="78" applyFont="1" applyFill="1" applyBorder="1" applyAlignment="1">
      <alignment horizontal="center" wrapText="1"/>
    </xf>
    <xf numFmtId="175" fontId="120" fillId="0" borderId="0" xfId="49" applyNumberFormat="1" applyFont="1" applyFill="1" applyBorder="1" applyAlignment="1">
      <alignment horizontal="center"/>
    </xf>
    <xf numFmtId="175" fontId="120" fillId="0" borderId="0" xfId="45" applyNumberFormat="1" applyFont="1" applyFill="1" applyBorder="1" applyAlignment="1">
      <alignment horizontal="center" wrapText="1"/>
    </xf>
    <xf numFmtId="175" fontId="120" fillId="0" borderId="0" xfId="45" applyNumberFormat="1" applyFont="1" applyFill="1" applyBorder="1" applyAlignment="1">
      <alignment horizontal="center"/>
    </xf>
    <xf numFmtId="175" fontId="122" fillId="0" borderId="0" xfId="45" applyNumberFormat="1" applyFont="1" applyFill="1" applyBorder="1" applyAlignment="1">
      <alignment horizontal="center"/>
    </xf>
    <xf numFmtId="0" fontId="120" fillId="0" borderId="0" xfId="78" applyFont="1" applyFill="1"/>
    <xf numFmtId="0" fontId="92" fillId="0" borderId="0" xfId="73" applyNumberFormat="1" applyFont="1" applyBorder="1"/>
    <xf numFmtId="0" fontId="92" fillId="0" borderId="0" xfId="73" applyFont="1" applyBorder="1"/>
    <xf numFmtId="0" fontId="124" fillId="47" borderId="0" xfId="78" applyFont="1" applyFill="1" applyAlignment="1">
      <alignment horizontal="center"/>
    </xf>
    <xf numFmtId="175" fontId="124" fillId="47" borderId="0" xfId="44" applyNumberFormat="1" applyFont="1" applyFill="1" applyAlignment="1">
      <alignment horizontal="center"/>
    </xf>
    <xf numFmtId="0" fontId="126" fillId="68" borderId="0" xfId="78" applyFont="1" applyFill="1" applyAlignment="1">
      <alignment horizontal="center"/>
    </xf>
    <xf numFmtId="0" fontId="126" fillId="44" borderId="0" xfId="78" applyFont="1" applyFill="1" applyAlignment="1">
      <alignment horizontal="center"/>
    </xf>
    <xf numFmtId="175" fontId="126" fillId="44" borderId="0" xfId="49" applyNumberFormat="1" applyFont="1" applyFill="1" applyAlignment="1">
      <alignment horizontal="center"/>
    </xf>
    <xf numFmtId="175" fontId="120" fillId="59" borderId="0" xfId="49" applyNumberFormat="1" applyFont="1" applyFill="1"/>
    <xf numFmtId="1" fontId="120" fillId="0" borderId="0" xfId="78" applyNumberFormat="1" applyFont="1"/>
    <xf numFmtId="175" fontId="127" fillId="0" borderId="0" xfId="49" applyNumberFormat="1" applyFont="1" applyFill="1"/>
    <xf numFmtId="9" fontId="127" fillId="0" borderId="0" xfId="78" applyNumberFormat="1" applyFont="1" applyFill="1"/>
    <xf numFmtId="0" fontId="127" fillId="0" borderId="0" xfId="78" applyFont="1" applyFill="1"/>
    <xf numFmtId="1" fontId="127" fillId="0" borderId="0" xfId="78" applyNumberFormat="1" applyFont="1" applyFill="1"/>
    <xf numFmtId="0" fontId="122" fillId="0" borderId="0" xfId="78" applyFont="1" applyFill="1"/>
    <xf numFmtId="9" fontId="124" fillId="47" borderId="0" xfId="78" applyNumberFormat="1" applyFont="1" applyFill="1" applyAlignment="1">
      <alignment horizontal="center"/>
    </xf>
    <xf numFmtId="175" fontId="128" fillId="0" borderId="0" xfId="49" applyNumberFormat="1" applyFont="1" applyFill="1"/>
    <xf numFmtId="175" fontId="129" fillId="0" borderId="0" xfId="49" applyNumberFormat="1" applyFont="1" applyFill="1"/>
    <xf numFmtId="175" fontId="130" fillId="0" borderId="0" xfId="49" applyNumberFormat="1" applyFont="1" applyFill="1" applyBorder="1" applyAlignment="1">
      <alignment horizontal="left"/>
    </xf>
    <xf numFmtId="0" fontId="0" fillId="0" borderId="19" xfId="0" applyBorder="1"/>
    <xf numFmtId="175" fontId="0" fillId="0" borderId="0" xfId="43" applyNumberFormat="1" applyFont="1"/>
    <xf numFmtId="175" fontId="122" fillId="0" borderId="0" xfId="43" applyNumberFormat="1" applyFont="1"/>
    <xf numFmtId="175" fontId="131" fillId="0" borderId="0" xfId="0" applyNumberFormat="1" applyFont="1"/>
    <xf numFmtId="175" fontId="93" fillId="45" borderId="0" xfId="43" applyNumberFormat="1" applyFont="1" applyFill="1"/>
    <xf numFmtId="0" fontId="132" fillId="0" borderId="0" xfId="0" applyFont="1"/>
    <xf numFmtId="0" fontId="133" fillId="0" borderId="91" xfId="0" applyFont="1" applyBorder="1"/>
    <xf numFmtId="0" fontId="0" fillId="0" borderId="59" xfId="0" applyBorder="1"/>
    <xf numFmtId="0" fontId="134" fillId="0" borderId="59" xfId="0" applyFont="1" applyBorder="1"/>
    <xf numFmtId="0" fontId="0" fillId="0" borderId="92" xfId="0" applyBorder="1"/>
    <xf numFmtId="175" fontId="0" fillId="0" borderId="0" xfId="0" applyNumberFormat="1" applyBorder="1"/>
    <xf numFmtId="0" fontId="0" fillId="0" borderId="13" xfId="0" applyBorder="1"/>
    <xf numFmtId="167" fontId="0" fillId="0" borderId="11" xfId="0" applyNumberFormat="1" applyBorder="1"/>
    <xf numFmtId="49" fontId="10" fillId="29" borderId="0" xfId="85" quotePrefix="1" applyNumberFormat="1" applyFont="1" applyFill="1" applyBorder="1" applyAlignment="1"/>
    <xf numFmtId="175" fontId="135" fillId="0" borderId="0" xfId="0" applyNumberFormat="1" applyFont="1" applyBorder="1"/>
    <xf numFmtId="0" fontId="135" fillId="0" borderId="0" xfId="0" applyFont="1" applyBorder="1"/>
    <xf numFmtId="175" fontId="93" fillId="45" borderId="0" xfId="43" applyNumberFormat="1" applyFont="1" applyFill="1" applyBorder="1"/>
    <xf numFmtId="175" fontId="0" fillId="45" borderId="0" xfId="0" applyNumberFormat="1" applyFill="1" applyBorder="1"/>
    <xf numFmtId="0" fontId="0" fillId="0" borderId="93" xfId="0" applyBorder="1"/>
    <xf numFmtId="0" fontId="0" fillId="0" borderId="37" xfId="0" applyBorder="1"/>
    <xf numFmtId="9" fontId="0" fillId="0" borderId="37" xfId="0" applyNumberFormat="1" applyBorder="1"/>
    <xf numFmtId="0" fontId="0" fillId="0" borderId="89" xfId="0" applyBorder="1"/>
    <xf numFmtId="175" fontId="0" fillId="45" borderId="0" xfId="0" applyNumberFormat="1" applyFill="1"/>
    <xf numFmtId="167" fontId="0" fillId="69" borderId="0" xfId="0" applyNumberFormat="1" applyFill="1"/>
    <xf numFmtId="175" fontId="0" fillId="69" borderId="0" xfId="0" applyNumberFormat="1" applyFill="1"/>
    <xf numFmtId="167" fontId="0" fillId="0" borderId="91" xfId="28" applyNumberFormat="1" applyFont="1" applyBorder="1"/>
    <xf numFmtId="167" fontId="0" fillId="0" borderId="59" xfId="28" applyNumberFormat="1" applyFont="1" applyBorder="1"/>
    <xf numFmtId="175" fontId="0" fillId="0" borderId="59" xfId="0" applyNumberFormat="1" applyBorder="1"/>
    <xf numFmtId="0" fontId="0" fillId="66" borderId="0" xfId="0" applyFill="1"/>
    <xf numFmtId="9" fontId="0" fillId="0" borderId="11" xfId="94" applyFont="1" applyBorder="1"/>
    <xf numFmtId="9" fontId="0" fillId="0" borderId="0" xfId="94" applyFont="1" applyBorder="1"/>
    <xf numFmtId="175" fontId="93" fillId="69" borderId="0" xfId="43" applyNumberFormat="1" applyFont="1" applyFill="1" applyBorder="1"/>
    <xf numFmtId="0" fontId="0" fillId="0" borderId="0" xfId="0" quotePrefix="1" applyNumberFormat="1"/>
    <xf numFmtId="0" fontId="0" fillId="45" borderId="0" xfId="0" applyNumberFormat="1" applyFill="1"/>
    <xf numFmtId="167" fontId="93" fillId="45" borderId="0" xfId="28" applyNumberFormat="1" applyFont="1" applyFill="1"/>
    <xf numFmtId="0" fontId="0" fillId="61" borderId="0" xfId="0" applyFill="1" applyAlignment="1">
      <alignment wrapText="1"/>
    </xf>
    <xf numFmtId="0" fontId="11" fillId="61" borderId="0" xfId="0" applyFont="1" applyFill="1" applyAlignment="1">
      <alignment horizontal="center" wrapText="1"/>
    </xf>
    <xf numFmtId="175" fontId="24" fillId="0" borderId="0" xfId="50" applyNumberFormat="1" applyFont="1" applyAlignment="1"/>
    <xf numFmtId="167" fontId="24" fillId="0" borderId="26" xfId="36" applyNumberFormat="1" applyFont="1" applyBorder="1" applyAlignment="1"/>
    <xf numFmtId="164" fontId="24" fillId="0" borderId="0" xfId="98" applyNumberFormat="1" applyFont="1"/>
    <xf numFmtId="164" fontId="24" fillId="0" borderId="0" xfId="98" applyNumberFormat="1" applyFont="1" applyAlignment="1"/>
    <xf numFmtId="167" fontId="24" fillId="0" borderId="0" xfId="36" applyNumberFormat="1" applyFont="1" applyAlignment="1"/>
    <xf numFmtId="167" fontId="24" fillId="0" borderId="0" xfId="36" applyNumberFormat="1" applyFont="1" applyAlignment="1">
      <alignment horizontal="center"/>
    </xf>
    <xf numFmtId="3" fontId="136" fillId="25" borderId="7" xfId="90" applyNumberFormat="1" applyFont="1" applyAlignment="1">
      <alignment horizontal="center"/>
    </xf>
    <xf numFmtId="4" fontId="25" fillId="25" borderId="7" xfId="90" applyNumberFormat="1" applyFont="1" applyAlignment="1" applyProtection="1">
      <alignment horizontal="center"/>
    </xf>
    <xf numFmtId="167" fontId="24" fillId="0" borderId="0" xfId="36" applyNumberFormat="1" applyFont="1"/>
    <xf numFmtId="4" fontId="25" fillId="25" borderId="7" xfId="90" applyNumberFormat="1" applyFont="1" applyAlignment="1">
      <alignment horizontal="center"/>
    </xf>
    <xf numFmtId="167" fontId="25" fillId="0" borderId="0" xfId="36" applyNumberFormat="1" applyFont="1" applyAlignment="1" applyProtection="1">
      <alignment horizontal="center"/>
    </xf>
    <xf numFmtId="4" fontId="25" fillId="0" borderId="0" xfId="36" applyNumberFormat="1" applyFont="1" applyAlignment="1" applyProtection="1">
      <alignment horizontal="center"/>
    </xf>
    <xf numFmtId="167" fontId="24" fillId="26" borderId="10" xfId="36" applyNumberFormat="1" applyFont="1" applyFill="1" applyBorder="1" applyAlignment="1">
      <alignment horizontal="center"/>
    </xf>
    <xf numFmtId="167" fontId="24" fillId="0" borderId="26" xfId="36" applyNumberFormat="1" applyFont="1" applyBorder="1" applyAlignment="1">
      <alignment horizontal="center"/>
    </xf>
    <xf numFmtId="10" fontId="24" fillId="0" borderId="0" xfId="98" applyNumberFormat="1" applyFont="1" applyAlignment="1"/>
    <xf numFmtId="10" fontId="24" fillId="0" borderId="0" xfId="98" applyNumberFormat="1" applyFont="1" applyAlignment="1">
      <alignment horizontal="center"/>
    </xf>
    <xf numFmtId="44" fontId="24" fillId="0" borderId="0" xfId="50" applyNumberFormat="1" applyFont="1" applyBorder="1" applyAlignment="1"/>
    <xf numFmtId="175" fontId="24" fillId="0" borderId="0" xfId="50" applyNumberFormat="1" applyFont="1" applyBorder="1" applyAlignment="1"/>
    <xf numFmtId="44" fontId="24" fillId="0" borderId="7" xfId="90" applyNumberFormat="1" applyFont="1" applyFill="1" applyAlignment="1">
      <alignment horizontal="center"/>
    </xf>
    <xf numFmtId="175" fontId="24" fillId="0" borderId="15" xfId="50" applyNumberFormat="1" applyFont="1" applyBorder="1" applyAlignment="1"/>
    <xf numFmtId="3" fontId="24" fillId="25" borderId="7" xfId="90" applyNumberFormat="1" applyFont="1" applyAlignment="1">
      <alignment horizontal="center"/>
    </xf>
    <xf numFmtId="44" fontId="24" fillId="25" borderId="7" xfId="90" applyNumberFormat="1" applyFont="1" applyAlignment="1">
      <alignment horizontal="center"/>
    </xf>
    <xf numFmtId="44" fontId="24" fillId="0" borderId="19" xfId="50" applyFont="1" applyBorder="1" applyAlignment="1">
      <alignment horizontal="center"/>
    </xf>
    <xf numFmtId="175" fontId="24" fillId="0" borderId="19" xfId="50" applyNumberFormat="1" applyFont="1" applyBorder="1" applyAlignment="1"/>
    <xf numFmtId="44" fontId="24" fillId="0" borderId="19" xfId="50" applyNumberFormat="1" applyFont="1" applyBorder="1" applyAlignment="1"/>
    <xf numFmtId="175" fontId="24" fillId="0" borderId="40" xfId="50" applyNumberFormat="1" applyFont="1" applyBorder="1" applyAlignment="1"/>
    <xf numFmtId="44" fontId="23" fillId="0" borderId="0" xfId="50" applyFont="1" applyBorder="1" applyAlignment="1">
      <alignment horizontal="center"/>
    </xf>
    <xf numFmtId="175" fontId="23" fillId="0" borderId="0" xfId="50" applyNumberFormat="1" applyFont="1" applyBorder="1" applyAlignment="1"/>
    <xf numFmtId="44" fontId="23" fillId="0" borderId="0" xfId="50" applyNumberFormat="1" applyFont="1" applyBorder="1" applyAlignment="1"/>
    <xf numFmtId="175" fontId="23" fillId="0" borderId="15" xfId="50" applyNumberFormat="1" applyFont="1" applyBorder="1" applyAlignment="1"/>
    <xf numFmtId="44" fontId="24" fillId="0" borderId="0" xfId="50" applyFont="1" applyBorder="1" applyAlignment="1">
      <alignment horizontal="center"/>
    </xf>
    <xf numFmtId="44" fontId="23" fillId="0" borderId="19" xfId="50" applyFont="1" applyBorder="1" applyAlignment="1">
      <alignment horizontal="center"/>
    </xf>
    <xf numFmtId="175" fontId="23" fillId="0" borderId="19" xfId="50" applyNumberFormat="1" applyFont="1" applyBorder="1" applyAlignment="1"/>
    <xf numFmtId="44" fontId="23" fillId="0" borderId="19" xfId="50" applyNumberFormat="1" applyFont="1" applyBorder="1" applyAlignment="1"/>
    <xf numFmtId="175" fontId="23" fillId="28" borderId="19" xfId="50" applyNumberFormat="1" applyFont="1" applyFill="1" applyBorder="1" applyAlignment="1"/>
    <xf numFmtId="175" fontId="23" fillId="0" borderId="40" xfId="50" applyNumberFormat="1" applyFont="1" applyBorder="1" applyAlignment="1"/>
    <xf numFmtId="164" fontId="24" fillId="0" borderId="0" xfId="98" applyNumberFormat="1" applyFont="1" applyAlignment="1">
      <alignment horizontal="center"/>
    </xf>
    <xf numFmtId="0" fontId="11" fillId="0" borderId="13" xfId="85" applyFont="1" applyFill="1" applyBorder="1" applyAlignment="1">
      <alignment horizontal="left" indent="1"/>
    </xf>
    <xf numFmtId="49" fontId="9" fillId="0" borderId="0" xfId="85" quotePrefix="1" applyNumberFormat="1" applyFont="1" applyFill="1" applyBorder="1" applyAlignment="1"/>
    <xf numFmtId="0" fontId="23" fillId="0" borderId="13" xfId="85" applyFont="1" applyFill="1" applyBorder="1" applyAlignment="1">
      <alignment horizontal="left" indent="2"/>
    </xf>
    <xf numFmtId="175" fontId="127" fillId="0" borderId="0" xfId="49" applyNumberFormat="1" applyFont="1" applyFill="1" applyAlignment="1">
      <alignment horizontal="left"/>
    </xf>
    <xf numFmtId="175" fontId="120" fillId="0" borderId="0" xfId="49" applyNumberFormat="1" applyFont="1" applyFill="1" applyBorder="1" applyAlignment="1">
      <alignment horizontal="left"/>
    </xf>
    <xf numFmtId="175" fontId="120" fillId="0" borderId="0" xfId="45" applyNumberFormat="1" applyFont="1" applyFill="1" applyBorder="1" applyAlignment="1">
      <alignment horizontal="left"/>
    </xf>
    <xf numFmtId="0" fontId="120" fillId="45" borderId="0" xfId="78" applyFont="1" applyFill="1"/>
    <xf numFmtId="38" fontId="11" fillId="45" borderId="16" xfId="76" applyFont="1" applyFill="1" applyBorder="1" applyAlignment="1">
      <alignment horizontal="center"/>
    </xf>
    <xf numFmtId="38" fontId="11" fillId="45" borderId="23" xfId="76" applyFont="1" applyFill="1" applyBorder="1" applyAlignment="1">
      <alignment horizontal="center"/>
    </xf>
    <xf numFmtId="0" fontId="129" fillId="0" borderId="0" xfId="78" applyFont="1" applyFill="1"/>
    <xf numFmtId="175" fontId="120" fillId="0" borderId="0" xfId="78" applyNumberFormat="1" applyFont="1" applyFill="1" applyBorder="1" applyAlignment="1">
      <alignment horizontal="center"/>
    </xf>
    <xf numFmtId="175" fontId="120" fillId="0" borderId="19" xfId="78" applyNumberFormat="1" applyFont="1" applyFill="1" applyBorder="1" applyAlignment="1">
      <alignment horizontal="center"/>
    </xf>
    <xf numFmtId="167" fontId="9" fillId="0" borderId="22" xfId="76" applyNumberFormat="1" applyFont="1" applyFill="1" applyBorder="1" applyAlignment="1"/>
    <xf numFmtId="167" fontId="9" fillId="43" borderId="22" xfId="76" applyNumberFormat="1" applyFont="1" applyFill="1" applyBorder="1" applyAlignment="1"/>
    <xf numFmtId="9" fontId="120" fillId="0" borderId="0" xfId="95" applyFont="1"/>
    <xf numFmtId="175" fontId="120" fillId="54" borderId="0" xfId="49" applyNumberFormat="1" applyFont="1" applyFill="1"/>
    <xf numFmtId="175" fontId="120" fillId="54" borderId="0" xfId="49" applyNumberFormat="1" applyFont="1" applyFill="1" applyAlignment="1">
      <alignment horizontal="center"/>
    </xf>
    <xf numFmtId="9" fontId="120" fillId="0" borderId="0" xfId="95" applyFont="1" applyAlignment="1">
      <alignment horizontal="center"/>
    </xf>
    <xf numFmtId="175" fontId="120" fillId="54" borderId="12" xfId="45" applyNumberFormat="1" applyFont="1" applyFill="1" applyBorder="1" applyAlignment="1">
      <alignment horizontal="center" wrapText="1"/>
    </xf>
    <xf numFmtId="175" fontId="120" fillId="54" borderId="10" xfId="45" applyNumberFormat="1" applyFont="1" applyFill="1" applyBorder="1" applyAlignment="1">
      <alignment horizontal="center" wrapText="1"/>
    </xf>
    <xf numFmtId="175" fontId="120" fillId="54" borderId="0" xfId="45" applyNumberFormat="1" applyFont="1" applyFill="1" applyBorder="1" applyAlignment="1">
      <alignment horizontal="center" wrapText="1"/>
    </xf>
    <xf numFmtId="175" fontId="120" fillId="54" borderId="19" xfId="49" applyNumberFormat="1" applyFont="1" applyFill="1" applyBorder="1"/>
    <xf numFmtId="9" fontId="127" fillId="0" borderId="0" xfId="95" applyFont="1" applyFill="1"/>
    <xf numFmtId="175" fontId="127" fillId="54" borderId="0" xfId="49" applyNumberFormat="1" applyFont="1" applyFill="1"/>
    <xf numFmtId="175" fontId="127" fillId="54" borderId="19" xfId="49" applyNumberFormat="1" applyFont="1" applyFill="1" applyBorder="1"/>
    <xf numFmtId="175" fontId="137" fillId="0" borderId="0" xfId="45" applyNumberFormat="1" applyFont="1" applyFill="1" applyBorder="1" applyAlignment="1">
      <alignment horizontal="center"/>
    </xf>
    <xf numFmtId="175" fontId="127" fillId="54" borderId="0" xfId="45" applyNumberFormat="1" applyFont="1" applyFill="1" applyBorder="1" applyAlignment="1">
      <alignment horizontal="center" wrapText="1"/>
    </xf>
    <xf numFmtId="0" fontId="138" fillId="70" borderId="0" xfId="70" applyFont="1" applyFill="1"/>
    <xf numFmtId="0" fontId="138" fillId="0" borderId="0" xfId="70" applyFont="1"/>
    <xf numFmtId="0" fontId="138" fillId="71" borderId="0" xfId="70" applyFont="1" applyFill="1"/>
    <xf numFmtId="0" fontId="138" fillId="69" borderId="0" xfId="70" applyFont="1" applyFill="1"/>
    <xf numFmtId="175" fontId="128" fillId="54" borderId="0" xfId="49" applyNumberFormat="1" applyFont="1" applyFill="1"/>
    <xf numFmtId="175" fontId="128" fillId="54" borderId="19" xfId="49" applyNumberFormat="1" applyFont="1" applyFill="1" applyBorder="1"/>
    <xf numFmtId="0" fontId="125" fillId="72" borderId="0" xfId="78" applyFont="1" applyFill="1" applyAlignment="1">
      <alignment horizontal="left"/>
    </xf>
    <xf numFmtId="0" fontId="125" fillId="69" borderId="0" xfId="78" applyFont="1" applyFill="1" applyAlignment="1">
      <alignment horizontal="left"/>
    </xf>
    <xf numFmtId="0" fontId="125" fillId="70" borderId="0" xfId="78" applyFont="1" applyFill="1" applyAlignment="1">
      <alignment horizontal="left"/>
    </xf>
    <xf numFmtId="9" fontId="124" fillId="47" borderId="0" xfId="95" applyFont="1" applyFill="1" applyAlignment="1">
      <alignment horizontal="center"/>
    </xf>
    <xf numFmtId="9" fontId="120" fillId="0" borderId="0" xfId="95" applyFont="1" applyFill="1"/>
    <xf numFmtId="175" fontId="137" fillId="0" borderId="0" xfId="49" applyNumberFormat="1" applyFont="1" applyFill="1"/>
    <xf numFmtId="0" fontId="138" fillId="0" borderId="0" xfId="67" applyFont="1"/>
    <xf numFmtId="0" fontId="124" fillId="45" borderId="0" xfId="78" applyFont="1" applyFill="1" applyAlignment="1">
      <alignment horizontal="center"/>
    </xf>
    <xf numFmtId="175" fontId="124" fillId="45" borderId="0" xfId="44" applyNumberFormat="1" applyFont="1" applyFill="1" applyAlignment="1">
      <alignment horizontal="center"/>
    </xf>
    <xf numFmtId="0" fontId="120" fillId="54" borderId="0" xfId="78" applyFont="1" applyFill="1"/>
    <xf numFmtId="0" fontId="139" fillId="0" borderId="0" xfId="78" applyFont="1" applyFill="1" applyAlignment="1">
      <alignment horizontal="left"/>
    </xf>
    <xf numFmtId="0" fontId="127" fillId="54" borderId="0" xfId="78" applyFont="1" applyFill="1"/>
    <xf numFmtId="167" fontId="127" fillId="54" borderId="0" xfId="29" applyNumberFormat="1" applyFont="1" applyFill="1" applyBorder="1"/>
    <xf numFmtId="41" fontId="127" fillId="54" borderId="19" xfId="78" applyNumberFormat="1" applyFont="1" applyFill="1" applyBorder="1"/>
    <xf numFmtId="167" fontId="129" fillId="54" borderId="0" xfId="78" applyNumberFormat="1" applyFont="1" applyFill="1"/>
    <xf numFmtId="175" fontId="140" fillId="0" borderId="0" xfId="49" applyNumberFormat="1" applyFont="1" applyFill="1"/>
    <xf numFmtId="175" fontId="120" fillId="0" borderId="0" xfId="78" applyNumberFormat="1" applyFont="1" applyFill="1"/>
    <xf numFmtId="0" fontId="137" fillId="0" borderId="0" xfId="78" applyFont="1" applyFill="1" applyAlignment="1">
      <alignment horizontal="left" vertical="center"/>
    </xf>
    <xf numFmtId="175" fontId="121" fillId="0" borderId="0" xfId="49" applyNumberFormat="1" applyFont="1" applyFill="1"/>
    <xf numFmtId="0" fontId="137" fillId="0" borderId="0" xfId="78" applyFont="1" applyFill="1"/>
    <xf numFmtId="175" fontId="137" fillId="54" borderId="0" xfId="78" applyNumberFormat="1" applyFont="1" applyFill="1"/>
    <xf numFmtId="175" fontId="137" fillId="0" borderId="0" xfId="49" applyNumberFormat="1" applyFont="1" applyFill="1" applyAlignment="1">
      <alignment horizontal="left" vertical="center"/>
    </xf>
    <xf numFmtId="41" fontId="137" fillId="54" borderId="19" xfId="78" applyNumberFormat="1" applyFont="1" applyFill="1" applyBorder="1"/>
    <xf numFmtId="175" fontId="141" fillId="0" borderId="0" xfId="49" applyNumberFormat="1" applyFont="1" applyFill="1"/>
    <xf numFmtId="0" fontId="141" fillId="0" borderId="0" xfId="78" applyFont="1" applyFill="1"/>
    <xf numFmtId="0" fontId="141" fillId="54" borderId="0" xfId="78" applyFont="1" applyFill="1"/>
    <xf numFmtId="0" fontId="120" fillId="0" borderId="12" xfId="78" applyFont="1" applyBorder="1" applyAlignment="1">
      <alignment horizontal="center" wrapText="1"/>
    </xf>
    <xf numFmtId="175" fontId="120" fillId="0" borderId="12" xfId="49" applyNumberFormat="1" applyFont="1" applyBorder="1" applyAlignment="1">
      <alignment horizontal="center" wrapText="1"/>
    </xf>
    <xf numFmtId="43" fontId="120" fillId="0" borderId="0" xfId="37" applyFont="1"/>
    <xf numFmtId="0" fontId="24" fillId="0" borderId="0" xfId="75" applyFont="1"/>
    <xf numFmtId="0" fontId="24" fillId="40" borderId="0" xfId="75" applyFont="1" applyFill="1"/>
    <xf numFmtId="0" fontId="24" fillId="0" borderId="0" xfId="75" applyFont="1" applyBorder="1"/>
    <xf numFmtId="0" fontId="24" fillId="0" borderId="0" xfId="75" applyFont="1" applyAlignment="1">
      <alignment horizontal="center"/>
    </xf>
    <xf numFmtId="0" fontId="24" fillId="0" borderId="0" xfId="75" applyFont="1" applyBorder="1" applyAlignment="1">
      <alignment horizontal="center"/>
    </xf>
    <xf numFmtId="0" fontId="24" fillId="0" borderId="19" xfId="75" applyFont="1" applyBorder="1" applyAlignment="1">
      <alignment horizontal="center"/>
    </xf>
    <xf numFmtId="3" fontId="24" fillId="0" borderId="19" xfId="75" applyNumberFormat="1" applyFont="1" applyBorder="1" applyAlignment="1">
      <alignment horizontal="center"/>
    </xf>
    <xf numFmtId="0" fontId="24" fillId="0" borderId="0" xfId="75" applyFont="1" applyAlignment="1">
      <alignment horizontal="left" indent="1"/>
    </xf>
    <xf numFmtId="37" fontId="24" fillId="0" borderId="0" xfId="75" applyNumberFormat="1" applyFont="1"/>
    <xf numFmtId="37" fontId="24" fillId="45" borderId="0" xfId="75" applyNumberFormat="1" applyFont="1" applyFill="1"/>
    <xf numFmtId="3" fontId="24" fillId="0" borderId="0" xfId="75" applyNumberFormat="1" applyFont="1"/>
    <xf numFmtId="164" fontId="24" fillId="54" borderId="0" xfId="102" applyNumberFormat="1" applyFont="1" applyFill="1"/>
    <xf numFmtId="164" fontId="25" fillId="28" borderId="0" xfId="102" applyNumberFormat="1" applyFont="1" applyFill="1" applyBorder="1"/>
    <xf numFmtId="164" fontId="24" fillId="0" borderId="0" xfId="75" applyNumberFormat="1" applyFont="1"/>
    <xf numFmtId="3" fontId="24" fillId="0" borderId="0" xfId="75" applyNumberFormat="1" applyFont="1" applyBorder="1"/>
    <xf numFmtId="0" fontId="24" fillId="54" borderId="0" xfId="75" applyFont="1" applyFill="1"/>
    <xf numFmtId="10" fontId="24" fillId="0" borderId="0" xfId="75" applyNumberFormat="1" applyFont="1"/>
    <xf numFmtId="164" fontId="25" fillId="27" borderId="0" xfId="102" applyNumberFormat="1" applyFont="1" applyFill="1" applyBorder="1"/>
    <xf numFmtId="164" fontId="24" fillId="27" borderId="0" xfId="75" applyNumberFormat="1" applyFont="1" applyFill="1"/>
    <xf numFmtId="164" fontId="24" fillId="52" borderId="0" xfId="102" applyNumberFormat="1" applyFont="1" applyFill="1"/>
    <xf numFmtId="164" fontId="25" fillId="0" borderId="0" xfId="102" applyNumberFormat="1" applyFont="1" applyFill="1" applyBorder="1"/>
    <xf numFmtId="0" fontId="23" fillId="0" borderId="0" xfId="75" applyFont="1"/>
    <xf numFmtId="37" fontId="23" fillId="0" borderId="26" xfId="75" applyNumberFormat="1" applyFont="1" applyBorder="1"/>
    <xf numFmtId="3" fontId="23" fillId="0" borderId="0" xfId="75" applyNumberFormat="1" applyFont="1" applyBorder="1"/>
    <xf numFmtId="164" fontId="23" fillId="0" borderId="0" xfId="75" applyNumberFormat="1" applyFont="1"/>
    <xf numFmtId="3" fontId="23" fillId="0" borderId="26" xfId="75" applyNumberFormat="1" applyFont="1" applyBorder="1"/>
    <xf numFmtId="0" fontId="23" fillId="40" borderId="0" xfId="75" applyFont="1" applyFill="1"/>
    <xf numFmtId="9" fontId="23" fillId="0" borderId="0" xfId="102" applyFont="1"/>
    <xf numFmtId="3" fontId="24" fillId="45" borderId="0" xfId="75" applyNumberFormat="1" applyFont="1" applyFill="1"/>
    <xf numFmtId="0" fontId="23" fillId="0" borderId="0" xfId="75" applyFont="1" applyBorder="1"/>
    <xf numFmtId="164" fontId="23" fillId="0" borderId="0" xfId="75" applyNumberFormat="1" applyFont="1" applyBorder="1"/>
    <xf numFmtId="9" fontId="24" fillId="0" borderId="0" xfId="102" applyFont="1"/>
    <xf numFmtId="10" fontId="23" fillId="0" borderId="0" xfId="102" applyNumberFormat="1" applyFont="1"/>
    <xf numFmtId="9" fontId="24" fillId="0" borderId="0" xfId="75" applyNumberFormat="1" applyFont="1"/>
    <xf numFmtId="37" fontId="24" fillId="0" borderId="19" xfId="75" applyNumberFormat="1" applyFont="1" applyBorder="1"/>
    <xf numFmtId="3" fontId="24" fillId="0" borderId="19" xfId="75" applyNumberFormat="1" applyFont="1" applyBorder="1"/>
    <xf numFmtId="0" fontId="24" fillId="40" borderId="19" xfId="75" applyFont="1" applyFill="1" applyBorder="1"/>
    <xf numFmtId="0" fontId="24" fillId="0" borderId="19" xfId="75" applyFont="1" applyBorder="1"/>
    <xf numFmtId="0" fontId="23" fillId="0" borderId="19" xfId="75" applyFont="1" applyBorder="1"/>
    <xf numFmtId="10" fontId="24" fillId="0" borderId="19" xfId="75" applyNumberFormat="1" applyFont="1" applyBorder="1"/>
    <xf numFmtId="37" fontId="23" fillId="0" borderId="42" xfId="75" applyNumberFormat="1" applyFont="1" applyBorder="1"/>
    <xf numFmtId="37" fontId="23" fillId="0" borderId="41" xfId="75" applyNumberFormat="1" applyFont="1" applyBorder="1"/>
    <xf numFmtId="3" fontId="23" fillId="40" borderId="41" xfId="75" applyNumberFormat="1" applyFont="1" applyFill="1" applyBorder="1"/>
    <xf numFmtId="3" fontId="23" fillId="0" borderId="41" xfId="75" applyNumberFormat="1" applyFont="1" applyBorder="1"/>
    <xf numFmtId="167" fontId="24" fillId="0" borderId="0" xfId="37" applyNumberFormat="1" applyFont="1"/>
    <xf numFmtId="0" fontId="94" fillId="0" borderId="0" xfId="75" applyFont="1"/>
    <xf numFmtId="0" fontId="24" fillId="0" borderId="91" xfId="75" applyFont="1" applyBorder="1"/>
    <xf numFmtId="167" fontId="24" fillId="0" borderId="59" xfId="37" applyNumberFormat="1" applyFont="1" applyBorder="1"/>
    <xf numFmtId="0" fontId="24" fillId="0" borderId="59" xfId="75" applyFont="1" applyBorder="1"/>
    <xf numFmtId="10" fontId="24" fillId="61" borderId="59" xfId="75" applyNumberFormat="1" applyFont="1" applyFill="1" applyBorder="1"/>
    <xf numFmtId="0" fontId="24" fillId="0" borderId="92" xfId="75" applyFont="1" applyBorder="1"/>
    <xf numFmtId="0" fontId="24" fillId="0" borderId="11" xfId="75" applyFont="1" applyBorder="1"/>
    <xf numFmtId="167" fontId="24" fillId="0" borderId="0" xfId="37" applyNumberFormat="1" applyFont="1" applyBorder="1"/>
    <xf numFmtId="10" fontId="24" fillId="69" borderId="0" xfId="75" applyNumberFormat="1" applyFont="1" applyFill="1" applyBorder="1"/>
    <xf numFmtId="0" fontId="24" fillId="69" borderId="0" xfId="75" applyFont="1" applyFill="1" applyBorder="1"/>
    <xf numFmtId="0" fontId="24" fillId="0" borderId="13" xfId="75" applyFont="1" applyBorder="1"/>
    <xf numFmtId="167" fontId="23" fillId="0" borderId="19" xfId="37" applyNumberFormat="1" applyFont="1" applyBorder="1" applyAlignment="1">
      <alignment horizontal="center" vertical="center" wrapText="1"/>
    </xf>
    <xf numFmtId="0" fontId="23" fillId="0" borderId="0" xfId="75" applyFont="1" applyBorder="1" applyAlignment="1">
      <alignment horizontal="center" vertical="center"/>
    </xf>
    <xf numFmtId="0" fontId="23" fillId="0" borderId="19" xfId="75" applyFont="1" applyBorder="1" applyAlignment="1">
      <alignment horizontal="center" vertical="center"/>
    </xf>
    <xf numFmtId="0" fontId="23" fillId="0" borderId="19" xfId="75" applyFont="1" applyBorder="1" applyAlignment="1">
      <alignment horizontal="center" vertical="center" wrapText="1"/>
    </xf>
    <xf numFmtId="0" fontId="23" fillId="0" borderId="19" xfId="81" applyNumberFormat="1" applyFont="1" applyFill="1" applyBorder="1" applyAlignment="1">
      <alignment horizontal="center"/>
    </xf>
    <xf numFmtId="37" fontId="23" fillId="0" borderId="31" xfId="81" applyNumberFormat="1" applyFont="1" applyFill="1" applyBorder="1" applyAlignment="1">
      <alignment horizontal="center"/>
    </xf>
    <xf numFmtId="167" fontId="24" fillId="0" borderId="0" xfId="37" applyNumberFormat="1" applyFont="1" applyFill="1" applyBorder="1"/>
    <xf numFmtId="10" fontId="24" fillId="0" borderId="0" xfId="102" applyNumberFormat="1" applyFont="1" applyBorder="1"/>
    <xf numFmtId="167" fontId="24" fillId="0" borderId="0" xfId="75" applyNumberFormat="1" applyFont="1" applyBorder="1"/>
    <xf numFmtId="167" fontId="24" fillId="69" borderId="0" xfId="75" applyNumberFormat="1" applyFont="1" applyFill="1" applyBorder="1"/>
    <xf numFmtId="167" fontId="24" fillId="69" borderId="23" xfId="75" applyNumberFormat="1" applyFont="1" applyFill="1" applyBorder="1"/>
    <xf numFmtId="167" fontId="24" fillId="0" borderId="0" xfId="75" applyNumberFormat="1" applyFont="1"/>
    <xf numFmtId="167" fontId="142" fillId="0" borderId="0" xfId="37" applyNumberFormat="1" applyFont="1" applyFill="1" applyBorder="1"/>
    <xf numFmtId="167" fontId="24" fillId="0" borderId="0" xfId="75" applyNumberFormat="1" applyFont="1" applyFill="1" applyBorder="1"/>
    <xf numFmtId="167" fontId="24" fillId="0" borderId="23" xfId="75" applyNumberFormat="1" applyFont="1" applyFill="1" applyBorder="1"/>
    <xf numFmtId="0" fontId="24" fillId="0" borderId="11" xfId="75" applyFont="1" applyBorder="1" applyAlignment="1">
      <alignment horizontal="left" indent="2"/>
    </xf>
    <xf numFmtId="10" fontId="24" fillId="0" borderId="0" xfId="75" applyNumberFormat="1" applyFont="1" applyBorder="1"/>
    <xf numFmtId="167" fontId="24" fillId="71" borderId="0" xfId="75" applyNumberFormat="1" applyFont="1" applyFill="1" applyBorder="1"/>
    <xf numFmtId="167" fontId="24" fillId="71" borderId="23" xfId="75" applyNumberFormat="1" applyFont="1" applyFill="1" applyBorder="1"/>
    <xf numFmtId="43" fontId="24" fillId="71" borderId="0" xfId="75" applyNumberFormat="1" applyFont="1" applyFill="1" applyBorder="1"/>
    <xf numFmtId="167" fontId="24" fillId="61" borderId="0" xfId="75" applyNumberFormat="1" applyFont="1" applyFill="1" applyBorder="1"/>
    <xf numFmtId="167" fontId="24" fillId="61" borderId="23" xfId="75" applyNumberFormat="1" applyFont="1" applyFill="1" applyBorder="1"/>
    <xf numFmtId="185" fontId="24" fillId="0" borderId="0" xfId="37" applyNumberFormat="1" applyFont="1"/>
    <xf numFmtId="176" fontId="24" fillId="0" borderId="0" xfId="37" applyNumberFormat="1" applyFont="1"/>
    <xf numFmtId="167" fontId="24" fillId="0" borderId="19" xfId="37" applyNumberFormat="1" applyFont="1" applyBorder="1"/>
    <xf numFmtId="167" fontId="24" fillId="0" borderId="19" xfId="37" applyNumberFormat="1" applyFont="1" applyFill="1" applyBorder="1"/>
    <xf numFmtId="167" fontId="24" fillId="0" borderId="19" xfId="75" applyNumberFormat="1" applyFont="1" applyBorder="1"/>
    <xf numFmtId="167" fontId="24" fillId="61" borderId="19" xfId="75" applyNumberFormat="1" applyFont="1" applyFill="1" applyBorder="1"/>
    <xf numFmtId="167" fontId="24" fillId="61" borderId="31" xfId="75" applyNumberFormat="1" applyFont="1" applyFill="1" applyBorder="1"/>
    <xf numFmtId="0" fontId="24" fillId="0" borderId="93" xfId="75" applyFont="1" applyBorder="1"/>
    <xf numFmtId="167" fontId="24" fillId="0" borderId="37" xfId="37" applyNumberFormat="1" applyFont="1" applyBorder="1"/>
    <xf numFmtId="0" fontId="24" fillId="0" borderId="37" xfId="75" applyFont="1" applyBorder="1"/>
    <xf numFmtId="0" fontId="24" fillId="0" borderId="89" xfId="75" applyFont="1" applyBorder="1"/>
    <xf numFmtId="0" fontId="23" fillId="0" borderId="0" xfId="81" applyNumberFormat="1" applyFont="1" applyFill="1"/>
    <xf numFmtId="167" fontId="23" fillId="0" borderId="0" xfId="37" applyNumberFormat="1" applyFont="1" applyFill="1"/>
    <xf numFmtId="37" fontId="23" fillId="0" borderId="19" xfId="81" applyNumberFormat="1" applyFont="1" applyFill="1" applyBorder="1" applyAlignment="1">
      <alignment horizontal="center"/>
    </xf>
    <xf numFmtId="0" fontId="24" fillId="0" borderId="0" xfId="81" applyNumberFormat="1" applyFont="1" applyFill="1"/>
    <xf numFmtId="10" fontId="24" fillId="71" borderId="0" xfId="75" applyNumberFormat="1" applyFont="1" applyFill="1"/>
    <xf numFmtId="0" fontId="24" fillId="71" borderId="0" xfId="75" applyFont="1" applyFill="1"/>
    <xf numFmtId="9" fontId="24" fillId="71" borderId="0" xfId="75" applyNumberFormat="1" applyFont="1" applyFill="1"/>
    <xf numFmtId="0" fontId="24" fillId="0" borderId="37" xfId="75" applyFont="1" applyBorder="1" applyAlignment="1">
      <alignment horizontal="center"/>
    </xf>
    <xf numFmtId="0" fontId="9" fillId="0" borderId="13" xfId="85" applyFont="1" applyBorder="1" applyAlignment="1">
      <alignment horizontal="right" indent="1"/>
    </xf>
    <xf numFmtId="41" fontId="24" fillId="0" borderId="91" xfId="75" applyNumberFormat="1" applyFont="1" applyBorder="1"/>
    <xf numFmtId="3" fontId="24" fillId="0" borderId="59" xfId="75" applyNumberFormat="1" applyFont="1" applyBorder="1"/>
    <xf numFmtId="41" fontId="24" fillId="0" borderId="92" xfId="75" applyNumberFormat="1" applyFont="1" applyBorder="1"/>
    <xf numFmtId="164" fontId="24" fillId="0" borderId="0" xfId="102" applyNumberFormat="1" applyFont="1"/>
    <xf numFmtId="0" fontId="24" fillId="27" borderId="0" xfId="75" applyFont="1" applyFill="1"/>
    <xf numFmtId="41" fontId="24" fillId="0" borderId="11" xfId="75" applyNumberFormat="1" applyFont="1" applyBorder="1"/>
    <xf numFmtId="41" fontId="24" fillId="0" borderId="13" xfId="75" applyNumberFormat="1" applyFont="1" applyBorder="1"/>
    <xf numFmtId="10" fontId="23" fillId="0" borderId="0" xfId="75" applyNumberFormat="1" applyFont="1"/>
    <xf numFmtId="3" fontId="24" fillId="45" borderId="0" xfId="75" applyNumberFormat="1" applyFont="1" applyFill="1" applyBorder="1"/>
    <xf numFmtId="0" fontId="23" fillId="27" borderId="30" xfId="75" applyFont="1" applyFill="1" applyBorder="1"/>
    <xf numFmtId="0" fontId="24" fillId="27" borderId="26" xfId="75" applyFont="1" applyFill="1" applyBorder="1"/>
    <xf numFmtId="0" fontId="23" fillId="27" borderId="26" xfId="81" applyNumberFormat="1" applyFont="1" applyFill="1" applyBorder="1" applyAlignment="1">
      <alignment horizontal="center"/>
    </xf>
    <xf numFmtId="37" fontId="23" fillId="27" borderId="50" xfId="81" applyNumberFormat="1" applyFont="1" applyFill="1" applyBorder="1" applyAlignment="1">
      <alignment horizontal="center"/>
    </xf>
    <xf numFmtId="0" fontId="24" fillId="0" borderId="29" xfId="75" applyFont="1" applyBorder="1"/>
    <xf numFmtId="167" fontId="24" fillId="0" borderId="15" xfId="37" applyNumberFormat="1" applyFont="1" applyBorder="1"/>
    <xf numFmtId="0" fontId="24" fillId="0" borderId="29" xfId="81" applyNumberFormat="1" applyFont="1" applyFill="1" applyBorder="1"/>
    <xf numFmtId="41" fontId="24" fillId="0" borderId="93" xfId="75" applyNumberFormat="1" applyFont="1" applyBorder="1"/>
    <xf numFmtId="41" fontId="24" fillId="0" borderId="89" xfId="75" applyNumberFormat="1" applyFont="1" applyBorder="1"/>
    <xf numFmtId="41" fontId="24" fillId="0" borderId="0" xfId="75" applyNumberFormat="1" applyFont="1" applyBorder="1"/>
    <xf numFmtId="10" fontId="143" fillId="0" borderId="0" xfId="102" applyNumberFormat="1" applyFont="1"/>
    <xf numFmtId="0" fontId="26" fillId="45" borderId="0" xfId="75" applyFont="1" applyFill="1" applyAlignment="1">
      <alignment horizontal="left"/>
    </xf>
    <xf numFmtId="0" fontId="23" fillId="0" borderId="29" xfId="81" applyNumberFormat="1" applyFont="1" applyFill="1" applyBorder="1"/>
    <xf numFmtId="167" fontId="23" fillId="0" borderId="26" xfId="37" applyNumberFormat="1" applyFont="1" applyBorder="1"/>
    <xf numFmtId="167" fontId="23" fillId="0" borderId="50" xfId="37" applyNumberFormat="1" applyFont="1" applyBorder="1"/>
    <xf numFmtId="0" fontId="13" fillId="45" borderId="0" xfId="75" applyFont="1" applyFill="1" applyAlignment="1">
      <alignment horizontal="left"/>
    </xf>
    <xf numFmtId="167" fontId="23" fillId="0" borderId="0" xfId="37" applyNumberFormat="1" applyFont="1" applyBorder="1"/>
    <xf numFmtId="167" fontId="23" fillId="0" borderId="15" xfId="37" applyNumberFormat="1" applyFont="1" applyBorder="1"/>
    <xf numFmtId="10" fontId="24" fillId="0" borderId="0" xfId="102" applyNumberFormat="1" applyFont="1"/>
    <xf numFmtId="0" fontId="23" fillId="0" borderId="30" xfId="75" applyFont="1" applyBorder="1"/>
    <xf numFmtId="167" fontId="23" fillId="0" borderId="26" xfId="75" applyNumberFormat="1" applyFont="1" applyBorder="1"/>
    <xf numFmtId="0" fontId="23" fillId="0" borderId="26" xfId="75" applyFont="1" applyBorder="1"/>
    <xf numFmtId="167" fontId="23" fillId="40" borderId="50" xfId="37" applyNumberFormat="1" applyFont="1" applyFill="1" applyBorder="1"/>
    <xf numFmtId="167" fontId="23" fillId="0" borderId="0" xfId="75" applyNumberFormat="1" applyFont="1"/>
    <xf numFmtId="3" fontId="23" fillId="0" borderId="0" xfId="75" applyNumberFormat="1" applyFont="1"/>
    <xf numFmtId="0" fontId="23" fillId="0" borderId="0" xfId="75" applyFont="1" applyFill="1" applyBorder="1"/>
    <xf numFmtId="167" fontId="23" fillId="0" borderId="26" xfId="37" applyNumberFormat="1" applyFont="1" applyFill="1" applyBorder="1"/>
    <xf numFmtId="167" fontId="23" fillId="0" borderId="50" xfId="37" applyNumberFormat="1" applyFont="1" applyFill="1" applyBorder="1"/>
    <xf numFmtId="0" fontId="23" fillId="0" borderId="0" xfId="75" applyFont="1" applyFill="1"/>
    <xf numFmtId="0" fontId="24" fillId="0" borderId="0" xfId="75" applyFont="1" applyFill="1" applyBorder="1"/>
    <xf numFmtId="167" fontId="24" fillId="0" borderId="15" xfId="37" applyNumberFormat="1" applyFont="1" applyFill="1" applyBorder="1"/>
    <xf numFmtId="0" fontId="24" fillId="0" borderId="0" xfId="75" applyFont="1" applyFill="1"/>
    <xf numFmtId="9" fontId="24" fillId="0" borderId="0" xfId="102" applyFont="1" applyBorder="1"/>
    <xf numFmtId="41" fontId="9" fillId="55" borderId="16" xfId="76" applyNumberFormat="1" applyFont="1" applyFill="1" applyBorder="1" applyAlignment="1"/>
    <xf numFmtId="41" fontId="41" fillId="55" borderId="30" xfId="76" applyNumberFormat="1" applyFont="1" applyFill="1" applyBorder="1" applyAlignment="1"/>
    <xf numFmtId="41" fontId="11" fillId="55" borderId="29" xfId="76" applyNumberFormat="1" applyFont="1" applyFill="1" applyBorder="1" applyAlignment="1"/>
    <xf numFmtId="41" fontId="23" fillId="55" borderId="16" xfId="76" applyNumberFormat="1" applyFont="1" applyFill="1" applyBorder="1" applyAlignment="1"/>
    <xf numFmtId="41" fontId="41" fillId="55" borderId="26" xfId="76" applyNumberFormat="1" applyFont="1" applyFill="1" applyBorder="1" applyAlignment="1"/>
    <xf numFmtId="41" fontId="41" fillId="55" borderId="56" xfId="76" applyNumberFormat="1" applyFont="1" applyFill="1" applyBorder="1" applyAlignment="1"/>
    <xf numFmtId="38" fontId="37" fillId="73" borderId="48" xfId="76" applyFont="1" applyFill="1" applyBorder="1" applyAlignment="1"/>
    <xf numFmtId="38" fontId="11" fillId="55" borderId="90" xfId="76" applyFont="1" applyFill="1" applyBorder="1" applyAlignment="1">
      <alignment horizontal="center"/>
    </xf>
    <xf numFmtId="41" fontId="9" fillId="27" borderId="16" xfId="76" applyNumberFormat="1" applyFont="1" applyFill="1" applyBorder="1" applyAlignment="1"/>
    <xf numFmtId="41" fontId="9" fillId="42" borderId="16" xfId="76" applyNumberFormat="1" applyFont="1" applyFill="1" applyBorder="1" applyAlignment="1"/>
    <xf numFmtId="41" fontId="11" fillId="27" borderId="29" xfId="76" applyNumberFormat="1" applyFont="1" applyFill="1" applyBorder="1" applyAlignment="1"/>
    <xf numFmtId="41" fontId="41" fillId="0" borderId="30" xfId="76" applyNumberFormat="1" applyFont="1" applyFill="1" applyBorder="1" applyAlignment="1"/>
    <xf numFmtId="41" fontId="23" fillId="27" borderId="16" xfId="76" applyNumberFormat="1" applyFont="1" applyFill="1" applyBorder="1" applyAlignment="1"/>
    <xf numFmtId="41" fontId="9" fillId="27" borderId="88" xfId="76" applyNumberFormat="1" applyFont="1" applyFill="1" applyBorder="1" applyAlignment="1"/>
    <xf numFmtId="38" fontId="11" fillId="27" borderId="16" xfId="76" applyFont="1" applyFill="1" applyBorder="1" applyAlignment="1">
      <alignment horizontal="center"/>
    </xf>
    <xf numFmtId="38" fontId="11" fillId="42" borderId="16" xfId="76" applyFont="1" applyFill="1" applyBorder="1" applyAlignment="1">
      <alignment horizontal="center"/>
    </xf>
    <xf numFmtId="41" fontId="9" fillId="0" borderId="20" xfId="76" applyNumberFormat="1" applyFont="1" applyBorder="1" applyAlignment="1"/>
    <xf numFmtId="41" fontId="9" fillId="0" borderId="87" xfId="76" applyNumberFormat="1" applyFont="1" applyBorder="1" applyAlignment="1"/>
    <xf numFmtId="38" fontId="11" fillId="27" borderId="90" xfId="76" applyFont="1" applyFill="1" applyBorder="1" applyAlignment="1">
      <alignment horizontal="center"/>
    </xf>
    <xf numFmtId="38" fontId="11" fillId="42" borderId="90" xfId="76" applyFont="1" applyFill="1" applyBorder="1" applyAlignment="1">
      <alignment horizontal="center"/>
    </xf>
    <xf numFmtId="41" fontId="11" fillId="0" borderId="11" xfId="76" applyNumberFormat="1" applyFont="1" applyBorder="1" applyAlignment="1"/>
    <xf numFmtId="41" fontId="9" fillId="0" borderId="24" xfId="76" applyNumberFormat="1" applyFont="1" applyFill="1" applyBorder="1" applyAlignment="1"/>
    <xf numFmtId="41" fontId="9" fillId="0" borderId="11" xfId="76" applyNumberFormat="1" applyFont="1" applyFill="1" applyBorder="1" applyAlignment="1"/>
    <xf numFmtId="9" fontId="43" fillId="34" borderId="47" xfId="100" applyFont="1" applyFill="1" applyBorder="1" applyAlignment="1"/>
    <xf numFmtId="9" fontId="43" fillId="0" borderId="11" xfId="100" applyFont="1" applyFill="1" applyBorder="1" applyAlignment="1"/>
    <xf numFmtId="44" fontId="95" fillId="61" borderId="0" xfId="43" applyFont="1" applyFill="1"/>
    <xf numFmtId="0" fontId="0" fillId="47" borderId="0" xfId="0" applyFill="1"/>
    <xf numFmtId="44" fontId="95" fillId="47" borderId="0" xfId="43" applyFont="1" applyFill="1"/>
    <xf numFmtId="192" fontId="0" fillId="0" borderId="0" xfId="94" applyNumberFormat="1" applyFont="1"/>
    <xf numFmtId="44" fontId="0" fillId="0" borderId="0" xfId="0" applyNumberFormat="1" applyFill="1"/>
    <xf numFmtId="0" fontId="0" fillId="0" borderId="46" xfId="0" applyBorder="1"/>
    <xf numFmtId="44" fontId="108" fillId="0" borderId="46" xfId="43" applyFont="1" applyBorder="1"/>
    <xf numFmtId="0" fontId="108" fillId="0" borderId="46" xfId="0" applyFont="1" applyBorder="1"/>
    <xf numFmtId="44" fontId="0" fillId="0" borderId="0" xfId="43" applyFont="1" applyFill="1"/>
    <xf numFmtId="44" fontId="0" fillId="61" borderId="0" xfId="0" applyNumberFormat="1" applyFill="1"/>
    <xf numFmtId="164" fontId="0" fillId="0" borderId="0" xfId="94" applyNumberFormat="1" applyFont="1" applyFill="1"/>
    <xf numFmtId="10" fontId="0" fillId="0" borderId="0" xfId="94" applyNumberFormat="1" applyFont="1" applyFill="1"/>
    <xf numFmtId="44" fontId="95" fillId="59" borderId="0" xfId="43" applyFont="1" applyFill="1"/>
    <xf numFmtId="44" fontId="108" fillId="0" borderId="46" xfId="0" applyNumberFormat="1" applyFont="1" applyBorder="1"/>
    <xf numFmtId="2" fontId="0" fillId="0" borderId="0" xfId="0" applyNumberFormat="1"/>
    <xf numFmtId="2" fontId="0" fillId="0" borderId="0" xfId="0" applyNumberFormat="1" applyFill="1"/>
    <xf numFmtId="192" fontId="95" fillId="61" borderId="0" xfId="94" applyNumberFormat="1" applyFont="1" applyFill="1"/>
    <xf numFmtId="44" fontId="0" fillId="70" borderId="0" xfId="0" applyNumberFormat="1" applyFill="1"/>
    <xf numFmtId="44" fontId="108" fillId="61" borderId="46" xfId="43" applyFont="1" applyFill="1" applyBorder="1"/>
    <xf numFmtId="0" fontId="108" fillId="61" borderId="46" xfId="0" applyFont="1" applyFill="1" applyBorder="1"/>
    <xf numFmtId="44" fontId="108" fillId="61" borderId="46" xfId="0" applyNumberFormat="1" applyFont="1" applyFill="1" applyBorder="1"/>
    <xf numFmtId="0" fontId="108" fillId="0" borderId="0" xfId="0" applyFont="1" applyAlignment="1">
      <alignment wrapText="1"/>
    </xf>
    <xf numFmtId="44" fontId="108" fillId="0" borderId="0" xfId="0" applyNumberFormat="1" applyFont="1"/>
    <xf numFmtId="44" fontId="96" fillId="70" borderId="0" xfId="43" applyFont="1" applyFill="1"/>
    <xf numFmtId="41" fontId="11" fillId="45" borderId="16" xfId="76" applyNumberFormat="1" applyFont="1" applyFill="1" applyBorder="1" applyAlignment="1"/>
    <xf numFmtId="0" fontId="124" fillId="74" borderId="0" xfId="78" applyFont="1" applyFill="1" applyAlignment="1">
      <alignment horizontal="center"/>
    </xf>
    <xf numFmtId="0" fontId="10" fillId="0" borderId="0" xfId="0" applyFont="1"/>
    <xf numFmtId="43" fontId="10" fillId="0" borderId="19" xfId="28" applyFont="1" applyBorder="1" applyAlignment="1"/>
    <xf numFmtId="0" fontId="10" fillId="0" borderId="19" xfId="0" applyFont="1" applyBorder="1" applyAlignment="1"/>
    <xf numFmtId="10" fontId="5" fillId="0" borderId="0" xfId="94" applyNumberFormat="1" applyFont="1" applyProtection="1"/>
    <xf numFmtId="10" fontId="5" fillId="0" borderId="0" xfId="94" applyNumberFormat="1" applyFont="1"/>
    <xf numFmtId="10" fontId="5" fillId="45" borderId="0" xfId="94" applyNumberFormat="1" applyFont="1" applyFill="1" applyProtection="1"/>
    <xf numFmtId="175" fontId="10" fillId="0" borderId="0" xfId="43" applyNumberFormat="1" applyFont="1"/>
    <xf numFmtId="0" fontId="33" fillId="0" borderId="0" xfId="0" applyFont="1"/>
    <xf numFmtId="0" fontId="97" fillId="0" borderId="0" xfId="82" applyFont="1" applyProtection="1"/>
    <xf numFmtId="0" fontId="24" fillId="75" borderId="0" xfId="83" applyFont="1" applyFill="1" applyAlignment="1">
      <alignment horizontal="center"/>
    </xf>
    <xf numFmtId="0" fontId="24" fillId="75" borderId="0" xfId="83" applyFont="1" applyFill="1"/>
    <xf numFmtId="44" fontId="24" fillId="75" borderId="0" xfId="43" applyFont="1" applyFill="1"/>
    <xf numFmtId="0" fontId="24" fillId="75" borderId="0" xfId="83" applyFont="1" applyFill="1" applyAlignment="1" applyProtection="1">
      <alignment horizontal="center"/>
    </xf>
    <xf numFmtId="0" fontId="24" fillId="75" borderId="19" xfId="83" applyFont="1" applyFill="1" applyBorder="1" applyAlignment="1" applyProtection="1">
      <alignment horizontal="center"/>
    </xf>
    <xf numFmtId="0" fontId="24" fillId="75" borderId="0" xfId="83" applyFont="1" applyFill="1" applyBorder="1" applyAlignment="1" applyProtection="1">
      <alignment horizontal="center"/>
    </xf>
    <xf numFmtId="4" fontId="25" fillId="75" borderId="0" xfId="83" applyNumberFormat="1" applyFont="1" applyFill="1" applyAlignment="1" applyProtection="1">
      <alignment horizontal="center"/>
    </xf>
    <xf numFmtId="39" fontId="26" fillId="75" borderId="19" xfId="83" applyNumberFormat="1" applyFont="1" applyFill="1" applyBorder="1" applyAlignment="1" applyProtection="1">
      <alignment horizontal="center"/>
    </xf>
    <xf numFmtId="0" fontId="24" fillId="44" borderId="0" xfId="83" applyFont="1" applyFill="1" applyAlignment="1"/>
    <xf numFmtId="0" fontId="24" fillId="44" borderId="0" xfId="83" applyFont="1" applyFill="1" applyAlignment="1">
      <alignment horizontal="center"/>
    </xf>
    <xf numFmtId="0" fontId="24" fillId="44" borderId="0" xfId="83" applyFont="1" applyFill="1" applyAlignment="1" applyProtection="1">
      <alignment horizontal="center"/>
    </xf>
    <xf numFmtId="0" fontId="24" fillId="44" borderId="19" xfId="83" applyFont="1" applyFill="1" applyBorder="1" applyAlignment="1" applyProtection="1">
      <alignment horizontal="center"/>
    </xf>
    <xf numFmtId="0" fontId="24" fillId="44" borderId="0" xfId="83" applyFont="1" applyFill="1" applyBorder="1" applyAlignment="1" applyProtection="1">
      <alignment horizontal="center"/>
    </xf>
    <xf numFmtId="39" fontId="24" fillId="44" borderId="0" xfId="83" applyNumberFormat="1" applyFont="1" applyFill="1" applyAlignment="1" applyProtection="1">
      <alignment horizontal="center"/>
    </xf>
    <xf numFmtId="4" fontId="25" fillId="44" borderId="0" xfId="83" applyNumberFormat="1" applyFont="1" applyFill="1" applyAlignment="1"/>
    <xf numFmtId="41" fontId="24" fillId="44" borderId="0" xfId="83" applyNumberFormat="1" applyFont="1" applyFill="1" applyAlignment="1"/>
    <xf numFmtId="39" fontId="24" fillId="44" borderId="0" xfId="83" applyNumberFormat="1" applyFont="1" applyFill="1" applyAlignment="1" applyProtection="1"/>
    <xf numFmtId="37" fontId="24" fillId="44" borderId="42" xfId="83" applyNumberFormat="1" applyFont="1" applyFill="1" applyBorder="1" applyAlignment="1" applyProtection="1"/>
    <xf numFmtId="37" fontId="24" fillId="44" borderId="0" xfId="83" applyNumberFormat="1" applyFont="1" applyFill="1" applyAlignment="1" applyProtection="1"/>
    <xf numFmtId="2" fontId="24" fillId="44" borderId="0" xfId="83" applyNumberFormat="1" applyFont="1" applyFill="1"/>
    <xf numFmtId="2" fontId="24" fillId="44" borderId="0" xfId="94" applyNumberFormat="1" applyFont="1" applyFill="1"/>
    <xf numFmtId="2" fontId="24" fillId="44" borderId="0" xfId="0" applyNumberFormat="1" applyFont="1" applyFill="1"/>
    <xf numFmtId="0" fontId="24" fillId="44" borderId="0" xfId="83" applyFont="1" applyFill="1"/>
    <xf numFmtId="39" fontId="24" fillId="44" borderId="0" xfId="83" applyNumberFormat="1" applyFont="1" applyFill="1" applyBorder="1" applyAlignment="1" applyProtection="1">
      <alignment horizontal="center"/>
    </xf>
    <xf numFmtId="39" fontId="24" fillId="44" borderId="19" xfId="83" applyNumberFormat="1" applyFont="1" applyFill="1" applyBorder="1" applyAlignment="1" applyProtection="1">
      <alignment horizontal="center"/>
    </xf>
    <xf numFmtId="37" fontId="24" fillId="44" borderId="0" xfId="83" applyNumberFormat="1" applyFont="1" applyFill="1" applyAlignment="1" applyProtection="1">
      <alignment horizontal="center"/>
    </xf>
    <xf numFmtId="0" fontId="30" fillId="44" borderId="0" xfId="83" applyFont="1" applyFill="1" applyAlignment="1">
      <alignment horizontal="center"/>
    </xf>
    <xf numFmtId="0" fontId="9" fillId="44" borderId="96" xfId="86" applyFont="1" applyFill="1" applyBorder="1"/>
    <xf numFmtId="0" fontId="9" fillId="44" borderId="98" xfId="86" applyFont="1" applyFill="1" applyBorder="1"/>
    <xf numFmtId="0" fontId="9" fillId="44" borderId="101" xfId="86" applyFont="1" applyFill="1" applyBorder="1"/>
    <xf numFmtId="0" fontId="23" fillId="44" borderId="0" xfId="83" applyFont="1" applyFill="1" applyAlignment="1">
      <alignment horizontal="center"/>
    </xf>
    <xf numFmtId="0" fontId="23" fillId="44" borderId="0" xfId="83" applyFont="1" applyFill="1" applyAlignment="1" applyProtection="1">
      <alignment horizontal="center"/>
    </xf>
    <xf numFmtId="0" fontId="23" fillId="44" borderId="19" xfId="83" applyFont="1" applyFill="1" applyBorder="1" applyAlignment="1" applyProtection="1">
      <alignment horizontal="center"/>
    </xf>
    <xf numFmtId="44" fontId="24" fillId="44" borderId="0" xfId="43" applyFont="1" applyFill="1" applyAlignment="1" applyProtection="1">
      <alignment horizontal="center"/>
    </xf>
    <xf numFmtId="44" fontId="24" fillId="44" borderId="0" xfId="44" applyFont="1" applyFill="1" applyAlignment="1" applyProtection="1">
      <alignment horizontal="center"/>
    </xf>
    <xf numFmtId="0" fontId="6" fillId="0" borderId="0" xfId="30" applyNumberFormat="1" applyFill="1"/>
    <xf numFmtId="43" fontId="6" fillId="0" borderId="0" xfId="30" applyFont="1" applyFill="1" applyAlignment="1">
      <alignment horizontal="right"/>
    </xf>
    <xf numFmtId="167" fontId="9" fillId="0" borderId="0" xfId="28" applyNumberFormat="1" applyFont="1" applyFill="1" applyBorder="1" applyAlignment="1">
      <alignment horizontal="left" indent="1"/>
    </xf>
    <xf numFmtId="44" fontId="24" fillId="0" borderId="0" xfId="52" applyNumberFormat="1" applyFont="1" applyBorder="1" applyAlignment="1"/>
    <xf numFmtId="44" fontId="24" fillId="25" borderId="7" xfId="92" applyNumberFormat="1" applyFont="1" applyAlignment="1">
      <alignment horizontal="center"/>
    </xf>
    <xf numFmtId="2" fontId="24" fillId="0" borderId="0" xfId="83" applyNumberFormat="1" applyFont="1"/>
    <xf numFmtId="0" fontId="11" fillId="0" borderId="0" xfId="0" applyFont="1" applyAlignment="1">
      <alignment horizontal="center" wrapText="1"/>
    </xf>
    <xf numFmtId="175" fontId="9" fillId="0" borderId="0" xfId="44" applyNumberFormat="1"/>
    <xf numFmtId="164" fontId="9" fillId="0" borderId="0" xfId="95" applyNumberFormat="1"/>
    <xf numFmtId="10" fontId="9" fillId="0" borderId="0" xfId="95" applyNumberFormat="1"/>
    <xf numFmtId="175" fontId="9" fillId="0" borderId="19" xfId="44" applyNumberFormat="1" applyBorder="1"/>
    <xf numFmtId="164" fontId="9" fillId="0" borderId="19" xfId="95" applyNumberFormat="1" applyBorder="1"/>
    <xf numFmtId="175" fontId="9" fillId="0" borderId="26" xfId="44" applyNumberFormat="1" applyBorder="1"/>
    <xf numFmtId="167" fontId="24" fillId="76" borderId="0" xfId="83" applyNumberFormat="1" applyFont="1" applyFill="1"/>
    <xf numFmtId="167" fontId="24" fillId="76" borderId="0" xfId="28" applyNumberFormat="1" applyFont="1" applyFill="1" applyBorder="1" applyAlignment="1">
      <alignment horizontal="center"/>
    </xf>
    <xf numFmtId="10" fontId="24" fillId="44" borderId="0" xfId="94" applyNumberFormat="1" applyFont="1" applyFill="1" applyAlignment="1"/>
    <xf numFmtId="10" fontId="24" fillId="0" borderId="0" xfId="94" applyNumberFormat="1" applyFont="1"/>
    <xf numFmtId="10" fontId="24" fillId="0" borderId="19" xfId="94" applyNumberFormat="1" applyFont="1" applyBorder="1" applyAlignment="1"/>
    <xf numFmtId="175" fontId="10" fillId="0" borderId="0" xfId="43" applyNumberFormat="1" applyFont="1" applyFill="1"/>
    <xf numFmtId="7" fontId="0" fillId="0" borderId="0" xfId="0" applyNumberFormat="1"/>
    <xf numFmtId="10" fontId="24" fillId="0" borderId="0" xfId="83" applyNumberFormat="1" applyFont="1" applyAlignment="1">
      <alignment wrapText="1"/>
    </xf>
    <xf numFmtId="43" fontId="24" fillId="0" borderId="0" xfId="83" applyNumberFormat="1" applyFont="1" applyAlignment="1"/>
    <xf numFmtId="9" fontId="24" fillId="0" borderId="0" xfId="94" applyFont="1" applyAlignment="1"/>
    <xf numFmtId="167" fontId="24" fillId="0" borderId="0" xfId="28" applyNumberFormat="1" applyFont="1" applyBorder="1" applyAlignment="1">
      <alignment wrapText="1"/>
    </xf>
    <xf numFmtId="0" fontId="24" fillId="0" borderId="0" xfId="83" applyFont="1" applyAlignment="1">
      <alignment wrapText="1"/>
    </xf>
    <xf numFmtId="10" fontId="24" fillId="44" borderId="0" xfId="94" applyNumberFormat="1" applyFont="1" applyFill="1" applyAlignment="1" applyProtection="1"/>
    <xf numFmtId="0" fontId="24" fillId="0" borderId="0" xfId="83" applyFont="1" applyFill="1"/>
    <xf numFmtId="10" fontId="24" fillId="0" borderId="0" xfId="83" applyNumberFormat="1" applyFont="1" applyFill="1"/>
    <xf numFmtId="44" fontId="24" fillId="0" borderId="0" xfId="43" applyFont="1" applyFill="1"/>
    <xf numFmtId="44" fontId="24" fillId="0" borderId="0" xfId="83" applyNumberFormat="1" applyFont="1" applyFill="1"/>
    <xf numFmtId="0" fontId="24" fillId="0" borderId="0" xfId="83" applyFont="1" applyFill="1" applyAlignment="1">
      <alignment wrapText="1"/>
    </xf>
    <xf numFmtId="0" fontId="144" fillId="77" borderId="105" xfId="0" applyFont="1" applyFill="1" applyBorder="1"/>
    <xf numFmtId="0" fontId="144" fillId="77" borderId="106" xfId="0" applyFont="1" applyFill="1" applyBorder="1"/>
    <xf numFmtId="43" fontId="144" fillId="77" borderId="106" xfId="28" applyNumberFormat="1" applyFont="1" applyFill="1" applyBorder="1"/>
    <xf numFmtId="0" fontId="144" fillId="77" borderId="107" xfId="0" applyFont="1" applyFill="1" applyBorder="1"/>
    <xf numFmtId="15" fontId="0" fillId="78" borderId="105" xfId="0" applyNumberFormat="1" applyFont="1" applyFill="1" applyBorder="1"/>
    <xf numFmtId="0" fontId="0" fillId="78" borderId="106" xfId="0" applyFont="1" applyFill="1" applyBorder="1"/>
    <xf numFmtId="14" fontId="0" fillId="78" borderId="106" xfId="0" applyNumberFormat="1" applyFont="1" applyFill="1" applyBorder="1"/>
    <xf numFmtId="43" fontId="98" fillId="79" borderId="106" xfId="28" applyNumberFormat="1" applyFont="1" applyFill="1" applyBorder="1"/>
    <xf numFmtId="43" fontId="98" fillId="78" borderId="106" xfId="28" applyNumberFormat="1" applyFont="1" applyFill="1" applyBorder="1"/>
    <xf numFmtId="0" fontId="0" fillId="78" borderId="107" xfId="0" applyFont="1" applyFill="1" applyBorder="1"/>
    <xf numFmtId="15" fontId="0" fillId="0" borderId="105" xfId="0" applyNumberFormat="1" applyFont="1" applyBorder="1"/>
    <xf numFmtId="0" fontId="0" fillId="0" borderId="106" xfId="0" applyFont="1" applyBorder="1"/>
    <xf numFmtId="14" fontId="0" fillId="0" borderId="106" xfId="0" applyNumberFormat="1" applyFont="1" applyBorder="1"/>
    <xf numFmtId="43" fontId="98" fillId="67" borderId="106" xfId="28" applyNumberFormat="1" applyFont="1" applyFill="1" applyBorder="1"/>
    <xf numFmtId="43" fontId="98" fillId="0" borderId="106" xfId="28" applyNumberFormat="1" applyFont="1" applyBorder="1"/>
    <xf numFmtId="0" fontId="0" fillId="0" borderId="107" xfId="0" applyFont="1" applyBorder="1"/>
    <xf numFmtId="43" fontId="98" fillId="80" borderId="106" xfId="28" applyNumberFormat="1" applyFont="1" applyFill="1" applyBorder="1"/>
    <xf numFmtId="43" fontId="98" fillId="43" borderId="106" xfId="28" applyNumberFormat="1" applyFont="1" applyFill="1" applyBorder="1"/>
    <xf numFmtId="43" fontId="98" fillId="45" borderId="106" xfId="28" applyNumberFormat="1" applyFont="1" applyFill="1" applyBorder="1"/>
    <xf numFmtId="15" fontId="108" fillId="0" borderId="108" xfId="0" applyNumberFormat="1" applyFont="1" applyBorder="1"/>
    <xf numFmtId="0" fontId="108" fillId="0" borderId="109" xfId="0" applyFont="1" applyBorder="1"/>
    <xf numFmtId="0" fontId="108" fillId="0" borderId="109" xfId="0" applyNumberFormat="1" applyFont="1" applyBorder="1"/>
    <xf numFmtId="43" fontId="108" fillId="0" borderId="109" xfId="0" applyNumberFormat="1" applyFont="1" applyBorder="1"/>
    <xf numFmtId="43" fontId="108" fillId="0" borderId="110" xfId="0" applyNumberFormat="1" applyFont="1" applyBorder="1"/>
    <xf numFmtId="0" fontId="108" fillId="0" borderId="111" xfId="0" applyFont="1" applyBorder="1"/>
    <xf numFmtId="0" fontId="98" fillId="67" borderId="0" xfId="0" applyFont="1" applyFill="1" applyBorder="1"/>
    <xf numFmtId="0" fontId="135" fillId="0" borderId="0" xfId="0" applyFont="1"/>
    <xf numFmtId="167" fontId="9" fillId="51" borderId="0" xfId="28" applyNumberFormat="1" applyFont="1" applyFill="1"/>
    <xf numFmtId="14" fontId="0" fillId="81" borderId="0" xfId="0" applyNumberFormat="1" applyFill="1"/>
    <xf numFmtId="167" fontId="9" fillId="52" borderId="0" xfId="28" applyNumberFormat="1" applyFont="1" applyFill="1"/>
    <xf numFmtId="167" fontId="0" fillId="0" borderId="19" xfId="28" applyNumberFormat="1" applyFont="1" applyBorder="1"/>
    <xf numFmtId="14" fontId="0" fillId="70" borderId="0" xfId="0" applyNumberFormat="1" applyFill="1"/>
    <xf numFmtId="167" fontId="0" fillId="0" borderId="19" xfId="0" applyNumberFormat="1" applyBorder="1"/>
    <xf numFmtId="167" fontId="0" fillId="0" borderId="74" xfId="0" applyNumberFormat="1" applyBorder="1"/>
    <xf numFmtId="167" fontId="108" fillId="0" borderId="0" xfId="0" applyNumberFormat="1" applyFont="1"/>
    <xf numFmtId="0" fontId="0" fillId="0" borderId="0" xfId="0" applyAlignment="1">
      <alignment horizontal="center"/>
    </xf>
    <xf numFmtId="0" fontId="6" fillId="0" borderId="0" xfId="0" applyFont="1" applyAlignment="1"/>
    <xf numFmtId="0" fontId="6" fillId="0" borderId="46" xfId="0" applyFont="1" applyBorder="1" applyAlignment="1"/>
    <xf numFmtId="0" fontId="6" fillId="0" borderId="0" xfId="0" quotePrefix="1" applyFont="1" applyAlignment="1">
      <alignment horizontal="left" vertical="center"/>
    </xf>
    <xf numFmtId="0" fontId="6" fillId="0" borderId="0" xfId="0" applyFont="1" applyAlignment="1">
      <alignment horizontal="left" vertical="center"/>
    </xf>
    <xf numFmtId="0" fontId="3" fillId="27" borderId="85" xfId="0" applyFont="1" applyFill="1" applyBorder="1" applyAlignment="1">
      <alignment horizontal="center"/>
    </xf>
    <xf numFmtId="0" fontId="3" fillId="27" borderId="86" xfId="0" applyFont="1" applyFill="1" applyBorder="1" applyAlignment="1">
      <alignment horizontal="center"/>
    </xf>
    <xf numFmtId="0" fontId="0" fillId="27" borderId="86" xfId="0" applyFill="1" applyBorder="1" applyAlignment="1"/>
    <xf numFmtId="0" fontId="0" fillId="27" borderId="57" xfId="0" applyFill="1" applyBorder="1" applyAlignment="1"/>
    <xf numFmtId="38" fontId="11" fillId="27" borderId="11" xfId="76" applyFont="1" applyFill="1" applyBorder="1" applyAlignment="1">
      <alignment horizontal="center"/>
    </xf>
    <xf numFmtId="38" fontId="11" fillId="27" borderId="0" xfId="76" applyFont="1" applyFill="1" applyBorder="1" applyAlignment="1">
      <alignment horizontal="center"/>
    </xf>
    <xf numFmtId="38" fontId="11" fillId="27" borderId="13" xfId="76" applyFont="1" applyFill="1" applyBorder="1" applyAlignment="1">
      <alignment horizontal="center"/>
    </xf>
    <xf numFmtId="38" fontId="11" fillId="31" borderId="91" xfId="76" applyFont="1" applyFill="1" applyBorder="1" applyAlignment="1">
      <alignment horizontal="center"/>
    </xf>
    <xf numFmtId="38" fontId="11" fillId="31" borderId="59" xfId="76" applyFont="1" applyFill="1" applyBorder="1" applyAlignment="1">
      <alignment horizontal="center"/>
    </xf>
    <xf numFmtId="38" fontId="11" fillId="31" borderId="92" xfId="76" applyFont="1" applyFill="1" applyBorder="1" applyAlignment="1">
      <alignment horizontal="center"/>
    </xf>
    <xf numFmtId="0" fontId="78" fillId="0" borderId="0" xfId="0" applyFont="1" applyAlignment="1">
      <alignment horizontal="center" vertical="center" textRotation="90"/>
    </xf>
    <xf numFmtId="0" fontId="0" fillId="59" borderId="0" xfId="0" applyFill="1" applyAlignment="1">
      <alignment horizontal="left" wrapText="1"/>
    </xf>
    <xf numFmtId="175" fontId="120" fillId="0" borderId="45" xfId="45" applyNumberFormat="1" applyFont="1" applyBorder="1" applyAlignment="1">
      <alignment horizontal="center" wrapText="1"/>
    </xf>
    <xf numFmtId="175" fontId="120" fillId="0" borderId="40" xfId="45" applyNumberFormat="1" applyFont="1" applyBorder="1" applyAlignment="1">
      <alignment horizontal="center" wrapText="1"/>
    </xf>
    <xf numFmtId="0" fontId="145" fillId="47" borderId="10" xfId="78" applyFont="1" applyFill="1" applyBorder="1" applyAlignment="1">
      <alignment horizontal="center" wrapText="1"/>
    </xf>
    <xf numFmtId="0" fontId="123" fillId="0" borderId="10" xfId="78" applyFont="1" applyFill="1" applyBorder="1" applyAlignment="1">
      <alignment horizontal="center" wrapText="1"/>
    </xf>
    <xf numFmtId="0" fontId="120" fillId="0" borderId="12" xfId="78" applyFont="1" applyBorder="1" applyAlignment="1">
      <alignment horizontal="center" wrapText="1"/>
    </xf>
    <xf numFmtId="0" fontId="120" fillId="0" borderId="12" xfId="78" applyFont="1" applyFill="1" applyBorder="1" applyAlignment="1">
      <alignment horizontal="center" wrapText="1"/>
    </xf>
    <xf numFmtId="175" fontId="120" fillId="0" borderId="12" xfId="49" applyNumberFormat="1" applyFont="1" applyBorder="1" applyAlignment="1">
      <alignment horizontal="center" wrapText="1"/>
    </xf>
    <xf numFmtId="175" fontId="120" fillId="0" borderId="45" xfId="49" applyNumberFormat="1" applyFont="1" applyBorder="1" applyAlignment="1">
      <alignment horizontal="center" wrapText="1"/>
    </xf>
    <xf numFmtId="175" fontId="120" fillId="0" borderId="40" xfId="49" applyNumberFormat="1" applyFont="1" applyBorder="1" applyAlignment="1">
      <alignment horizontal="center" wrapText="1"/>
    </xf>
    <xf numFmtId="0" fontId="9" fillId="69" borderId="0" xfId="77" applyNumberFormat="1" applyFont="1" applyFill="1" applyAlignment="1">
      <alignment horizontal="left"/>
    </xf>
    <xf numFmtId="0" fontId="24" fillId="45" borderId="0" xfId="83" applyFont="1" applyFill="1" applyAlignment="1">
      <alignment horizontal="left" vertical="center" wrapText="1"/>
    </xf>
    <xf numFmtId="4" fontId="24" fillId="45" borderId="0" xfId="83" applyNumberFormat="1" applyFont="1" applyFill="1" applyAlignment="1">
      <alignment horizontal="left"/>
    </xf>
    <xf numFmtId="0" fontId="38" fillId="0" borderId="0" xfId="79" applyFont="1" applyAlignment="1"/>
    <xf numFmtId="0" fontId="9" fillId="59" borderId="0" xfId="0" applyFont="1" applyFill="1" applyAlignment="1">
      <alignment horizontal="center"/>
    </xf>
    <xf numFmtId="0" fontId="0" fillId="59" borderId="0" xfId="0" applyFill="1" applyAlignment="1">
      <alignment horizontal="center"/>
    </xf>
    <xf numFmtId="14" fontId="9" fillId="44" borderId="0" xfId="0" applyNumberFormat="1" applyFont="1" applyFill="1" applyAlignment="1">
      <alignment horizontal="center"/>
    </xf>
    <xf numFmtId="14" fontId="0" fillId="44" borderId="0" xfId="0" applyNumberFormat="1" applyFill="1" applyAlignment="1">
      <alignment horizontal="center"/>
    </xf>
    <xf numFmtId="0" fontId="38" fillId="44" borderId="0" xfId="0" applyFont="1" applyFill="1" applyAlignment="1">
      <alignment horizontal="center"/>
    </xf>
    <xf numFmtId="0" fontId="9" fillId="44" borderId="0" xfId="0" applyFont="1" applyFill="1" applyAlignment="1">
      <alignment horizontal="center"/>
    </xf>
    <xf numFmtId="0" fontId="0" fillId="44" borderId="0" xfId="0" applyFill="1" applyAlignment="1">
      <alignment horizontal="center"/>
    </xf>
    <xf numFmtId="0" fontId="38" fillId="59" borderId="0" xfId="0" applyFont="1" applyFill="1" applyAlignment="1">
      <alignment horizontal="center"/>
    </xf>
    <xf numFmtId="167" fontId="6" fillId="41" borderId="30" xfId="28" applyNumberFormat="1" applyFont="1" applyFill="1" applyBorder="1" applyAlignment="1">
      <alignment horizontal="center"/>
    </xf>
    <xf numFmtId="167" fontId="6" fillId="41" borderId="26" xfId="28" applyNumberFormat="1" applyFont="1" applyFill="1" applyBorder="1" applyAlignment="1">
      <alignment horizontal="center"/>
    </xf>
    <xf numFmtId="167" fontId="6" fillId="41" borderId="50" xfId="28" applyNumberFormat="1" applyFont="1" applyFill="1" applyBorder="1" applyAlignment="1">
      <alignment horizontal="center"/>
    </xf>
    <xf numFmtId="167" fontId="6" fillId="28" borderId="30" xfId="28" applyNumberFormat="1" applyFont="1" applyFill="1" applyBorder="1" applyAlignment="1">
      <alignment horizontal="center"/>
    </xf>
    <xf numFmtId="167" fontId="6" fillId="28" borderId="26" xfId="28" applyNumberFormat="1" applyFont="1" applyFill="1" applyBorder="1" applyAlignment="1">
      <alignment horizontal="center"/>
    </xf>
    <xf numFmtId="167" fontId="6" fillId="28" borderId="50" xfId="28" applyNumberFormat="1" applyFont="1" applyFill="1" applyBorder="1" applyAlignment="1">
      <alignment horizontal="center"/>
    </xf>
    <xf numFmtId="43" fontId="6" fillId="32" borderId="30" xfId="28" applyNumberFormat="1" applyFont="1" applyFill="1" applyBorder="1" applyAlignment="1">
      <alignment horizontal="center"/>
    </xf>
    <xf numFmtId="43" fontId="6" fillId="32" borderId="26" xfId="28" applyNumberFormat="1" applyFont="1" applyFill="1" applyBorder="1" applyAlignment="1">
      <alignment horizontal="center"/>
    </xf>
    <xf numFmtId="43" fontId="6" fillId="32" borderId="50" xfId="28" applyNumberFormat="1" applyFont="1" applyFill="1" applyBorder="1" applyAlignment="1">
      <alignment horizontal="center"/>
    </xf>
    <xf numFmtId="0" fontId="9" fillId="0" borderId="0" xfId="0" applyFont="1" applyAlignment="1">
      <alignment horizontal="left"/>
    </xf>
    <xf numFmtId="0" fontId="0" fillId="0" borderId="0" xfId="0" applyAlignment="1">
      <alignment horizontal="left"/>
    </xf>
    <xf numFmtId="14" fontId="9" fillId="61" borderId="0" xfId="0" applyNumberFormat="1" applyFont="1" applyFill="1" applyAlignment="1">
      <alignment horizontal="center"/>
    </xf>
    <xf numFmtId="14" fontId="0" fillId="61" borderId="0" xfId="0" applyNumberFormat="1" applyFill="1" applyAlignment="1">
      <alignment horizontal="center"/>
    </xf>
    <xf numFmtId="44" fontId="38" fillId="0" borderId="0" xfId="43" applyFont="1" applyFill="1" applyAlignment="1">
      <alignment horizontal="center"/>
    </xf>
    <xf numFmtId="44" fontId="38" fillId="54" borderId="0" xfId="43" applyFont="1" applyFill="1" applyAlignment="1">
      <alignment horizontal="center" wrapText="1"/>
    </xf>
    <xf numFmtId="44" fontId="38" fillId="59" borderId="0" xfId="43" applyFont="1" applyFill="1" applyAlignment="1">
      <alignment horizontal="center"/>
    </xf>
    <xf numFmtId="0" fontId="6" fillId="0" borderId="0" xfId="80" applyAlignment="1">
      <alignment horizontal="center"/>
    </xf>
    <xf numFmtId="0" fontId="38" fillId="54" borderId="0" xfId="0" applyFont="1" applyFill="1" applyAlignment="1">
      <alignment horizontal="center"/>
    </xf>
    <xf numFmtId="44" fontId="0" fillId="54" borderId="0" xfId="0" applyNumberFormat="1" applyFill="1" applyAlignment="1">
      <alignment horizontal="center"/>
    </xf>
    <xf numFmtId="0" fontId="0" fillId="54" borderId="0" xfId="0" applyFill="1" applyAlignment="1">
      <alignment horizontal="center"/>
    </xf>
    <xf numFmtId="2" fontId="0" fillId="59" borderId="0" xfId="0" applyNumberFormat="1" applyFill="1" applyAlignment="1">
      <alignment horizontal="center"/>
    </xf>
    <xf numFmtId="0" fontId="12" fillId="61" borderId="0" xfId="0" applyFont="1" applyFill="1" applyBorder="1" applyAlignment="1">
      <alignment horizontal="center"/>
    </xf>
    <xf numFmtId="0" fontId="6" fillId="61" borderId="0" xfId="0" applyFont="1" applyFill="1" applyAlignment="1">
      <alignment horizontal="center"/>
    </xf>
    <xf numFmtId="2" fontId="0" fillId="54" borderId="0" xfId="0" applyNumberFormat="1" applyFill="1" applyAlignment="1">
      <alignment horizontal="center"/>
    </xf>
    <xf numFmtId="0" fontId="6" fillId="27" borderId="30" xfId="74" applyFill="1" applyBorder="1" applyAlignment="1">
      <alignment horizontal="center"/>
    </xf>
    <xf numFmtId="0" fontId="6" fillId="27" borderId="26" xfId="74" applyFill="1" applyBorder="1" applyAlignment="1">
      <alignment horizontal="center"/>
    </xf>
    <xf numFmtId="0" fontId="6" fillId="27" borderId="50" xfId="74" applyFill="1" applyBorder="1" applyAlignment="1">
      <alignment horizontal="center"/>
    </xf>
    <xf numFmtId="0" fontId="106" fillId="45" borderId="19" xfId="74" applyFont="1" applyFill="1" applyBorder="1" applyAlignment="1">
      <alignment horizontal="left"/>
    </xf>
    <xf numFmtId="0" fontId="38" fillId="55" borderId="74" xfId="69" applyFont="1" applyFill="1" applyBorder="1" applyAlignment="1">
      <alignment horizontal="center"/>
    </xf>
    <xf numFmtId="0" fontId="38" fillId="0" borderId="74" xfId="69" applyFont="1" applyFill="1" applyBorder="1" applyAlignment="1">
      <alignment horizontal="center"/>
    </xf>
    <xf numFmtId="0" fontId="82" fillId="0" borderId="74" xfId="69" applyFill="1" applyBorder="1" applyAlignment="1"/>
    <xf numFmtId="0" fontId="9" fillId="0" borderId="0" xfId="0" applyFont="1" applyAlignment="1">
      <alignment horizontal="center" vertical="center" textRotation="90" wrapText="1"/>
    </xf>
    <xf numFmtId="43" fontId="87" fillId="61" borderId="0" xfId="29" applyFont="1" applyFill="1" applyBorder="1" applyAlignment="1">
      <alignment horizontal="center"/>
    </xf>
    <xf numFmtId="43" fontId="9" fillId="61" borderId="0" xfId="29" applyFill="1" applyBorder="1" applyAlignment="1">
      <alignment horizontal="center"/>
    </xf>
    <xf numFmtId="0" fontId="0" fillId="61" borderId="37" xfId="0" applyFill="1" applyBorder="1" applyAlignment="1">
      <alignment horizontal="center"/>
    </xf>
    <xf numFmtId="0" fontId="0" fillId="48" borderId="0" xfId="0" applyFill="1" applyAlignment="1">
      <alignment horizontal="center"/>
    </xf>
    <xf numFmtId="0" fontId="0" fillId="45" borderId="0" xfId="0" applyFill="1" applyAlignment="1">
      <alignment horizontal="center"/>
    </xf>
    <xf numFmtId="49" fontId="0" fillId="0" borderId="19" xfId="0" applyNumberFormat="1" applyBorder="1" applyAlignment="1">
      <alignment horizontal="center"/>
    </xf>
    <xf numFmtId="0" fontId="0" fillId="0" borderId="19" xfId="0" applyBorder="1" applyAlignment="1">
      <alignment horizontal="center"/>
    </xf>
  </cellXfs>
  <cellStyles count="11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2 2" xfId="30"/>
    <cellStyle name="Comma 3" xfId="31"/>
    <cellStyle name="Comma 4" xfId="32"/>
    <cellStyle name="Comma 4 2" xfId="33"/>
    <cellStyle name="Comma 4 2 2" xfId="34"/>
    <cellStyle name="Comma 4 3" xfId="35"/>
    <cellStyle name="Comma 5" xfId="36"/>
    <cellStyle name="Comma 6" xfId="37"/>
    <cellStyle name="Comma 7" xfId="38"/>
    <cellStyle name="Comma 8" xfId="39"/>
    <cellStyle name="Comma_183 rate case disposal inc comm values-7.16.04" xfId="40"/>
    <cellStyle name="Comma_Eastside 2009 RC Disposal Model-0908_0809 v2" xfId="41"/>
    <cellStyle name="Comma_Lurito Formula - Look see Sep 2000" xfId="42"/>
    <cellStyle name="Currency" xfId="43" builtinId="4"/>
    <cellStyle name="Currency 2" xfId="44"/>
    <cellStyle name="Currency 2 3" xfId="45"/>
    <cellStyle name="Currency 3" xfId="46"/>
    <cellStyle name="Currency 4" xfId="47"/>
    <cellStyle name="Currency 4 2" xfId="48"/>
    <cellStyle name="Currency 5" xfId="49"/>
    <cellStyle name="Currency 5 2" xfId="50"/>
    <cellStyle name="Currency 6" xfId="51"/>
    <cellStyle name="Currency 7" xfId="52"/>
    <cellStyle name="Currency 9" xfId="53"/>
    <cellStyle name="Currency_183 rate case disposal inc comm values-7.16.04" xfId="54"/>
    <cellStyle name="Currency_Eastside 2009 RC Disposal Model-0908_0809 v2" xfId="55"/>
    <cellStyle name="date" xfId="56"/>
    <cellStyle name="Explanatory Text" xfId="57" builtinId="53" customBuiltin="1"/>
    <cellStyle name="fish" xfId="58"/>
    <cellStyle name="Good" xfId="59" builtinId="26" customBuiltin="1"/>
    <cellStyle name="Heading 1" xfId="60" builtinId="16" customBuiltin="1"/>
    <cellStyle name="Heading 2" xfId="61" builtinId="17" customBuiltin="1"/>
    <cellStyle name="Heading 3" xfId="62" builtinId="18" customBuiltin="1"/>
    <cellStyle name="Heading 4" xfId="63" builtinId="19" customBuiltin="1"/>
    <cellStyle name="Input" xfId="64" builtinId="20" customBuiltin="1"/>
    <cellStyle name="Linked Cell" xfId="65" builtinId="24" customBuiltin="1"/>
    <cellStyle name="Neutral" xfId="66" builtinId="28" customBuiltin="1"/>
    <cellStyle name="Normal" xfId="0" builtinId="0"/>
    <cellStyle name="Normal 10 2" xfId="67"/>
    <cellStyle name="Normal 2" xfId="68"/>
    <cellStyle name="Normal 3" xfId="69"/>
    <cellStyle name="Normal 3 2" xfId="70"/>
    <cellStyle name="Normal 3 3" xfId="71"/>
    <cellStyle name="Normal 6" xfId="72"/>
    <cellStyle name="Normal 7" xfId="73"/>
    <cellStyle name="Normal_172 Container Count" xfId="74"/>
    <cellStyle name="Normal_Average Investment Model - Eastside 2009 v3" xfId="75"/>
    <cellStyle name="Normal_Combined ES &amp; ISS WUTC Proforma Filing 2001" xfId="76"/>
    <cellStyle name="Normal_CostStudyTCII" xfId="77"/>
    <cellStyle name="Normal_DEPN2K" xfId="78"/>
    <cellStyle name="Normal_Eastside 2009 RC Disposal Model-0908_0809 v2" xfId="79"/>
    <cellStyle name="Normal_Fuel Analysis Model - Eastside 2009" xfId="80"/>
    <cellStyle name="Normal_LAWSNDEP" xfId="81"/>
    <cellStyle name="Normal_Lurito Formula - Look see Sep 2000" xfId="82"/>
    <cellStyle name="Normal_Price out" xfId="83"/>
    <cellStyle name="Normal_Price out 2" xfId="84"/>
    <cellStyle name="Normal_PROFORMA" xfId="85"/>
    <cellStyle name="Normal_Revenue Reconciliation Model - Eastside 2009 v2" xfId="86"/>
    <cellStyle name="Note" xfId="87" builtinId="10" customBuiltin="1"/>
    <cellStyle name="Note 2" xfId="88"/>
    <cellStyle name="Note 2 2" xfId="89"/>
    <cellStyle name="Note 3" xfId="90"/>
    <cellStyle name="Note 4" xfId="91"/>
    <cellStyle name="Note 5" xfId="92"/>
    <cellStyle name="Output" xfId="93" builtinId="21" customBuiltin="1"/>
    <cellStyle name="Percent" xfId="94" builtinId="5"/>
    <cellStyle name="Percent 2" xfId="95"/>
    <cellStyle name="Percent 3" xfId="96"/>
    <cellStyle name="Percent 3 2" xfId="97"/>
    <cellStyle name="Percent 4" xfId="98"/>
    <cellStyle name="Percent 4 2" xfId="99"/>
    <cellStyle name="Percent 5" xfId="100"/>
    <cellStyle name="Percent 6" xfId="101"/>
    <cellStyle name="Percent 7" xfId="102"/>
    <cellStyle name="STYL0 - Style1" xfId="103"/>
    <cellStyle name="STYL1 - Style2" xfId="104"/>
    <cellStyle name="STYL2 - Style3" xfId="105"/>
    <cellStyle name="STYL3 - Style4" xfId="106"/>
    <cellStyle name="STYL4 - Style5" xfId="107"/>
    <cellStyle name="STYL5 - Style6" xfId="108"/>
    <cellStyle name="STYL6 - Style7" xfId="109"/>
    <cellStyle name="STYL7 - Style8" xfId="110"/>
    <cellStyle name="sub heading" xfId="111"/>
    <cellStyle name="title" xfId="112"/>
    <cellStyle name="Total" xfId="113" builtinId="25" customBuiltin="1"/>
    <cellStyle name="Warning Text" xfId="114" builtinId="11" customBuiltin="1"/>
  </cellStyles>
  <dxfs count="10">
    <dxf>
      <numFmt numFmtId="167" formatCode="_(* #,##0_);_(* \(#,##0\);_(* &quot;-&quot;??_);_(@_)"/>
    </dxf>
    <dxf>
      <numFmt numFmtId="167" formatCode="_(* #,##0_);_(* \(#,##0\);_(* &quot;-&quot;??_);_(@_)"/>
    </dxf>
    <dxf>
      <numFmt numFmtId="167" formatCode="_(* #,##0_);_(* \(#,##0\);_(* &quot;-&quot;??_);_(@_)"/>
    </dxf>
    <dxf>
      <numFmt numFmtId="167" formatCode="_(* #,##0_);_(* \(#,##0\);_(* &quot;-&quot;??_);_(@_)"/>
    </dxf>
    <dxf>
      <numFmt numFmtId="167" formatCode="_(* #,##0_);_(* \(#,##0\);_(* &quot;-&quot;??_);_(@_)"/>
    </dxf>
    <dxf>
      <numFmt numFmtId="167" formatCode="_(* #,##0_);_(* \(#,##0\);_(* &quot;-&quot;??_);_(@_)"/>
    </dxf>
    <dxf>
      <fill>
        <patternFill>
          <bgColor indexed="43"/>
        </patternFill>
      </fill>
    </dxf>
    <dxf>
      <fill>
        <patternFill>
          <bgColor indexed="43"/>
        </patternFill>
      </fill>
    </dxf>
    <dxf>
      <fill>
        <patternFill>
          <bgColor indexed="43"/>
        </patternFill>
      </fill>
    </dxf>
    <dxf>
      <fill>
        <patternFill>
          <bgColor indexed="4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5.xml"/><Relationship Id="rId84" Type="http://schemas.openxmlformats.org/officeDocument/2006/relationships/externalLink" Target="externalLinks/externalLink21.xml"/><Relationship Id="rId89" Type="http://schemas.openxmlformats.org/officeDocument/2006/relationships/pivotCacheDefinition" Target="pivotCache/pivotCacheDefinition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1.xml"/><Relationship Id="rId79" Type="http://schemas.openxmlformats.org/officeDocument/2006/relationships/externalLink" Target="externalLinks/externalLink16.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xml"/><Relationship Id="rId69" Type="http://schemas.openxmlformats.org/officeDocument/2006/relationships/externalLink" Target="externalLinks/externalLink6.xml"/><Relationship Id="rId80" Type="http://schemas.openxmlformats.org/officeDocument/2006/relationships/externalLink" Target="externalLinks/externalLink17.xml"/><Relationship Id="rId85"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7.xml"/><Relationship Id="rId75" Type="http://schemas.openxmlformats.org/officeDocument/2006/relationships/externalLink" Target="externalLinks/externalLink12.xml"/><Relationship Id="rId83" Type="http://schemas.openxmlformats.org/officeDocument/2006/relationships/externalLink" Target="externalLinks/externalLink20.xml"/><Relationship Id="rId88" Type="http://schemas.openxmlformats.org/officeDocument/2006/relationships/externalLink" Target="externalLinks/externalLink25.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73" Type="http://schemas.openxmlformats.org/officeDocument/2006/relationships/externalLink" Target="externalLinks/externalLink10.xml"/><Relationship Id="rId78" Type="http://schemas.openxmlformats.org/officeDocument/2006/relationships/externalLink" Target="externalLinks/externalLink15.xml"/><Relationship Id="rId81" Type="http://schemas.openxmlformats.org/officeDocument/2006/relationships/externalLink" Target="externalLinks/externalLink18.xml"/><Relationship Id="rId86" Type="http://schemas.openxmlformats.org/officeDocument/2006/relationships/externalLink" Target="externalLinks/externalLink23.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3.xml"/><Relationship Id="rId97"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externalLink" Target="externalLinks/externalLink8.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3.xml"/><Relationship Id="rId87" Type="http://schemas.openxmlformats.org/officeDocument/2006/relationships/externalLink" Target="externalLinks/externalLink24.xml"/><Relationship Id="rId61" Type="http://schemas.openxmlformats.org/officeDocument/2006/relationships/worksheet" Target="worksheets/sheet61.xml"/><Relationship Id="rId82" Type="http://schemas.openxmlformats.org/officeDocument/2006/relationships/externalLink" Target="externalLinks/externalLink1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9.xml"/><Relationship Id="rId93" Type="http://schemas.openxmlformats.org/officeDocument/2006/relationships/calcChain" Target="calcChain.xml"/></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1537335</xdr:colOff>
      <xdr:row>105</xdr:row>
      <xdr:rowOff>85725</xdr:rowOff>
    </xdr:from>
    <xdr:to>
      <xdr:col>1</xdr:col>
      <xdr:colOff>2032636</xdr:colOff>
      <xdr:row>108</xdr:row>
      <xdr:rowOff>37894</xdr:rowOff>
    </xdr:to>
    <xdr:sp macro="" textlink="">
      <xdr:nvSpPr>
        <xdr:cNvPr id="5" name="Freeform 4"/>
        <xdr:cNvSpPr/>
      </xdr:nvSpPr>
      <xdr:spPr>
        <a:xfrm>
          <a:off x="2143125" y="13506450"/>
          <a:ext cx="495301" cy="381000"/>
        </a:xfrm>
        <a:custGeom>
          <a:avLst/>
          <a:gdLst>
            <a:gd name="connsiteX0" fmla="*/ 0 w 485775"/>
            <a:gd name="connsiteY0" fmla="*/ 0 h 409575"/>
            <a:gd name="connsiteX1" fmla="*/ 476250 w 485775"/>
            <a:gd name="connsiteY1" fmla="*/ 161925 h 409575"/>
            <a:gd name="connsiteX2" fmla="*/ 57150 w 485775"/>
            <a:gd name="connsiteY2" fmla="*/ 409575 h 409575"/>
            <a:gd name="connsiteX3" fmla="*/ 57150 w 485775"/>
            <a:gd name="connsiteY3" fmla="*/ 409575 h 409575"/>
          </a:gdLst>
          <a:ahLst/>
          <a:cxnLst>
            <a:cxn ang="0">
              <a:pos x="connsiteX0" y="connsiteY0"/>
            </a:cxn>
            <a:cxn ang="0">
              <a:pos x="connsiteX1" y="connsiteY1"/>
            </a:cxn>
            <a:cxn ang="0">
              <a:pos x="connsiteX2" y="connsiteY2"/>
            </a:cxn>
            <a:cxn ang="0">
              <a:pos x="connsiteX3" y="connsiteY3"/>
            </a:cxn>
          </a:cxnLst>
          <a:rect l="l" t="t" r="r" b="b"/>
          <a:pathLst>
            <a:path w="485775" h="409575">
              <a:moveTo>
                <a:pt x="0" y="0"/>
              </a:moveTo>
              <a:cubicBezTo>
                <a:pt x="233362" y="46831"/>
                <a:pt x="466725" y="93663"/>
                <a:pt x="476250" y="161925"/>
              </a:cubicBezTo>
              <a:cubicBezTo>
                <a:pt x="485775" y="230187"/>
                <a:pt x="57150" y="409575"/>
                <a:pt x="57150" y="409575"/>
              </a:cubicBezTo>
              <a:lnTo>
                <a:pt x="57150" y="409575"/>
              </a:lnTo>
            </a:path>
          </a:pathLst>
        </a:cu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US"/>
        </a:p>
      </xdr:txBody>
    </xdr:sp>
    <xdr:clientData/>
  </xdr:twoCellAnchor>
  <xdr:twoCellAnchor>
    <xdr:from>
      <xdr:col>1</xdr:col>
      <xdr:colOff>2032635</xdr:colOff>
      <xdr:row>105</xdr:row>
      <xdr:rowOff>133350</xdr:rowOff>
    </xdr:from>
    <xdr:to>
      <xdr:col>1</xdr:col>
      <xdr:colOff>2642235</xdr:colOff>
      <xdr:row>107</xdr:row>
      <xdr:rowOff>43275</xdr:rowOff>
    </xdr:to>
    <xdr:sp macro="" textlink="">
      <xdr:nvSpPr>
        <xdr:cNvPr id="6" name="TextBox 5"/>
        <xdr:cNvSpPr txBox="1"/>
      </xdr:nvSpPr>
      <xdr:spPr>
        <a:xfrm>
          <a:off x="2638425" y="13554075"/>
          <a:ext cx="609600" cy="180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Zeros out</a:t>
          </a:r>
        </a:p>
        <a:p>
          <a:pPr>
            <a:lnSpc>
              <a:spcPts val="1200"/>
            </a:lnSpc>
          </a:pP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352425</xdr:colOff>
      <xdr:row>66</xdr:row>
      <xdr:rowOff>0</xdr:rowOff>
    </xdr:from>
    <xdr:to>
      <xdr:col>6</xdr:col>
      <xdr:colOff>76200</xdr:colOff>
      <xdr:row>66</xdr:row>
      <xdr:rowOff>0</xdr:rowOff>
    </xdr:to>
    <xdr:sp macro="" textlink="">
      <xdr:nvSpPr>
        <xdr:cNvPr id="82348" name="Line 1"/>
        <xdr:cNvSpPr>
          <a:spLocks noChangeShapeType="1"/>
        </xdr:cNvSpPr>
      </xdr:nvSpPr>
      <xdr:spPr bwMode="auto">
        <a:xfrm flipH="1" flipV="1">
          <a:off x="4343400" y="10096500"/>
          <a:ext cx="238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5</xdr:col>
      <xdr:colOff>352425</xdr:colOff>
      <xdr:row>66</xdr:row>
      <xdr:rowOff>0</xdr:rowOff>
    </xdr:from>
    <xdr:to>
      <xdr:col>8</xdr:col>
      <xdr:colOff>76200</xdr:colOff>
      <xdr:row>66</xdr:row>
      <xdr:rowOff>0</xdr:rowOff>
    </xdr:to>
    <xdr:sp macro="" textlink="">
      <xdr:nvSpPr>
        <xdr:cNvPr id="82349" name="Line 2"/>
        <xdr:cNvSpPr>
          <a:spLocks noChangeShapeType="1"/>
        </xdr:cNvSpPr>
      </xdr:nvSpPr>
      <xdr:spPr bwMode="auto">
        <a:xfrm flipH="1" flipV="1">
          <a:off x="4343400" y="10096500"/>
          <a:ext cx="14287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352425</xdr:colOff>
      <xdr:row>66</xdr:row>
      <xdr:rowOff>0</xdr:rowOff>
    </xdr:from>
    <xdr:to>
      <xdr:col>6</xdr:col>
      <xdr:colOff>76200</xdr:colOff>
      <xdr:row>66</xdr:row>
      <xdr:rowOff>0</xdr:rowOff>
    </xdr:to>
    <xdr:sp macro="" textlink="">
      <xdr:nvSpPr>
        <xdr:cNvPr id="93277" name="Line 1"/>
        <xdr:cNvSpPr>
          <a:spLocks noChangeShapeType="1"/>
        </xdr:cNvSpPr>
      </xdr:nvSpPr>
      <xdr:spPr bwMode="auto">
        <a:xfrm flipH="1" flipV="1">
          <a:off x="4343400" y="10096500"/>
          <a:ext cx="2381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5</xdr:col>
      <xdr:colOff>352425</xdr:colOff>
      <xdr:row>66</xdr:row>
      <xdr:rowOff>0</xdr:rowOff>
    </xdr:from>
    <xdr:to>
      <xdr:col>8</xdr:col>
      <xdr:colOff>76200</xdr:colOff>
      <xdr:row>66</xdr:row>
      <xdr:rowOff>0</xdr:rowOff>
    </xdr:to>
    <xdr:sp macro="" textlink="">
      <xdr:nvSpPr>
        <xdr:cNvPr id="93278" name="Line 2"/>
        <xdr:cNvSpPr>
          <a:spLocks noChangeShapeType="1"/>
        </xdr:cNvSpPr>
      </xdr:nvSpPr>
      <xdr:spPr bwMode="auto">
        <a:xfrm flipH="1" flipV="1">
          <a:off x="4343400" y="10096500"/>
          <a:ext cx="14287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352425</xdr:colOff>
      <xdr:row>95</xdr:row>
      <xdr:rowOff>0</xdr:rowOff>
    </xdr:from>
    <xdr:to>
      <xdr:col>4</xdr:col>
      <xdr:colOff>76200</xdr:colOff>
      <xdr:row>97</xdr:row>
      <xdr:rowOff>0</xdr:rowOff>
    </xdr:to>
    <xdr:sp macro="" textlink="">
      <xdr:nvSpPr>
        <xdr:cNvPr id="69914" name="Line 1"/>
        <xdr:cNvSpPr>
          <a:spLocks noChangeShapeType="1"/>
        </xdr:cNvSpPr>
      </xdr:nvSpPr>
      <xdr:spPr bwMode="auto">
        <a:xfrm flipH="1" flipV="1">
          <a:off x="4086225" y="14487525"/>
          <a:ext cx="428625" cy="3143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352425</xdr:colOff>
      <xdr:row>95</xdr:row>
      <xdr:rowOff>0</xdr:rowOff>
    </xdr:from>
    <xdr:to>
      <xdr:col>4</xdr:col>
      <xdr:colOff>76200</xdr:colOff>
      <xdr:row>97</xdr:row>
      <xdr:rowOff>0</xdr:rowOff>
    </xdr:to>
    <xdr:sp macro="" textlink="">
      <xdr:nvSpPr>
        <xdr:cNvPr id="94255" name="Line 1"/>
        <xdr:cNvSpPr>
          <a:spLocks noChangeShapeType="1"/>
        </xdr:cNvSpPr>
      </xdr:nvSpPr>
      <xdr:spPr bwMode="auto">
        <a:xfrm flipH="1" flipV="1">
          <a:off x="4086225" y="14487525"/>
          <a:ext cx="428625" cy="31432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18</xdr:col>
      <xdr:colOff>38100</xdr:colOff>
      <xdr:row>49</xdr:row>
      <xdr:rowOff>161925</xdr:rowOff>
    </xdr:from>
    <xdr:to>
      <xdr:col>37</xdr:col>
      <xdr:colOff>428625</xdr:colOff>
      <xdr:row>82</xdr:row>
      <xdr:rowOff>9525</xdr:rowOff>
    </xdr:to>
    <xdr:pic>
      <xdr:nvPicPr>
        <xdr:cNvPr id="18160"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77575" y="7886700"/>
          <a:ext cx="12344400" cy="509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656167</xdr:colOff>
      <xdr:row>79</xdr:row>
      <xdr:rowOff>42333</xdr:rowOff>
    </xdr:from>
    <xdr:to>
      <xdr:col>20</xdr:col>
      <xdr:colOff>444748</xdr:colOff>
      <xdr:row>80</xdr:row>
      <xdr:rowOff>142871</xdr:rowOff>
    </xdr:to>
    <xdr:cxnSp macro="">
      <xdr:nvCxnSpPr>
        <xdr:cNvPr id="4" name="Straight Arrow Connector 3"/>
        <xdr:cNvCxnSpPr/>
      </xdr:nvCxnSpPr>
      <xdr:spPr>
        <a:xfrm>
          <a:off x="2794000" y="12319000"/>
          <a:ext cx="10329333" cy="264583"/>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333375</xdr:colOff>
      <xdr:row>29</xdr:row>
      <xdr:rowOff>28575</xdr:rowOff>
    </xdr:from>
    <xdr:to>
      <xdr:col>18</xdr:col>
      <xdr:colOff>542925</xdr:colOff>
      <xdr:row>40</xdr:row>
      <xdr:rowOff>104775</xdr:rowOff>
    </xdr:to>
    <xdr:pic>
      <xdr:nvPicPr>
        <xdr:cNvPr id="3237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4724400"/>
          <a:ext cx="13154025"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1607820</xdr:colOff>
      <xdr:row>105</xdr:row>
      <xdr:rowOff>78105</xdr:rowOff>
    </xdr:from>
    <xdr:to>
      <xdr:col>1</xdr:col>
      <xdr:colOff>2107104</xdr:colOff>
      <xdr:row>108</xdr:row>
      <xdr:rowOff>38154</xdr:rowOff>
    </xdr:to>
    <xdr:sp macro="" textlink="">
      <xdr:nvSpPr>
        <xdr:cNvPr id="2" name="Freeform 1"/>
        <xdr:cNvSpPr/>
      </xdr:nvSpPr>
      <xdr:spPr>
        <a:xfrm>
          <a:off x="2143125" y="14373225"/>
          <a:ext cx="495301" cy="381000"/>
        </a:xfrm>
        <a:custGeom>
          <a:avLst/>
          <a:gdLst>
            <a:gd name="connsiteX0" fmla="*/ 0 w 485775"/>
            <a:gd name="connsiteY0" fmla="*/ 0 h 409575"/>
            <a:gd name="connsiteX1" fmla="*/ 476250 w 485775"/>
            <a:gd name="connsiteY1" fmla="*/ 161925 h 409575"/>
            <a:gd name="connsiteX2" fmla="*/ 57150 w 485775"/>
            <a:gd name="connsiteY2" fmla="*/ 409575 h 409575"/>
            <a:gd name="connsiteX3" fmla="*/ 57150 w 485775"/>
            <a:gd name="connsiteY3" fmla="*/ 409575 h 409575"/>
          </a:gdLst>
          <a:ahLst/>
          <a:cxnLst>
            <a:cxn ang="0">
              <a:pos x="connsiteX0" y="connsiteY0"/>
            </a:cxn>
            <a:cxn ang="0">
              <a:pos x="connsiteX1" y="connsiteY1"/>
            </a:cxn>
            <a:cxn ang="0">
              <a:pos x="connsiteX2" y="connsiteY2"/>
            </a:cxn>
            <a:cxn ang="0">
              <a:pos x="connsiteX3" y="connsiteY3"/>
            </a:cxn>
          </a:cxnLst>
          <a:rect l="l" t="t" r="r" b="b"/>
          <a:pathLst>
            <a:path w="485775" h="409575">
              <a:moveTo>
                <a:pt x="0" y="0"/>
              </a:moveTo>
              <a:cubicBezTo>
                <a:pt x="233362" y="46831"/>
                <a:pt x="466725" y="93663"/>
                <a:pt x="476250" y="161925"/>
              </a:cubicBezTo>
              <a:cubicBezTo>
                <a:pt x="485775" y="230187"/>
                <a:pt x="57150" y="409575"/>
                <a:pt x="57150" y="409575"/>
              </a:cubicBezTo>
              <a:lnTo>
                <a:pt x="57150" y="409575"/>
              </a:lnTo>
            </a:path>
          </a:pathLst>
        </a:cu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US"/>
        </a:p>
      </xdr:txBody>
    </xdr:sp>
    <xdr:clientData/>
  </xdr:twoCellAnchor>
  <xdr:twoCellAnchor>
    <xdr:from>
      <xdr:col>1</xdr:col>
      <xdr:colOff>2106930</xdr:colOff>
      <xdr:row>105</xdr:row>
      <xdr:rowOff>118110</xdr:rowOff>
    </xdr:from>
    <xdr:to>
      <xdr:col>1</xdr:col>
      <xdr:colOff>2720879</xdr:colOff>
      <xdr:row>107</xdr:row>
      <xdr:rowOff>35489</xdr:rowOff>
    </xdr:to>
    <xdr:sp macro="" textlink="">
      <xdr:nvSpPr>
        <xdr:cNvPr id="3" name="TextBox 2"/>
        <xdr:cNvSpPr txBox="1"/>
      </xdr:nvSpPr>
      <xdr:spPr>
        <a:xfrm>
          <a:off x="2638425" y="14420850"/>
          <a:ext cx="609600" cy="180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900"/>
            </a:lnSpc>
          </a:pPr>
          <a:r>
            <a:rPr lang="en-US" sz="800"/>
            <a:t>Zeros out</a:t>
          </a:r>
        </a:p>
        <a:p>
          <a:pPr>
            <a:lnSpc>
              <a:spcPts val="1200"/>
            </a:lnSpc>
          </a:pP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1518285</xdr:colOff>
      <xdr:row>103</xdr:row>
      <xdr:rowOff>85725</xdr:rowOff>
    </xdr:from>
    <xdr:to>
      <xdr:col>1</xdr:col>
      <xdr:colOff>2042714</xdr:colOff>
      <xdr:row>107</xdr:row>
      <xdr:rowOff>38801</xdr:rowOff>
    </xdr:to>
    <xdr:sp macro="" textlink="">
      <xdr:nvSpPr>
        <xdr:cNvPr id="2" name="Freeform 1"/>
        <xdr:cNvSpPr/>
      </xdr:nvSpPr>
      <xdr:spPr>
        <a:xfrm>
          <a:off x="2143125" y="13649325"/>
          <a:ext cx="495301" cy="381000"/>
        </a:xfrm>
        <a:custGeom>
          <a:avLst/>
          <a:gdLst>
            <a:gd name="connsiteX0" fmla="*/ 0 w 485775"/>
            <a:gd name="connsiteY0" fmla="*/ 0 h 409575"/>
            <a:gd name="connsiteX1" fmla="*/ 476250 w 485775"/>
            <a:gd name="connsiteY1" fmla="*/ 161925 h 409575"/>
            <a:gd name="connsiteX2" fmla="*/ 57150 w 485775"/>
            <a:gd name="connsiteY2" fmla="*/ 409575 h 409575"/>
            <a:gd name="connsiteX3" fmla="*/ 57150 w 485775"/>
            <a:gd name="connsiteY3" fmla="*/ 409575 h 409575"/>
          </a:gdLst>
          <a:ahLst/>
          <a:cxnLst>
            <a:cxn ang="0">
              <a:pos x="connsiteX0" y="connsiteY0"/>
            </a:cxn>
            <a:cxn ang="0">
              <a:pos x="connsiteX1" y="connsiteY1"/>
            </a:cxn>
            <a:cxn ang="0">
              <a:pos x="connsiteX2" y="connsiteY2"/>
            </a:cxn>
            <a:cxn ang="0">
              <a:pos x="connsiteX3" y="connsiteY3"/>
            </a:cxn>
          </a:cxnLst>
          <a:rect l="l" t="t" r="r" b="b"/>
          <a:pathLst>
            <a:path w="485775" h="409575">
              <a:moveTo>
                <a:pt x="0" y="0"/>
              </a:moveTo>
              <a:cubicBezTo>
                <a:pt x="233362" y="46831"/>
                <a:pt x="466725" y="93663"/>
                <a:pt x="476250" y="161925"/>
              </a:cubicBezTo>
              <a:cubicBezTo>
                <a:pt x="485775" y="230187"/>
                <a:pt x="57150" y="409575"/>
                <a:pt x="57150" y="409575"/>
              </a:cubicBezTo>
              <a:lnTo>
                <a:pt x="57150" y="409575"/>
              </a:lnTo>
            </a:path>
          </a:pathLst>
        </a:cu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US"/>
        </a:p>
      </xdr:txBody>
    </xdr:sp>
    <xdr:clientData/>
  </xdr:twoCellAnchor>
  <xdr:twoCellAnchor>
    <xdr:from>
      <xdr:col>1</xdr:col>
      <xdr:colOff>2040255</xdr:colOff>
      <xdr:row>103</xdr:row>
      <xdr:rowOff>133350</xdr:rowOff>
    </xdr:from>
    <xdr:to>
      <xdr:col>2</xdr:col>
      <xdr:colOff>19138</xdr:colOff>
      <xdr:row>106</xdr:row>
      <xdr:rowOff>38916</xdr:rowOff>
    </xdr:to>
    <xdr:sp macro="" textlink="">
      <xdr:nvSpPr>
        <xdr:cNvPr id="3" name="TextBox 2"/>
        <xdr:cNvSpPr txBox="1"/>
      </xdr:nvSpPr>
      <xdr:spPr>
        <a:xfrm>
          <a:off x="2638425" y="13696950"/>
          <a:ext cx="609600" cy="180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Zeros out</a:t>
          </a:r>
        </a:p>
        <a:p>
          <a:endParaRPr lang="en-US" sz="1100"/>
        </a:p>
      </xdr:txBody>
    </xdr:sp>
    <xdr:clientData/>
  </xdr:twoCellAnchor>
  <xdr:twoCellAnchor editAs="oneCell">
    <xdr:from>
      <xdr:col>13</xdr:col>
      <xdr:colOff>76200</xdr:colOff>
      <xdr:row>82</xdr:row>
      <xdr:rowOff>85725</xdr:rowOff>
    </xdr:from>
    <xdr:to>
      <xdr:col>25</xdr:col>
      <xdr:colOff>428625</xdr:colOff>
      <xdr:row>117</xdr:row>
      <xdr:rowOff>104775</xdr:rowOff>
    </xdr:to>
    <xdr:pic>
      <xdr:nvPicPr>
        <xdr:cNvPr id="9090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92100" y="11934825"/>
          <a:ext cx="6943725" cy="502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152400</xdr:colOff>
      <xdr:row>123</xdr:row>
      <xdr:rowOff>19050</xdr:rowOff>
    </xdr:from>
    <xdr:to>
      <xdr:col>21</xdr:col>
      <xdr:colOff>104775</xdr:colOff>
      <xdr:row>143</xdr:row>
      <xdr:rowOff>9525</xdr:rowOff>
    </xdr:to>
    <xdr:pic>
      <xdr:nvPicPr>
        <xdr:cNvPr id="90905"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68300" y="17735550"/>
          <a:ext cx="4410075"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409575</xdr:colOff>
      <xdr:row>123</xdr:row>
      <xdr:rowOff>0</xdr:rowOff>
    </xdr:from>
    <xdr:to>
      <xdr:col>30</xdr:col>
      <xdr:colOff>0</xdr:colOff>
      <xdr:row>143</xdr:row>
      <xdr:rowOff>28575</xdr:rowOff>
    </xdr:to>
    <xdr:pic>
      <xdr:nvPicPr>
        <xdr:cNvPr id="90906"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783175" y="17716500"/>
          <a:ext cx="4391025"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485775</xdr:colOff>
      <xdr:row>87</xdr:row>
      <xdr:rowOff>123825</xdr:rowOff>
    </xdr:from>
    <xdr:to>
      <xdr:col>38</xdr:col>
      <xdr:colOff>390525</xdr:colOff>
      <xdr:row>117</xdr:row>
      <xdr:rowOff>28575</xdr:rowOff>
    </xdr:to>
    <xdr:pic>
      <xdr:nvPicPr>
        <xdr:cNvPr id="90907"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92975" y="12687300"/>
          <a:ext cx="6838950" cy="420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409575</xdr:colOff>
      <xdr:row>87</xdr:row>
      <xdr:rowOff>133350</xdr:rowOff>
    </xdr:from>
    <xdr:to>
      <xdr:col>51</xdr:col>
      <xdr:colOff>323850</xdr:colOff>
      <xdr:row>116</xdr:row>
      <xdr:rowOff>133350</xdr:rowOff>
    </xdr:to>
    <xdr:pic>
      <xdr:nvPicPr>
        <xdr:cNvPr id="90908" name="Picture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850975" y="12696825"/>
          <a:ext cx="6848475" cy="415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889074</xdr:colOff>
      <xdr:row>99</xdr:row>
      <xdr:rowOff>113740</xdr:rowOff>
    </xdr:from>
    <xdr:to>
      <xdr:col>13</xdr:col>
      <xdr:colOff>89469</xdr:colOff>
      <xdr:row>100</xdr:row>
      <xdr:rowOff>39171</xdr:rowOff>
    </xdr:to>
    <xdr:cxnSp macro="">
      <xdr:nvCxnSpPr>
        <xdr:cNvPr id="5" name="Straight Arrow Connector 4"/>
        <xdr:cNvCxnSpPr>
          <a:endCxn id="90904" idx="1"/>
        </xdr:cNvCxnSpPr>
      </xdr:nvCxnSpPr>
      <xdr:spPr>
        <a:xfrm>
          <a:off x="8628529" y="14679706"/>
          <a:ext cx="4401671" cy="50427"/>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895798</xdr:colOff>
      <xdr:row>162</xdr:row>
      <xdr:rowOff>39445</xdr:rowOff>
    </xdr:from>
    <xdr:to>
      <xdr:col>13</xdr:col>
      <xdr:colOff>299084</xdr:colOff>
      <xdr:row>168</xdr:row>
      <xdr:rowOff>1688</xdr:rowOff>
    </xdr:to>
    <xdr:cxnSp macro="">
      <xdr:nvCxnSpPr>
        <xdr:cNvPr id="11" name="Straight Arrow Connector 10"/>
        <xdr:cNvCxnSpPr/>
      </xdr:nvCxnSpPr>
      <xdr:spPr>
        <a:xfrm>
          <a:off x="7727576" y="23864047"/>
          <a:ext cx="5506571" cy="777688"/>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571501</xdr:colOff>
      <xdr:row>24</xdr:row>
      <xdr:rowOff>91439</xdr:rowOff>
    </xdr:from>
    <xdr:to>
      <xdr:col>14</xdr:col>
      <xdr:colOff>162055</xdr:colOff>
      <xdr:row>35</xdr:row>
      <xdr:rowOff>129579</xdr:rowOff>
    </xdr:to>
    <xdr:sp macro="" textlink="">
      <xdr:nvSpPr>
        <xdr:cNvPr id="2" name="TextBox 1"/>
        <xdr:cNvSpPr txBox="1"/>
      </xdr:nvSpPr>
      <xdr:spPr>
        <a:xfrm>
          <a:off x="7429501" y="4029074"/>
          <a:ext cx="2409824" cy="1638301"/>
        </a:xfrm>
        <a:prstGeom prst="rect">
          <a:avLst/>
        </a:prstGeom>
        <a:solidFill>
          <a:srgbClr val="FFFF00">
            <a:alpha val="79000"/>
          </a:srgbClr>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When a container size is not available for reference in Meeks I am basing</a:t>
          </a:r>
          <a:r>
            <a:rPr lang="en-US" sz="1100" baseline="0"/>
            <a:t> a "Unit Lbs" or "Unit Stop Time" estimate on an equivelent size container compared to the closest available size.</a:t>
          </a:r>
        </a:p>
        <a:p>
          <a:pPr>
            <a:lnSpc>
              <a:spcPts val="1200"/>
            </a:lnSpc>
          </a:pPr>
          <a:r>
            <a:rPr lang="en-US" sz="1100" baseline="0">
              <a:solidFill>
                <a:srgbClr val="FF0000"/>
              </a:solidFill>
            </a:rPr>
            <a:t>Ex. no mini can so X lbs for 32 gallon divided by 32 gallons muliplied by 19 gallons.</a:t>
          </a:r>
          <a:endParaRPr lang="en-US" sz="1100">
            <a:solidFill>
              <a:srgbClr val="FF0000"/>
            </a:solidFill>
          </a:endParaRPr>
        </a:p>
      </xdr:txBody>
    </xdr:sp>
    <xdr:clientData/>
  </xdr:twoCellAnchor>
  <xdr:twoCellAnchor>
    <xdr:from>
      <xdr:col>11</xdr:col>
      <xdr:colOff>491490</xdr:colOff>
      <xdr:row>9</xdr:row>
      <xdr:rowOff>285750</xdr:rowOff>
    </xdr:from>
    <xdr:to>
      <xdr:col>12</xdr:col>
      <xdr:colOff>441808</xdr:colOff>
      <xdr:row>24</xdr:row>
      <xdr:rowOff>90670</xdr:rowOff>
    </xdr:to>
    <xdr:cxnSp macro="">
      <xdr:nvCxnSpPr>
        <xdr:cNvPr id="4" name="Straight Arrow Connector 3"/>
        <xdr:cNvCxnSpPr>
          <a:stCxn id="2" idx="0"/>
        </xdr:cNvCxnSpPr>
      </xdr:nvCxnSpPr>
      <xdr:spPr>
        <a:xfrm flipH="1" flipV="1">
          <a:off x="8067675" y="1638300"/>
          <a:ext cx="566738" cy="2390774"/>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441008</xdr:colOff>
      <xdr:row>9</xdr:row>
      <xdr:rowOff>205740</xdr:rowOff>
    </xdr:from>
    <xdr:to>
      <xdr:col>16</xdr:col>
      <xdr:colOff>118293</xdr:colOff>
      <xdr:row>24</xdr:row>
      <xdr:rowOff>91588</xdr:rowOff>
    </xdr:to>
    <xdr:cxnSp macro="">
      <xdr:nvCxnSpPr>
        <xdr:cNvPr id="8" name="Straight Arrow Connector 7"/>
        <xdr:cNvCxnSpPr>
          <a:stCxn id="2" idx="0"/>
        </xdr:cNvCxnSpPr>
      </xdr:nvCxnSpPr>
      <xdr:spPr>
        <a:xfrm flipV="1">
          <a:off x="8634413" y="1552575"/>
          <a:ext cx="2024062" cy="247649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314325</xdr:colOff>
      <xdr:row>6</xdr:row>
      <xdr:rowOff>28575</xdr:rowOff>
    </xdr:from>
    <xdr:to>
      <xdr:col>17</xdr:col>
      <xdr:colOff>228600</xdr:colOff>
      <xdr:row>79</xdr:row>
      <xdr:rowOff>57150</xdr:rowOff>
    </xdr:to>
    <xdr:grpSp>
      <xdr:nvGrpSpPr>
        <xdr:cNvPr id="97312" name="Group 1"/>
        <xdr:cNvGrpSpPr>
          <a:grpSpLocks/>
        </xdr:cNvGrpSpPr>
      </xdr:nvGrpSpPr>
      <xdr:grpSpPr bwMode="auto">
        <a:xfrm>
          <a:off x="6896100" y="1552575"/>
          <a:ext cx="4714875" cy="10620375"/>
          <a:chOff x="9210675" y="1152525"/>
          <a:chExt cx="4714290" cy="10600706"/>
        </a:xfrm>
      </xdr:grpSpPr>
      <xdr:pic>
        <xdr:nvPicPr>
          <xdr:cNvPr id="9731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250" y="1152525"/>
            <a:ext cx="4685715" cy="5733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731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10675" y="6800850"/>
            <a:ext cx="4647619" cy="4952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352425</xdr:colOff>
      <xdr:row>43</xdr:row>
      <xdr:rowOff>0</xdr:rowOff>
    </xdr:from>
    <xdr:to>
      <xdr:col>4</xdr:col>
      <xdr:colOff>76200</xdr:colOff>
      <xdr:row>43</xdr:row>
      <xdr:rowOff>0</xdr:rowOff>
    </xdr:to>
    <xdr:sp macro="" textlink="">
      <xdr:nvSpPr>
        <xdr:cNvPr id="76053" name="Line 1"/>
        <xdr:cNvSpPr>
          <a:spLocks noChangeShapeType="1"/>
        </xdr:cNvSpPr>
      </xdr:nvSpPr>
      <xdr:spPr bwMode="auto">
        <a:xfrm flipH="1" flipV="1">
          <a:off x="4257675" y="6562725"/>
          <a:ext cx="4286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352425</xdr:colOff>
      <xdr:row>43</xdr:row>
      <xdr:rowOff>0</xdr:rowOff>
    </xdr:from>
    <xdr:to>
      <xdr:col>4</xdr:col>
      <xdr:colOff>76200</xdr:colOff>
      <xdr:row>43</xdr:row>
      <xdr:rowOff>0</xdr:rowOff>
    </xdr:to>
    <xdr:sp macro="" textlink="">
      <xdr:nvSpPr>
        <xdr:cNvPr id="81150" name="Line 1"/>
        <xdr:cNvSpPr>
          <a:spLocks noChangeShapeType="1"/>
        </xdr:cNvSpPr>
      </xdr:nvSpPr>
      <xdr:spPr bwMode="auto">
        <a:xfrm flipH="1" flipV="1">
          <a:off x="4257675" y="6562725"/>
          <a:ext cx="4286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352425</xdr:colOff>
      <xdr:row>148</xdr:row>
      <xdr:rowOff>0</xdr:rowOff>
    </xdr:from>
    <xdr:to>
      <xdr:col>4</xdr:col>
      <xdr:colOff>76200</xdr:colOff>
      <xdr:row>148</xdr:row>
      <xdr:rowOff>0</xdr:rowOff>
    </xdr:to>
    <xdr:sp macro="" textlink="">
      <xdr:nvSpPr>
        <xdr:cNvPr id="64839" name="Line 1"/>
        <xdr:cNvSpPr>
          <a:spLocks noChangeShapeType="1"/>
        </xdr:cNvSpPr>
      </xdr:nvSpPr>
      <xdr:spPr bwMode="auto">
        <a:xfrm flipH="1" flipV="1">
          <a:off x="3829050" y="22574250"/>
          <a:ext cx="8953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352425</xdr:colOff>
      <xdr:row>148</xdr:row>
      <xdr:rowOff>0</xdr:rowOff>
    </xdr:from>
    <xdr:to>
      <xdr:col>4</xdr:col>
      <xdr:colOff>76200</xdr:colOff>
      <xdr:row>148</xdr:row>
      <xdr:rowOff>0</xdr:rowOff>
    </xdr:to>
    <xdr:sp macro="" textlink="">
      <xdr:nvSpPr>
        <xdr:cNvPr id="92224" name="Line 1"/>
        <xdr:cNvSpPr>
          <a:spLocks noChangeShapeType="1"/>
        </xdr:cNvSpPr>
      </xdr:nvSpPr>
      <xdr:spPr bwMode="auto">
        <a:xfrm flipH="1" flipV="1">
          <a:off x="3829050" y="22574250"/>
          <a:ext cx="3905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utcfs2\grp_data\District\Joe_Garza\mark%20gregg\WUTC%20Files\Eastside\Eastside%20Rate%20Case%202006\Eastside%20RC%202006%20Filing%20Docs\Proforma%20Eastside%202005%204.17.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utcfs2\grp_data\District\Accounting\WUTC%20Files\Rate%20Cases%20-%20Protected%20Data\Eastside\2014%20Eastside%20Rate%20Case\Payroll%20Model%20-%20Eastsid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utcfs2\grp_data\District\Accounting\WUTC%20Files\Rate%20Cases%20-%20Protected%20Data\Eastside\2014%20Eastside%20Rate%20Case\Average%20Investment%20Model%20-%20Eastside%20201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utcfs2\grp_data\District\Accounting\WUTC%20Files\Rate%20Cases%20-%20Protected%20Data\Eastside\2014%20Eastside%20Rate%20Case\Support\APRIL%2014%20172%20ES%20TONS%20MASTE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utcfs2\grp_data\Model\TG-144083\Company%20Work%20Papers\WUTC%20Rent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odel/TG-144083/Original%20filing/WUTC%20Model%20A-B%20-%20Eastside%20201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odel/TG-144083/Original%20filing/APRIL%2014%20172%20ES%20TONS%20MASTER.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istrict/~WUTC%20Files~/4.%20Rate%20Cases/Rate%20Cases%20-%20Pre%202015%20&amp;%20Post%202015%20Payroll/Pre%202015/Eastside/2014%20Eastside%20Rate%20Case/STAFF%20AUDITED%20DOCUMENTS/Commercial%20Counts%20-%20Price%20Out%201.8.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utcfs2\grp_data\Model\TG-144083\Company%20Work%20Papers\IND%20RO%20Temp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utcfs2\grp_data\Model\TG-144083\Company%20Work%20Papers\IND%20RO%20Perm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utcfs2\grp_data\Model\TG-144083\Company%20Work%20Papers\Revenue%20By%20LOB%20and%20C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utcfs2\grp_data\Model\TG-144083\Company%20Work%20Papers\G12%20Lawson%20Financial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utcfs2\grp_data\Model\TG-144083\Company%20Work%20Papers\YW%20Tns%20and%20Disp%20-%20172%200513-04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utcfs2\grp_data\Model\TG-144083\Company%20Work%20Papers\Ind.%20Service%20Time%20or%20Load%20Standards%20Repor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Model/TG-144083/Original%20filing/Cedar%20Falls%20-%20KC%20TS%20Dispos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ssevall\Desktop\Eastside%20Disposal%202014%20Mgt%20Fee.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istrict/~WUTC%20Files~/4.%20Rate%20Cases/Rate%20Cases%20-%20Pre%202015%20&amp;%20Post%202015%20Payroll/Pre%202015/Eastside/2014%20Eastside%20Rate%20Case/STAFF%20AUDITED%20DOCUMENTS/Mgt%20Fee%20Analysis%201.8.2014%20Staff.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istrict/~WUTC%20Files~/4.%20Rate%20Cases/Rate%20Cases%20-%20Pre%202015%20&amp;%20Post%202015%20Payroll/Pre%202015/Eastside/2014%20Eastside%20Rate%20Case/STAFF%20AUDITED%20DOCUMENTS/STAFF%20Container%20Maintenance%20Adjust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utcfs2\grp_data\Model\TG-144083\Company%20Work%20Papers\Truck%20Hours%20Calculations%20-%20Addl%20not%20outs%20-%20Eastside%2020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istrict/~WUTC%20Files~/4.%20Rate%20Cases/Rate%20Cases%20-%20Pre%202015%20&amp;%20Post%202015%20Payroll/Pre%202015/Eastside/2014%20Eastside%20Rate%20Case/STAFF%20AUDITED%20DOCUMENTS/Payroll%20Model%20-%20Eastside%201.13.15-staff.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utcfs2\grp_data\Model\TG-144083\Company%20Work%20Papers\Average%20Investment%20Model%20-%20Eastside%20201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istrict/~WUTC%20Files~/4.%20Rate%20Cases/Rate%20Cases%20-%20Pre%202015%20&amp;%20Post%202015%20Payroll/Pre%202015/Eastside/2014%20Eastside%20Rate%20Case/STAFF%20AUDITED%20DOCUMENTS/Average%20Investment%20Model%20-%20Eastside%202014%20Staff%20Depreci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del/TG-144083/Company%20Work%20Papers/Truck%20Hours%20Calculations%20-%20Addl%20not%20outs%20-%20Eastside%2020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odel/TG-144083/Company%20Work%20Papers/WUTC%20Model%20-%20Eastside%20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utcfs2\grp_data\Model\TG-144083\Company%20Work%20Papers\Mgt%20Fee%20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G Garbage"/>
      <sheetName val=" LG recycle"/>
      <sheetName val="LG Yardwaste"/>
      <sheetName val="LG MF Recycle"/>
      <sheetName val="Proforma"/>
      <sheetName val="matrix"/>
      <sheetName val="COS"/>
      <sheetName val="Price Out-Reg EASTSIDE-Resi"/>
      <sheetName val="Price Out-Comm MSW"/>
      <sheetName val="Price Out-Drop Box"/>
      <sheetName val="Price Out-MF Recycle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amp; PF Adj"/>
      <sheetName val="Summary Calcs"/>
      <sheetName val="PR295"/>
      <sheetName val="Union Info"/>
      <sheetName val="Benefits"/>
      <sheetName val="4172 Rates"/>
      <sheetName val="Head Count"/>
    </sheetNames>
    <sheetDataSet>
      <sheetData sheetId="0">
        <row r="23">
          <cell r="C23">
            <v>139736.16505097217</v>
          </cell>
          <cell r="D23">
            <v>11714.265131372476</v>
          </cell>
          <cell r="E23">
            <v>68855.999999999942</v>
          </cell>
        </row>
        <row r="24">
          <cell r="C24">
            <v>4923.2912718787393</v>
          </cell>
          <cell r="D24">
            <v>412.72593431142923</v>
          </cell>
          <cell r="E24">
            <v>17319.439999999999</v>
          </cell>
        </row>
        <row r="25">
          <cell r="C25">
            <v>1930.9724886636125</v>
          </cell>
          <cell r="D25">
            <v>161.87594446534396</v>
          </cell>
          <cell r="E25">
            <v>39455.840000000004</v>
          </cell>
        </row>
        <row r="27">
          <cell r="C27">
            <v>5749.610062094358</v>
          </cell>
          <cell r="D27">
            <v>481.99731719280356</v>
          </cell>
          <cell r="E27">
            <v>8271.1506863478135</v>
          </cell>
        </row>
        <row r="28">
          <cell r="C28">
            <v>5544.1479551188677</v>
          </cell>
          <cell r="D28">
            <v>464.77316054957686</v>
          </cell>
          <cell r="E28">
            <v>5862.8016409430684</v>
          </cell>
        </row>
        <row r="29">
          <cell r="C29">
            <v>3268.9080969890401</v>
          </cell>
          <cell r="D29">
            <v>274.03683308648931</v>
          </cell>
          <cell r="E29">
            <v>3742.7183590569321</v>
          </cell>
        </row>
        <row r="31">
          <cell r="B31">
            <v>-222415.70512098828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M260 Asset Listing"/>
    </sheetNames>
    <sheetDataSet>
      <sheetData sheetId="0" refreshError="1">
        <row r="50">
          <cell r="F50">
            <v>2873.5279725968367</v>
          </cell>
          <cell r="G50">
            <v>15463.977702819882</v>
          </cell>
          <cell r="H50">
            <v>10460.537953149587</v>
          </cell>
        </row>
        <row r="53">
          <cell r="E53">
            <v>190946.00764375806</v>
          </cell>
          <cell r="F53">
            <v>4129.6304760243302</v>
          </cell>
          <cell r="G53">
            <v>94463.70572354988</v>
          </cell>
          <cell r="H53">
            <v>75663.969380465423</v>
          </cell>
        </row>
        <row r="54">
          <cell r="E54">
            <v>2348.2120693470865</v>
          </cell>
          <cell r="F54">
            <v>129.4380626323327</v>
          </cell>
          <cell r="G54">
            <v>1343.4106127286523</v>
          </cell>
          <cell r="H54">
            <v>1076.0511530679044</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rrative"/>
      <sheetName val="ES TONS"/>
      <sheetName val="MSW Tons"/>
      <sheetName val="Recycle Tons"/>
      <sheetName val="YW Tons"/>
      <sheetName val="Prices"/>
      <sheetName val="Snoqualmie"/>
      <sheetName val="Commercial Counts"/>
      <sheetName val="Commercial Yards"/>
      <sheetName val="Multi Family Counts"/>
      <sheetName val="Multi Family Yards"/>
      <sheetName val="North Bend-County Garbage"/>
      <sheetName val="All Other Districts-Garbage"/>
      <sheetName val="All Districts-YW"/>
      <sheetName val="All Districts-YW Only"/>
      <sheetName val="All Districts-Recycle"/>
    </sheetNames>
    <sheetDataSet>
      <sheetData sheetId="0"/>
      <sheetData sheetId="1">
        <row r="377">
          <cell r="O377">
            <v>2104</v>
          </cell>
        </row>
        <row r="395">
          <cell r="Q395">
            <v>2</v>
          </cell>
        </row>
        <row r="396">
          <cell r="Q396">
            <v>22</v>
          </cell>
        </row>
        <row r="400">
          <cell r="Q400">
            <v>69</v>
          </cell>
        </row>
        <row r="401">
          <cell r="Q401">
            <v>17</v>
          </cell>
        </row>
        <row r="403">
          <cell r="Q403">
            <v>286</v>
          </cell>
        </row>
        <row r="405">
          <cell r="O405">
            <v>12</v>
          </cell>
          <cell r="Q405">
            <v>119</v>
          </cell>
        </row>
        <row r="433">
          <cell r="O433">
            <v>3242</v>
          </cell>
        </row>
        <row r="451">
          <cell r="Q451">
            <v>0</v>
          </cell>
        </row>
        <row r="452">
          <cell r="Q452">
            <v>0</v>
          </cell>
        </row>
        <row r="456">
          <cell r="Q456">
            <v>24</v>
          </cell>
        </row>
        <row r="457">
          <cell r="Q457">
            <v>0</v>
          </cell>
        </row>
        <row r="459">
          <cell r="Q459">
            <v>313</v>
          </cell>
        </row>
        <row r="461">
          <cell r="O461">
            <v>24</v>
          </cell>
          <cell r="Q461">
            <v>284</v>
          </cell>
        </row>
        <row r="482">
          <cell r="O482">
            <v>133</v>
          </cell>
        </row>
        <row r="483">
          <cell r="O483">
            <v>894</v>
          </cell>
        </row>
        <row r="484">
          <cell r="O484">
            <v>4527</v>
          </cell>
        </row>
        <row r="485">
          <cell r="O485">
            <v>213</v>
          </cell>
        </row>
        <row r="486">
          <cell r="O486">
            <v>10</v>
          </cell>
        </row>
        <row r="487">
          <cell r="O487">
            <v>1</v>
          </cell>
        </row>
        <row r="488">
          <cell r="O488">
            <v>0</v>
          </cell>
        </row>
        <row r="489">
          <cell r="O489">
            <v>376</v>
          </cell>
        </row>
        <row r="491">
          <cell r="O491">
            <v>3126</v>
          </cell>
        </row>
        <row r="492">
          <cell r="O492">
            <v>1174</v>
          </cell>
        </row>
        <row r="495">
          <cell r="O495">
            <v>10488</v>
          </cell>
        </row>
        <row r="496">
          <cell r="O496">
            <v>6875</v>
          </cell>
        </row>
      </sheetData>
      <sheetData sheetId="2">
        <row r="38">
          <cell r="D38">
            <v>2331.3491998269201</v>
          </cell>
          <cell r="E38">
            <v>2172.3929161731367</v>
          </cell>
          <cell r="F38">
            <v>2369.1489876068822</v>
          </cell>
          <cell r="G38">
            <v>2267.7207210281072</v>
          </cell>
          <cell r="H38">
            <v>2229.7602893570975</v>
          </cell>
          <cell r="I38">
            <v>2352.6770904703317</v>
          </cell>
          <cell r="J38">
            <v>2240.3343726026746</v>
          </cell>
          <cell r="K38">
            <v>2150.8828173347933</v>
          </cell>
          <cell r="L38">
            <v>2235.4234249896554</v>
          </cell>
          <cell r="M38">
            <v>1976.2944064498849</v>
          </cell>
          <cell r="N38">
            <v>2263.2050419478405</v>
          </cell>
          <cell r="O38">
            <v>2267.5419770963113</v>
          </cell>
        </row>
        <row r="39">
          <cell r="D39">
            <v>135.15408397438046</v>
          </cell>
          <cell r="E39">
            <v>126.51181241574318</v>
          </cell>
          <cell r="F39">
            <v>140.31705428491199</v>
          </cell>
          <cell r="G39">
            <v>142.12801830730723</v>
          </cell>
          <cell r="H39">
            <v>135.39396002219976</v>
          </cell>
          <cell r="I39">
            <v>144.78648143436649</v>
          </cell>
          <cell r="J39">
            <v>135.49210004614952</v>
          </cell>
          <cell r="K39">
            <v>125.34219822443707</v>
          </cell>
          <cell r="L39">
            <v>127.02845889989807</v>
          </cell>
          <cell r="M39">
            <v>110.08245997009854</v>
          </cell>
          <cell r="N39">
            <v>127.53634306837291</v>
          </cell>
          <cell r="O39">
            <v>130.46898258239571</v>
          </cell>
        </row>
        <row r="56">
          <cell r="D56">
            <v>1099.2402325502917</v>
          </cell>
          <cell r="E56">
            <v>1024.7812330349443</v>
          </cell>
          <cell r="F56">
            <v>1136.821189835676</v>
          </cell>
          <cell r="G56">
            <v>1065.4943926160988</v>
          </cell>
          <cell r="H56">
            <v>1039.7002021805927</v>
          </cell>
          <cell r="I56">
            <v>1085.3138040005229</v>
          </cell>
          <cell r="J56">
            <v>1043.1359751109067</v>
          </cell>
          <cell r="K56">
            <v>1034.7895950591576</v>
          </cell>
          <cell r="L56">
            <v>1048.5363561799425</v>
          </cell>
          <cell r="M56">
            <v>925.0193837725368</v>
          </cell>
          <cell r="N56">
            <v>1059.683357896696</v>
          </cell>
          <cell r="O56">
            <v>1070.5307738629417</v>
          </cell>
        </row>
        <row r="57">
          <cell r="D57">
            <v>98.530029016262915</v>
          </cell>
          <cell r="E57">
            <v>92.437789486715104</v>
          </cell>
          <cell r="F57">
            <v>103.81362601203594</v>
          </cell>
          <cell r="G57">
            <v>102.45115353286749</v>
          </cell>
          <cell r="H57">
            <v>97.395810072342954</v>
          </cell>
          <cell r="I57">
            <v>101.68579325092304</v>
          </cell>
          <cell r="J57">
            <v>98.821701677649941</v>
          </cell>
          <cell r="K57">
            <v>96.724492522804198</v>
          </cell>
          <cell r="L57">
            <v>96.669575935827538</v>
          </cell>
          <cell r="M57">
            <v>85.137844766365077</v>
          </cell>
          <cell r="N57">
            <v>98.148500861054458</v>
          </cell>
          <cell r="O57">
            <v>99.535049754853858</v>
          </cell>
        </row>
        <row r="74">
          <cell r="D74">
            <v>3221.8900122509558</v>
          </cell>
          <cell r="E74">
            <v>2928.1105933635522</v>
          </cell>
          <cell r="F74">
            <v>3337.5505308505544</v>
          </cell>
          <cell r="G74">
            <v>3143.2879489983234</v>
          </cell>
          <cell r="H74">
            <v>3061.0422188158414</v>
          </cell>
          <cell r="I74">
            <v>3065.8960027729026</v>
          </cell>
          <cell r="J74">
            <v>2913.8325218218733</v>
          </cell>
          <cell r="K74">
            <v>3068.357224481148</v>
          </cell>
          <cell r="L74">
            <v>3175.7101792809267</v>
          </cell>
          <cell r="M74">
            <v>2509.5627968431618</v>
          </cell>
          <cell r="N74">
            <v>2775.638679415807</v>
          </cell>
          <cell r="O74">
            <v>2950.0803938139693</v>
          </cell>
        </row>
        <row r="75">
          <cell r="D75">
            <v>599.80197971880398</v>
          </cell>
          <cell r="E75">
            <v>530.17078093277416</v>
          </cell>
          <cell r="F75">
            <v>582.48426266432477</v>
          </cell>
          <cell r="G75">
            <v>592.85288192996597</v>
          </cell>
          <cell r="H75">
            <v>552.52718831555262</v>
          </cell>
          <cell r="I75">
            <v>578.68381221844788</v>
          </cell>
          <cell r="J75">
            <v>528.15354593290067</v>
          </cell>
          <cell r="K75">
            <v>548.78039284403178</v>
          </cell>
          <cell r="L75">
            <v>599.74437874509863</v>
          </cell>
          <cell r="M75">
            <v>459.35752363420113</v>
          </cell>
          <cell r="N75">
            <v>504.87486675474531</v>
          </cell>
          <cell r="O75">
            <v>525.47505943550266</v>
          </cell>
        </row>
      </sheetData>
      <sheetData sheetId="3">
        <row r="38">
          <cell r="D38">
            <v>867.42912675686296</v>
          </cell>
          <cell r="E38">
            <v>838.13584250225722</v>
          </cell>
          <cell r="F38">
            <v>849.12889833530915</v>
          </cell>
          <cell r="G38">
            <v>827.95558767752209</v>
          </cell>
          <cell r="H38">
            <v>840.86590790644902</v>
          </cell>
          <cell r="I38">
            <v>860.48278839323052</v>
          </cell>
          <cell r="J38">
            <v>812.66827330587955</v>
          </cell>
          <cell r="K38">
            <v>845.41024836180941</v>
          </cell>
          <cell r="L38">
            <v>872.73536681569976</v>
          </cell>
          <cell r="M38">
            <v>766.24014867861888</v>
          </cell>
          <cell r="N38">
            <v>860.17082931239622</v>
          </cell>
          <cell r="O38">
            <v>864.32821411912971</v>
          </cell>
        </row>
        <row r="56">
          <cell r="D56">
            <v>365.32946578100535</v>
          </cell>
          <cell r="E56">
            <v>342.75132926006995</v>
          </cell>
          <cell r="F56">
            <v>361.05762008001739</v>
          </cell>
          <cell r="G56">
            <v>353.03073019577323</v>
          </cell>
          <cell r="H56">
            <v>360.15134185857812</v>
          </cell>
          <cell r="I56">
            <v>365.70604851837425</v>
          </cell>
          <cell r="J56">
            <v>344.55605297328299</v>
          </cell>
          <cell r="K56">
            <v>354.49122507163185</v>
          </cell>
          <cell r="L56">
            <v>351.12935320507347</v>
          </cell>
          <cell r="M56">
            <v>300.24098383532629</v>
          </cell>
          <cell r="N56">
            <v>337.28735064224804</v>
          </cell>
          <cell r="O56">
            <v>326.66494905753041</v>
          </cell>
        </row>
        <row r="57">
          <cell r="D57">
            <v>38.538144391546453</v>
          </cell>
          <cell r="E57">
            <v>37.273745809976845</v>
          </cell>
          <cell r="F57">
            <v>38.05925985893434</v>
          </cell>
          <cell r="G57">
            <v>37.892356741372581</v>
          </cell>
          <cell r="H57">
            <v>40.813547428851408</v>
          </cell>
          <cell r="I57">
            <v>35.512843751462015</v>
          </cell>
          <cell r="J57">
            <v>35.324977305861864</v>
          </cell>
          <cell r="K57">
            <v>39.774607684821639</v>
          </cell>
          <cell r="L57">
            <v>41.575871940353011</v>
          </cell>
          <cell r="M57">
            <v>32.671518622794352</v>
          </cell>
          <cell r="N57">
            <v>38.450136033744172</v>
          </cell>
          <cell r="O57">
            <v>32.116096797017377</v>
          </cell>
        </row>
        <row r="74">
          <cell r="D74">
            <v>2298.1676363105448</v>
          </cell>
          <cell r="E74">
            <v>2074.9594665012119</v>
          </cell>
          <cell r="F74">
            <v>2293.107016811442</v>
          </cell>
          <cell r="G74">
            <v>2162.6568047175228</v>
          </cell>
          <cell r="H74">
            <v>2160.6151621898516</v>
          </cell>
          <cell r="I74">
            <v>2246.61115163158</v>
          </cell>
          <cell r="J74">
            <v>2134.1735377133687</v>
          </cell>
          <cell r="K74">
            <v>2478.744038387802</v>
          </cell>
          <cell r="L74">
            <v>2475.2992369498866</v>
          </cell>
          <cell r="M74">
            <v>1882.4246780795024</v>
          </cell>
          <cell r="N74">
            <v>2047.0703908855601</v>
          </cell>
          <cell r="O74">
            <v>2179.3998073465568</v>
          </cell>
        </row>
        <row r="75">
          <cell r="D75">
            <v>367.06714354459132</v>
          </cell>
          <cell r="E75">
            <v>328.09427317867534</v>
          </cell>
          <cell r="F75">
            <v>329.54465918054211</v>
          </cell>
          <cell r="G75">
            <v>352.68192301906163</v>
          </cell>
          <cell r="H75">
            <v>340.36527590577344</v>
          </cell>
          <cell r="I75">
            <v>377.20065671579005</v>
          </cell>
          <cell r="J75">
            <v>325.09833698607571</v>
          </cell>
          <cell r="K75">
            <v>364.37754628092375</v>
          </cell>
          <cell r="L75">
            <v>417.94401388106837</v>
          </cell>
          <cell r="M75">
            <v>307.11192879136638</v>
          </cell>
          <cell r="N75">
            <v>331.6498929372994</v>
          </cell>
          <cell r="O75">
            <v>360.60799571360258</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utc resi rental"/>
      <sheetName val="wutc MF rental"/>
      <sheetName val="wutc comm rental"/>
      <sheetName val="wutc ind rental"/>
      <sheetName val="master (Sum)"/>
      <sheetName val="master"/>
    </sheetNames>
    <sheetDataSet>
      <sheetData sheetId="0">
        <row r="6">
          <cell r="C6">
            <v>-5.16</v>
          </cell>
        </row>
        <row r="9">
          <cell r="E9">
            <v>162.69</v>
          </cell>
        </row>
        <row r="14">
          <cell r="D14">
            <v>2279.67</v>
          </cell>
          <cell r="E14">
            <v>1060.81</v>
          </cell>
        </row>
        <row r="20">
          <cell r="D20">
            <v>64509.720000000008</v>
          </cell>
        </row>
        <row r="25">
          <cell r="D25">
            <v>25802.870000000006</v>
          </cell>
          <cell r="F25">
            <v>24.810000000000002</v>
          </cell>
        </row>
      </sheetData>
      <sheetData sheetId="1">
        <row r="6">
          <cell r="B6">
            <v>1012.32</v>
          </cell>
        </row>
        <row r="7">
          <cell r="B7">
            <v>654.72</v>
          </cell>
          <cell r="D7">
            <v>279.95999999999998</v>
          </cell>
        </row>
        <row r="8">
          <cell r="C8">
            <v>292.05999999999995</v>
          </cell>
        </row>
        <row r="9">
          <cell r="C9">
            <v>465</v>
          </cell>
        </row>
        <row r="10">
          <cell r="C10">
            <v>1628.5700000000002</v>
          </cell>
        </row>
        <row r="11">
          <cell r="C11">
            <v>2095.0800000000004</v>
          </cell>
        </row>
        <row r="12">
          <cell r="C12">
            <v>4967.0300000000016</v>
          </cell>
        </row>
        <row r="13">
          <cell r="C13">
            <v>3643.9600000000014</v>
          </cell>
        </row>
        <row r="14">
          <cell r="C14">
            <v>2479.6799999999998</v>
          </cell>
        </row>
      </sheetData>
      <sheetData sheetId="2">
        <row r="6">
          <cell r="B6">
            <v>26.860000000000003</v>
          </cell>
        </row>
        <row r="7">
          <cell r="B7">
            <v>117.23000000000008</v>
          </cell>
        </row>
        <row r="8">
          <cell r="B8">
            <v>1148.7899999999995</v>
          </cell>
          <cell r="G8">
            <v>213.68000000000006</v>
          </cell>
        </row>
        <row r="9">
          <cell r="C9">
            <v>1334.1899999999998</v>
          </cell>
        </row>
        <row r="10">
          <cell r="C10">
            <v>1403</v>
          </cell>
        </row>
        <row r="11">
          <cell r="C11">
            <v>3557.6299999999978</v>
          </cell>
          <cell r="D11">
            <v>1800</v>
          </cell>
        </row>
        <row r="12">
          <cell r="C12">
            <v>3509.9899999999993</v>
          </cell>
        </row>
        <row r="13">
          <cell r="C13">
            <v>8960.3299999999963</v>
          </cell>
        </row>
        <row r="14">
          <cell r="C14">
            <v>6738.3</v>
          </cell>
        </row>
        <row r="15">
          <cell r="C15">
            <v>4314.4599999999991</v>
          </cell>
        </row>
      </sheetData>
      <sheetData sheetId="3">
        <row r="8">
          <cell r="C8">
            <v>25.8</v>
          </cell>
        </row>
        <row r="9">
          <cell r="C9">
            <v>748.0100000000001</v>
          </cell>
        </row>
        <row r="10">
          <cell r="C10">
            <v>1102.0900000000001</v>
          </cell>
        </row>
        <row r="11">
          <cell r="C11">
            <v>1113.54</v>
          </cell>
        </row>
        <row r="12">
          <cell r="C12">
            <v>6294.12</v>
          </cell>
        </row>
      </sheetData>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G-12 Financial"/>
      <sheetName val="Cap Struct."/>
      <sheetName val="Combined LG"/>
      <sheetName val="LG Garbage"/>
      <sheetName val=" LG recycle"/>
      <sheetName val="LG Yardwaste"/>
      <sheetName val="LG MF Recycle"/>
      <sheetName val="Summary"/>
      <sheetName val="Income Statement"/>
      <sheetName val="Proforma"/>
      <sheetName val="Adj - Restating"/>
      <sheetName val="Adj - Proforma"/>
      <sheetName val="Matrix"/>
      <sheetName val="COS"/>
      <sheetName val="Meeks +"/>
      <sheetName val="Matrix (Rec)"/>
      <sheetName val="COS (Rec)"/>
      <sheetName val="Matrix (YW)"/>
      <sheetName val="COS (YW)"/>
      <sheetName val="Price Out Summary"/>
      <sheetName val="Resi Price Out"/>
      <sheetName val="Comm Price Out"/>
      <sheetName val="MF Recy Price Out"/>
      <sheetName val="Drop Box Price Out"/>
      <sheetName val="WUTC Revenue"/>
      <sheetName val="Disposal"/>
      <sheetName val="Yardwaste Analysis"/>
      <sheetName val="Roll Off Average Cost"/>
      <sheetName val="Fuel PF Adj"/>
      <sheetName val="Fuel Detail"/>
      <sheetName val="CNG Detail"/>
      <sheetName val="Cont Summ"/>
      <sheetName val="Cont Regulated Acct (Non-MF)"/>
      <sheetName val="Cont Regulated Accounts (MF)."/>
      <sheetName val="Cont All Regulated Accounts"/>
      <sheetName val="Cont Unregulated Acct (non-MF)."/>
      <sheetName val="Cont Unregulated Accounts (MF)."/>
      <sheetName val="Cont All Unregulated Accounts"/>
      <sheetName val="Cont Detail"/>
      <sheetName val="Roll-off Stats"/>
      <sheetName val="Comm Stats"/>
      <sheetName val="Resi Stats"/>
    </sheetNames>
    <sheetDataSet>
      <sheetData sheetId="0"/>
      <sheetData sheetId="1"/>
      <sheetData sheetId="2"/>
      <sheetData sheetId="3">
        <row r="6">
          <cell r="E6">
            <v>186451.79032777107</v>
          </cell>
        </row>
      </sheetData>
      <sheetData sheetId="4">
        <row r="6">
          <cell r="E6">
            <v>96670.724032596816</v>
          </cell>
        </row>
      </sheetData>
      <sheetData sheetId="5">
        <row r="6">
          <cell r="E6">
            <v>137143.41667788531</v>
          </cell>
        </row>
      </sheetData>
      <sheetData sheetId="6">
        <row r="6">
          <cell r="E6">
            <v>28931.378134891253</v>
          </cell>
        </row>
      </sheetData>
      <sheetData sheetId="7"/>
      <sheetData sheetId="8"/>
      <sheetData sheetId="9">
        <row r="12">
          <cell r="N12">
            <v>151755.62598210003</v>
          </cell>
        </row>
      </sheetData>
      <sheetData sheetId="10"/>
      <sheetData sheetId="11"/>
      <sheetData sheetId="12"/>
      <sheetData sheetId="13"/>
      <sheetData sheetId="14"/>
      <sheetData sheetId="15"/>
      <sheetData sheetId="16"/>
      <sheetData sheetId="17"/>
      <sheetData sheetId="18"/>
      <sheetData sheetId="19"/>
      <sheetData sheetId="20">
        <row r="46">
          <cell r="E46">
            <v>4099058.37</v>
          </cell>
        </row>
        <row r="65">
          <cell r="H65">
            <v>1136362.08</v>
          </cell>
        </row>
        <row r="76">
          <cell r="H76">
            <v>892551.35999999987</v>
          </cell>
        </row>
      </sheetData>
      <sheetData sheetId="21">
        <row r="159">
          <cell r="E159">
            <v>937334.36702000012</v>
          </cell>
        </row>
      </sheetData>
      <sheetData sheetId="22">
        <row r="65">
          <cell r="L65">
            <v>65413.936812000029</v>
          </cell>
        </row>
      </sheetData>
      <sheetData sheetId="23">
        <row r="94">
          <cell r="H94">
            <v>51905.88</v>
          </cell>
        </row>
        <row r="104">
          <cell r="E104">
            <v>226392.41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 TONS"/>
      <sheetName val="MSW Tons"/>
      <sheetName val="Recycle Tons"/>
      <sheetName val="YW Tons"/>
      <sheetName val="Prices"/>
      <sheetName val="Snoqualmie"/>
      <sheetName val="Commercial Counts"/>
      <sheetName val="Commercial Yards"/>
      <sheetName val="Multi Family Counts"/>
      <sheetName val="Multi Family Yards"/>
      <sheetName val="North Bend-County Garbage"/>
      <sheetName val="All Other Districts-Garbage"/>
      <sheetName val="All Districts-YW"/>
      <sheetName val="All Districts-YW Only"/>
      <sheetName val="All Districts-Recycle"/>
      <sheetName val="All Districts-Recycle Only"/>
    </sheetNames>
    <sheetDataSet>
      <sheetData sheetId="0">
        <row r="377">
          <cell r="R377">
            <v>2100.25</v>
          </cell>
        </row>
        <row r="433">
          <cell r="R433">
            <v>3215</v>
          </cell>
        </row>
        <row r="482">
          <cell r="R482">
            <v>126.91666666666667</v>
          </cell>
        </row>
        <row r="483">
          <cell r="R483">
            <v>865.5</v>
          </cell>
        </row>
        <row r="484">
          <cell r="R484">
            <v>4500.916666666667</v>
          </cell>
        </row>
        <row r="485">
          <cell r="R485">
            <v>218.66666666666666</v>
          </cell>
        </row>
        <row r="486">
          <cell r="R486">
            <v>9.8333333333333339</v>
          </cell>
        </row>
        <row r="487">
          <cell r="R487">
            <v>1</v>
          </cell>
        </row>
        <row r="489">
          <cell r="R489">
            <v>374.66666666666669</v>
          </cell>
        </row>
        <row r="491">
          <cell r="R491">
            <v>3111.6666666666665</v>
          </cell>
        </row>
        <row r="492">
          <cell r="R492">
            <v>1176.5</v>
          </cell>
        </row>
        <row r="495">
          <cell r="R495">
            <v>10418.416666666666</v>
          </cell>
        </row>
        <row r="496">
          <cell r="R496">
            <v>6798.5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iner Size Table"/>
      <sheetName val="PT - No MF"/>
      <sheetName val="PT - MF"/>
      <sheetName val="REG"/>
    </sheetNames>
    <sheetDataSet>
      <sheetData sheetId="0"/>
      <sheetData sheetId="1">
        <row r="6">
          <cell r="J6">
            <v>9</v>
          </cell>
        </row>
        <row r="7">
          <cell r="J7">
            <v>8</v>
          </cell>
        </row>
        <row r="8">
          <cell r="J8">
            <v>1</v>
          </cell>
        </row>
        <row r="9">
          <cell r="J9">
            <v>53</v>
          </cell>
        </row>
        <row r="10">
          <cell r="J10">
            <v>1</v>
          </cell>
        </row>
        <row r="11">
          <cell r="J11">
            <v>17</v>
          </cell>
        </row>
        <row r="12">
          <cell r="J12">
            <v>15</v>
          </cell>
        </row>
        <row r="13">
          <cell r="J13">
            <v>22</v>
          </cell>
        </row>
        <row r="14">
          <cell r="J14">
            <v>18</v>
          </cell>
        </row>
        <row r="15">
          <cell r="J15">
            <v>30</v>
          </cell>
        </row>
        <row r="16">
          <cell r="J16">
            <v>14</v>
          </cell>
        </row>
        <row r="17">
          <cell r="I17">
            <v>4</v>
          </cell>
        </row>
        <row r="19">
          <cell r="I19">
            <v>1</v>
          </cell>
        </row>
        <row r="20">
          <cell r="I20">
            <v>1</v>
          </cell>
        </row>
        <row r="21">
          <cell r="I21">
            <v>2</v>
          </cell>
        </row>
        <row r="22">
          <cell r="I22">
            <v>9</v>
          </cell>
        </row>
        <row r="23">
          <cell r="I23">
            <v>4</v>
          </cell>
        </row>
        <row r="24">
          <cell r="I24">
            <v>5</v>
          </cell>
        </row>
        <row r="26">
          <cell r="I26">
            <v>2</v>
          </cell>
        </row>
        <row r="27">
          <cell r="I27">
            <v>3</v>
          </cell>
        </row>
        <row r="31">
          <cell r="I31">
            <v>2</v>
          </cell>
          <cell r="J31">
            <v>0</v>
          </cell>
        </row>
        <row r="32">
          <cell r="I32">
            <v>5</v>
          </cell>
          <cell r="J32">
            <v>0</v>
          </cell>
        </row>
        <row r="33">
          <cell r="I33">
            <v>2</v>
          </cell>
          <cell r="J33">
            <v>0</v>
          </cell>
        </row>
        <row r="34">
          <cell r="I34">
            <v>8</v>
          </cell>
          <cell r="J34">
            <v>0</v>
          </cell>
        </row>
        <row r="35">
          <cell r="I35">
            <v>8</v>
          </cell>
          <cell r="J35">
            <v>0</v>
          </cell>
        </row>
        <row r="36">
          <cell r="I36">
            <v>4</v>
          </cell>
          <cell r="J36">
            <v>0</v>
          </cell>
        </row>
      </sheetData>
      <sheetData sheetId="2">
        <row r="6">
          <cell r="H6">
            <v>184</v>
          </cell>
        </row>
        <row r="7">
          <cell r="H7">
            <v>24</v>
          </cell>
        </row>
        <row r="8">
          <cell r="H8">
            <v>4</v>
          </cell>
        </row>
        <row r="9">
          <cell r="H9">
            <v>4</v>
          </cell>
        </row>
        <row r="10">
          <cell r="H10">
            <v>14</v>
          </cell>
        </row>
        <row r="11">
          <cell r="H11">
            <v>6</v>
          </cell>
        </row>
        <row r="12">
          <cell r="H12">
            <v>16</v>
          </cell>
        </row>
        <row r="13">
          <cell r="G13">
            <v>12</v>
          </cell>
        </row>
        <row r="14">
          <cell r="H14">
            <v>2</v>
          </cell>
        </row>
        <row r="16">
          <cell r="G16">
            <v>1</v>
          </cell>
        </row>
        <row r="17">
          <cell r="G17">
            <v>1</v>
          </cell>
        </row>
        <row r="18">
          <cell r="G18">
            <v>7</v>
          </cell>
        </row>
        <row r="19">
          <cell r="G19">
            <v>9</v>
          </cell>
        </row>
        <row r="20">
          <cell r="G20">
            <v>2</v>
          </cell>
        </row>
        <row r="21">
          <cell r="G21">
            <v>5</v>
          </cell>
        </row>
        <row r="23">
          <cell r="G23">
            <v>2</v>
          </cell>
        </row>
        <row r="27">
          <cell r="G27">
            <v>1</v>
          </cell>
          <cell r="H27">
            <v>0</v>
          </cell>
        </row>
      </sheetData>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
      <sheetName val="Detail"/>
      <sheetName val="IND RO Temps"/>
    </sheetNames>
    <sheetDataSet>
      <sheetData sheetId="0">
        <row r="5">
          <cell r="B5">
            <v>3</v>
          </cell>
          <cell r="C5">
            <v>3</v>
          </cell>
          <cell r="D5">
            <v>0</v>
          </cell>
          <cell r="E5">
            <v>0</v>
          </cell>
        </row>
        <row r="6">
          <cell r="B6">
            <v>10</v>
          </cell>
          <cell r="C6">
            <v>10</v>
          </cell>
          <cell r="D6">
            <v>1</v>
          </cell>
          <cell r="E6">
            <v>0</v>
          </cell>
        </row>
        <row r="7">
          <cell r="B7">
            <v>5</v>
          </cell>
          <cell r="C7">
            <v>5</v>
          </cell>
          <cell r="D7">
            <v>0</v>
          </cell>
          <cell r="E7">
            <v>0</v>
          </cell>
        </row>
        <row r="8">
          <cell r="B8">
            <v>10</v>
          </cell>
          <cell r="C8">
            <v>9</v>
          </cell>
          <cell r="D8">
            <v>4</v>
          </cell>
          <cell r="E8">
            <v>0</v>
          </cell>
        </row>
        <row r="9">
          <cell r="B9">
            <v>5</v>
          </cell>
          <cell r="C9">
            <v>4</v>
          </cell>
          <cell r="D9">
            <v>1</v>
          </cell>
          <cell r="E9">
            <v>1</v>
          </cell>
        </row>
      </sheetData>
      <sheetData sheetId="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
      <sheetName val="Detail"/>
    </sheetNames>
    <sheetDataSet>
      <sheetData sheetId="0">
        <row r="7">
          <cell r="B7">
            <v>1</v>
          </cell>
          <cell r="C7">
            <v>64</v>
          </cell>
          <cell r="D7">
            <v>2</v>
          </cell>
          <cell r="E7">
            <v>0</v>
          </cell>
        </row>
        <row r="8">
          <cell r="B8">
            <v>0</v>
          </cell>
          <cell r="C8">
            <v>4</v>
          </cell>
          <cell r="D8">
            <v>0</v>
          </cell>
          <cell r="E8">
            <v>0</v>
          </cell>
        </row>
        <row r="9">
          <cell r="B9">
            <v>0</v>
          </cell>
          <cell r="C9">
            <v>16</v>
          </cell>
          <cell r="D9">
            <v>0</v>
          </cell>
          <cell r="E9">
            <v>0</v>
          </cell>
        </row>
        <row r="11">
          <cell r="B11">
            <v>1</v>
          </cell>
          <cell r="C11">
            <v>6</v>
          </cell>
          <cell r="D11">
            <v>0</v>
          </cell>
          <cell r="E11">
            <v>0</v>
          </cell>
        </row>
        <row r="12">
          <cell r="B12">
            <v>0</v>
          </cell>
          <cell r="C12">
            <v>35</v>
          </cell>
          <cell r="D12">
            <v>0</v>
          </cell>
          <cell r="E12">
            <v>0</v>
          </cell>
        </row>
        <row r="13">
          <cell r="B13">
            <v>0</v>
          </cell>
          <cell r="C13">
            <v>892</v>
          </cell>
          <cell r="D13">
            <v>0</v>
          </cell>
          <cell r="E13">
            <v>203</v>
          </cell>
        </row>
        <row r="16">
          <cell r="B16">
            <v>0</v>
          </cell>
          <cell r="C16">
            <v>78</v>
          </cell>
          <cell r="D16">
            <v>0</v>
          </cell>
          <cell r="E16">
            <v>0</v>
          </cell>
        </row>
        <row r="17">
          <cell r="B17">
            <v>0</v>
          </cell>
          <cell r="C17">
            <v>102</v>
          </cell>
          <cell r="D17">
            <v>2</v>
          </cell>
          <cell r="E17">
            <v>0</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 Revenue x LOB &amp; CC"/>
      <sheetName val="PT Revenue x LOB &amp; CC (IR)"/>
      <sheetName val="LOB Rev x CC (Sum)"/>
      <sheetName val="PT Revenue x LOB &amp; CC (IR) (MF)"/>
      <sheetName val="LOB Rev x CC"/>
    </sheetNames>
    <sheetDataSet>
      <sheetData sheetId="0">
        <row r="5">
          <cell r="F5">
            <v>0.22</v>
          </cell>
          <cell r="G5">
            <v>0.22</v>
          </cell>
          <cell r="H5">
            <v>0.22</v>
          </cell>
          <cell r="J5">
            <v>0.22</v>
          </cell>
        </row>
        <row r="7">
          <cell r="C7">
            <v>55</v>
          </cell>
          <cell r="D7">
            <v>82.5</v>
          </cell>
          <cell r="E7">
            <v>138.63999999999999</v>
          </cell>
          <cell r="F7">
            <v>27.5</v>
          </cell>
          <cell r="H7">
            <v>27.5</v>
          </cell>
          <cell r="J7">
            <v>70</v>
          </cell>
          <cell r="K7">
            <v>42.5</v>
          </cell>
          <cell r="M7">
            <v>55</v>
          </cell>
          <cell r="N7">
            <v>110</v>
          </cell>
        </row>
        <row r="8">
          <cell r="C8">
            <v>4.7699999999999996</v>
          </cell>
          <cell r="D8">
            <v>4.7699999999999996</v>
          </cell>
          <cell r="E8">
            <v>4.7699999999999996</v>
          </cell>
          <cell r="F8">
            <v>4.7699999999999996</v>
          </cell>
          <cell r="G8">
            <v>4.7699999999999996</v>
          </cell>
          <cell r="H8">
            <v>4.7699999999999996</v>
          </cell>
          <cell r="I8">
            <v>4.7699999999999996</v>
          </cell>
          <cell r="J8">
            <v>4.7699999999999996</v>
          </cell>
          <cell r="K8">
            <v>4.7699999999999996</v>
          </cell>
          <cell r="L8">
            <v>4.7699999999999996</v>
          </cell>
          <cell r="M8">
            <v>4.7699999999999996</v>
          </cell>
          <cell r="N8">
            <v>4.7699999999999996</v>
          </cell>
        </row>
        <row r="9">
          <cell r="E9">
            <v>164.51</v>
          </cell>
          <cell r="F9">
            <v>157.26</v>
          </cell>
          <cell r="I9">
            <v>123.79</v>
          </cell>
          <cell r="J9">
            <v>61.18</v>
          </cell>
          <cell r="K9">
            <v>144.30000000000001</v>
          </cell>
          <cell r="M9">
            <v>129.88</v>
          </cell>
          <cell r="N9">
            <v>61.18</v>
          </cell>
        </row>
        <row r="10">
          <cell r="C10">
            <v>96.9</v>
          </cell>
          <cell r="D10">
            <v>226.1</v>
          </cell>
          <cell r="E10">
            <v>193.8</v>
          </cell>
          <cell r="F10">
            <v>419.9</v>
          </cell>
          <cell r="G10">
            <v>613.69999999999982</v>
          </cell>
          <cell r="H10">
            <v>710.2600000000001</v>
          </cell>
          <cell r="I10">
            <v>339.15</v>
          </cell>
          <cell r="J10">
            <v>516.80000000000007</v>
          </cell>
          <cell r="K10">
            <v>242.25</v>
          </cell>
          <cell r="L10">
            <v>403.75</v>
          </cell>
          <cell r="M10">
            <v>274.55</v>
          </cell>
          <cell r="N10">
            <v>468.35</v>
          </cell>
        </row>
        <row r="11">
          <cell r="C11">
            <v>193.84</v>
          </cell>
          <cell r="D11">
            <v>182.1</v>
          </cell>
          <cell r="E11">
            <v>182.1</v>
          </cell>
          <cell r="F11">
            <v>182.09999999999997</v>
          </cell>
          <cell r="G11">
            <v>182.1</v>
          </cell>
          <cell r="H11">
            <v>182.1</v>
          </cell>
          <cell r="I11">
            <v>182.09999999999997</v>
          </cell>
          <cell r="J11">
            <v>182.09999999999997</v>
          </cell>
          <cell r="K11">
            <v>182.1</v>
          </cell>
          <cell r="L11">
            <v>182.1</v>
          </cell>
          <cell r="M11">
            <v>182.09999999999997</v>
          </cell>
          <cell r="N11">
            <v>182.09999999999997</v>
          </cell>
        </row>
        <row r="12">
          <cell r="C12">
            <v>17.05</v>
          </cell>
          <cell r="D12">
            <v>116.53</v>
          </cell>
          <cell r="E12">
            <v>119.37</v>
          </cell>
          <cell r="F12">
            <v>187.57</v>
          </cell>
          <cell r="G12">
            <v>119.36</v>
          </cell>
          <cell r="H12">
            <v>187.57</v>
          </cell>
          <cell r="I12">
            <v>136.43</v>
          </cell>
          <cell r="J12">
            <v>119.37</v>
          </cell>
          <cell r="K12">
            <v>17.05</v>
          </cell>
          <cell r="L12">
            <v>153.46</v>
          </cell>
          <cell r="M12">
            <v>68.209999999999994</v>
          </cell>
          <cell r="N12">
            <v>51.16</v>
          </cell>
        </row>
        <row r="13">
          <cell r="C13">
            <v>2687.44</v>
          </cell>
          <cell r="D13">
            <v>2754.88</v>
          </cell>
          <cell r="E13">
            <v>2709.92</v>
          </cell>
          <cell r="F13">
            <v>2687.4399999999991</v>
          </cell>
          <cell r="G13">
            <v>2664.9599999999996</v>
          </cell>
          <cell r="H13">
            <v>2687.4399999999996</v>
          </cell>
          <cell r="I13">
            <v>2664.9599999999991</v>
          </cell>
          <cell r="J13">
            <v>2709.9199999999992</v>
          </cell>
          <cell r="K13">
            <v>2676.1999999999994</v>
          </cell>
          <cell r="L13">
            <v>2676.1999999999989</v>
          </cell>
          <cell r="M13">
            <v>2754.8799999999992</v>
          </cell>
          <cell r="N13">
            <v>2766.119999999999</v>
          </cell>
        </row>
        <row r="16">
          <cell r="C16">
            <v>101.02</v>
          </cell>
          <cell r="D16">
            <v>101.02</v>
          </cell>
          <cell r="E16">
            <v>101.02</v>
          </cell>
          <cell r="F16">
            <v>101.02</v>
          </cell>
          <cell r="G16">
            <v>101.02</v>
          </cell>
          <cell r="H16">
            <v>101.02</v>
          </cell>
          <cell r="I16">
            <v>101.02000000000001</v>
          </cell>
          <cell r="J16">
            <v>101.02000000000001</v>
          </cell>
          <cell r="K16">
            <v>101.02</v>
          </cell>
          <cell r="L16">
            <v>101.02</v>
          </cell>
          <cell r="M16">
            <v>101.02000000000001</v>
          </cell>
          <cell r="N16">
            <v>101.02000000000001</v>
          </cell>
        </row>
        <row r="22">
          <cell r="C22">
            <v>-1701.8200000000002</v>
          </cell>
          <cell r="D22">
            <v>-1492.4599999999998</v>
          </cell>
          <cell r="E22">
            <v>-1706.2499999999998</v>
          </cell>
          <cell r="F22">
            <v>-721.43</v>
          </cell>
          <cell r="G22">
            <v>-677.95</v>
          </cell>
          <cell r="H22">
            <v>-725.6400000000001</v>
          </cell>
          <cell r="I22">
            <v>-659.0200000000001</v>
          </cell>
          <cell r="J22">
            <v>-699.35</v>
          </cell>
          <cell r="K22">
            <v>-722.68000000000018</v>
          </cell>
          <cell r="L22">
            <v>-626.29000000000008</v>
          </cell>
          <cell r="M22">
            <v>-678.35</v>
          </cell>
          <cell r="N22">
            <v>-681.11</v>
          </cell>
        </row>
        <row r="23">
          <cell r="E23">
            <v>22.63</v>
          </cell>
        </row>
        <row r="24">
          <cell r="C24">
            <v>65102.93</v>
          </cell>
          <cell r="D24">
            <v>67343.009999999995</v>
          </cell>
          <cell r="E24">
            <v>67666.069999999992</v>
          </cell>
          <cell r="F24">
            <v>68117.77</v>
          </cell>
          <cell r="G24">
            <v>66614.910000000018</v>
          </cell>
          <cell r="H24">
            <v>66521.399999999994</v>
          </cell>
          <cell r="I24">
            <v>65718.369999999981</v>
          </cell>
          <cell r="J24">
            <v>66011.23000000001</v>
          </cell>
          <cell r="K24">
            <v>65608.560000000027</v>
          </cell>
          <cell r="L24">
            <v>65597.180000000022</v>
          </cell>
          <cell r="M24">
            <v>66625.439999999988</v>
          </cell>
          <cell r="N24">
            <v>67383.939999999988</v>
          </cell>
        </row>
        <row r="25">
          <cell r="C25">
            <v>1.32</v>
          </cell>
          <cell r="D25">
            <v>1.32</v>
          </cell>
          <cell r="E25">
            <v>1.32</v>
          </cell>
          <cell r="F25">
            <v>1.32</v>
          </cell>
          <cell r="G25">
            <v>1.32</v>
          </cell>
          <cell r="H25">
            <v>1.32</v>
          </cell>
          <cell r="I25">
            <v>1.32</v>
          </cell>
          <cell r="J25">
            <v>1.32</v>
          </cell>
          <cell r="K25">
            <v>1.32</v>
          </cell>
          <cell r="L25">
            <v>1.32</v>
          </cell>
          <cell r="M25">
            <v>1.32</v>
          </cell>
          <cell r="N25">
            <v>1.32</v>
          </cell>
        </row>
        <row r="26">
          <cell r="D26">
            <v>3.63</v>
          </cell>
          <cell r="J26">
            <v>10.89</v>
          </cell>
          <cell r="N26">
            <v>7.26</v>
          </cell>
        </row>
        <row r="27">
          <cell r="D27">
            <v>82.5</v>
          </cell>
          <cell r="E27">
            <v>27.5</v>
          </cell>
          <cell r="F27">
            <v>55</v>
          </cell>
          <cell r="I27">
            <v>27.5</v>
          </cell>
          <cell r="J27">
            <v>27.5</v>
          </cell>
          <cell r="L27">
            <v>27.5</v>
          </cell>
          <cell r="N27">
            <v>27.5</v>
          </cell>
        </row>
        <row r="29">
          <cell r="D29">
            <v>91.19</v>
          </cell>
        </row>
        <row r="32">
          <cell r="C32">
            <v>194.24</v>
          </cell>
          <cell r="D32">
            <v>194.24</v>
          </cell>
          <cell r="E32">
            <v>194.23999999999998</v>
          </cell>
          <cell r="F32">
            <v>194.24</v>
          </cell>
          <cell r="G32">
            <v>191.15999999999997</v>
          </cell>
          <cell r="H32">
            <v>188.17000000000002</v>
          </cell>
          <cell r="I32">
            <v>188.17000000000002</v>
          </cell>
          <cell r="J32">
            <v>188.17000000000002</v>
          </cell>
          <cell r="K32">
            <v>188.17000000000002</v>
          </cell>
          <cell r="L32">
            <v>188.16999999999996</v>
          </cell>
          <cell r="M32">
            <v>188.17000000000002</v>
          </cell>
          <cell r="N32">
            <v>188.17000000000002</v>
          </cell>
        </row>
        <row r="33">
          <cell r="C33">
            <v>85.25</v>
          </cell>
          <cell r="D33">
            <v>17.05</v>
          </cell>
          <cell r="E33">
            <v>187.55</v>
          </cell>
          <cell r="F33">
            <v>102.3</v>
          </cell>
          <cell r="G33">
            <v>153.44999999999999</v>
          </cell>
          <cell r="H33">
            <v>187.55000000000004</v>
          </cell>
          <cell r="I33">
            <v>170.5</v>
          </cell>
          <cell r="J33">
            <v>68.2</v>
          </cell>
          <cell r="K33">
            <v>34.1</v>
          </cell>
          <cell r="M33">
            <v>68.2</v>
          </cell>
          <cell r="N33">
            <v>17.05</v>
          </cell>
        </row>
        <row r="34">
          <cell r="C34">
            <v>517.04</v>
          </cell>
          <cell r="D34">
            <v>528.28</v>
          </cell>
          <cell r="E34">
            <v>517.04000000000008</v>
          </cell>
          <cell r="F34">
            <v>505.80000000000007</v>
          </cell>
          <cell r="G34">
            <v>494.56000000000006</v>
          </cell>
          <cell r="H34">
            <v>483.32</v>
          </cell>
          <cell r="I34">
            <v>483.32</v>
          </cell>
          <cell r="J34">
            <v>483.32</v>
          </cell>
          <cell r="K34">
            <v>483.32</v>
          </cell>
          <cell r="L34">
            <v>494.56</v>
          </cell>
          <cell r="M34">
            <v>472.0800000000001</v>
          </cell>
          <cell r="N34">
            <v>483.32000000000011</v>
          </cell>
        </row>
        <row r="35">
          <cell r="C35">
            <v>108.12</v>
          </cell>
          <cell r="D35">
            <v>108.12</v>
          </cell>
          <cell r="E35">
            <v>108.12</v>
          </cell>
          <cell r="F35">
            <v>108.12</v>
          </cell>
          <cell r="G35">
            <v>103.55</v>
          </cell>
          <cell r="H35">
            <v>99.11</v>
          </cell>
          <cell r="I35">
            <v>99.11</v>
          </cell>
          <cell r="J35">
            <v>99.11</v>
          </cell>
          <cell r="K35">
            <v>99.11</v>
          </cell>
          <cell r="L35">
            <v>99.11</v>
          </cell>
          <cell r="M35">
            <v>99.11</v>
          </cell>
          <cell r="N35">
            <v>99.11</v>
          </cell>
        </row>
        <row r="41">
          <cell r="C41">
            <v>-723.8</v>
          </cell>
          <cell r="D41">
            <v>-655.6</v>
          </cell>
          <cell r="E41">
            <v>-755.69999999999993</v>
          </cell>
          <cell r="F41">
            <v>-309.12</v>
          </cell>
          <cell r="G41">
            <v>-292.8</v>
          </cell>
          <cell r="H41">
            <v>-324.95999999999998</v>
          </cell>
          <cell r="I41">
            <v>-303.36</v>
          </cell>
          <cell r="J41">
            <v>-325.92</v>
          </cell>
          <cell r="K41">
            <v>-315.84000000000003</v>
          </cell>
          <cell r="L41">
            <v>-286.08</v>
          </cell>
          <cell r="M41">
            <v>-295.68</v>
          </cell>
          <cell r="N41">
            <v>-320.16000000000003</v>
          </cell>
        </row>
        <row r="42">
          <cell r="C42">
            <v>20331.470000000005</v>
          </cell>
          <cell r="D42">
            <v>20450.520000000004</v>
          </cell>
          <cell r="E42">
            <v>19570.29</v>
          </cell>
          <cell r="F42">
            <v>20302.969999999998</v>
          </cell>
          <cell r="G42">
            <v>20674.34</v>
          </cell>
          <cell r="H42">
            <v>20785.920000000006</v>
          </cell>
          <cell r="I42">
            <v>20337.84</v>
          </cell>
          <cell r="J42">
            <v>19677.91</v>
          </cell>
          <cell r="K42">
            <v>20278.180000000004</v>
          </cell>
          <cell r="L42">
            <v>20142.039999999997</v>
          </cell>
          <cell r="M42">
            <v>20771.049999999992</v>
          </cell>
          <cell r="N42">
            <v>21249.829999999998</v>
          </cell>
        </row>
        <row r="45">
          <cell r="H45">
            <v>170</v>
          </cell>
        </row>
        <row r="46">
          <cell r="C46">
            <v>19080.87</v>
          </cell>
          <cell r="D46">
            <v>14749.6</v>
          </cell>
          <cell r="E46">
            <v>9978.5699999999961</v>
          </cell>
          <cell r="F46">
            <v>14916.83</v>
          </cell>
          <cell r="G46">
            <v>13633.220000000001</v>
          </cell>
          <cell r="H46">
            <v>16836.16</v>
          </cell>
          <cell r="I46">
            <v>17835.77</v>
          </cell>
          <cell r="J46">
            <v>11734.91</v>
          </cell>
          <cell r="K46">
            <v>19479</v>
          </cell>
          <cell r="L46">
            <v>21366.18</v>
          </cell>
          <cell r="M46">
            <v>19134.289999999997</v>
          </cell>
          <cell r="N46">
            <v>21598.79</v>
          </cell>
        </row>
        <row r="47">
          <cell r="C47">
            <v>30.6</v>
          </cell>
          <cell r="D47">
            <v>42.5</v>
          </cell>
          <cell r="E47">
            <v>27.2</v>
          </cell>
          <cell r="F47">
            <v>42.5</v>
          </cell>
          <cell r="G47">
            <v>30.6</v>
          </cell>
          <cell r="H47">
            <v>42.5</v>
          </cell>
          <cell r="I47">
            <v>27.2</v>
          </cell>
          <cell r="J47">
            <v>30.6</v>
          </cell>
          <cell r="K47">
            <v>30.6</v>
          </cell>
          <cell r="L47">
            <v>30.6</v>
          </cell>
          <cell r="M47">
            <v>39.1</v>
          </cell>
          <cell r="N47">
            <v>30.6</v>
          </cell>
        </row>
        <row r="50">
          <cell r="L50">
            <v>68.22</v>
          </cell>
        </row>
        <row r="51">
          <cell r="C51">
            <v>89.92</v>
          </cell>
          <cell r="D51">
            <v>157.36000000000001</v>
          </cell>
          <cell r="E51">
            <v>134.88</v>
          </cell>
          <cell r="F51">
            <v>123.64</v>
          </cell>
          <cell r="G51">
            <v>101.16</v>
          </cell>
          <cell r="H51">
            <v>128.07999999999998</v>
          </cell>
          <cell r="I51">
            <v>89.92</v>
          </cell>
          <cell r="J51">
            <v>101.16</v>
          </cell>
          <cell r="K51">
            <v>104.49</v>
          </cell>
          <cell r="L51">
            <v>67.44</v>
          </cell>
          <cell r="M51">
            <v>67.44</v>
          </cell>
          <cell r="N51">
            <v>89.92</v>
          </cell>
        </row>
        <row r="52">
          <cell r="C52">
            <v>105.04</v>
          </cell>
          <cell r="D52">
            <v>105.04</v>
          </cell>
          <cell r="E52">
            <v>105.04</v>
          </cell>
          <cell r="F52">
            <v>105.04</v>
          </cell>
          <cell r="G52">
            <v>105.04</v>
          </cell>
          <cell r="H52">
            <v>105.04</v>
          </cell>
          <cell r="I52">
            <v>105.04</v>
          </cell>
          <cell r="J52">
            <v>105.04</v>
          </cell>
          <cell r="K52">
            <v>80</v>
          </cell>
          <cell r="L52">
            <v>80</v>
          </cell>
          <cell r="M52">
            <v>80</v>
          </cell>
          <cell r="N52">
            <v>80</v>
          </cell>
        </row>
        <row r="56">
          <cell r="C56">
            <v>85</v>
          </cell>
          <cell r="E56">
            <v>170</v>
          </cell>
          <cell r="F56">
            <v>-170</v>
          </cell>
          <cell r="K56">
            <v>85</v>
          </cell>
        </row>
        <row r="58">
          <cell r="H58">
            <v>44</v>
          </cell>
        </row>
        <row r="59">
          <cell r="C59">
            <v>-463.2</v>
          </cell>
          <cell r="D59">
            <v>-463.2</v>
          </cell>
          <cell r="E59">
            <v>-348.57</v>
          </cell>
          <cell r="F59">
            <v>-201.6</v>
          </cell>
          <cell r="G59">
            <v>-201.6</v>
          </cell>
          <cell r="H59">
            <v>-253.86</v>
          </cell>
          <cell r="I59">
            <v>-201.6</v>
          </cell>
          <cell r="J59">
            <v>-252</v>
          </cell>
          <cell r="K59">
            <v>-202.01999999999998</v>
          </cell>
          <cell r="L59">
            <v>-201.6</v>
          </cell>
          <cell r="M59">
            <v>-252</v>
          </cell>
          <cell r="N59">
            <v>-201.6</v>
          </cell>
        </row>
        <row r="60">
          <cell r="C60">
            <v>45474.789999999994</v>
          </cell>
          <cell r="D60">
            <v>41124.210000000006</v>
          </cell>
          <cell r="E60">
            <v>35947.209999999992</v>
          </cell>
          <cell r="F60">
            <v>41263.000000000007</v>
          </cell>
          <cell r="G60">
            <v>39103.340000000011</v>
          </cell>
          <cell r="H60">
            <v>46146.399999999994</v>
          </cell>
          <cell r="I60">
            <v>42530.11</v>
          </cell>
          <cell r="J60">
            <v>37745.280000000006</v>
          </cell>
          <cell r="K60">
            <v>49483.43</v>
          </cell>
          <cell r="L60">
            <v>45860.54</v>
          </cell>
          <cell r="M60">
            <v>45015.039999999994</v>
          </cell>
          <cell r="N60">
            <v>50205.71</v>
          </cell>
        </row>
        <row r="62">
          <cell r="N62">
            <v>654.29999999999995</v>
          </cell>
        </row>
        <row r="63">
          <cell r="C63">
            <v>67.150000000000006</v>
          </cell>
          <cell r="D63">
            <v>110</v>
          </cell>
          <cell r="E63">
            <v>177.15</v>
          </cell>
          <cell r="F63">
            <v>67.150000000000006</v>
          </cell>
          <cell r="G63">
            <v>219.3</v>
          </cell>
          <cell r="I63">
            <v>177.15</v>
          </cell>
          <cell r="J63">
            <v>365</v>
          </cell>
          <cell r="K63">
            <v>220</v>
          </cell>
        </row>
        <row r="65">
          <cell r="C65">
            <v>8504.41</v>
          </cell>
          <cell r="D65">
            <v>8773.07</v>
          </cell>
          <cell r="E65">
            <v>7704.0899999999992</v>
          </cell>
          <cell r="F65">
            <v>9483.9</v>
          </cell>
          <cell r="G65">
            <v>8204.18</v>
          </cell>
          <cell r="H65">
            <v>6729.23</v>
          </cell>
          <cell r="I65">
            <v>8206.34</v>
          </cell>
          <cell r="J65">
            <v>9573.2300000000014</v>
          </cell>
          <cell r="K65">
            <v>8080.41</v>
          </cell>
          <cell r="L65">
            <v>7394.98</v>
          </cell>
          <cell r="M65">
            <v>6862.829999999999</v>
          </cell>
          <cell r="N65">
            <v>6574.5000000000009</v>
          </cell>
          <cell r="O65">
            <v>96091.17</v>
          </cell>
        </row>
        <row r="66">
          <cell r="C66">
            <v>508.3</v>
          </cell>
          <cell r="D66">
            <v>421.6</v>
          </cell>
          <cell r="E66">
            <v>289</v>
          </cell>
          <cell r="F66">
            <v>423.3</v>
          </cell>
          <cell r="G66">
            <v>428.4</v>
          </cell>
          <cell r="H66">
            <v>365.5</v>
          </cell>
          <cell r="I66">
            <v>452.2</v>
          </cell>
          <cell r="J66">
            <v>362.1</v>
          </cell>
          <cell r="K66">
            <v>489.6</v>
          </cell>
          <cell r="L66">
            <v>384.19999999999993</v>
          </cell>
          <cell r="M66">
            <v>409.70000000000005</v>
          </cell>
          <cell r="N66">
            <v>340</v>
          </cell>
        </row>
        <row r="69">
          <cell r="G69">
            <v>102.32</v>
          </cell>
          <cell r="H69">
            <v>156.31</v>
          </cell>
        </row>
        <row r="70">
          <cell r="C70">
            <v>101.16</v>
          </cell>
          <cell r="D70">
            <v>101.16</v>
          </cell>
          <cell r="E70">
            <v>101.16</v>
          </cell>
          <cell r="F70">
            <v>101.16</v>
          </cell>
          <cell r="G70">
            <v>101.16000000000001</v>
          </cell>
          <cell r="H70">
            <v>89.92</v>
          </cell>
          <cell r="I70">
            <v>89.919999999999987</v>
          </cell>
          <cell r="J70">
            <v>89.919999999999987</v>
          </cell>
          <cell r="K70">
            <v>89.92</v>
          </cell>
          <cell r="L70">
            <v>89.92</v>
          </cell>
          <cell r="M70">
            <v>89.919999999999987</v>
          </cell>
          <cell r="N70">
            <v>89.919999999999987</v>
          </cell>
        </row>
        <row r="75">
          <cell r="C75">
            <v>-1119.4000000000001</v>
          </cell>
          <cell r="D75">
            <v>-926.4</v>
          </cell>
          <cell r="E75">
            <v>-926.4</v>
          </cell>
          <cell r="F75">
            <v>-520.79999999999995</v>
          </cell>
          <cell r="G75">
            <v>-403.2</v>
          </cell>
          <cell r="H75">
            <v>-403.2</v>
          </cell>
          <cell r="I75">
            <v>-487.2</v>
          </cell>
          <cell r="J75">
            <v>-436.79999999999995</v>
          </cell>
          <cell r="K75">
            <v>-487.2</v>
          </cell>
          <cell r="L75">
            <v>-403.2</v>
          </cell>
          <cell r="M75">
            <v>-403.2</v>
          </cell>
          <cell r="N75">
            <v>-403.2</v>
          </cell>
        </row>
        <row r="76">
          <cell r="C76">
            <v>33645.18</v>
          </cell>
          <cell r="D76">
            <v>36046.28</v>
          </cell>
          <cell r="E76">
            <v>34302.019999999997</v>
          </cell>
          <cell r="F76">
            <v>37691.509999999995</v>
          </cell>
          <cell r="G76">
            <v>32012.339999999993</v>
          </cell>
          <cell r="H76">
            <v>28401.39</v>
          </cell>
          <cell r="I76">
            <v>32270.649999999998</v>
          </cell>
          <cell r="J76">
            <v>30973.709999999995</v>
          </cell>
          <cell r="K76">
            <v>32396.019999999993</v>
          </cell>
          <cell r="L76">
            <v>25690.089999999997</v>
          </cell>
          <cell r="M76">
            <v>30983.84</v>
          </cell>
          <cell r="N76">
            <v>30120.32</v>
          </cell>
        </row>
        <row r="96">
          <cell r="C96">
            <v>0.66</v>
          </cell>
          <cell r="F96">
            <v>0.66</v>
          </cell>
          <cell r="I96">
            <v>0</v>
          </cell>
        </row>
        <row r="98">
          <cell r="C98">
            <v>1595.9400000000007</v>
          </cell>
          <cell r="D98">
            <v>1995.2500000000007</v>
          </cell>
          <cell r="E98">
            <v>2012.3900000000003</v>
          </cell>
          <cell r="F98">
            <v>1754.92</v>
          </cell>
          <cell r="G98">
            <v>1636.5200000000004</v>
          </cell>
          <cell r="H98">
            <v>1474.1000000000006</v>
          </cell>
          <cell r="I98">
            <v>3525.8300000000004</v>
          </cell>
          <cell r="J98">
            <v>2087.8500000000004</v>
          </cell>
          <cell r="K98">
            <v>1901.3900000000006</v>
          </cell>
          <cell r="L98">
            <v>957.0599999999996</v>
          </cell>
          <cell r="M98">
            <v>1145.78</v>
          </cell>
          <cell r="N98">
            <v>1695.9900000000005</v>
          </cell>
        </row>
        <row r="100">
          <cell r="C100">
            <v>120</v>
          </cell>
          <cell r="D100">
            <v>30</v>
          </cell>
          <cell r="E100">
            <v>75</v>
          </cell>
          <cell r="F100">
            <v>30</v>
          </cell>
          <cell r="G100">
            <v>150</v>
          </cell>
          <cell r="H100">
            <v>120</v>
          </cell>
          <cell r="I100">
            <v>135</v>
          </cell>
          <cell r="J100">
            <v>90</v>
          </cell>
          <cell r="K100">
            <v>180</v>
          </cell>
          <cell r="L100">
            <v>75</v>
          </cell>
          <cell r="M100">
            <v>150.06</v>
          </cell>
          <cell r="N100">
            <v>105</v>
          </cell>
        </row>
        <row r="101">
          <cell r="C101">
            <v>76.2</v>
          </cell>
          <cell r="D101">
            <v>46.97999999999999</v>
          </cell>
          <cell r="E101">
            <v>167.64</v>
          </cell>
          <cell r="F101">
            <v>76.2</v>
          </cell>
          <cell r="G101">
            <v>152.4</v>
          </cell>
          <cell r="H101">
            <v>179.47000000000003</v>
          </cell>
          <cell r="I101">
            <v>76.2</v>
          </cell>
          <cell r="J101">
            <v>152.4</v>
          </cell>
          <cell r="K101">
            <v>182.88000000000002</v>
          </cell>
          <cell r="L101">
            <v>76.2</v>
          </cell>
          <cell r="M101">
            <v>152.4</v>
          </cell>
          <cell r="N101">
            <v>174.79000000000002</v>
          </cell>
        </row>
        <row r="102">
          <cell r="C102">
            <v>-4.5999999999999996</v>
          </cell>
          <cell r="D102">
            <v>17.27</v>
          </cell>
          <cell r="E102">
            <v>9.5300000000000011</v>
          </cell>
          <cell r="F102">
            <v>13.31</v>
          </cell>
          <cell r="G102">
            <v>-3.5299999999999994</v>
          </cell>
          <cell r="H102">
            <v>-6.1700000000000008</v>
          </cell>
          <cell r="I102">
            <v>7.98</v>
          </cell>
          <cell r="J102">
            <v>31.310000000000002</v>
          </cell>
          <cell r="K102">
            <v>10.51</v>
          </cell>
          <cell r="L102">
            <v>18.260000000000002</v>
          </cell>
          <cell r="M102">
            <v>15.29</v>
          </cell>
          <cell r="N102">
            <v>12.319999999999999</v>
          </cell>
        </row>
        <row r="105">
          <cell r="C105">
            <v>7329.829999999999</v>
          </cell>
          <cell r="D105">
            <v>7130.8399999999983</v>
          </cell>
          <cell r="E105">
            <v>8687.7800000000025</v>
          </cell>
          <cell r="F105">
            <v>7274.869999999999</v>
          </cell>
          <cell r="G105">
            <v>7225.7199999999993</v>
          </cell>
          <cell r="H105">
            <v>8688.3299999999981</v>
          </cell>
          <cell r="I105">
            <v>7275.699999999998</v>
          </cell>
          <cell r="J105">
            <v>7248.7899999999972</v>
          </cell>
          <cell r="K105">
            <v>8673.7699999999986</v>
          </cell>
          <cell r="L105">
            <v>7274.2599999999975</v>
          </cell>
          <cell r="M105">
            <v>7206.9499999999989</v>
          </cell>
          <cell r="N105">
            <v>8681.48</v>
          </cell>
        </row>
        <row r="108">
          <cell r="D108">
            <v>9.18</v>
          </cell>
          <cell r="G108">
            <v>9.18</v>
          </cell>
          <cell r="J108">
            <v>9.18</v>
          </cell>
          <cell r="M108">
            <v>9.18</v>
          </cell>
        </row>
        <row r="119">
          <cell r="C119">
            <v>22.200000000000003</v>
          </cell>
          <cell r="D119">
            <v>37</v>
          </cell>
          <cell r="E119">
            <v>82.360000000000014</v>
          </cell>
          <cell r="F119">
            <v>29.6</v>
          </cell>
          <cell r="H119">
            <v>29.6</v>
          </cell>
          <cell r="I119">
            <v>44.4</v>
          </cell>
          <cell r="J119">
            <v>29.6</v>
          </cell>
          <cell r="K119">
            <v>29.6</v>
          </cell>
          <cell r="L119">
            <v>22.200000000000003</v>
          </cell>
          <cell r="M119">
            <v>37</v>
          </cell>
          <cell r="N119">
            <v>14.8</v>
          </cell>
        </row>
        <row r="121">
          <cell r="E121">
            <v>3.78</v>
          </cell>
          <cell r="H121">
            <v>3.78</v>
          </cell>
          <cell r="K121">
            <v>0.27</v>
          </cell>
        </row>
        <row r="122">
          <cell r="C122">
            <v>3.06</v>
          </cell>
          <cell r="D122">
            <v>9.18</v>
          </cell>
          <cell r="E122">
            <v>9.18</v>
          </cell>
          <cell r="F122">
            <v>3.06</v>
          </cell>
          <cell r="G122">
            <v>9.18</v>
          </cell>
          <cell r="H122">
            <v>9.18</v>
          </cell>
          <cell r="I122">
            <v>3.06</v>
          </cell>
          <cell r="J122">
            <v>9.18</v>
          </cell>
          <cell r="K122">
            <v>9.18</v>
          </cell>
          <cell r="L122">
            <v>3.06</v>
          </cell>
          <cell r="M122">
            <v>9.18</v>
          </cell>
          <cell r="N122">
            <v>9.18</v>
          </cell>
        </row>
        <row r="123">
          <cell r="D123">
            <v>0.27</v>
          </cell>
          <cell r="G123">
            <v>0.27</v>
          </cell>
          <cell r="J123">
            <v>0.27</v>
          </cell>
          <cell r="M123">
            <v>0.27</v>
          </cell>
        </row>
        <row r="124">
          <cell r="D124">
            <v>1.35</v>
          </cell>
          <cell r="G124">
            <v>1.35</v>
          </cell>
          <cell r="J124">
            <v>1.35</v>
          </cell>
          <cell r="M124">
            <v>1.35</v>
          </cell>
        </row>
        <row r="125">
          <cell r="D125">
            <v>3.24</v>
          </cell>
          <cell r="G125">
            <v>3.24</v>
          </cell>
          <cell r="J125">
            <v>3.24</v>
          </cell>
          <cell r="M125">
            <v>3.24</v>
          </cell>
        </row>
        <row r="127">
          <cell r="C127">
            <v>-15032.26</v>
          </cell>
          <cell r="D127">
            <v>-14614.179999999998</v>
          </cell>
          <cell r="E127">
            <v>-17812.509999999998</v>
          </cell>
          <cell r="F127">
            <v>-14888.64</v>
          </cell>
          <cell r="G127">
            <v>-11203.040000000003</v>
          </cell>
          <cell r="H127">
            <v>2078.1899999999996</v>
          </cell>
          <cell r="I127">
            <v>-4191.03</v>
          </cell>
          <cell r="J127">
            <v>-4183.8099999999995</v>
          </cell>
          <cell r="K127">
            <v>-5007.1100000000006</v>
          </cell>
          <cell r="L127">
            <v>-4191.1599999999989</v>
          </cell>
          <cell r="M127">
            <v>-4158.37</v>
          </cell>
          <cell r="N127">
            <v>-5007.7299999999996</v>
          </cell>
        </row>
        <row r="129">
          <cell r="C129">
            <v>212852.65</v>
          </cell>
          <cell r="D129">
            <v>208375.11999999994</v>
          </cell>
          <cell r="E129">
            <v>256439.9200000001</v>
          </cell>
          <cell r="F129">
            <v>212079.18000000002</v>
          </cell>
          <cell r="G129">
            <v>214550.23999999996</v>
          </cell>
          <cell r="H129">
            <v>275862.04999999987</v>
          </cell>
          <cell r="I129">
            <v>225109.25</v>
          </cell>
          <cell r="J129">
            <v>222860.01000000004</v>
          </cell>
          <cell r="K129">
            <v>270200.16000000003</v>
          </cell>
          <cell r="L129">
            <v>222540.95000000007</v>
          </cell>
          <cell r="M129">
            <v>221152.47999999995</v>
          </cell>
          <cell r="N129">
            <v>268308.92</v>
          </cell>
        </row>
        <row r="136">
          <cell r="C136">
            <v>687.98</v>
          </cell>
          <cell r="D136">
            <v>705.16</v>
          </cell>
          <cell r="E136">
            <v>713.91</v>
          </cell>
          <cell r="F136">
            <v>686.36</v>
          </cell>
          <cell r="G136">
            <v>705.05000000000007</v>
          </cell>
          <cell r="H136">
            <v>716.77</v>
          </cell>
          <cell r="I136">
            <v>684.94999999999993</v>
          </cell>
          <cell r="J136">
            <v>714.13999999999987</v>
          </cell>
          <cell r="K136">
            <v>714.43</v>
          </cell>
          <cell r="L136">
            <v>689.79</v>
          </cell>
          <cell r="M136">
            <v>723.3599999999999</v>
          </cell>
          <cell r="N136">
            <v>712.13000000000011</v>
          </cell>
        </row>
        <row r="138">
          <cell r="C138">
            <v>1283.81</v>
          </cell>
          <cell r="D138">
            <v>1368.51</v>
          </cell>
          <cell r="E138">
            <v>1532.2600000000002</v>
          </cell>
          <cell r="F138">
            <v>1500.7700000000002</v>
          </cell>
          <cell r="G138">
            <v>1156.0900000000001</v>
          </cell>
          <cell r="H138">
            <v>967.19999999999982</v>
          </cell>
          <cell r="I138">
            <v>1571.0500000000002</v>
          </cell>
          <cell r="J138">
            <v>1883.97</v>
          </cell>
          <cell r="K138">
            <v>1941.2499999999998</v>
          </cell>
          <cell r="L138">
            <v>646.13999999999987</v>
          </cell>
          <cell r="M138">
            <v>1001.8799999999999</v>
          </cell>
          <cell r="N138">
            <v>1064.1499999999999</v>
          </cell>
        </row>
        <row r="139">
          <cell r="C139">
            <v>60</v>
          </cell>
          <cell r="D139">
            <v>45</v>
          </cell>
          <cell r="E139">
            <v>45</v>
          </cell>
          <cell r="F139">
            <v>15</v>
          </cell>
          <cell r="G139">
            <v>30</v>
          </cell>
          <cell r="H139">
            <v>15</v>
          </cell>
          <cell r="I139">
            <v>45</v>
          </cell>
          <cell r="J139">
            <v>30</v>
          </cell>
          <cell r="K139">
            <v>45</v>
          </cell>
          <cell r="L139">
            <v>15</v>
          </cell>
          <cell r="M139">
            <v>45</v>
          </cell>
          <cell r="N139">
            <v>15</v>
          </cell>
        </row>
        <row r="140">
          <cell r="C140">
            <v>10.02</v>
          </cell>
          <cell r="F140">
            <v>-8.4700000000000006</v>
          </cell>
          <cell r="I140">
            <v>0.33</v>
          </cell>
          <cell r="N140">
            <v>2.2999999999999998</v>
          </cell>
        </row>
        <row r="142">
          <cell r="C142">
            <v>3401.42</v>
          </cell>
          <cell r="D142">
            <v>3468.94</v>
          </cell>
          <cell r="E142">
            <v>3526.38</v>
          </cell>
          <cell r="F142">
            <v>3391.67</v>
          </cell>
          <cell r="G142">
            <v>3468.1400000000003</v>
          </cell>
          <cell r="H142">
            <v>3541.8700000000003</v>
          </cell>
          <cell r="I142">
            <v>3381.46</v>
          </cell>
          <cell r="J142">
            <v>3510.48</v>
          </cell>
          <cell r="K142">
            <v>3523.62</v>
          </cell>
          <cell r="L142">
            <v>3405.3199999999993</v>
          </cell>
          <cell r="M142">
            <v>3551.3399999999997</v>
          </cell>
          <cell r="N142">
            <v>3512.4899999999993</v>
          </cell>
        </row>
        <row r="153">
          <cell r="C153">
            <v>7.4</v>
          </cell>
          <cell r="E153">
            <v>22.200000000000003</v>
          </cell>
          <cell r="G153">
            <v>14.8</v>
          </cell>
          <cell r="H153">
            <v>7.4</v>
          </cell>
          <cell r="I153">
            <v>22.200000000000003</v>
          </cell>
          <cell r="J153">
            <v>0</v>
          </cell>
          <cell r="K153">
            <v>14.8</v>
          </cell>
          <cell r="M153">
            <v>7.4</v>
          </cell>
        </row>
        <row r="156">
          <cell r="C156">
            <v>-6982.1600000000008</v>
          </cell>
          <cell r="D156">
            <v>-7121.47</v>
          </cell>
          <cell r="E156">
            <v>-7236.2699999999986</v>
          </cell>
          <cell r="F156">
            <v>-6961.7199999999993</v>
          </cell>
          <cell r="G156">
            <v>-5463.9999999999991</v>
          </cell>
          <cell r="H156">
            <v>1398.42</v>
          </cell>
          <cell r="I156">
            <v>-1934.87</v>
          </cell>
          <cell r="J156">
            <v>-2012.46</v>
          </cell>
          <cell r="K156">
            <v>-2015.4499999999998</v>
          </cell>
          <cell r="L156">
            <v>-1948.22</v>
          </cell>
          <cell r="M156">
            <v>-2038.79</v>
          </cell>
          <cell r="N156">
            <v>-2009</v>
          </cell>
        </row>
        <row r="158">
          <cell r="C158">
            <v>100457.31999999998</v>
          </cell>
          <cell r="D158">
            <v>102807.13</v>
          </cell>
          <cell r="E158">
            <v>104750.27999999998</v>
          </cell>
          <cell r="F158">
            <v>100925.12999999998</v>
          </cell>
          <cell r="G158">
            <v>104995.23999999999</v>
          </cell>
          <cell r="H158">
            <v>113156.47999999997</v>
          </cell>
          <cell r="I158">
            <v>105059.76999999999</v>
          </cell>
          <cell r="J158">
            <v>110285.56</v>
          </cell>
          <cell r="K158">
            <v>111349.39</v>
          </cell>
          <cell r="L158">
            <v>104757.76000000001</v>
          </cell>
          <cell r="M158">
            <v>110948.47</v>
          </cell>
          <cell r="N158">
            <v>108994.50000000001</v>
          </cell>
        </row>
        <row r="171">
          <cell r="C171">
            <v>17227.649999999998</v>
          </cell>
          <cell r="D171">
            <v>17242.110000000004</v>
          </cell>
          <cell r="E171">
            <v>17422.169999999998</v>
          </cell>
          <cell r="F171">
            <v>17391.34</v>
          </cell>
          <cell r="G171">
            <v>17610.600000000002</v>
          </cell>
          <cell r="H171">
            <v>17857.010000000002</v>
          </cell>
          <cell r="I171">
            <v>17858.520000000004</v>
          </cell>
          <cell r="J171">
            <v>19116.2</v>
          </cell>
          <cell r="K171">
            <v>17637.079999999998</v>
          </cell>
          <cell r="L171">
            <v>17975.129999999997</v>
          </cell>
          <cell r="M171">
            <v>17421.979999999996</v>
          </cell>
          <cell r="N171">
            <v>17397.009999999998</v>
          </cell>
        </row>
        <row r="182">
          <cell r="C182">
            <v>4092.9299999999994</v>
          </cell>
          <cell r="D182">
            <v>4050.3700000000003</v>
          </cell>
          <cell r="E182">
            <v>2566.3700000000003</v>
          </cell>
          <cell r="F182">
            <v>2751.4</v>
          </cell>
          <cell r="G182">
            <v>2654.73</v>
          </cell>
          <cell r="H182">
            <v>2606.0899999999997</v>
          </cell>
          <cell r="I182">
            <v>2589.0400000000004</v>
          </cell>
          <cell r="J182">
            <v>2393.9100000000003</v>
          </cell>
          <cell r="K182">
            <v>2597.0799999999995</v>
          </cell>
          <cell r="L182">
            <v>2597.0799999999995</v>
          </cell>
          <cell r="M182">
            <v>2660.1299999999997</v>
          </cell>
          <cell r="N182">
            <v>2665.66</v>
          </cell>
        </row>
      </sheetData>
      <sheetData sheetId="1">
        <row r="7">
          <cell r="C7">
            <v>13985.68</v>
          </cell>
          <cell r="D7">
            <v>9601.5300000000007</v>
          </cell>
          <cell r="E7">
            <v>6694.1299999999983</v>
          </cell>
          <cell r="F7">
            <v>9470.73</v>
          </cell>
          <cell r="G7">
            <v>7305.08</v>
          </cell>
          <cell r="H7">
            <v>11129.279999999999</v>
          </cell>
          <cell r="I7">
            <v>13216.439999999999</v>
          </cell>
          <cell r="J7">
            <v>6316.45</v>
          </cell>
          <cell r="K7">
            <v>14583.86</v>
          </cell>
          <cell r="L7">
            <v>16624.27</v>
          </cell>
          <cell r="M7">
            <v>15437.869999999997</v>
          </cell>
          <cell r="N7">
            <v>16853.259999999998</v>
          </cell>
        </row>
        <row r="20">
          <cell r="C20">
            <v>0</v>
          </cell>
          <cell r="D20">
            <v>132.84</v>
          </cell>
          <cell r="E20">
            <v>0</v>
          </cell>
          <cell r="F20">
            <v>287.27999999999997</v>
          </cell>
          <cell r="G20">
            <v>272.33999999999997</v>
          </cell>
          <cell r="H20">
            <v>0</v>
          </cell>
          <cell r="I20">
            <v>600.78</v>
          </cell>
          <cell r="J20">
            <v>1501.41</v>
          </cell>
          <cell r="K20">
            <v>937.46999999999991</v>
          </cell>
          <cell r="L20">
            <v>385.48</v>
          </cell>
          <cell r="M20">
            <v>479.4</v>
          </cell>
          <cell r="N20">
            <v>0</v>
          </cell>
        </row>
        <row r="27">
          <cell r="C27">
            <v>39988.58</v>
          </cell>
          <cell r="D27">
            <v>34591.440000000002</v>
          </cell>
          <cell r="E27">
            <v>31881.549999999996</v>
          </cell>
          <cell r="F27">
            <v>35130.170000000006</v>
          </cell>
          <cell r="G27">
            <v>31851.1</v>
          </cell>
          <cell r="H27">
            <v>38288.889999999992</v>
          </cell>
          <cell r="I27">
            <v>38793.389999999992</v>
          </cell>
          <cell r="J27">
            <v>34798.11</v>
          </cell>
          <cell r="K27">
            <v>45945.729999999996</v>
          </cell>
          <cell r="L27">
            <v>41423.550000000003</v>
          </cell>
          <cell r="M27">
            <v>41843.32</v>
          </cell>
          <cell r="N27">
            <v>45027.38</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72itd2(1)"/>
      <sheetName val="4197itd2(1)"/>
      <sheetName val="4183itd(1)"/>
      <sheetName val="4487itd2(1)"/>
      <sheetName val="4175itd2(1)"/>
      <sheetName val="4173itd2(1)"/>
      <sheetName val="4584itd2(1)"/>
      <sheetName val="4178its3(1)"/>
    </sheetNames>
    <sheetDataSet>
      <sheetData sheetId="0"/>
      <sheetData sheetId="1">
        <row r="11">
          <cell r="N11">
            <v>2460514</v>
          </cell>
        </row>
        <row r="14">
          <cell r="N14">
            <v>6263604</v>
          </cell>
        </row>
        <row r="17">
          <cell r="N17">
            <v>9400514</v>
          </cell>
        </row>
        <row r="19">
          <cell r="N19">
            <v>10247</v>
          </cell>
        </row>
        <row r="20">
          <cell r="N20">
            <v>193563</v>
          </cell>
        </row>
        <row r="21">
          <cell r="N21">
            <v>665844</v>
          </cell>
        </row>
        <row r="25">
          <cell r="N25">
            <v>5319376</v>
          </cell>
        </row>
        <row r="26">
          <cell r="N26">
            <v>1776944</v>
          </cell>
        </row>
        <row r="27">
          <cell r="N27">
            <v>565189</v>
          </cell>
        </row>
        <row r="30">
          <cell r="N30">
            <v>3690688</v>
          </cell>
        </row>
        <row r="31">
          <cell r="N31">
            <v>437794</v>
          </cell>
        </row>
        <row r="33">
          <cell r="N33">
            <v>1041936</v>
          </cell>
        </row>
        <row r="34">
          <cell r="N34">
            <v>1105536</v>
          </cell>
        </row>
        <row r="35">
          <cell r="N35">
            <v>3983</v>
          </cell>
        </row>
        <row r="36">
          <cell r="N36">
            <v>313448</v>
          </cell>
        </row>
        <row r="37">
          <cell r="N37">
            <v>354689</v>
          </cell>
        </row>
        <row r="38">
          <cell r="N38">
            <v>463579</v>
          </cell>
        </row>
        <row r="40">
          <cell r="N40">
            <v>1102436</v>
          </cell>
        </row>
        <row r="44">
          <cell r="N44">
            <v>248331</v>
          </cell>
        </row>
        <row r="45">
          <cell r="N45">
            <v>25059</v>
          </cell>
        </row>
        <row r="46">
          <cell r="N46">
            <v>245698</v>
          </cell>
        </row>
        <row r="47">
          <cell r="N47">
            <v>395837</v>
          </cell>
        </row>
        <row r="48">
          <cell r="N48">
            <v>61336</v>
          </cell>
        </row>
        <row r="49">
          <cell r="N49">
            <v>505128</v>
          </cell>
        </row>
      </sheetData>
      <sheetData sheetId="2">
        <row r="10">
          <cell r="N10">
            <v>3432502</v>
          </cell>
        </row>
        <row r="13">
          <cell r="N13">
            <v>3176452</v>
          </cell>
        </row>
        <row r="15">
          <cell r="N15">
            <v>4678433</v>
          </cell>
        </row>
        <row r="17">
          <cell r="N17">
            <v>37038</v>
          </cell>
        </row>
        <row r="18">
          <cell r="N18">
            <v>112050</v>
          </cell>
        </row>
        <row r="19">
          <cell r="N19">
            <v>268020</v>
          </cell>
        </row>
        <row r="23">
          <cell r="N23">
            <v>4105668</v>
          </cell>
        </row>
        <row r="24">
          <cell r="N24">
            <v>1094087</v>
          </cell>
        </row>
        <row r="25">
          <cell r="N25">
            <v>242066</v>
          </cell>
        </row>
        <row r="28">
          <cell r="N28">
            <v>1938043</v>
          </cell>
        </row>
        <row r="29">
          <cell r="N29">
            <v>195042</v>
          </cell>
        </row>
        <row r="31">
          <cell r="N31">
            <v>354617</v>
          </cell>
        </row>
        <row r="32">
          <cell r="N32">
            <v>873003</v>
          </cell>
        </row>
        <row r="33">
          <cell r="N33">
            <v>90558</v>
          </cell>
        </row>
        <row r="34">
          <cell r="N34">
            <v>682936</v>
          </cell>
        </row>
        <row r="35">
          <cell r="N35">
            <v>107505</v>
          </cell>
        </row>
        <row r="36">
          <cell r="N36">
            <v>462569</v>
          </cell>
        </row>
        <row r="38">
          <cell r="N38">
            <v>472404</v>
          </cell>
        </row>
        <row r="42">
          <cell r="N42">
            <v>136200</v>
          </cell>
        </row>
        <row r="43">
          <cell r="N43">
            <v>49965</v>
          </cell>
        </row>
        <row r="44">
          <cell r="N44">
            <v>433604</v>
          </cell>
        </row>
        <row r="45">
          <cell r="N45">
            <v>239383</v>
          </cell>
        </row>
        <row r="46">
          <cell r="N46">
            <v>27179</v>
          </cell>
        </row>
        <row r="47">
          <cell r="N47">
            <v>242394</v>
          </cell>
        </row>
      </sheetData>
      <sheetData sheetId="3">
        <row r="8">
          <cell r="N8">
            <v>387718</v>
          </cell>
        </row>
        <row r="12">
          <cell r="N12">
            <v>563024</v>
          </cell>
        </row>
        <row r="15">
          <cell r="N15">
            <v>433000</v>
          </cell>
        </row>
        <row r="19">
          <cell r="N19">
            <v>95838</v>
          </cell>
        </row>
        <row r="22">
          <cell r="N22">
            <v>498330</v>
          </cell>
        </row>
        <row r="23">
          <cell r="N23">
            <v>0</v>
          </cell>
        </row>
        <row r="25">
          <cell r="N25">
            <v>228022</v>
          </cell>
        </row>
        <row r="26">
          <cell r="N26">
            <v>33402</v>
          </cell>
        </row>
        <row r="27">
          <cell r="N27">
            <v>1873</v>
          </cell>
        </row>
        <row r="28">
          <cell r="N28">
            <v>62902</v>
          </cell>
        </row>
        <row r="29">
          <cell r="N29">
            <v>2496</v>
          </cell>
        </row>
        <row r="30">
          <cell r="N30">
            <v>25210</v>
          </cell>
        </row>
        <row r="32">
          <cell r="N32">
            <v>106344</v>
          </cell>
        </row>
        <row r="36">
          <cell r="N36">
            <v>112156</v>
          </cell>
        </row>
        <row r="37">
          <cell r="N37">
            <v>82256</v>
          </cell>
        </row>
        <row r="38">
          <cell r="N38">
            <v>3930</v>
          </cell>
        </row>
        <row r="39">
          <cell r="N39">
            <v>59538</v>
          </cell>
        </row>
      </sheetData>
      <sheetData sheetId="4">
        <row r="11">
          <cell r="N11">
            <v>4595337</v>
          </cell>
        </row>
        <row r="14">
          <cell r="N14">
            <v>6338950</v>
          </cell>
        </row>
        <row r="16">
          <cell r="N16">
            <v>70885</v>
          </cell>
        </row>
        <row r="17">
          <cell r="N17">
            <v>923438</v>
          </cell>
        </row>
        <row r="21">
          <cell r="N21">
            <v>227272</v>
          </cell>
        </row>
        <row r="22">
          <cell r="N22">
            <v>2880156</v>
          </cell>
        </row>
        <row r="23">
          <cell r="N23">
            <v>8170</v>
          </cell>
        </row>
        <row r="24">
          <cell r="N24">
            <v>3226</v>
          </cell>
        </row>
        <row r="25">
          <cell r="N25">
            <v>33228</v>
          </cell>
        </row>
        <row r="28">
          <cell r="N28">
            <v>2054452</v>
          </cell>
        </row>
        <row r="29">
          <cell r="N29">
            <v>442467</v>
          </cell>
        </row>
        <row r="31">
          <cell r="N31">
            <v>467984</v>
          </cell>
        </row>
        <row r="32">
          <cell r="N32">
            <v>556545</v>
          </cell>
        </row>
        <row r="33">
          <cell r="N33">
            <v>262374</v>
          </cell>
        </row>
        <row r="34">
          <cell r="N34">
            <v>507754</v>
          </cell>
        </row>
        <row r="35">
          <cell r="N35">
            <v>635666</v>
          </cell>
        </row>
        <row r="36">
          <cell r="N36">
            <v>281704</v>
          </cell>
        </row>
        <row r="38">
          <cell r="N38">
            <v>258154</v>
          </cell>
        </row>
        <row r="42">
          <cell r="N42">
            <v>598319</v>
          </cell>
        </row>
        <row r="43">
          <cell r="N43">
            <v>50260</v>
          </cell>
        </row>
        <row r="44">
          <cell r="N44">
            <v>193970</v>
          </cell>
        </row>
        <row r="45">
          <cell r="N45">
            <v>201610</v>
          </cell>
        </row>
        <row r="46">
          <cell r="N46">
            <v>24237</v>
          </cell>
        </row>
        <row r="47">
          <cell r="N47">
            <v>385874</v>
          </cell>
        </row>
      </sheetData>
      <sheetData sheetId="5"/>
      <sheetData sheetId="6">
        <row r="14">
          <cell r="N14">
            <v>29042884</v>
          </cell>
        </row>
        <row r="16">
          <cell r="N16">
            <v>1199057</v>
          </cell>
        </row>
        <row r="17">
          <cell r="N17">
            <v>9023293</v>
          </cell>
        </row>
        <row r="18">
          <cell r="N18">
            <v>3267</v>
          </cell>
        </row>
        <row r="21">
          <cell r="N21">
            <v>5616869</v>
          </cell>
        </row>
        <row r="22">
          <cell r="N22">
            <v>393613</v>
          </cell>
        </row>
        <row r="24">
          <cell r="N24">
            <v>676189</v>
          </cell>
        </row>
        <row r="25">
          <cell r="N25">
            <v>2719661</v>
          </cell>
        </row>
        <row r="26">
          <cell r="N26">
            <v>420532</v>
          </cell>
        </row>
        <row r="27">
          <cell r="N27">
            <v>786293</v>
          </cell>
        </row>
        <row r="28">
          <cell r="N28">
            <v>361474</v>
          </cell>
        </row>
        <row r="30">
          <cell r="N30">
            <v>1672088</v>
          </cell>
        </row>
        <row r="34">
          <cell r="N34">
            <v>434824</v>
          </cell>
        </row>
        <row r="35">
          <cell r="N35">
            <v>113946</v>
          </cell>
        </row>
        <row r="36">
          <cell r="N36">
            <v>1114</v>
          </cell>
        </row>
        <row r="37">
          <cell r="N37">
            <v>878461</v>
          </cell>
        </row>
      </sheetData>
      <sheetData sheetId="7">
        <row r="7">
          <cell r="O7">
            <v>70958</v>
          </cell>
        </row>
        <row r="10">
          <cell r="O10">
            <v>80704</v>
          </cell>
        </row>
        <row r="11">
          <cell r="O11">
            <v>85549</v>
          </cell>
        </row>
        <row r="24">
          <cell r="O24">
            <v>631438</v>
          </cell>
        </row>
        <row r="29">
          <cell r="O29">
            <v>1764</v>
          </cell>
        </row>
        <row r="35">
          <cell r="O35">
            <v>12109</v>
          </cell>
        </row>
        <row r="41">
          <cell r="O41">
            <v>122798</v>
          </cell>
        </row>
        <row r="43">
          <cell r="O43">
            <v>66119</v>
          </cell>
        </row>
        <row r="47">
          <cell r="O47">
            <v>97654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 - YW Disp - All"/>
      <sheetName val="PT - YW Disp - Resi Reg"/>
      <sheetName val="PT - YW Disp - Com Reg"/>
      <sheetName val="Detail (Sum)"/>
      <sheetName val="Detail"/>
    </sheetNames>
    <sheetDataSet>
      <sheetData sheetId="0">
        <row r="9">
          <cell r="C9">
            <v>5596.2199999999993</v>
          </cell>
          <cell r="D9">
            <v>4531.6400000000031</v>
          </cell>
          <cell r="E9">
            <v>4129.4299999999985</v>
          </cell>
          <cell r="F9">
            <v>2963.6300000000006</v>
          </cell>
          <cell r="G9">
            <v>3279.37</v>
          </cell>
          <cell r="H9">
            <v>3903.6799999999985</v>
          </cell>
          <cell r="I9">
            <v>6150.7499999999964</v>
          </cell>
          <cell r="J9">
            <v>2449.6299999999992</v>
          </cell>
          <cell r="K9">
            <v>2522.9199999999992</v>
          </cell>
          <cell r="L9">
            <v>1572.0900000000006</v>
          </cell>
          <cell r="M9">
            <v>3059.150000000001</v>
          </cell>
          <cell r="N9">
            <v>4473.8200000000015</v>
          </cell>
        </row>
        <row r="25">
          <cell r="C25">
            <v>279710.11999999988</v>
          </cell>
          <cell r="D25">
            <v>228126.56000000011</v>
          </cell>
          <cell r="E25">
            <v>181926.62000000005</v>
          </cell>
          <cell r="F25">
            <v>109973.9000000001</v>
          </cell>
          <cell r="G25">
            <v>126557.62000000001</v>
          </cell>
          <cell r="H25">
            <v>149753.12</v>
          </cell>
          <cell r="I25">
            <v>288717.42</v>
          </cell>
          <cell r="J25">
            <v>102411.1</v>
          </cell>
          <cell r="K25">
            <v>101803.49000000002</v>
          </cell>
          <cell r="L25">
            <v>57200.800000000025</v>
          </cell>
          <cell r="M25">
            <v>113029.19999999992</v>
          </cell>
          <cell r="N25">
            <v>172197.41000000009</v>
          </cell>
        </row>
      </sheetData>
      <sheetData sheetId="1">
        <row r="9">
          <cell r="C9">
            <v>859.42000000000007</v>
          </cell>
          <cell r="D9">
            <v>604.19000000000005</v>
          </cell>
          <cell r="E9">
            <v>595.79999999999995</v>
          </cell>
          <cell r="F9">
            <v>499.4</v>
          </cell>
          <cell r="G9">
            <v>532.79</v>
          </cell>
          <cell r="H9">
            <v>658.32999999999993</v>
          </cell>
          <cell r="I9">
            <v>976.85999999999979</v>
          </cell>
          <cell r="J9">
            <v>440.7</v>
          </cell>
          <cell r="K9">
            <v>432.02000000000004</v>
          </cell>
          <cell r="L9">
            <v>298.38000000000005</v>
          </cell>
          <cell r="M9">
            <v>531.53</v>
          </cell>
          <cell r="N9">
            <v>742.08999999999992</v>
          </cell>
        </row>
      </sheetData>
      <sheetData sheetId="2">
        <row r="10">
          <cell r="C10">
            <v>142.41999999999999</v>
          </cell>
          <cell r="D10">
            <v>115.58000000000001</v>
          </cell>
          <cell r="E10">
            <v>192.97000000000003</v>
          </cell>
          <cell r="F10">
            <v>121.34999999999998</v>
          </cell>
          <cell r="G10">
            <v>83.24</v>
          </cell>
          <cell r="H10">
            <v>169.35999999999999</v>
          </cell>
          <cell r="I10">
            <v>313.02</v>
          </cell>
          <cell r="J10">
            <v>247.93999999999997</v>
          </cell>
          <cell r="K10">
            <v>161.6</v>
          </cell>
          <cell r="L10">
            <v>114.16000000000001</v>
          </cell>
          <cell r="M10">
            <v>108.48000000000002</v>
          </cell>
          <cell r="N10">
            <v>143.38999999999996</v>
          </cell>
        </row>
      </sheetData>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s Standards Report"/>
      <sheetName val="Summary"/>
    </sheetNames>
    <sheetDataSet>
      <sheetData sheetId="0"/>
      <sheetData sheetId="1">
        <row r="19">
          <cell r="J19">
            <v>1252.4191300000002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sheetName val="Detail (Sum Month)"/>
    </sheetNames>
    <sheetDataSet>
      <sheetData sheetId="0">
        <row r="2">
          <cell r="A2" t="str">
            <v>05</v>
          </cell>
          <cell r="E2" t="str">
            <v>20</v>
          </cell>
          <cell r="T2">
            <v>2.13</v>
          </cell>
          <cell r="AG2">
            <v>0</v>
          </cell>
        </row>
        <row r="3">
          <cell r="A3" t="str">
            <v>05</v>
          </cell>
          <cell r="E3" t="str">
            <v>20</v>
          </cell>
          <cell r="T3">
            <v>3.17</v>
          </cell>
          <cell r="AG3">
            <v>0</v>
          </cell>
        </row>
        <row r="4">
          <cell r="A4" t="str">
            <v>05</v>
          </cell>
          <cell r="E4" t="str">
            <v>20</v>
          </cell>
          <cell r="T4">
            <v>2.84</v>
          </cell>
          <cell r="AG4">
            <v>0</v>
          </cell>
        </row>
        <row r="5">
          <cell r="A5" t="str">
            <v>05</v>
          </cell>
          <cell r="E5" t="str">
            <v>20</v>
          </cell>
          <cell r="T5">
            <v>1.17</v>
          </cell>
          <cell r="AG5">
            <v>0</v>
          </cell>
        </row>
        <row r="6">
          <cell r="A6" t="str">
            <v>05</v>
          </cell>
          <cell r="E6" t="str">
            <v>20</v>
          </cell>
          <cell r="T6">
            <v>2.72</v>
          </cell>
          <cell r="AG6">
            <v>0</v>
          </cell>
        </row>
        <row r="7">
          <cell r="A7" t="str">
            <v>05</v>
          </cell>
          <cell r="E7" t="str">
            <v>20</v>
          </cell>
          <cell r="T7">
            <v>5.46</v>
          </cell>
          <cell r="AG7">
            <v>0</v>
          </cell>
        </row>
        <row r="8">
          <cell r="A8" t="str">
            <v>05</v>
          </cell>
          <cell r="E8" t="str">
            <v>20</v>
          </cell>
          <cell r="T8">
            <v>2.96</v>
          </cell>
          <cell r="AG8">
            <v>0</v>
          </cell>
        </row>
        <row r="9">
          <cell r="A9" t="str">
            <v>05</v>
          </cell>
          <cell r="E9" t="str">
            <v>20</v>
          </cell>
          <cell r="T9">
            <v>2.52</v>
          </cell>
          <cell r="AG9">
            <v>0</v>
          </cell>
        </row>
        <row r="10">
          <cell r="A10" t="str">
            <v>05</v>
          </cell>
          <cell r="E10" t="str">
            <v>20</v>
          </cell>
          <cell r="T10">
            <v>2.42</v>
          </cell>
          <cell r="AG10">
            <v>0</v>
          </cell>
        </row>
        <row r="11">
          <cell r="A11" t="str">
            <v>05</v>
          </cell>
          <cell r="E11" t="str">
            <v>20</v>
          </cell>
          <cell r="T11">
            <v>3.9</v>
          </cell>
          <cell r="AG11">
            <v>0</v>
          </cell>
        </row>
        <row r="12">
          <cell r="A12" t="str">
            <v>05</v>
          </cell>
          <cell r="E12" t="str">
            <v>20</v>
          </cell>
          <cell r="T12">
            <v>2.84</v>
          </cell>
          <cell r="AG12">
            <v>0</v>
          </cell>
        </row>
        <row r="13">
          <cell r="A13" t="str">
            <v>05</v>
          </cell>
          <cell r="E13" t="str">
            <v>24</v>
          </cell>
          <cell r="T13">
            <v>4.1900000000000004</v>
          </cell>
          <cell r="AG13">
            <v>0</v>
          </cell>
        </row>
        <row r="14">
          <cell r="A14" t="str">
            <v>05</v>
          </cell>
          <cell r="E14" t="str">
            <v>24</v>
          </cell>
          <cell r="T14">
            <v>2.42</v>
          </cell>
          <cell r="AG14">
            <v>0</v>
          </cell>
        </row>
        <row r="15">
          <cell r="A15" t="str">
            <v>05</v>
          </cell>
          <cell r="E15" t="str">
            <v>20</v>
          </cell>
          <cell r="T15">
            <v>2.41</v>
          </cell>
          <cell r="AG15">
            <v>0</v>
          </cell>
        </row>
        <row r="16">
          <cell r="A16" t="str">
            <v>05</v>
          </cell>
          <cell r="E16" t="str">
            <v>20</v>
          </cell>
          <cell r="T16">
            <v>3.2</v>
          </cell>
          <cell r="AG16">
            <v>0</v>
          </cell>
        </row>
        <row r="17">
          <cell r="A17" t="str">
            <v>05</v>
          </cell>
          <cell r="E17" t="str">
            <v>20</v>
          </cell>
          <cell r="T17">
            <v>2.4</v>
          </cell>
          <cell r="AG17">
            <v>0</v>
          </cell>
        </row>
        <row r="18">
          <cell r="A18" t="str">
            <v>05</v>
          </cell>
          <cell r="E18" t="str">
            <v>20</v>
          </cell>
          <cell r="T18">
            <v>2.14</v>
          </cell>
          <cell r="AG18">
            <v>0</v>
          </cell>
        </row>
        <row r="19">
          <cell r="A19" t="str">
            <v>05</v>
          </cell>
          <cell r="E19" t="str">
            <v>20</v>
          </cell>
          <cell r="T19">
            <v>2.15</v>
          </cell>
          <cell r="AG19">
            <v>0</v>
          </cell>
        </row>
        <row r="20">
          <cell r="A20" t="str">
            <v>05</v>
          </cell>
          <cell r="E20" t="str">
            <v>20</v>
          </cell>
          <cell r="T20">
            <v>2.79</v>
          </cell>
          <cell r="AG20">
            <v>0</v>
          </cell>
        </row>
        <row r="21">
          <cell r="A21" t="str">
            <v>05</v>
          </cell>
          <cell r="E21" t="str">
            <v>20</v>
          </cell>
          <cell r="T21">
            <v>3.02</v>
          </cell>
          <cell r="AG21">
            <v>0</v>
          </cell>
        </row>
        <row r="22">
          <cell r="A22" t="str">
            <v>05</v>
          </cell>
          <cell r="E22" t="str">
            <v>2A</v>
          </cell>
          <cell r="T22">
            <v>2.29</v>
          </cell>
          <cell r="AG22">
            <v>0</v>
          </cell>
        </row>
        <row r="23">
          <cell r="A23" t="str">
            <v>05</v>
          </cell>
          <cell r="E23" t="str">
            <v>2A</v>
          </cell>
          <cell r="T23">
            <v>3.59</v>
          </cell>
          <cell r="AG23">
            <v>0</v>
          </cell>
        </row>
        <row r="24">
          <cell r="A24" t="str">
            <v>05</v>
          </cell>
          <cell r="E24" t="str">
            <v>2A</v>
          </cell>
          <cell r="T24">
            <v>2.65</v>
          </cell>
          <cell r="AG24">
            <v>0</v>
          </cell>
        </row>
        <row r="25">
          <cell r="A25" t="str">
            <v>05</v>
          </cell>
          <cell r="E25" t="str">
            <v>2A</v>
          </cell>
          <cell r="T25">
            <v>3.72</v>
          </cell>
          <cell r="AG25">
            <v>447.03</v>
          </cell>
        </row>
        <row r="26">
          <cell r="A26" t="str">
            <v>05</v>
          </cell>
          <cell r="E26" t="str">
            <v>2A</v>
          </cell>
          <cell r="T26">
            <v>3.35</v>
          </cell>
          <cell r="AG26">
            <v>0</v>
          </cell>
        </row>
        <row r="27">
          <cell r="A27" t="str">
            <v>05</v>
          </cell>
          <cell r="E27" t="str">
            <v>2A</v>
          </cell>
          <cell r="T27">
            <v>3.46</v>
          </cell>
          <cell r="AG27">
            <v>0</v>
          </cell>
        </row>
        <row r="28">
          <cell r="A28" t="str">
            <v>05</v>
          </cell>
          <cell r="E28" t="str">
            <v>2A</v>
          </cell>
          <cell r="T28">
            <v>2.94</v>
          </cell>
          <cell r="AG28">
            <v>0</v>
          </cell>
        </row>
        <row r="29">
          <cell r="A29" t="str">
            <v>05</v>
          </cell>
          <cell r="E29" t="str">
            <v>2A</v>
          </cell>
          <cell r="T29">
            <v>2.94</v>
          </cell>
          <cell r="AG29">
            <v>0</v>
          </cell>
        </row>
        <row r="30">
          <cell r="A30" t="str">
            <v>05</v>
          </cell>
          <cell r="E30" t="str">
            <v>2A</v>
          </cell>
          <cell r="T30">
            <v>3.12</v>
          </cell>
          <cell r="AG30">
            <v>0</v>
          </cell>
        </row>
        <row r="31">
          <cell r="A31" t="str">
            <v>05</v>
          </cell>
          <cell r="E31" t="str">
            <v>2A</v>
          </cell>
          <cell r="T31">
            <v>2.64</v>
          </cell>
          <cell r="AG31">
            <v>0</v>
          </cell>
        </row>
        <row r="32">
          <cell r="A32" t="str">
            <v>05</v>
          </cell>
          <cell r="E32" t="str">
            <v>2A</v>
          </cell>
          <cell r="T32">
            <v>2.69</v>
          </cell>
          <cell r="AG32">
            <v>0</v>
          </cell>
        </row>
        <row r="33">
          <cell r="A33" t="str">
            <v>05</v>
          </cell>
          <cell r="E33" t="str">
            <v>2A</v>
          </cell>
          <cell r="T33">
            <v>2.4900000000000002</v>
          </cell>
          <cell r="AG33">
            <v>0</v>
          </cell>
        </row>
        <row r="34">
          <cell r="A34" t="str">
            <v>05</v>
          </cell>
          <cell r="E34" t="str">
            <v>2A</v>
          </cell>
          <cell r="T34">
            <v>4.59</v>
          </cell>
          <cell r="AG34">
            <v>0</v>
          </cell>
        </row>
        <row r="35">
          <cell r="A35" t="str">
            <v>05</v>
          </cell>
          <cell r="E35" t="str">
            <v>20</v>
          </cell>
          <cell r="T35">
            <v>2.5299999999999998</v>
          </cell>
          <cell r="AG35">
            <v>0</v>
          </cell>
        </row>
        <row r="36">
          <cell r="A36" t="str">
            <v>05</v>
          </cell>
          <cell r="E36" t="str">
            <v>20</v>
          </cell>
          <cell r="T36">
            <v>2.64</v>
          </cell>
          <cell r="AG36">
            <v>0</v>
          </cell>
        </row>
        <row r="37">
          <cell r="A37" t="str">
            <v>05</v>
          </cell>
          <cell r="E37" t="str">
            <v>20</v>
          </cell>
          <cell r="T37">
            <v>2.2400000000000002</v>
          </cell>
          <cell r="AG37">
            <v>0</v>
          </cell>
        </row>
        <row r="38">
          <cell r="A38" t="str">
            <v>05</v>
          </cell>
          <cell r="E38" t="str">
            <v>20</v>
          </cell>
          <cell r="T38">
            <v>2.94</v>
          </cell>
          <cell r="AG38">
            <v>0</v>
          </cell>
        </row>
        <row r="39">
          <cell r="A39" t="str">
            <v>05</v>
          </cell>
          <cell r="E39" t="str">
            <v>20</v>
          </cell>
          <cell r="T39">
            <v>2.2200000000000002</v>
          </cell>
          <cell r="AG39">
            <v>0</v>
          </cell>
        </row>
        <row r="40">
          <cell r="A40" t="str">
            <v>05</v>
          </cell>
          <cell r="E40" t="str">
            <v>24</v>
          </cell>
          <cell r="T40">
            <v>3.51</v>
          </cell>
          <cell r="AG40">
            <v>0</v>
          </cell>
        </row>
        <row r="41">
          <cell r="A41" t="str">
            <v>05</v>
          </cell>
          <cell r="E41" t="str">
            <v>24</v>
          </cell>
          <cell r="T41">
            <v>3.17</v>
          </cell>
          <cell r="AG41">
            <v>0</v>
          </cell>
        </row>
        <row r="42">
          <cell r="A42" t="str">
            <v>05</v>
          </cell>
          <cell r="E42" t="str">
            <v>20</v>
          </cell>
          <cell r="T42">
            <v>2.09</v>
          </cell>
          <cell r="AG42">
            <v>0</v>
          </cell>
        </row>
        <row r="43">
          <cell r="A43" t="str">
            <v>05</v>
          </cell>
          <cell r="E43" t="str">
            <v>20</v>
          </cell>
          <cell r="T43">
            <v>1.39</v>
          </cell>
          <cell r="AG43">
            <v>0</v>
          </cell>
        </row>
        <row r="44">
          <cell r="A44" t="str">
            <v>05</v>
          </cell>
          <cell r="E44" t="str">
            <v>20</v>
          </cell>
          <cell r="T44">
            <v>2.61</v>
          </cell>
          <cell r="AG44">
            <v>0</v>
          </cell>
        </row>
        <row r="45">
          <cell r="A45" t="str">
            <v>05</v>
          </cell>
          <cell r="E45" t="str">
            <v>20</v>
          </cell>
          <cell r="T45">
            <v>2.46</v>
          </cell>
          <cell r="AG45">
            <v>0</v>
          </cell>
        </row>
        <row r="46">
          <cell r="A46" t="str">
            <v>05</v>
          </cell>
          <cell r="E46" t="str">
            <v>20</v>
          </cell>
          <cell r="T46">
            <v>2.78</v>
          </cell>
          <cell r="AG46">
            <v>0</v>
          </cell>
        </row>
        <row r="47">
          <cell r="A47" t="str">
            <v>05</v>
          </cell>
          <cell r="E47" t="str">
            <v>20</v>
          </cell>
          <cell r="T47">
            <v>2.4</v>
          </cell>
          <cell r="AG47">
            <v>0</v>
          </cell>
        </row>
        <row r="48">
          <cell r="A48" t="str">
            <v>05</v>
          </cell>
          <cell r="E48" t="str">
            <v>20</v>
          </cell>
          <cell r="T48">
            <v>3.05</v>
          </cell>
          <cell r="AG48">
            <v>0</v>
          </cell>
        </row>
        <row r="49">
          <cell r="A49" t="str">
            <v>05</v>
          </cell>
          <cell r="E49" t="str">
            <v>20</v>
          </cell>
          <cell r="T49">
            <v>3.55</v>
          </cell>
          <cell r="AG49">
            <v>0</v>
          </cell>
        </row>
        <row r="50">
          <cell r="A50" t="str">
            <v>05</v>
          </cell>
          <cell r="E50" t="str">
            <v>20</v>
          </cell>
          <cell r="T50">
            <v>3.51</v>
          </cell>
          <cell r="AG50">
            <v>0</v>
          </cell>
        </row>
        <row r="51">
          <cell r="A51" t="str">
            <v>05</v>
          </cell>
          <cell r="E51" t="str">
            <v>2A</v>
          </cell>
          <cell r="T51">
            <v>2.37</v>
          </cell>
          <cell r="AG51">
            <v>0</v>
          </cell>
        </row>
        <row r="52">
          <cell r="A52" t="str">
            <v>05</v>
          </cell>
          <cell r="E52" t="str">
            <v>2A</v>
          </cell>
          <cell r="T52">
            <v>3.01</v>
          </cell>
          <cell r="AG52">
            <v>0</v>
          </cell>
        </row>
        <row r="53">
          <cell r="A53" t="str">
            <v>05</v>
          </cell>
          <cell r="E53" t="str">
            <v>2A</v>
          </cell>
          <cell r="T53">
            <v>2.02</v>
          </cell>
          <cell r="AG53">
            <v>0</v>
          </cell>
        </row>
        <row r="54">
          <cell r="A54" t="str">
            <v>05</v>
          </cell>
          <cell r="E54" t="str">
            <v>2A</v>
          </cell>
          <cell r="T54">
            <v>2.06</v>
          </cell>
          <cell r="AG54">
            <v>0</v>
          </cell>
        </row>
        <row r="55">
          <cell r="A55" t="str">
            <v>05</v>
          </cell>
          <cell r="E55" t="str">
            <v>2A</v>
          </cell>
          <cell r="T55">
            <v>4.09</v>
          </cell>
          <cell r="AG55">
            <v>0</v>
          </cell>
        </row>
        <row r="56">
          <cell r="A56" t="str">
            <v>05</v>
          </cell>
          <cell r="E56" t="str">
            <v>2A</v>
          </cell>
          <cell r="T56">
            <v>2.62</v>
          </cell>
          <cell r="AG56">
            <v>0</v>
          </cell>
        </row>
        <row r="57">
          <cell r="A57" t="str">
            <v>05</v>
          </cell>
          <cell r="E57" t="str">
            <v>2A</v>
          </cell>
          <cell r="T57">
            <v>3.92</v>
          </cell>
          <cell r="AG57">
            <v>0</v>
          </cell>
        </row>
        <row r="58">
          <cell r="A58" t="str">
            <v>05</v>
          </cell>
          <cell r="E58" t="str">
            <v>2A</v>
          </cell>
          <cell r="T58">
            <v>1.69</v>
          </cell>
          <cell r="AG58">
            <v>0</v>
          </cell>
        </row>
        <row r="59">
          <cell r="A59" t="str">
            <v>05</v>
          </cell>
          <cell r="E59" t="str">
            <v>2A</v>
          </cell>
          <cell r="T59">
            <v>3.83</v>
          </cell>
          <cell r="AG59">
            <v>0</v>
          </cell>
        </row>
        <row r="60">
          <cell r="A60" t="str">
            <v>05</v>
          </cell>
          <cell r="E60" t="str">
            <v>20</v>
          </cell>
          <cell r="T60">
            <v>3.44</v>
          </cell>
          <cell r="AG60">
            <v>0</v>
          </cell>
        </row>
        <row r="61">
          <cell r="A61" t="str">
            <v>05</v>
          </cell>
          <cell r="E61" t="str">
            <v>20</v>
          </cell>
          <cell r="T61">
            <v>2.95</v>
          </cell>
          <cell r="AG61">
            <v>0</v>
          </cell>
        </row>
        <row r="62">
          <cell r="A62" t="str">
            <v>05</v>
          </cell>
          <cell r="E62" t="str">
            <v>20</v>
          </cell>
          <cell r="T62">
            <v>3.74</v>
          </cell>
          <cell r="AG62">
            <v>0</v>
          </cell>
        </row>
        <row r="63">
          <cell r="A63" t="str">
            <v>05</v>
          </cell>
          <cell r="E63" t="str">
            <v>20</v>
          </cell>
          <cell r="T63">
            <v>5.47</v>
          </cell>
          <cell r="AG63">
            <v>0</v>
          </cell>
        </row>
        <row r="64">
          <cell r="A64" t="str">
            <v>05</v>
          </cell>
          <cell r="E64" t="str">
            <v>24</v>
          </cell>
          <cell r="T64">
            <v>3.35</v>
          </cell>
          <cell r="AG64">
            <v>0</v>
          </cell>
        </row>
        <row r="65">
          <cell r="A65" t="str">
            <v>05</v>
          </cell>
          <cell r="E65" t="str">
            <v>20</v>
          </cell>
          <cell r="T65">
            <v>2.82</v>
          </cell>
          <cell r="AG65">
            <v>0</v>
          </cell>
        </row>
        <row r="66">
          <cell r="A66" t="str">
            <v>05</v>
          </cell>
          <cell r="E66" t="str">
            <v>20</v>
          </cell>
          <cell r="T66">
            <v>2.44</v>
          </cell>
          <cell r="AG66">
            <v>0</v>
          </cell>
        </row>
        <row r="67">
          <cell r="A67" t="str">
            <v>05</v>
          </cell>
          <cell r="E67" t="str">
            <v>20</v>
          </cell>
          <cell r="T67">
            <v>3.48</v>
          </cell>
          <cell r="AG67">
            <v>0</v>
          </cell>
        </row>
        <row r="68">
          <cell r="A68" t="str">
            <v>05</v>
          </cell>
          <cell r="E68" t="str">
            <v>20</v>
          </cell>
          <cell r="T68">
            <v>2.95</v>
          </cell>
          <cell r="AG68">
            <v>0</v>
          </cell>
        </row>
        <row r="69">
          <cell r="A69" t="str">
            <v>05</v>
          </cell>
          <cell r="E69" t="str">
            <v>20</v>
          </cell>
          <cell r="T69">
            <v>2.75</v>
          </cell>
          <cell r="AG69">
            <v>0</v>
          </cell>
        </row>
        <row r="70">
          <cell r="A70" t="str">
            <v>05</v>
          </cell>
          <cell r="E70" t="str">
            <v>20</v>
          </cell>
          <cell r="T70">
            <v>3.47</v>
          </cell>
          <cell r="AG70">
            <v>0</v>
          </cell>
        </row>
        <row r="71">
          <cell r="A71" t="str">
            <v>05</v>
          </cell>
          <cell r="E71" t="str">
            <v>20</v>
          </cell>
          <cell r="T71">
            <v>3.07</v>
          </cell>
          <cell r="AG71">
            <v>0</v>
          </cell>
        </row>
        <row r="72">
          <cell r="A72" t="str">
            <v>05</v>
          </cell>
          <cell r="E72" t="str">
            <v>20</v>
          </cell>
          <cell r="T72">
            <v>2.39</v>
          </cell>
          <cell r="AG72">
            <v>0</v>
          </cell>
        </row>
        <row r="73">
          <cell r="A73" t="str">
            <v>05</v>
          </cell>
          <cell r="E73" t="str">
            <v>2A</v>
          </cell>
          <cell r="T73">
            <v>3.09</v>
          </cell>
          <cell r="AG73">
            <v>0</v>
          </cell>
        </row>
        <row r="74">
          <cell r="A74" t="str">
            <v>05</v>
          </cell>
          <cell r="E74" t="str">
            <v>2A</v>
          </cell>
          <cell r="T74">
            <v>3.19</v>
          </cell>
          <cell r="AG74">
            <v>0</v>
          </cell>
        </row>
        <row r="75">
          <cell r="A75" t="str">
            <v>05</v>
          </cell>
          <cell r="E75" t="str">
            <v>2A</v>
          </cell>
          <cell r="T75">
            <v>2.6</v>
          </cell>
          <cell r="AG75">
            <v>0</v>
          </cell>
        </row>
        <row r="76">
          <cell r="A76" t="str">
            <v>05</v>
          </cell>
          <cell r="E76" t="str">
            <v>2A</v>
          </cell>
          <cell r="T76">
            <v>3.59</v>
          </cell>
          <cell r="AG76">
            <v>0</v>
          </cell>
        </row>
        <row r="77">
          <cell r="A77" t="str">
            <v>05</v>
          </cell>
          <cell r="E77" t="str">
            <v>2A</v>
          </cell>
          <cell r="T77">
            <v>2.4</v>
          </cell>
          <cell r="AG77">
            <v>0</v>
          </cell>
        </row>
        <row r="78">
          <cell r="A78" t="str">
            <v>05</v>
          </cell>
          <cell r="E78" t="str">
            <v>2A</v>
          </cell>
          <cell r="T78">
            <v>3.23</v>
          </cell>
          <cell r="AG78">
            <v>0</v>
          </cell>
        </row>
        <row r="79">
          <cell r="A79" t="str">
            <v>05</v>
          </cell>
          <cell r="E79" t="str">
            <v>2A</v>
          </cell>
          <cell r="T79">
            <v>3.21</v>
          </cell>
          <cell r="AG79">
            <v>0</v>
          </cell>
        </row>
        <row r="80">
          <cell r="A80" t="str">
            <v>05</v>
          </cell>
          <cell r="E80" t="str">
            <v>2A</v>
          </cell>
          <cell r="T80">
            <v>3.74</v>
          </cell>
          <cell r="AG80">
            <v>0</v>
          </cell>
        </row>
        <row r="81">
          <cell r="A81" t="str">
            <v>05</v>
          </cell>
          <cell r="E81" t="str">
            <v>2A</v>
          </cell>
          <cell r="T81">
            <v>3.07</v>
          </cell>
          <cell r="AG81">
            <v>0</v>
          </cell>
        </row>
        <row r="82">
          <cell r="A82" t="str">
            <v>05</v>
          </cell>
          <cell r="E82" t="str">
            <v>2A</v>
          </cell>
          <cell r="T82">
            <v>2.96</v>
          </cell>
          <cell r="AG82">
            <v>0</v>
          </cell>
        </row>
        <row r="83">
          <cell r="A83" t="str">
            <v>05</v>
          </cell>
          <cell r="E83" t="str">
            <v>2A</v>
          </cell>
          <cell r="T83">
            <v>3.73</v>
          </cell>
          <cell r="AG83">
            <v>0</v>
          </cell>
        </row>
        <row r="84">
          <cell r="A84" t="str">
            <v>05</v>
          </cell>
          <cell r="E84" t="str">
            <v>2A</v>
          </cell>
          <cell r="T84">
            <v>2.8</v>
          </cell>
          <cell r="AG84">
            <v>0</v>
          </cell>
        </row>
        <row r="85">
          <cell r="A85" t="str">
            <v>05</v>
          </cell>
          <cell r="E85" t="str">
            <v>20</v>
          </cell>
          <cell r="T85">
            <v>3.56</v>
          </cell>
          <cell r="AG85">
            <v>0</v>
          </cell>
        </row>
        <row r="86">
          <cell r="A86" t="str">
            <v>05</v>
          </cell>
          <cell r="E86" t="str">
            <v>20</v>
          </cell>
          <cell r="T86">
            <v>0.4</v>
          </cell>
          <cell r="AG86">
            <v>0</v>
          </cell>
        </row>
        <row r="87">
          <cell r="A87" t="str">
            <v>05</v>
          </cell>
          <cell r="E87" t="str">
            <v>20</v>
          </cell>
          <cell r="T87">
            <v>3.28</v>
          </cell>
          <cell r="AG87">
            <v>0</v>
          </cell>
        </row>
        <row r="88">
          <cell r="A88" t="str">
            <v>05</v>
          </cell>
          <cell r="E88" t="str">
            <v>20</v>
          </cell>
          <cell r="T88">
            <v>3.06</v>
          </cell>
          <cell r="AG88">
            <v>0</v>
          </cell>
        </row>
        <row r="89">
          <cell r="A89" t="str">
            <v>05</v>
          </cell>
          <cell r="E89" t="str">
            <v>20</v>
          </cell>
          <cell r="T89">
            <v>2.67</v>
          </cell>
          <cell r="AG89">
            <v>0</v>
          </cell>
        </row>
        <row r="90">
          <cell r="A90" t="str">
            <v>05</v>
          </cell>
          <cell r="E90" t="str">
            <v>20</v>
          </cell>
          <cell r="T90">
            <v>4.2699999999999996</v>
          </cell>
          <cell r="AG90">
            <v>0</v>
          </cell>
        </row>
        <row r="91">
          <cell r="A91" t="str">
            <v>05</v>
          </cell>
          <cell r="E91" t="str">
            <v>20</v>
          </cell>
          <cell r="T91">
            <v>3.59</v>
          </cell>
          <cell r="AG91">
            <v>0</v>
          </cell>
        </row>
        <row r="92">
          <cell r="A92" t="str">
            <v>05</v>
          </cell>
          <cell r="E92" t="str">
            <v>20</v>
          </cell>
          <cell r="T92">
            <v>3.55</v>
          </cell>
          <cell r="AG92">
            <v>0</v>
          </cell>
        </row>
        <row r="93">
          <cell r="A93" t="str">
            <v>05</v>
          </cell>
          <cell r="E93" t="str">
            <v>20</v>
          </cell>
          <cell r="T93">
            <v>3.09</v>
          </cell>
          <cell r="AG93">
            <v>0</v>
          </cell>
        </row>
        <row r="94">
          <cell r="A94" t="str">
            <v>05</v>
          </cell>
          <cell r="E94" t="str">
            <v>2A</v>
          </cell>
          <cell r="T94">
            <v>3.15</v>
          </cell>
          <cell r="AG94">
            <v>0</v>
          </cell>
        </row>
        <row r="95">
          <cell r="A95" t="str">
            <v>05</v>
          </cell>
          <cell r="E95" t="str">
            <v>2A</v>
          </cell>
          <cell r="T95">
            <v>2.37</v>
          </cell>
          <cell r="AG95">
            <v>0</v>
          </cell>
        </row>
        <row r="96">
          <cell r="A96" t="str">
            <v>05</v>
          </cell>
          <cell r="E96" t="str">
            <v>2A</v>
          </cell>
          <cell r="T96">
            <v>2.89</v>
          </cell>
          <cell r="AG96">
            <v>0</v>
          </cell>
        </row>
        <row r="97">
          <cell r="A97" t="str">
            <v>05</v>
          </cell>
          <cell r="E97" t="str">
            <v>2A</v>
          </cell>
          <cell r="T97">
            <v>3.17</v>
          </cell>
          <cell r="AG97">
            <v>0</v>
          </cell>
        </row>
        <row r="98">
          <cell r="A98" t="str">
            <v>05</v>
          </cell>
          <cell r="E98" t="str">
            <v>2A</v>
          </cell>
          <cell r="T98">
            <v>3</v>
          </cell>
          <cell r="AG98">
            <v>0</v>
          </cell>
        </row>
        <row r="99">
          <cell r="A99" t="str">
            <v>05</v>
          </cell>
          <cell r="E99" t="str">
            <v>2A</v>
          </cell>
          <cell r="T99">
            <v>2.37</v>
          </cell>
          <cell r="AG99">
            <v>0</v>
          </cell>
        </row>
        <row r="100">
          <cell r="A100" t="str">
            <v>05</v>
          </cell>
          <cell r="E100" t="str">
            <v>2A</v>
          </cell>
          <cell r="T100">
            <v>2.76</v>
          </cell>
          <cell r="AG100">
            <v>0</v>
          </cell>
        </row>
        <row r="101">
          <cell r="A101" t="str">
            <v>05</v>
          </cell>
          <cell r="E101" t="str">
            <v>2A</v>
          </cell>
          <cell r="T101">
            <v>3.23</v>
          </cell>
          <cell r="AG101">
            <v>0</v>
          </cell>
        </row>
        <row r="102">
          <cell r="A102" t="str">
            <v>05</v>
          </cell>
          <cell r="E102" t="str">
            <v>2A</v>
          </cell>
          <cell r="T102">
            <v>3.55</v>
          </cell>
          <cell r="AG102">
            <v>0</v>
          </cell>
        </row>
        <row r="103">
          <cell r="A103" t="str">
            <v>05</v>
          </cell>
          <cell r="E103" t="str">
            <v>2A</v>
          </cell>
          <cell r="T103">
            <v>3.7</v>
          </cell>
          <cell r="AG103">
            <v>0</v>
          </cell>
        </row>
        <row r="104">
          <cell r="A104" t="str">
            <v>06</v>
          </cell>
          <cell r="E104" t="str">
            <v>20</v>
          </cell>
          <cell r="T104">
            <v>3.88</v>
          </cell>
          <cell r="AG104">
            <v>0</v>
          </cell>
        </row>
        <row r="105">
          <cell r="A105" t="str">
            <v>06</v>
          </cell>
          <cell r="E105" t="str">
            <v>20</v>
          </cell>
          <cell r="T105">
            <v>2.2200000000000002</v>
          </cell>
          <cell r="AG105">
            <v>0</v>
          </cell>
        </row>
        <row r="106">
          <cell r="A106" t="str">
            <v>06</v>
          </cell>
          <cell r="E106" t="str">
            <v>20</v>
          </cell>
          <cell r="T106">
            <v>1.9</v>
          </cell>
          <cell r="AG106">
            <v>0</v>
          </cell>
        </row>
        <row r="107">
          <cell r="A107" t="str">
            <v>06</v>
          </cell>
          <cell r="E107" t="str">
            <v>20</v>
          </cell>
          <cell r="T107">
            <v>3.72</v>
          </cell>
          <cell r="AG107">
            <v>0</v>
          </cell>
        </row>
        <row r="108">
          <cell r="A108" t="str">
            <v>06</v>
          </cell>
          <cell r="E108" t="str">
            <v>24</v>
          </cell>
          <cell r="T108">
            <v>3.03</v>
          </cell>
          <cell r="AG108">
            <v>0</v>
          </cell>
        </row>
        <row r="109">
          <cell r="A109" t="str">
            <v>06</v>
          </cell>
          <cell r="E109" t="str">
            <v>24</v>
          </cell>
          <cell r="T109">
            <v>3.87</v>
          </cell>
          <cell r="AG109">
            <v>0</v>
          </cell>
        </row>
        <row r="110">
          <cell r="A110" t="str">
            <v>06</v>
          </cell>
          <cell r="E110" t="str">
            <v>24</v>
          </cell>
          <cell r="T110">
            <v>3.11</v>
          </cell>
          <cell r="AG110">
            <v>0</v>
          </cell>
        </row>
        <row r="111">
          <cell r="A111" t="str">
            <v>06</v>
          </cell>
          <cell r="E111" t="str">
            <v>20</v>
          </cell>
          <cell r="T111">
            <v>3.13</v>
          </cell>
          <cell r="AG111">
            <v>0</v>
          </cell>
        </row>
        <row r="112">
          <cell r="A112" t="str">
            <v>06</v>
          </cell>
          <cell r="E112" t="str">
            <v>20</v>
          </cell>
          <cell r="T112">
            <v>3.13</v>
          </cell>
          <cell r="AG112">
            <v>0</v>
          </cell>
        </row>
        <row r="113">
          <cell r="A113" t="str">
            <v>06</v>
          </cell>
          <cell r="E113" t="str">
            <v>20</v>
          </cell>
          <cell r="T113">
            <v>1.75</v>
          </cell>
          <cell r="AG113">
            <v>0</v>
          </cell>
        </row>
        <row r="114">
          <cell r="A114" t="str">
            <v>06</v>
          </cell>
          <cell r="E114" t="str">
            <v>20</v>
          </cell>
          <cell r="T114">
            <v>3.88</v>
          </cell>
          <cell r="AG114">
            <v>0</v>
          </cell>
        </row>
        <row r="115">
          <cell r="A115" t="str">
            <v>06</v>
          </cell>
          <cell r="E115" t="str">
            <v>20</v>
          </cell>
          <cell r="T115">
            <v>4.1500000000000004</v>
          </cell>
          <cell r="AG115">
            <v>0</v>
          </cell>
        </row>
        <row r="116">
          <cell r="A116" t="str">
            <v>06</v>
          </cell>
          <cell r="E116" t="str">
            <v>20</v>
          </cell>
          <cell r="T116">
            <v>2.9</v>
          </cell>
          <cell r="AG116">
            <v>0</v>
          </cell>
        </row>
        <row r="117">
          <cell r="A117" t="str">
            <v>06</v>
          </cell>
          <cell r="E117" t="str">
            <v>20</v>
          </cell>
          <cell r="T117">
            <v>1.48</v>
          </cell>
          <cell r="AG117">
            <v>0</v>
          </cell>
        </row>
        <row r="118">
          <cell r="A118" t="str">
            <v>06</v>
          </cell>
          <cell r="E118" t="str">
            <v>20</v>
          </cell>
          <cell r="T118">
            <v>2.77</v>
          </cell>
          <cell r="AG118">
            <v>0</v>
          </cell>
        </row>
        <row r="119">
          <cell r="A119" t="str">
            <v>06</v>
          </cell>
          <cell r="E119" t="str">
            <v>20</v>
          </cell>
          <cell r="T119">
            <v>2.15</v>
          </cell>
          <cell r="AG119">
            <v>0</v>
          </cell>
        </row>
        <row r="120">
          <cell r="A120" t="str">
            <v>06</v>
          </cell>
          <cell r="E120" t="str">
            <v>20</v>
          </cell>
          <cell r="T120">
            <v>3.47</v>
          </cell>
          <cell r="AG120">
            <v>0</v>
          </cell>
        </row>
        <row r="121">
          <cell r="A121" t="str">
            <v>06</v>
          </cell>
          <cell r="E121" t="str">
            <v>20</v>
          </cell>
          <cell r="T121">
            <v>2.29</v>
          </cell>
          <cell r="AG121">
            <v>0</v>
          </cell>
        </row>
        <row r="122">
          <cell r="A122" t="str">
            <v>06</v>
          </cell>
          <cell r="E122" t="str">
            <v>2A</v>
          </cell>
          <cell r="T122">
            <v>2.99</v>
          </cell>
          <cell r="AG122">
            <v>0</v>
          </cell>
        </row>
        <row r="123">
          <cell r="A123" t="str">
            <v>06</v>
          </cell>
          <cell r="E123" t="str">
            <v>2A</v>
          </cell>
          <cell r="T123">
            <v>2.48</v>
          </cell>
          <cell r="AG123">
            <v>0</v>
          </cell>
        </row>
        <row r="124">
          <cell r="A124" t="str">
            <v>06</v>
          </cell>
          <cell r="E124" t="str">
            <v>2A</v>
          </cell>
          <cell r="T124">
            <v>2.92</v>
          </cell>
          <cell r="AG124">
            <v>0</v>
          </cell>
        </row>
        <row r="125">
          <cell r="A125" t="str">
            <v>06</v>
          </cell>
          <cell r="E125" t="str">
            <v>2A</v>
          </cell>
          <cell r="T125">
            <v>3.12</v>
          </cell>
          <cell r="AG125">
            <v>0</v>
          </cell>
        </row>
        <row r="126">
          <cell r="A126" t="str">
            <v>06</v>
          </cell>
          <cell r="E126" t="str">
            <v>2A</v>
          </cell>
          <cell r="T126">
            <v>2.87</v>
          </cell>
          <cell r="AG126">
            <v>0</v>
          </cell>
        </row>
        <row r="127">
          <cell r="A127" t="str">
            <v>06</v>
          </cell>
          <cell r="E127" t="str">
            <v>2A</v>
          </cell>
          <cell r="T127">
            <v>2.8</v>
          </cell>
          <cell r="AG127">
            <v>0</v>
          </cell>
        </row>
        <row r="128">
          <cell r="A128" t="str">
            <v>06</v>
          </cell>
          <cell r="E128" t="str">
            <v>2A</v>
          </cell>
          <cell r="T128">
            <v>2.84</v>
          </cell>
          <cell r="AG128">
            <v>0</v>
          </cell>
        </row>
        <row r="129">
          <cell r="A129" t="str">
            <v>06</v>
          </cell>
          <cell r="E129" t="str">
            <v>2A</v>
          </cell>
          <cell r="T129">
            <v>2.35</v>
          </cell>
          <cell r="AG129">
            <v>0</v>
          </cell>
        </row>
        <row r="130">
          <cell r="A130" t="str">
            <v>06</v>
          </cell>
          <cell r="E130" t="str">
            <v>2A</v>
          </cell>
          <cell r="T130">
            <v>2.89</v>
          </cell>
          <cell r="AG130">
            <v>0</v>
          </cell>
        </row>
        <row r="131">
          <cell r="A131" t="str">
            <v>06</v>
          </cell>
          <cell r="E131" t="str">
            <v>2A</v>
          </cell>
          <cell r="T131">
            <v>3.83</v>
          </cell>
          <cell r="AG131">
            <v>0</v>
          </cell>
        </row>
        <row r="132">
          <cell r="A132" t="str">
            <v>06</v>
          </cell>
          <cell r="E132" t="str">
            <v>2A</v>
          </cell>
          <cell r="T132">
            <v>3.21</v>
          </cell>
          <cell r="AG132">
            <v>0</v>
          </cell>
        </row>
        <row r="133">
          <cell r="A133" t="str">
            <v>06</v>
          </cell>
          <cell r="E133" t="str">
            <v>2A</v>
          </cell>
          <cell r="T133">
            <v>2.33</v>
          </cell>
          <cell r="AG133">
            <v>0</v>
          </cell>
        </row>
        <row r="134">
          <cell r="A134" t="str">
            <v>06</v>
          </cell>
          <cell r="E134" t="str">
            <v>2A</v>
          </cell>
          <cell r="T134">
            <v>4.1500000000000004</v>
          </cell>
          <cell r="AG134">
            <v>0</v>
          </cell>
        </row>
        <row r="135">
          <cell r="A135" t="str">
            <v>06</v>
          </cell>
          <cell r="E135" t="str">
            <v>20</v>
          </cell>
          <cell r="T135">
            <v>4.0999999999999996</v>
          </cell>
          <cell r="AG135">
            <v>0</v>
          </cell>
        </row>
        <row r="136">
          <cell r="A136" t="str">
            <v>06</v>
          </cell>
          <cell r="E136" t="str">
            <v>20</v>
          </cell>
          <cell r="T136">
            <v>3.57</v>
          </cell>
          <cell r="AG136">
            <v>0</v>
          </cell>
        </row>
        <row r="137">
          <cell r="A137" t="str">
            <v>06</v>
          </cell>
          <cell r="E137" t="str">
            <v>20</v>
          </cell>
          <cell r="T137">
            <v>3.31</v>
          </cell>
          <cell r="AG137">
            <v>0</v>
          </cell>
        </row>
        <row r="138">
          <cell r="A138" t="str">
            <v>06</v>
          </cell>
          <cell r="E138" t="str">
            <v>20</v>
          </cell>
          <cell r="T138">
            <v>3.27</v>
          </cell>
          <cell r="AG138">
            <v>0</v>
          </cell>
        </row>
        <row r="139">
          <cell r="A139" t="str">
            <v>06</v>
          </cell>
          <cell r="E139" t="str">
            <v>20</v>
          </cell>
          <cell r="T139">
            <v>3.43</v>
          </cell>
          <cell r="AG139">
            <v>0</v>
          </cell>
        </row>
        <row r="140">
          <cell r="A140" t="str">
            <v>06</v>
          </cell>
          <cell r="E140" t="str">
            <v>24</v>
          </cell>
          <cell r="T140">
            <v>4.01</v>
          </cell>
          <cell r="AG140">
            <v>0</v>
          </cell>
        </row>
        <row r="141">
          <cell r="A141" t="str">
            <v>06</v>
          </cell>
          <cell r="E141" t="str">
            <v>24</v>
          </cell>
          <cell r="T141">
            <v>3.1</v>
          </cell>
          <cell r="AG141">
            <v>0</v>
          </cell>
        </row>
        <row r="142">
          <cell r="A142" t="str">
            <v>06</v>
          </cell>
          <cell r="E142" t="str">
            <v>20</v>
          </cell>
          <cell r="T142">
            <v>2.4300000000000002</v>
          </cell>
          <cell r="AG142">
            <v>0</v>
          </cell>
        </row>
        <row r="143">
          <cell r="A143" t="str">
            <v>06</v>
          </cell>
          <cell r="E143" t="str">
            <v>20</v>
          </cell>
          <cell r="T143">
            <v>2.77</v>
          </cell>
          <cell r="AG143">
            <v>0</v>
          </cell>
        </row>
        <row r="144">
          <cell r="A144" t="str">
            <v>06</v>
          </cell>
          <cell r="E144" t="str">
            <v>20</v>
          </cell>
          <cell r="T144">
            <v>3.01</v>
          </cell>
          <cell r="AG144">
            <v>0</v>
          </cell>
        </row>
        <row r="145">
          <cell r="A145" t="str">
            <v>06</v>
          </cell>
          <cell r="E145" t="str">
            <v>20</v>
          </cell>
          <cell r="T145">
            <v>2.6</v>
          </cell>
          <cell r="AG145">
            <v>0</v>
          </cell>
        </row>
        <row r="146">
          <cell r="A146" t="str">
            <v>06</v>
          </cell>
          <cell r="E146" t="str">
            <v>20</v>
          </cell>
          <cell r="T146">
            <v>2.95</v>
          </cell>
          <cell r="AG146">
            <v>0</v>
          </cell>
        </row>
        <row r="147">
          <cell r="A147" t="str">
            <v>06</v>
          </cell>
          <cell r="E147" t="str">
            <v>20</v>
          </cell>
          <cell r="T147">
            <v>2.63</v>
          </cell>
          <cell r="AG147">
            <v>0</v>
          </cell>
        </row>
        <row r="148">
          <cell r="A148" t="str">
            <v>06</v>
          </cell>
          <cell r="E148" t="str">
            <v>20</v>
          </cell>
          <cell r="T148">
            <v>3.07</v>
          </cell>
          <cell r="AG148">
            <v>0</v>
          </cell>
        </row>
        <row r="149">
          <cell r="A149" t="str">
            <v>06</v>
          </cell>
          <cell r="E149" t="str">
            <v>2A</v>
          </cell>
          <cell r="T149">
            <v>3.08</v>
          </cell>
          <cell r="AG149">
            <v>0</v>
          </cell>
        </row>
        <row r="150">
          <cell r="A150" t="str">
            <v>06</v>
          </cell>
          <cell r="E150" t="str">
            <v>2A</v>
          </cell>
          <cell r="T150">
            <v>3.1</v>
          </cell>
          <cell r="AG150">
            <v>0</v>
          </cell>
        </row>
        <row r="151">
          <cell r="A151" t="str">
            <v>06</v>
          </cell>
          <cell r="E151" t="str">
            <v>2A</v>
          </cell>
          <cell r="T151">
            <v>2.81</v>
          </cell>
          <cell r="AG151">
            <v>0</v>
          </cell>
        </row>
        <row r="152">
          <cell r="A152" t="str">
            <v>06</v>
          </cell>
          <cell r="E152" t="str">
            <v>2A</v>
          </cell>
          <cell r="T152">
            <v>3.22</v>
          </cell>
          <cell r="AG152">
            <v>0</v>
          </cell>
        </row>
        <row r="153">
          <cell r="A153" t="str">
            <v>06</v>
          </cell>
          <cell r="E153" t="str">
            <v>20</v>
          </cell>
          <cell r="T153">
            <v>3.51</v>
          </cell>
          <cell r="AG153">
            <v>0</v>
          </cell>
        </row>
        <row r="154">
          <cell r="A154" t="str">
            <v>06</v>
          </cell>
          <cell r="E154" t="str">
            <v>20</v>
          </cell>
          <cell r="T154">
            <v>2.85</v>
          </cell>
          <cell r="AG154">
            <v>0</v>
          </cell>
        </row>
        <row r="155">
          <cell r="A155" t="str">
            <v>06</v>
          </cell>
          <cell r="E155" t="str">
            <v>20</v>
          </cell>
          <cell r="T155">
            <v>2.61</v>
          </cell>
          <cell r="AG155">
            <v>0</v>
          </cell>
        </row>
        <row r="156">
          <cell r="A156" t="str">
            <v>06</v>
          </cell>
          <cell r="E156" t="str">
            <v>20</v>
          </cell>
          <cell r="T156">
            <v>2.39</v>
          </cell>
          <cell r="AG156">
            <v>0</v>
          </cell>
        </row>
        <row r="157">
          <cell r="A157" t="str">
            <v>06</v>
          </cell>
          <cell r="E157" t="str">
            <v>20</v>
          </cell>
          <cell r="T157">
            <v>3.22</v>
          </cell>
          <cell r="AG157">
            <v>0</v>
          </cell>
        </row>
        <row r="158">
          <cell r="A158" t="str">
            <v>06</v>
          </cell>
          <cell r="E158" t="str">
            <v>20</v>
          </cell>
          <cell r="T158">
            <v>3.16</v>
          </cell>
          <cell r="AG158">
            <v>0</v>
          </cell>
        </row>
        <row r="159">
          <cell r="A159" t="str">
            <v>06</v>
          </cell>
          <cell r="E159" t="str">
            <v>20</v>
          </cell>
          <cell r="T159">
            <v>2.04</v>
          </cell>
          <cell r="AG159">
            <v>0</v>
          </cell>
        </row>
        <row r="160">
          <cell r="A160" t="str">
            <v>06</v>
          </cell>
          <cell r="E160" t="str">
            <v>20</v>
          </cell>
          <cell r="T160">
            <v>4.01</v>
          </cell>
          <cell r="AG160">
            <v>0</v>
          </cell>
        </row>
        <row r="161">
          <cell r="A161" t="str">
            <v>06</v>
          </cell>
          <cell r="E161" t="str">
            <v>20</v>
          </cell>
          <cell r="T161">
            <v>1.99</v>
          </cell>
          <cell r="AG161">
            <v>0</v>
          </cell>
        </row>
        <row r="162">
          <cell r="A162" t="str">
            <v>06</v>
          </cell>
          <cell r="E162" t="str">
            <v>20</v>
          </cell>
          <cell r="T162">
            <v>2.61</v>
          </cell>
          <cell r="AG162">
            <v>0</v>
          </cell>
        </row>
        <row r="163">
          <cell r="A163" t="str">
            <v>06</v>
          </cell>
          <cell r="E163" t="str">
            <v>24</v>
          </cell>
          <cell r="T163">
            <v>2.5</v>
          </cell>
          <cell r="AG163">
            <v>0</v>
          </cell>
        </row>
        <row r="164">
          <cell r="A164" t="str">
            <v>06</v>
          </cell>
          <cell r="E164" t="str">
            <v>20</v>
          </cell>
          <cell r="T164">
            <v>2.58</v>
          </cell>
          <cell r="AG164">
            <v>0</v>
          </cell>
        </row>
        <row r="165">
          <cell r="A165" t="str">
            <v>06</v>
          </cell>
          <cell r="E165" t="str">
            <v>20</v>
          </cell>
          <cell r="T165">
            <v>3.43</v>
          </cell>
          <cell r="AG165">
            <v>0</v>
          </cell>
        </row>
        <row r="166">
          <cell r="A166" t="str">
            <v>06</v>
          </cell>
          <cell r="E166" t="str">
            <v>20</v>
          </cell>
          <cell r="T166">
            <v>2.67</v>
          </cell>
          <cell r="AG166">
            <v>0</v>
          </cell>
        </row>
        <row r="167">
          <cell r="A167" t="str">
            <v>06</v>
          </cell>
          <cell r="E167" t="str">
            <v>20</v>
          </cell>
          <cell r="T167">
            <v>2.83</v>
          </cell>
          <cell r="AG167">
            <v>0</v>
          </cell>
        </row>
        <row r="168">
          <cell r="A168" t="str">
            <v>06</v>
          </cell>
          <cell r="E168" t="str">
            <v>20</v>
          </cell>
          <cell r="T168">
            <v>3.26</v>
          </cell>
          <cell r="AG168">
            <v>0</v>
          </cell>
        </row>
        <row r="169">
          <cell r="A169" t="str">
            <v>06</v>
          </cell>
          <cell r="E169" t="str">
            <v>20</v>
          </cell>
          <cell r="T169">
            <v>3.77</v>
          </cell>
          <cell r="AG169">
            <v>0</v>
          </cell>
        </row>
        <row r="170">
          <cell r="A170" t="str">
            <v>06</v>
          </cell>
          <cell r="E170" t="str">
            <v>20</v>
          </cell>
          <cell r="T170">
            <v>2.96</v>
          </cell>
          <cell r="AG170">
            <v>0</v>
          </cell>
        </row>
        <row r="171">
          <cell r="A171" t="str">
            <v>06</v>
          </cell>
          <cell r="E171" t="str">
            <v>20</v>
          </cell>
          <cell r="T171">
            <v>3.44</v>
          </cell>
          <cell r="AG171">
            <v>0</v>
          </cell>
        </row>
        <row r="172">
          <cell r="A172" t="str">
            <v>06</v>
          </cell>
          <cell r="E172" t="str">
            <v>20</v>
          </cell>
          <cell r="T172">
            <v>3.44</v>
          </cell>
          <cell r="AG172">
            <v>0</v>
          </cell>
        </row>
        <row r="173">
          <cell r="A173" t="str">
            <v>06</v>
          </cell>
          <cell r="E173" t="str">
            <v>20</v>
          </cell>
          <cell r="T173">
            <v>3.44</v>
          </cell>
          <cell r="AG173">
            <v>0</v>
          </cell>
        </row>
        <row r="174">
          <cell r="A174" t="str">
            <v>06</v>
          </cell>
          <cell r="E174" t="str">
            <v>20</v>
          </cell>
          <cell r="T174">
            <v>3.44</v>
          </cell>
          <cell r="AG174">
            <v>0</v>
          </cell>
        </row>
        <row r="175">
          <cell r="A175" t="str">
            <v>06</v>
          </cell>
          <cell r="E175" t="str">
            <v>2A</v>
          </cell>
          <cell r="T175">
            <v>2.4700000000000002</v>
          </cell>
          <cell r="AG175">
            <v>0</v>
          </cell>
        </row>
        <row r="176">
          <cell r="A176" t="str">
            <v>06</v>
          </cell>
          <cell r="E176" t="str">
            <v>2A</v>
          </cell>
          <cell r="T176">
            <v>2.31</v>
          </cell>
          <cell r="AG176">
            <v>0</v>
          </cell>
        </row>
        <row r="177">
          <cell r="A177" t="str">
            <v>06</v>
          </cell>
          <cell r="E177" t="str">
            <v>2A</v>
          </cell>
          <cell r="T177">
            <v>2.77</v>
          </cell>
          <cell r="AG177">
            <v>0</v>
          </cell>
        </row>
        <row r="178">
          <cell r="A178" t="str">
            <v>06</v>
          </cell>
          <cell r="E178" t="str">
            <v>2A</v>
          </cell>
          <cell r="T178">
            <v>4.24</v>
          </cell>
          <cell r="AG178">
            <v>0</v>
          </cell>
        </row>
        <row r="179">
          <cell r="A179" t="str">
            <v>06</v>
          </cell>
          <cell r="E179" t="str">
            <v>2A</v>
          </cell>
          <cell r="T179">
            <v>3.05</v>
          </cell>
          <cell r="AG179">
            <v>0</v>
          </cell>
        </row>
        <row r="180">
          <cell r="A180" t="str">
            <v>06</v>
          </cell>
          <cell r="E180" t="str">
            <v>2A</v>
          </cell>
          <cell r="T180">
            <v>3.04</v>
          </cell>
          <cell r="AG180">
            <v>0</v>
          </cell>
        </row>
        <row r="181">
          <cell r="A181" t="str">
            <v>06</v>
          </cell>
          <cell r="E181" t="str">
            <v>2A</v>
          </cell>
          <cell r="T181">
            <v>2.95</v>
          </cell>
          <cell r="AG181">
            <v>0</v>
          </cell>
        </row>
        <row r="182">
          <cell r="A182" t="str">
            <v>06</v>
          </cell>
          <cell r="E182" t="str">
            <v>2A</v>
          </cell>
          <cell r="T182">
            <v>3.17</v>
          </cell>
          <cell r="AG182">
            <v>0</v>
          </cell>
        </row>
        <row r="183">
          <cell r="A183" t="str">
            <v>06</v>
          </cell>
          <cell r="E183" t="str">
            <v>2A</v>
          </cell>
          <cell r="T183">
            <v>2.34</v>
          </cell>
          <cell r="AG183">
            <v>0</v>
          </cell>
        </row>
        <row r="184">
          <cell r="A184" t="str">
            <v>06</v>
          </cell>
          <cell r="E184" t="str">
            <v>20</v>
          </cell>
          <cell r="T184">
            <v>3.17</v>
          </cell>
          <cell r="AG184">
            <v>0</v>
          </cell>
        </row>
        <row r="185">
          <cell r="A185" t="str">
            <v>06</v>
          </cell>
          <cell r="E185" t="str">
            <v>20</v>
          </cell>
          <cell r="T185">
            <v>3.31</v>
          </cell>
          <cell r="AG185">
            <v>0</v>
          </cell>
        </row>
        <row r="186">
          <cell r="A186" t="str">
            <v>06</v>
          </cell>
          <cell r="E186" t="str">
            <v>20</v>
          </cell>
          <cell r="T186">
            <v>2.2799999999999998</v>
          </cell>
          <cell r="AG186">
            <v>0</v>
          </cell>
        </row>
        <row r="187">
          <cell r="A187" t="str">
            <v>06</v>
          </cell>
          <cell r="E187" t="str">
            <v>20</v>
          </cell>
          <cell r="T187">
            <v>2.72</v>
          </cell>
          <cell r="AG187">
            <v>0</v>
          </cell>
        </row>
        <row r="188">
          <cell r="A188" t="str">
            <v>06</v>
          </cell>
          <cell r="E188" t="str">
            <v>24</v>
          </cell>
          <cell r="T188">
            <v>3.17</v>
          </cell>
          <cell r="AG188">
            <v>0</v>
          </cell>
        </row>
        <row r="189">
          <cell r="A189" t="str">
            <v>06</v>
          </cell>
          <cell r="E189" t="str">
            <v>20</v>
          </cell>
          <cell r="T189">
            <v>2.99</v>
          </cell>
          <cell r="AG189">
            <v>0</v>
          </cell>
        </row>
        <row r="190">
          <cell r="A190" t="str">
            <v>06</v>
          </cell>
          <cell r="E190" t="str">
            <v>20</v>
          </cell>
          <cell r="T190">
            <v>2.36</v>
          </cell>
          <cell r="AG190">
            <v>0</v>
          </cell>
        </row>
        <row r="191">
          <cell r="A191" t="str">
            <v>06</v>
          </cell>
          <cell r="E191" t="str">
            <v>20</v>
          </cell>
          <cell r="T191">
            <v>2.7</v>
          </cell>
          <cell r="AG191">
            <v>0</v>
          </cell>
        </row>
        <row r="192">
          <cell r="A192" t="str">
            <v>06</v>
          </cell>
          <cell r="E192" t="str">
            <v>20</v>
          </cell>
          <cell r="T192">
            <v>2.66</v>
          </cell>
          <cell r="AG192">
            <v>0</v>
          </cell>
        </row>
        <row r="193">
          <cell r="A193" t="str">
            <v>06</v>
          </cell>
          <cell r="E193" t="str">
            <v>20</v>
          </cell>
          <cell r="T193">
            <v>2.73</v>
          </cell>
          <cell r="AG193">
            <v>0</v>
          </cell>
        </row>
        <row r="194">
          <cell r="A194" t="str">
            <v>06</v>
          </cell>
          <cell r="E194" t="str">
            <v>20</v>
          </cell>
          <cell r="T194">
            <v>2.97</v>
          </cell>
          <cell r="AG194">
            <v>0</v>
          </cell>
        </row>
        <row r="195">
          <cell r="A195" t="str">
            <v>06</v>
          </cell>
          <cell r="E195" t="str">
            <v>20</v>
          </cell>
          <cell r="T195">
            <v>2.84</v>
          </cell>
          <cell r="AG195">
            <v>0</v>
          </cell>
        </row>
        <row r="196">
          <cell r="A196" t="str">
            <v>06</v>
          </cell>
          <cell r="E196" t="str">
            <v>20</v>
          </cell>
          <cell r="T196">
            <v>3.06</v>
          </cell>
          <cell r="AG196">
            <v>0</v>
          </cell>
        </row>
        <row r="197">
          <cell r="A197" t="str">
            <v>06</v>
          </cell>
          <cell r="E197" t="str">
            <v>2A</v>
          </cell>
          <cell r="T197">
            <v>2.64</v>
          </cell>
          <cell r="AG197">
            <v>0</v>
          </cell>
        </row>
        <row r="198">
          <cell r="A198" t="str">
            <v>06</v>
          </cell>
          <cell r="E198" t="str">
            <v>2A</v>
          </cell>
          <cell r="T198">
            <v>2.93</v>
          </cell>
          <cell r="AG198">
            <v>0</v>
          </cell>
        </row>
        <row r="199">
          <cell r="A199" t="str">
            <v>06</v>
          </cell>
          <cell r="E199" t="str">
            <v>2A</v>
          </cell>
          <cell r="T199">
            <v>2.61</v>
          </cell>
          <cell r="AG199">
            <v>0</v>
          </cell>
        </row>
        <row r="200">
          <cell r="A200" t="str">
            <v>06</v>
          </cell>
          <cell r="E200" t="str">
            <v>2A</v>
          </cell>
          <cell r="T200">
            <v>3.32</v>
          </cell>
          <cell r="AG200">
            <v>0</v>
          </cell>
        </row>
        <row r="201">
          <cell r="A201" t="str">
            <v>06</v>
          </cell>
          <cell r="E201" t="str">
            <v>2A</v>
          </cell>
          <cell r="T201">
            <v>3.84</v>
          </cell>
          <cell r="AG201">
            <v>0</v>
          </cell>
        </row>
        <row r="202">
          <cell r="A202" t="str">
            <v>06</v>
          </cell>
          <cell r="E202" t="str">
            <v>2A</v>
          </cell>
          <cell r="T202">
            <v>3.05</v>
          </cell>
          <cell r="AG202">
            <v>0</v>
          </cell>
        </row>
        <row r="203">
          <cell r="A203" t="str">
            <v>06</v>
          </cell>
          <cell r="E203" t="str">
            <v>2A</v>
          </cell>
          <cell r="T203">
            <v>3.51</v>
          </cell>
          <cell r="AG203">
            <v>0</v>
          </cell>
        </row>
        <row r="204">
          <cell r="A204" t="str">
            <v>06</v>
          </cell>
          <cell r="E204" t="str">
            <v>2A</v>
          </cell>
          <cell r="T204">
            <v>3.81</v>
          </cell>
          <cell r="AG204">
            <v>0</v>
          </cell>
        </row>
        <row r="205">
          <cell r="A205" t="str">
            <v>06</v>
          </cell>
          <cell r="E205" t="str">
            <v>2A</v>
          </cell>
          <cell r="T205">
            <v>1.83</v>
          </cell>
          <cell r="AG205">
            <v>0</v>
          </cell>
        </row>
        <row r="206">
          <cell r="A206" t="str">
            <v>06</v>
          </cell>
          <cell r="E206" t="str">
            <v>2A</v>
          </cell>
          <cell r="T206">
            <v>2.5299999999999998</v>
          </cell>
          <cell r="AG206">
            <v>0</v>
          </cell>
        </row>
        <row r="207">
          <cell r="A207" t="str">
            <v>06</v>
          </cell>
          <cell r="E207" t="str">
            <v>2A</v>
          </cell>
          <cell r="T207">
            <v>4.83</v>
          </cell>
          <cell r="AG207">
            <v>0</v>
          </cell>
        </row>
        <row r="208">
          <cell r="A208" t="str">
            <v>06</v>
          </cell>
          <cell r="E208" t="str">
            <v>20</v>
          </cell>
          <cell r="T208">
            <v>3.96</v>
          </cell>
          <cell r="AG208">
            <v>0</v>
          </cell>
        </row>
        <row r="209">
          <cell r="A209" t="str">
            <v>06</v>
          </cell>
          <cell r="E209" t="str">
            <v>20</v>
          </cell>
          <cell r="T209">
            <v>3.67</v>
          </cell>
          <cell r="AG209">
            <v>0</v>
          </cell>
        </row>
        <row r="210">
          <cell r="A210" t="str">
            <v>06</v>
          </cell>
          <cell r="E210" t="str">
            <v>20</v>
          </cell>
          <cell r="T210">
            <v>3.84</v>
          </cell>
          <cell r="AG210">
            <v>0</v>
          </cell>
        </row>
        <row r="211">
          <cell r="A211" t="str">
            <v>06</v>
          </cell>
          <cell r="E211" t="str">
            <v>24</v>
          </cell>
          <cell r="T211">
            <v>3.62</v>
          </cell>
          <cell r="AG211">
            <v>0</v>
          </cell>
        </row>
        <row r="212">
          <cell r="A212" t="str">
            <v>06</v>
          </cell>
          <cell r="E212" t="str">
            <v>20</v>
          </cell>
          <cell r="T212">
            <v>2.68</v>
          </cell>
          <cell r="AG212">
            <v>0</v>
          </cell>
        </row>
        <row r="213">
          <cell r="A213" t="str">
            <v>06</v>
          </cell>
          <cell r="E213" t="str">
            <v>20</v>
          </cell>
          <cell r="T213">
            <v>3.15</v>
          </cell>
          <cell r="AG213">
            <v>0</v>
          </cell>
        </row>
        <row r="214">
          <cell r="A214" t="str">
            <v>06</v>
          </cell>
          <cell r="E214" t="str">
            <v>20</v>
          </cell>
          <cell r="T214">
            <v>3.15</v>
          </cell>
          <cell r="AG214">
            <v>0</v>
          </cell>
        </row>
        <row r="215">
          <cell r="A215" t="str">
            <v>06</v>
          </cell>
          <cell r="E215" t="str">
            <v>20</v>
          </cell>
          <cell r="T215">
            <v>3.96</v>
          </cell>
          <cell r="AG215">
            <v>0</v>
          </cell>
        </row>
        <row r="216">
          <cell r="A216" t="str">
            <v>06</v>
          </cell>
          <cell r="E216" t="str">
            <v>20</v>
          </cell>
          <cell r="T216">
            <v>2.68</v>
          </cell>
          <cell r="AG216">
            <v>0</v>
          </cell>
        </row>
        <row r="217">
          <cell r="A217" t="str">
            <v>06</v>
          </cell>
          <cell r="E217" t="str">
            <v>20</v>
          </cell>
          <cell r="T217">
            <v>3.17</v>
          </cell>
          <cell r="AG217">
            <v>0</v>
          </cell>
        </row>
        <row r="218">
          <cell r="A218" t="str">
            <v>06</v>
          </cell>
          <cell r="E218" t="str">
            <v>20</v>
          </cell>
          <cell r="T218">
            <v>3.06</v>
          </cell>
          <cell r="AG218">
            <v>0</v>
          </cell>
        </row>
        <row r="219">
          <cell r="A219" t="str">
            <v>06</v>
          </cell>
          <cell r="E219" t="str">
            <v>20</v>
          </cell>
          <cell r="T219">
            <v>4.12</v>
          </cell>
          <cell r="AG219">
            <v>0</v>
          </cell>
        </row>
        <row r="220">
          <cell r="A220" t="str">
            <v>06</v>
          </cell>
          <cell r="E220" t="str">
            <v>20</v>
          </cell>
          <cell r="T220">
            <v>2.96</v>
          </cell>
          <cell r="AG220">
            <v>0</v>
          </cell>
        </row>
        <row r="221">
          <cell r="A221" t="str">
            <v>07</v>
          </cell>
          <cell r="E221" t="str">
            <v>2A</v>
          </cell>
          <cell r="T221">
            <v>2.0699999999999998</v>
          </cell>
          <cell r="AG221">
            <v>0</v>
          </cell>
        </row>
        <row r="222">
          <cell r="A222" t="str">
            <v>07</v>
          </cell>
          <cell r="E222" t="str">
            <v>2A</v>
          </cell>
          <cell r="T222">
            <v>3.24</v>
          </cell>
          <cell r="AG222">
            <v>0</v>
          </cell>
        </row>
        <row r="223">
          <cell r="A223" t="str">
            <v>07</v>
          </cell>
          <cell r="E223" t="str">
            <v>2A</v>
          </cell>
          <cell r="T223">
            <v>3.04</v>
          </cell>
          <cell r="AG223">
            <v>0</v>
          </cell>
        </row>
        <row r="224">
          <cell r="A224" t="str">
            <v>07</v>
          </cell>
          <cell r="E224" t="str">
            <v>2A</v>
          </cell>
          <cell r="T224">
            <v>3.5</v>
          </cell>
          <cell r="AG224">
            <v>0</v>
          </cell>
        </row>
        <row r="225">
          <cell r="A225" t="str">
            <v>07</v>
          </cell>
          <cell r="E225" t="str">
            <v>2A</v>
          </cell>
          <cell r="T225">
            <v>3.17</v>
          </cell>
          <cell r="AG225">
            <v>0</v>
          </cell>
        </row>
        <row r="226">
          <cell r="A226" t="str">
            <v>07</v>
          </cell>
          <cell r="E226" t="str">
            <v>2A</v>
          </cell>
          <cell r="T226">
            <v>3.4</v>
          </cell>
          <cell r="AG226">
            <v>0</v>
          </cell>
        </row>
        <row r="227">
          <cell r="A227" t="str">
            <v>07</v>
          </cell>
          <cell r="E227" t="str">
            <v>2A</v>
          </cell>
          <cell r="T227">
            <v>4.22</v>
          </cell>
          <cell r="AG227">
            <v>0</v>
          </cell>
        </row>
        <row r="228">
          <cell r="A228" t="str">
            <v>07</v>
          </cell>
          <cell r="E228" t="str">
            <v>2A</v>
          </cell>
          <cell r="T228">
            <v>2.1</v>
          </cell>
          <cell r="AG228">
            <v>0</v>
          </cell>
        </row>
        <row r="229">
          <cell r="A229" t="str">
            <v>07</v>
          </cell>
          <cell r="E229" t="str">
            <v>2A</v>
          </cell>
          <cell r="T229">
            <v>2.65</v>
          </cell>
          <cell r="AG229">
            <v>0</v>
          </cell>
        </row>
        <row r="230">
          <cell r="A230" t="str">
            <v>07</v>
          </cell>
          <cell r="E230" t="str">
            <v>2A</v>
          </cell>
          <cell r="T230">
            <v>2.95</v>
          </cell>
          <cell r="AG230">
            <v>0</v>
          </cell>
        </row>
        <row r="231">
          <cell r="A231" t="str">
            <v>07</v>
          </cell>
          <cell r="E231" t="str">
            <v>2A</v>
          </cell>
          <cell r="T231">
            <v>3.23</v>
          </cell>
          <cell r="AG231">
            <v>0</v>
          </cell>
        </row>
        <row r="232">
          <cell r="A232" t="str">
            <v>07</v>
          </cell>
          <cell r="E232" t="str">
            <v>2A</v>
          </cell>
          <cell r="T232">
            <v>2.77</v>
          </cell>
          <cell r="AG232">
            <v>0</v>
          </cell>
        </row>
        <row r="233">
          <cell r="A233" t="str">
            <v>07</v>
          </cell>
          <cell r="E233" t="str">
            <v>20</v>
          </cell>
          <cell r="T233">
            <v>4.16</v>
          </cell>
          <cell r="AG233">
            <v>0</v>
          </cell>
        </row>
        <row r="234">
          <cell r="A234" t="str">
            <v>07</v>
          </cell>
          <cell r="E234" t="str">
            <v>20</v>
          </cell>
          <cell r="T234">
            <v>2.96</v>
          </cell>
          <cell r="AG234">
            <v>0</v>
          </cell>
        </row>
        <row r="235">
          <cell r="A235" t="str">
            <v>07</v>
          </cell>
          <cell r="E235" t="str">
            <v>24</v>
          </cell>
          <cell r="T235">
            <v>4.18</v>
          </cell>
          <cell r="AG235">
            <v>0</v>
          </cell>
        </row>
        <row r="236">
          <cell r="A236" t="str">
            <v>07</v>
          </cell>
          <cell r="E236" t="str">
            <v>24</v>
          </cell>
          <cell r="T236">
            <v>3.92</v>
          </cell>
          <cell r="AG236">
            <v>0</v>
          </cell>
        </row>
        <row r="237">
          <cell r="A237" t="str">
            <v>07</v>
          </cell>
          <cell r="E237" t="str">
            <v>24</v>
          </cell>
          <cell r="T237">
            <v>2.88</v>
          </cell>
          <cell r="AG237">
            <v>0</v>
          </cell>
        </row>
        <row r="238">
          <cell r="A238" t="str">
            <v>07</v>
          </cell>
          <cell r="E238" t="str">
            <v>20</v>
          </cell>
          <cell r="T238">
            <v>2.82</v>
          </cell>
          <cell r="AG238">
            <v>0</v>
          </cell>
        </row>
        <row r="239">
          <cell r="A239" t="str">
            <v>07</v>
          </cell>
          <cell r="E239" t="str">
            <v>20</v>
          </cell>
          <cell r="T239">
            <v>2.6</v>
          </cell>
          <cell r="AG239">
            <v>0</v>
          </cell>
        </row>
        <row r="240">
          <cell r="A240" t="str">
            <v>07</v>
          </cell>
          <cell r="E240" t="str">
            <v>20</v>
          </cell>
          <cell r="T240">
            <v>3.1</v>
          </cell>
          <cell r="AG240">
            <v>0</v>
          </cell>
        </row>
        <row r="241">
          <cell r="A241" t="str">
            <v>07</v>
          </cell>
          <cell r="E241" t="str">
            <v>20</v>
          </cell>
          <cell r="T241">
            <v>2.04</v>
          </cell>
          <cell r="AG241">
            <v>0</v>
          </cell>
        </row>
        <row r="242">
          <cell r="A242" t="str">
            <v>07</v>
          </cell>
          <cell r="E242" t="str">
            <v>20</v>
          </cell>
          <cell r="T242">
            <v>2.69</v>
          </cell>
          <cell r="AG242">
            <v>0</v>
          </cell>
        </row>
        <row r="243">
          <cell r="A243" t="str">
            <v>07</v>
          </cell>
          <cell r="E243" t="str">
            <v>20</v>
          </cell>
          <cell r="T243">
            <v>3.91</v>
          </cell>
          <cell r="AG243">
            <v>0</v>
          </cell>
        </row>
        <row r="244">
          <cell r="A244" t="str">
            <v>07</v>
          </cell>
          <cell r="E244" t="str">
            <v>20</v>
          </cell>
          <cell r="T244">
            <v>3.14</v>
          </cell>
          <cell r="AG244">
            <v>0</v>
          </cell>
        </row>
        <row r="245">
          <cell r="A245" t="str">
            <v>07</v>
          </cell>
          <cell r="E245" t="str">
            <v>20</v>
          </cell>
          <cell r="T245">
            <v>2.95</v>
          </cell>
          <cell r="AG245">
            <v>0</v>
          </cell>
        </row>
        <row r="246">
          <cell r="A246" t="str">
            <v>07</v>
          </cell>
          <cell r="E246" t="str">
            <v>20</v>
          </cell>
          <cell r="T246">
            <v>3.23</v>
          </cell>
          <cell r="AG246">
            <v>0</v>
          </cell>
        </row>
        <row r="247">
          <cell r="A247" t="str">
            <v>07</v>
          </cell>
          <cell r="E247" t="str">
            <v>2A</v>
          </cell>
          <cell r="T247">
            <v>2.84</v>
          </cell>
          <cell r="AG247">
            <v>0</v>
          </cell>
        </row>
        <row r="248">
          <cell r="A248" t="str">
            <v>07</v>
          </cell>
          <cell r="E248" t="str">
            <v>2A</v>
          </cell>
          <cell r="T248">
            <v>3.2</v>
          </cell>
          <cell r="AG248">
            <v>0</v>
          </cell>
        </row>
        <row r="249">
          <cell r="A249" t="str">
            <v>07</v>
          </cell>
          <cell r="E249" t="str">
            <v>2A</v>
          </cell>
          <cell r="T249">
            <v>2.6</v>
          </cell>
          <cell r="AG249">
            <v>0</v>
          </cell>
        </row>
        <row r="250">
          <cell r="A250" t="str">
            <v>07</v>
          </cell>
          <cell r="E250" t="str">
            <v>2A</v>
          </cell>
          <cell r="T250">
            <v>2.93</v>
          </cell>
          <cell r="AG250">
            <v>0</v>
          </cell>
        </row>
        <row r="251">
          <cell r="A251" t="str">
            <v>07</v>
          </cell>
          <cell r="E251" t="str">
            <v>2A</v>
          </cell>
          <cell r="T251">
            <v>2.62</v>
          </cell>
          <cell r="AG251">
            <v>0</v>
          </cell>
        </row>
        <row r="252">
          <cell r="A252" t="str">
            <v>07</v>
          </cell>
          <cell r="E252" t="str">
            <v>2A</v>
          </cell>
          <cell r="T252">
            <v>3.89</v>
          </cell>
          <cell r="AG252">
            <v>0</v>
          </cell>
        </row>
        <row r="253">
          <cell r="A253" t="str">
            <v>07</v>
          </cell>
          <cell r="E253" t="str">
            <v>2A</v>
          </cell>
          <cell r="T253">
            <v>3.83</v>
          </cell>
          <cell r="AG253">
            <v>0</v>
          </cell>
        </row>
        <row r="254">
          <cell r="A254" t="str">
            <v>07</v>
          </cell>
          <cell r="E254" t="str">
            <v>2A</v>
          </cell>
          <cell r="T254">
            <v>2.16</v>
          </cell>
          <cell r="AG254">
            <v>0</v>
          </cell>
        </row>
        <row r="255">
          <cell r="A255" t="str">
            <v>07</v>
          </cell>
          <cell r="E255" t="str">
            <v>2A</v>
          </cell>
          <cell r="T255">
            <v>2.8</v>
          </cell>
          <cell r="AG255">
            <v>0</v>
          </cell>
        </row>
        <row r="256">
          <cell r="A256" t="str">
            <v>07</v>
          </cell>
          <cell r="E256" t="str">
            <v>2A</v>
          </cell>
          <cell r="T256">
            <v>2.64</v>
          </cell>
          <cell r="AG256">
            <v>0</v>
          </cell>
        </row>
        <row r="257">
          <cell r="A257" t="str">
            <v>07</v>
          </cell>
          <cell r="E257" t="str">
            <v>2A</v>
          </cell>
          <cell r="T257">
            <v>4.55</v>
          </cell>
          <cell r="AG257">
            <v>0</v>
          </cell>
        </row>
        <row r="258">
          <cell r="A258" t="str">
            <v>07</v>
          </cell>
          <cell r="E258" t="str">
            <v>2A</v>
          </cell>
          <cell r="T258">
            <v>3.75</v>
          </cell>
          <cell r="AG258">
            <v>0</v>
          </cell>
        </row>
        <row r="259">
          <cell r="A259" t="str">
            <v>07</v>
          </cell>
          <cell r="E259" t="str">
            <v>2A</v>
          </cell>
          <cell r="T259">
            <v>2.5499999999999998</v>
          </cell>
          <cell r="AG259">
            <v>0</v>
          </cell>
        </row>
        <row r="260">
          <cell r="A260" t="str">
            <v>07</v>
          </cell>
          <cell r="E260" t="str">
            <v>2A</v>
          </cell>
          <cell r="T260">
            <v>2.9</v>
          </cell>
          <cell r="AG260">
            <v>0</v>
          </cell>
        </row>
        <row r="261">
          <cell r="A261" t="str">
            <v>07</v>
          </cell>
          <cell r="E261" t="str">
            <v>20</v>
          </cell>
          <cell r="T261">
            <v>2.71</v>
          </cell>
          <cell r="AG261">
            <v>0</v>
          </cell>
        </row>
        <row r="262">
          <cell r="A262" t="str">
            <v>07</v>
          </cell>
          <cell r="E262" t="str">
            <v>20</v>
          </cell>
          <cell r="T262">
            <v>3.42</v>
          </cell>
          <cell r="AG262">
            <v>0</v>
          </cell>
        </row>
        <row r="263">
          <cell r="A263" t="str">
            <v>07</v>
          </cell>
          <cell r="E263" t="str">
            <v>20</v>
          </cell>
          <cell r="T263">
            <v>4.58</v>
          </cell>
          <cell r="AG263">
            <v>0</v>
          </cell>
        </row>
        <row r="264">
          <cell r="A264" t="str">
            <v>07</v>
          </cell>
          <cell r="E264" t="str">
            <v>20</v>
          </cell>
          <cell r="T264">
            <v>3.4</v>
          </cell>
          <cell r="AG264">
            <v>0</v>
          </cell>
        </row>
        <row r="265">
          <cell r="A265" t="str">
            <v>07</v>
          </cell>
          <cell r="E265" t="str">
            <v>24</v>
          </cell>
          <cell r="T265">
            <v>5.52</v>
          </cell>
          <cell r="AG265">
            <v>0</v>
          </cell>
        </row>
        <row r="266">
          <cell r="A266" t="str">
            <v>07</v>
          </cell>
          <cell r="E266" t="str">
            <v>24</v>
          </cell>
          <cell r="T266">
            <v>3.08</v>
          </cell>
          <cell r="AG266">
            <v>0</v>
          </cell>
        </row>
        <row r="267">
          <cell r="A267" t="str">
            <v>07</v>
          </cell>
          <cell r="E267" t="str">
            <v>20</v>
          </cell>
          <cell r="T267">
            <v>3.3</v>
          </cell>
          <cell r="AG267">
            <v>0</v>
          </cell>
        </row>
        <row r="268">
          <cell r="A268" t="str">
            <v>07</v>
          </cell>
          <cell r="E268" t="str">
            <v>20</v>
          </cell>
          <cell r="T268">
            <v>3.33</v>
          </cell>
          <cell r="AG268">
            <v>0</v>
          </cell>
        </row>
        <row r="269">
          <cell r="A269" t="str">
            <v>07</v>
          </cell>
          <cell r="E269" t="str">
            <v>20</v>
          </cell>
          <cell r="T269">
            <v>2.52</v>
          </cell>
          <cell r="AG269">
            <v>0</v>
          </cell>
        </row>
        <row r="270">
          <cell r="A270" t="str">
            <v>07</v>
          </cell>
          <cell r="E270" t="str">
            <v>20</v>
          </cell>
          <cell r="T270">
            <v>3.56</v>
          </cell>
          <cell r="AG270">
            <v>0</v>
          </cell>
        </row>
        <row r="271">
          <cell r="A271" t="str">
            <v>07</v>
          </cell>
          <cell r="E271" t="str">
            <v>20</v>
          </cell>
          <cell r="T271">
            <v>5.22</v>
          </cell>
          <cell r="AG271">
            <v>0</v>
          </cell>
        </row>
        <row r="272">
          <cell r="A272" t="str">
            <v>07</v>
          </cell>
          <cell r="E272" t="str">
            <v>20</v>
          </cell>
          <cell r="T272">
            <v>3.17</v>
          </cell>
          <cell r="AG272">
            <v>0</v>
          </cell>
        </row>
        <row r="273">
          <cell r="A273" t="str">
            <v>07</v>
          </cell>
          <cell r="E273" t="str">
            <v>20</v>
          </cell>
          <cell r="T273">
            <v>2.93</v>
          </cell>
          <cell r="AG273">
            <v>0</v>
          </cell>
        </row>
        <row r="274">
          <cell r="A274" t="str">
            <v>07</v>
          </cell>
          <cell r="E274" t="str">
            <v>20</v>
          </cell>
          <cell r="T274">
            <v>3.08</v>
          </cell>
          <cell r="AG274">
            <v>0</v>
          </cell>
        </row>
        <row r="275">
          <cell r="A275" t="str">
            <v>07</v>
          </cell>
          <cell r="E275" t="str">
            <v>20</v>
          </cell>
          <cell r="T275">
            <v>3.76</v>
          </cell>
          <cell r="AG275">
            <v>0</v>
          </cell>
        </row>
        <row r="276">
          <cell r="A276" t="str">
            <v>07</v>
          </cell>
          <cell r="E276" t="str">
            <v>2A</v>
          </cell>
          <cell r="T276">
            <v>2.89</v>
          </cell>
          <cell r="AG276">
            <v>0</v>
          </cell>
        </row>
        <row r="277">
          <cell r="A277" t="str">
            <v>07</v>
          </cell>
          <cell r="E277" t="str">
            <v>2A</v>
          </cell>
          <cell r="T277">
            <v>3.19</v>
          </cell>
          <cell r="AG277">
            <v>0</v>
          </cell>
        </row>
        <row r="278">
          <cell r="A278" t="str">
            <v>07</v>
          </cell>
          <cell r="E278" t="str">
            <v>2A</v>
          </cell>
          <cell r="T278">
            <v>3.48</v>
          </cell>
          <cell r="AG278">
            <v>0</v>
          </cell>
        </row>
        <row r="279">
          <cell r="A279" t="str">
            <v>07</v>
          </cell>
          <cell r="E279" t="str">
            <v>2A</v>
          </cell>
          <cell r="T279">
            <v>2.74</v>
          </cell>
          <cell r="AG279">
            <v>0</v>
          </cell>
        </row>
        <row r="280">
          <cell r="A280" t="str">
            <v>07</v>
          </cell>
          <cell r="E280" t="str">
            <v>2A</v>
          </cell>
          <cell r="T280">
            <v>2.67</v>
          </cell>
          <cell r="AG280">
            <v>0</v>
          </cell>
        </row>
        <row r="281">
          <cell r="A281" t="str">
            <v>07</v>
          </cell>
          <cell r="E281" t="str">
            <v>2A</v>
          </cell>
          <cell r="T281">
            <v>2</v>
          </cell>
          <cell r="AG281">
            <v>0</v>
          </cell>
        </row>
        <row r="282">
          <cell r="A282" t="str">
            <v>07</v>
          </cell>
          <cell r="E282" t="str">
            <v>2A</v>
          </cell>
          <cell r="T282">
            <v>3.65</v>
          </cell>
          <cell r="AG282">
            <v>0</v>
          </cell>
        </row>
        <row r="283">
          <cell r="A283" t="str">
            <v>07</v>
          </cell>
          <cell r="E283" t="str">
            <v>2A</v>
          </cell>
          <cell r="T283">
            <v>3.05</v>
          </cell>
          <cell r="AG283">
            <v>0</v>
          </cell>
        </row>
        <row r="284">
          <cell r="A284" t="str">
            <v>07</v>
          </cell>
          <cell r="E284" t="str">
            <v>2A</v>
          </cell>
          <cell r="T284">
            <v>3.59</v>
          </cell>
          <cell r="AG284">
            <v>0</v>
          </cell>
        </row>
        <row r="285">
          <cell r="A285" t="str">
            <v>07</v>
          </cell>
          <cell r="E285" t="str">
            <v>2A</v>
          </cell>
          <cell r="T285">
            <v>3.3</v>
          </cell>
          <cell r="AG285">
            <v>0</v>
          </cell>
        </row>
        <row r="286">
          <cell r="A286" t="str">
            <v>07</v>
          </cell>
          <cell r="E286" t="str">
            <v>2A</v>
          </cell>
          <cell r="T286">
            <v>3.25</v>
          </cell>
          <cell r="AG286">
            <v>0</v>
          </cell>
        </row>
        <row r="287">
          <cell r="A287" t="str">
            <v>07</v>
          </cell>
          <cell r="E287" t="str">
            <v>2A</v>
          </cell>
          <cell r="T287">
            <v>3.72</v>
          </cell>
          <cell r="AG287">
            <v>0</v>
          </cell>
        </row>
        <row r="288">
          <cell r="A288" t="str">
            <v>07</v>
          </cell>
          <cell r="E288" t="str">
            <v>2A</v>
          </cell>
          <cell r="T288">
            <v>3.32</v>
          </cell>
          <cell r="AG288">
            <v>0</v>
          </cell>
        </row>
        <row r="289">
          <cell r="A289" t="str">
            <v>07</v>
          </cell>
          <cell r="E289" t="str">
            <v>2A</v>
          </cell>
          <cell r="T289">
            <v>3.35</v>
          </cell>
          <cell r="AG289">
            <v>0</v>
          </cell>
        </row>
        <row r="290">
          <cell r="A290" t="str">
            <v>07</v>
          </cell>
          <cell r="E290" t="str">
            <v>20</v>
          </cell>
          <cell r="T290">
            <v>3.3</v>
          </cell>
          <cell r="AG290">
            <v>0</v>
          </cell>
        </row>
        <row r="291">
          <cell r="A291" t="str">
            <v>07</v>
          </cell>
          <cell r="E291" t="str">
            <v>20</v>
          </cell>
          <cell r="T291">
            <v>3.05</v>
          </cell>
          <cell r="AG291">
            <v>0</v>
          </cell>
        </row>
        <row r="292">
          <cell r="A292" t="str">
            <v>07</v>
          </cell>
          <cell r="E292" t="str">
            <v>20</v>
          </cell>
          <cell r="T292">
            <v>3.57</v>
          </cell>
          <cell r="AG292">
            <v>0</v>
          </cell>
        </row>
        <row r="293">
          <cell r="A293" t="str">
            <v>07</v>
          </cell>
          <cell r="E293" t="str">
            <v>20</v>
          </cell>
          <cell r="T293">
            <v>2.67</v>
          </cell>
          <cell r="AG293">
            <v>0</v>
          </cell>
        </row>
        <row r="294">
          <cell r="A294" t="str">
            <v>07</v>
          </cell>
          <cell r="E294" t="str">
            <v>24</v>
          </cell>
          <cell r="T294">
            <v>4.41</v>
          </cell>
          <cell r="AG294">
            <v>0</v>
          </cell>
        </row>
        <row r="295">
          <cell r="A295" t="str">
            <v>07</v>
          </cell>
          <cell r="E295" t="str">
            <v>24</v>
          </cell>
          <cell r="T295">
            <v>3.27</v>
          </cell>
          <cell r="AG295">
            <v>0</v>
          </cell>
        </row>
        <row r="296">
          <cell r="A296" t="str">
            <v>07</v>
          </cell>
          <cell r="E296" t="str">
            <v>20</v>
          </cell>
          <cell r="T296">
            <v>2.54</v>
          </cell>
          <cell r="AG296">
            <v>0</v>
          </cell>
        </row>
        <row r="297">
          <cell r="A297" t="str">
            <v>07</v>
          </cell>
          <cell r="E297" t="str">
            <v>20</v>
          </cell>
          <cell r="T297">
            <v>3.23</v>
          </cell>
          <cell r="AG297">
            <v>0</v>
          </cell>
        </row>
        <row r="298">
          <cell r="A298" t="str">
            <v>07</v>
          </cell>
          <cell r="E298" t="str">
            <v>20</v>
          </cell>
          <cell r="T298">
            <v>2.0099999999999998</v>
          </cell>
          <cell r="AG298">
            <v>0</v>
          </cell>
        </row>
        <row r="299">
          <cell r="A299" t="str">
            <v>07</v>
          </cell>
          <cell r="E299" t="str">
            <v>20</v>
          </cell>
          <cell r="T299">
            <v>3.08</v>
          </cell>
          <cell r="AG299">
            <v>0</v>
          </cell>
        </row>
        <row r="300">
          <cell r="A300" t="str">
            <v>07</v>
          </cell>
          <cell r="E300" t="str">
            <v>20</v>
          </cell>
          <cell r="T300">
            <v>2.63</v>
          </cell>
          <cell r="AG300">
            <v>0</v>
          </cell>
        </row>
        <row r="301">
          <cell r="A301" t="str">
            <v>07</v>
          </cell>
          <cell r="E301" t="str">
            <v>2A</v>
          </cell>
          <cell r="T301">
            <v>2.67</v>
          </cell>
          <cell r="AG301">
            <v>0</v>
          </cell>
        </row>
        <row r="302">
          <cell r="A302" t="str">
            <v>07</v>
          </cell>
          <cell r="E302" t="str">
            <v>2A</v>
          </cell>
          <cell r="T302">
            <v>2.66</v>
          </cell>
          <cell r="AG302">
            <v>0</v>
          </cell>
        </row>
        <row r="303">
          <cell r="A303" t="str">
            <v>07</v>
          </cell>
          <cell r="E303" t="str">
            <v>2A</v>
          </cell>
          <cell r="T303">
            <v>3.39</v>
          </cell>
          <cell r="AG303">
            <v>0</v>
          </cell>
        </row>
        <row r="304">
          <cell r="A304" t="str">
            <v>07</v>
          </cell>
          <cell r="E304" t="str">
            <v>2A</v>
          </cell>
          <cell r="T304">
            <v>2.2000000000000002</v>
          </cell>
          <cell r="AG304">
            <v>0</v>
          </cell>
        </row>
        <row r="305">
          <cell r="A305" t="str">
            <v>07</v>
          </cell>
          <cell r="E305" t="str">
            <v>2A</v>
          </cell>
          <cell r="T305">
            <v>2.54</v>
          </cell>
          <cell r="AG305">
            <v>0</v>
          </cell>
        </row>
        <row r="306">
          <cell r="A306" t="str">
            <v>07</v>
          </cell>
          <cell r="E306" t="str">
            <v>2A</v>
          </cell>
          <cell r="T306">
            <v>4.1100000000000003</v>
          </cell>
          <cell r="AG306">
            <v>0</v>
          </cell>
        </row>
        <row r="307">
          <cell r="A307" t="str">
            <v>07</v>
          </cell>
          <cell r="E307" t="str">
            <v>2A</v>
          </cell>
          <cell r="T307">
            <v>3.38</v>
          </cell>
          <cell r="AG307">
            <v>0</v>
          </cell>
        </row>
        <row r="308">
          <cell r="A308" t="str">
            <v>07</v>
          </cell>
          <cell r="E308" t="str">
            <v>2A</v>
          </cell>
          <cell r="T308">
            <v>1.79</v>
          </cell>
          <cell r="AG308">
            <v>0</v>
          </cell>
        </row>
        <row r="309">
          <cell r="A309" t="str">
            <v>07</v>
          </cell>
          <cell r="E309" t="str">
            <v>2A</v>
          </cell>
          <cell r="T309">
            <v>3.45</v>
          </cell>
          <cell r="AG309">
            <v>0</v>
          </cell>
        </row>
        <row r="310">
          <cell r="A310" t="str">
            <v>07</v>
          </cell>
          <cell r="E310" t="str">
            <v>2A</v>
          </cell>
          <cell r="T310">
            <v>2.94</v>
          </cell>
          <cell r="AG310">
            <v>0</v>
          </cell>
        </row>
        <row r="311">
          <cell r="A311" t="str">
            <v>07</v>
          </cell>
          <cell r="E311" t="str">
            <v>2A</v>
          </cell>
          <cell r="T311">
            <v>2.0099999999999998</v>
          </cell>
          <cell r="AG311">
            <v>0</v>
          </cell>
        </row>
        <row r="312">
          <cell r="A312" t="str">
            <v>07</v>
          </cell>
          <cell r="E312" t="str">
            <v>2A</v>
          </cell>
          <cell r="T312">
            <v>2.92</v>
          </cell>
          <cell r="AG312">
            <v>0</v>
          </cell>
        </row>
        <row r="313">
          <cell r="A313" t="str">
            <v>07</v>
          </cell>
          <cell r="E313" t="str">
            <v>20</v>
          </cell>
          <cell r="T313">
            <v>3.02</v>
          </cell>
          <cell r="AG313">
            <v>0</v>
          </cell>
        </row>
        <row r="314">
          <cell r="A314" t="str">
            <v>07</v>
          </cell>
          <cell r="E314" t="str">
            <v>20</v>
          </cell>
          <cell r="T314">
            <v>2.5499999999999998</v>
          </cell>
          <cell r="AG314">
            <v>0</v>
          </cell>
        </row>
        <row r="315">
          <cell r="A315" t="str">
            <v>07</v>
          </cell>
          <cell r="E315" t="str">
            <v>20</v>
          </cell>
          <cell r="T315">
            <v>3.01</v>
          </cell>
          <cell r="AG315">
            <v>0</v>
          </cell>
        </row>
        <row r="316">
          <cell r="A316" t="str">
            <v>07</v>
          </cell>
          <cell r="E316" t="str">
            <v>20</v>
          </cell>
          <cell r="T316">
            <v>3.66</v>
          </cell>
          <cell r="AG316">
            <v>0</v>
          </cell>
        </row>
        <row r="317">
          <cell r="A317" t="str">
            <v>07</v>
          </cell>
          <cell r="E317" t="str">
            <v>24</v>
          </cell>
          <cell r="T317">
            <v>2.83</v>
          </cell>
          <cell r="AG317">
            <v>0</v>
          </cell>
        </row>
        <row r="318">
          <cell r="A318" t="str">
            <v>07</v>
          </cell>
          <cell r="E318" t="str">
            <v>24</v>
          </cell>
          <cell r="T318">
            <v>3.29</v>
          </cell>
          <cell r="AG318">
            <v>0</v>
          </cell>
        </row>
        <row r="319">
          <cell r="A319" t="str">
            <v>07</v>
          </cell>
          <cell r="E319" t="str">
            <v>24</v>
          </cell>
          <cell r="T319">
            <v>2.96</v>
          </cell>
          <cell r="AG319">
            <v>0</v>
          </cell>
        </row>
        <row r="320">
          <cell r="A320" t="str">
            <v>07</v>
          </cell>
          <cell r="E320" t="str">
            <v>20</v>
          </cell>
          <cell r="T320">
            <v>2.91</v>
          </cell>
          <cell r="AG320">
            <v>0</v>
          </cell>
        </row>
        <row r="321">
          <cell r="A321" t="str">
            <v>07</v>
          </cell>
          <cell r="E321" t="str">
            <v>20</v>
          </cell>
          <cell r="T321">
            <v>2.4900000000000002</v>
          </cell>
          <cell r="AG321">
            <v>0</v>
          </cell>
        </row>
        <row r="322">
          <cell r="A322" t="str">
            <v>07</v>
          </cell>
          <cell r="E322" t="str">
            <v>20</v>
          </cell>
          <cell r="T322">
            <v>3.06</v>
          </cell>
          <cell r="AG322">
            <v>0</v>
          </cell>
        </row>
        <row r="323">
          <cell r="A323" t="str">
            <v>07</v>
          </cell>
          <cell r="E323" t="str">
            <v>20</v>
          </cell>
          <cell r="T323">
            <v>2.78</v>
          </cell>
          <cell r="AG323">
            <v>0</v>
          </cell>
        </row>
        <row r="324">
          <cell r="A324" t="str">
            <v>07</v>
          </cell>
          <cell r="E324" t="str">
            <v>20</v>
          </cell>
          <cell r="T324">
            <v>2.85</v>
          </cell>
          <cell r="AG324">
            <v>0</v>
          </cell>
        </row>
        <row r="325">
          <cell r="A325" t="str">
            <v>07</v>
          </cell>
          <cell r="E325" t="str">
            <v>20</v>
          </cell>
          <cell r="T325">
            <v>1.85</v>
          </cell>
          <cell r="AG325">
            <v>0</v>
          </cell>
        </row>
        <row r="326">
          <cell r="A326" t="str">
            <v>07</v>
          </cell>
          <cell r="E326" t="str">
            <v>20</v>
          </cell>
          <cell r="T326">
            <v>3.37</v>
          </cell>
          <cell r="AG326">
            <v>0</v>
          </cell>
        </row>
        <row r="327">
          <cell r="A327" t="str">
            <v>07</v>
          </cell>
          <cell r="E327" t="str">
            <v>2A</v>
          </cell>
          <cell r="T327">
            <v>3.03</v>
          </cell>
          <cell r="AG327">
            <v>0</v>
          </cell>
        </row>
        <row r="328">
          <cell r="A328" t="str">
            <v>07</v>
          </cell>
          <cell r="E328" t="str">
            <v>2A</v>
          </cell>
          <cell r="T328">
            <v>2.96</v>
          </cell>
          <cell r="AG328">
            <v>0</v>
          </cell>
        </row>
        <row r="329">
          <cell r="A329" t="str">
            <v>07</v>
          </cell>
          <cell r="E329" t="str">
            <v>2A</v>
          </cell>
          <cell r="T329">
            <v>3.3</v>
          </cell>
          <cell r="AG329">
            <v>0</v>
          </cell>
        </row>
        <row r="330">
          <cell r="A330" t="str">
            <v>07</v>
          </cell>
          <cell r="E330" t="str">
            <v>2A</v>
          </cell>
          <cell r="T330">
            <v>2.31</v>
          </cell>
          <cell r="AG330">
            <v>0</v>
          </cell>
        </row>
        <row r="331">
          <cell r="A331" t="str">
            <v>07</v>
          </cell>
          <cell r="E331" t="str">
            <v>2A</v>
          </cell>
          <cell r="T331">
            <v>2.4</v>
          </cell>
          <cell r="AG331">
            <v>0</v>
          </cell>
        </row>
        <row r="332">
          <cell r="A332" t="str">
            <v>07</v>
          </cell>
          <cell r="E332" t="str">
            <v>2A</v>
          </cell>
          <cell r="T332">
            <v>2.23</v>
          </cell>
          <cell r="AG332">
            <v>0</v>
          </cell>
        </row>
        <row r="333">
          <cell r="A333" t="str">
            <v>07</v>
          </cell>
          <cell r="E333" t="str">
            <v>2A</v>
          </cell>
          <cell r="T333">
            <v>2.1800000000000002</v>
          </cell>
          <cell r="AG333">
            <v>0</v>
          </cell>
        </row>
        <row r="334">
          <cell r="A334" t="str">
            <v>07</v>
          </cell>
          <cell r="E334" t="str">
            <v>20</v>
          </cell>
          <cell r="T334">
            <v>2.33</v>
          </cell>
          <cell r="AG334">
            <v>0</v>
          </cell>
        </row>
        <row r="335">
          <cell r="A335" t="str">
            <v>08</v>
          </cell>
          <cell r="E335" t="str">
            <v>2A</v>
          </cell>
          <cell r="T335">
            <v>3.51</v>
          </cell>
          <cell r="AG335">
            <v>0</v>
          </cell>
        </row>
        <row r="336">
          <cell r="A336" t="str">
            <v>08</v>
          </cell>
          <cell r="E336" t="str">
            <v>2A</v>
          </cell>
          <cell r="T336">
            <v>2.5</v>
          </cell>
          <cell r="AG336">
            <v>0</v>
          </cell>
        </row>
        <row r="337">
          <cell r="A337" t="str">
            <v>08</v>
          </cell>
          <cell r="E337" t="str">
            <v>2A</v>
          </cell>
          <cell r="T337">
            <v>3.19</v>
          </cell>
          <cell r="AG337">
            <v>0</v>
          </cell>
        </row>
        <row r="338">
          <cell r="A338" t="str">
            <v>08</v>
          </cell>
          <cell r="E338" t="str">
            <v>20</v>
          </cell>
          <cell r="T338">
            <v>3.33</v>
          </cell>
          <cell r="AG338">
            <v>0</v>
          </cell>
        </row>
        <row r="339">
          <cell r="A339" t="str">
            <v>08</v>
          </cell>
          <cell r="E339" t="str">
            <v>20</v>
          </cell>
          <cell r="T339">
            <v>3.08</v>
          </cell>
          <cell r="AG339">
            <v>0</v>
          </cell>
        </row>
        <row r="340">
          <cell r="A340" t="str">
            <v>08</v>
          </cell>
          <cell r="E340" t="str">
            <v>20</v>
          </cell>
          <cell r="T340">
            <v>2.37</v>
          </cell>
          <cell r="AG340">
            <v>0</v>
          </cell>
        </row>
        <row r="341">
          <cell r="A341" t="str">
            <v>08</v>
          </cell>
          <cell r="E341" t="str">
            <v>20</v>
          </cell>
          <cell r="T341">
            <v>2.4700000000000002</v>
          </cell>
          <cell r="AG341">
            <v>0</v>
          </cell>
        </row>
        <row r="342">
          <cell r="A342" t="str">
            <v>08</v>
          </cell>
          <cell r="E342" t="str">
            <v>24</v>
          </cell>
          <cell r="T342">
            <v>2.93</v>
          </cell>
          <cell r="AG342">
            <v>0</v>
          </cell>
        </row>
        <row r="343">
          <cell r="A343" t="str">
            <v>08</v>
          </cell>
          <cell r="E343" t="str">
            <v>24</v>
          </cell>
          <cell r="T343">
            <v>3.24</v>
          </cell>
          <cell r="AG343">
            <v>0</v>
          </cell>
        </row>
        <row r="344">
          <cell r="A344" t="str">
            <v>08</v>
          </cell>
          <cell r="E344" t="str">
            <v>24</v>
          </cell>
          <cell r="T344">
            <v>3.39</v>
          </cell>
          <cell r="AG344">
            <v>0</v>
          </cell>
        </row>
        <row r="345">
          <cell r="A345" t="str">
            <v>08</v>
          </cell>
          <cell r="E345" t="str">
            <v>20</v>
          </cell>
          <cell r="T345">
            <v>3.57</v>
          </cell>
          <cell r="AG345">
            <v>0</v>
          </cell>
        </row>
        <row r="346">
          <cell r="A346" t="str">
            <v>08</v>
          </cell>
          <cell r="E346" t="str">
            <v>20</v>
          </cell>
          <cell r="T346">
            <v>2.56</v>
          </cell>
          <cell r="AG346">
            <v>0</v>
          </cell>
        </row>
        <row r="347">
          <cell r="A347" t="str">
            <v>08</v>
          </cell>
          <cell r="E347" t="str">
            <v>20</v>
          </cell>
          <cell r="T347">
            <v>3.07</v>
          </cell>
          <cell r="AG347">
            <v>0</v>
          </cell>
        </row>
        <row r="348">
          <cell r="A348" t="str">
            <v>08</v>
          </cell>
          <cell r="E348" t="str">
            <v>20</v>
          </cell>
          <cell r="T348">
            <v>2.31</v>
          </cell>
          <cell r="AG348">
            <v>0</v>
          </cell>
        </row>
        <row r="349">
          <cell r="A349" t="str">
            <v>08</v>
          </cell>
          <cell r="E349" t="str">
            <v>20</v>
          </cell>
          <cell r="T349">
            <v>2.75</v>
          </cell>
          <cell r="AG349">
            <v>0</v>
          </cell>
        </row>
        <row r="350">
          <cell r="A350" t="str">
            <v>08</v>
          </cell>
          <cell r="E350" t="str">
            <v>20</v>
          </cell>
          <cell r="T350">
            <v>2.89</v>
          </cell>
          <cell r="AG350">
            <v>0</v>
          </cell>
        </row>
        <row r="351">
          <cell r="A351" t="str">
            <v>08</v>
          </cell>
          <cell r="E351" t="str">
            <v>20</v>
          </cell>
          <cell r="T351">
            <v>3.1</v>
          </cell>
          <cell r="AG351">
            <v>0</v>
          </cell>
        </row>
        <row r="352">
          <cell r="A352" t="str">
            <v>08</v>
          </cell>
          <cell r="E352" t="str">
            <v>20</v>
          </cell>
          <cell r="T352">
            <v>3.39</v>
          </cell>
          <cell r="AG352">
            <v>0</v>
          </cell>
        </row>
        <row r="353">
          <cell r="A353" t="str">
            <v>08</v>
          </cell>
          <cell r="E353" t="str">
            <v>2A</v>
          </cell>
          <cell r="T353">
            <v>3.79</v>
          </cell>
          <cell r="AG353">
            <v>0</v>
          </cell>
        </row>
        <row r="354">
          <cell r="A354" t="str">
            <v>08</v>
          </cell>
          <cell r="E354" t="str">
            <v>2A</v>
          </cell>
          <cell r="T354">
            <v>2.2799999999999998</v>
          </cell>
          <cell r="AG354">
            <v>0</v>
          </cell>
        </row>
        <row r="355">
          <cell r="A355" t="str">
            <v>08</v>
          </cell>
          <cell r="E355" t="str">
            <v>2A</v>
          </cell>
          <cell r="T355">
            <v>3.42</v>
          </cell>
          <cell r="AG355">
            <v>0</v>
          </cell>
        </row>
        <row r="356">
          <cell r="A356" t="str">
            <v>08</v>
          </cell>
          <cell r="E356" t="str">
            <v>2A</v>
          </cell>
          <cell r="T356">
            <v>3.25</v>
          </cell>
          <cell r="AG356">
            <v>0</v>
          </cell>
        </row>
        <row r="357">
          <cell r="A357" t="str">
            <v>08</v>
          </cell>
          <cell r="E357" t="str">
            <v>2A</v>
          </cell>
          <cell r="T357">
            <v>1.66</v>
          </cell>
          <cell r="AG357">
            <v>0</v>
          </cell>
        </row>
        <row r="358">
          <cell r="A358" t="str">
            <v>08</v>
          </cell>
          <cell r="E358" t="str">
            <v>2A</v>
          </cell>
          <cell r="T358">
            <v>2.59</v>
          </cell>
          <cell r="AG358">
            <v>0</v>
          </cell>
        </row>
        <row r="359">
          <cell r="A359" t="str">
            <v>08</v>
          </cell>
          <cell r="E359" t="str">
            <v>2A</v>
          </cell>
          <cell r="T359">
            <v>3.27</v>
          </cell>
          <cell r="AG359">
            <v>0</v>
          </cell>
        </row>
        <row r="360">
          <cell r="A360" t="str">
            <v>08</v>
          </cell>
          <cell r="E360" t="str">
            <v>2A</v>
          </cell>
          <cell r="T360">
            <v>2.34</v>
          </cell>
          <cell r="AG360">
            <v>0</v>
          </cell>
        </row>
        <row r="361">
          <cell r="A361" t="str">
            <v>08</v>
          </cell>
          <cell r="E361" t="str">
            <v>20</v>
          </cell>
          <cell r="T361">
            <v>2.67</v>
          </cell>
          <cell r="AG361">
            <v>0</v>
          </cell>
        </row>
        <row r="362">
          <cell r="A362" t="str">
            <v>08</v>
          </cell>
          <cell r="E362" t="str">
            <v>20</v>
          </cell>
          <cell r="T362">
            <v>2.39</v>
          </cell>
          <cell r="AG362">
            <v>0</v>
          </cell>
        </row>
        <row r="363">
          <cell r="A363" t="str">
            <v>08</v>
          </cell>
          <cell r="E363" t="str">
            <v>20</v>
          </cell>
          <cell r="T363">
            <v>1.37</v>
          </cell>
          <cell r="AG363">
            <v>0</v>
          </cell>
        </row>
        <row r="364">
          <cell r="A364" t="str">
            <v>08</v>
          </cell>
          <cell r="E364" t="str">
            <v>20</v>
          </cell>
          <cell r="T364">
            <v>2.56</v>
          </cell>
          <cell r="AG364">
            <v>0</v>
          </cell>
        </row>
        <row r="365">
          <cell r="A365" t="str">
            <v>08</v>
          </cell>
          <cell r="E365" t="str">
            <v>20</v>
          </cell>
          <cell r="T365">
            <v>3.44</v>
          </cell>
          <cell r="AG365">
            <v>0</v>
          </cell>
        </row>
        <row r="366">
          <cell r="A366" t="str">
            <v>08</v>
          </cell>
          <cell r="E366" t="str">
            <v>20</v>
          </cell>
          <cell r="T366">
            <v>2.72</v>
          </cell>
          <cell r="AG366">
            <v>0</v>
          </cell>
        </row>
        <row r="367">
          <cell r="A367" t="str">
            <v>08</v>
          </cell>
          <cell r="E367" t="str">
            <v>20</v>
          </cell>
          <cell r="T367">
            <v>2.96</v>
          </cell>
          <cell r="AG367">
            <v>0</v>
          </cell>
        </row>
        <row r="368">
          <cell r="A368" t="str">
            <v>08</v>
          </cell>
          <cell r="E368" t="str">
            <v>24</v>
          </cell>
          <cell r="T368">
            <v>3.36</v>
          </cell>
          <cell r="AG368">
            <v>0</v>
          </cell>
        </row>
        <row r="369">
          <cell r="A369" t="str">
            <v>08</v>
          </cell>
          <cell r="E369" t="str">
            <v>24</v>
          </cell>
          <cell r="T369">
            <v>2.67</v>
          </cell>
          <cell r="AG369">
            <v>0</v>
          </cell>
        </row>
        <row r="370">
          <cell r="A370" t="str">
            <v>08</v>
          </cell>
          <cell r="E370" t="str">
            <v>20</v>
          </cell>
          <cell r="T370">
            <v>3.72</v>
          </cell>
          <cell r="AG370">
            <v>0</v>
          </cell>
        </row>
        <row r="371">
          <cell r="A371" t="str">
            <v>08</v>
          </cell>
          <cell r="E371" t="str">
            <v>20</v>
          </cell>
          <cell r="T371">
            <v>3.14</v>
          </cell>
          <cell r="AG371">
            <v>0</v>
          </cell>
        </row>
        <row r="372">
          <cell r="A372" t="str">
            <v>08</v>
          </cell>
          <cell r="E372" t="str">
            <v>20</v>
          </cell>
          <cell r="T372">
            <v>2.8</v>
          </cell>
          <cell r="AG372">
            <v>0</v>
          </cell>
        </row>
        <row r="373">
          <cell r="A373" t="str">
            <v>08</v>
          </cell>
          <cell r="E373" t="str">
            <v>20</v>
          </cell>
          <cell r="T373">
            <v>2.79</v>
          </cell>
          <cell r="AG373">
            <v>0</v>
          </cell>
        </row>
        <row r="374">
          <cell r="A374" t="str">
            <v>08</v>
          </cell>
          <cell r="E374" t="str">
            <v>20</v>
          </cell>
          <cell r="T374">
            <v>2.54</v>
          </cell>
          <cell r="AG374">
            <v>0</v>
          </cell>
        </row>
        <row r="375">
          <cell r="A375" t="str">
            <v>08</v>
          </cell>
          <cell r="E375" t="str">
            <v>2A</v>
          </cell>
          <cell r="T375">
            <v>2.4700000000000002</v>
          </cell>
          <cell r="AG375">
            <v>0</v>
          </cell>
        </row>
        <row r="376">
          <cell r="A376" t="str">
            <v>08</v>
          </cell>
          <cell r="E376" t="str">
            <v>2A</v>
          </cell>
          <cell r="T376">
            <v>2.65</v>
          </cell>
          <cell r="AG376">
            <v>0</v>
          </cell>
        </row>
        <row r="377">
          <cell r="A377" t="str">
            <v>08</v>
          </cell>
          <cell r="E377" t="str">
            <v>2A</v>
          </cell>
          <cell r="T377">
            <v>2.84</v>
          </cell>
          <cell r="AG377">
            <v>0</v>
          </cell>
        </row>
        <row r="378">
          <cell r="A378" t="str">
            <v>08</v>
          </cell>
          <cell r="E378" t="str">
            <v>20</v>
          </cell>
          <cell r="T378">
            <v>3.33</v>
          </cell>
          <cell r="AG378">
            <v>0</v>
          </cell>
        </row>
        <row r="379">
          <cell r="A379" t="str">
            <v>08</v>
          </cell>
          <cell r="E379" t="str">
            <v>20</v>
          </cell>
          <cell r="T379">
            <v>3.64</v>
          </cell>
          <cell r="AG379">
            <v>0</v>
          </cell>
        </row>
        <row r="380">
          <cell r="A380" t="str">
            <v>08</v>
          </cell>
          <cell r="E380" t="str">
            <v>2A</v>
          </cell>
          <cell r="T380">
            <v>2.2799999999999998</v>
          </cell>
          <cell r="AG380">
            <v>0</v>
          </cell>
        </row>
        <row r="381">
          <cell r="A381" t="str">
            <v>08</v>
          </cell>
          <cell r="E381" t="str">
            <v>2A</v>
          </cell>
          <cell r="T381">
            <v>2.78</v>
          </cell>
          <cell r="AG381">
            <v>0</v>
          </cell>
        </row>
        <row r="382">
          <cell r="A382" t="str">
            <v>08</v>
          </cell>
          <cell r="E382" t="str">
            <v>2A</v>
          </cell>
          <cell r="T382">
            <v>3.06</v>
          </cell>
          <cell r="AG382">
            <v>0</v>
          </cell>
        </row>
        <row r="383">
          <cell r="A383" t="str">
            <v>08</v>
          </cell>
          <cell r="E383" t="str">
            <v>2A</v>
          </cell>
          <cell r="T383">
            <v>2.2200000000000002</v>
          </cell>
          <cell r="AG383">
            <v>0</v>
          </cell>
        </row>
        <row r="384">
          <cell r="A384" t="str">
            <v>08</v>
          </cell>
          <cell r="E384" t="str">
            <v>2A</v>
          </cell>
          <cell r="T384">
            <v>3.02</v>
          </cell>
          <cell r="AG384">
            <v>0</v>
          </cell>
        </row>
        <row r="385">
          <cell r="A385" t="str">
            <v>08</v>
          </cell>
          <cell r="E385" t="str">
            <v>2A</v>
          </cell>
          <cell r="T385">
            <v>2.21</v>
          </cell>
          <cell r="AG385">
            <v>0</v>
          </cell>
        </row>
        <row r="386">
          <cell r="A386" t="str">
            <v>08</v>
          </cell>
          <cell r="E386" t="str">
            <v>2A</v>
          </cell>
          <cell r="T386">
            <v>3.49</v>
          </cell>
          <cell r="AG386">
            <v>0</v>
          </cell>
        </row>
        <row r="387">
          <cell r="A387" t="str">
            <v>08</v>
          </cell>
          <cell r="E387" t="str">
            <v>2A</v>
          </cell>
          <cell r="T387">
            <v>2.6</v>
          </cell>
          <cell r="AG387">
            <v>0</v>
          </cell>
        </row>
        <row r="388">
          <cell r="A388" t="str">
            <v>08</v>
          </cell>
          <cell r="E388" t="str">
            <v>2A</v>
          </cell>
          <cell r="T388">
            <v>2.38</v>
          </cell>
          <cell r="AG388">
            <v>0</v>
          </cell>
        </row>
        <row r="389">
          <cell r="A389" t="str">
            <v>08</v>
          </cell>
          <cell r="E389" t="str">
            <v>20</v>
          </cell>
          <cell r="T389">
            <v>2.94</v>
          </cell>
          <cell r="AG389">
            <v>0</v>
          </cell>
        </row>
        <row r="390">
          <cell r="A390" t="str">
            <v>08</v>
          </cell>
          <cell r="E390" t="str">
            <v>20</v>
          </cell>
          <cell r="T390">
            <v>2.8</v>
          </cell>
          <cell r="AG390">
            <v>0</v>
          </cell>
        </row>
        <row r="391">
          <cell r="A391" t="str">
            <v>08</v>
          </cell>
          <cell r="E391" t="str">
            <v>20</v>
          </cell>
          <cell r="T391">
            <v>3.18</v>
          </cell>
          <cell r="AG391">
            <v>0</v>
          </cell>
        </row>
        <row r="392">
          <cell r="A392" t="str">
            <v>08</v>
          </cell>
          <cell r="E392" t="str">
            <v>20</v>
          </cell>
          <cell r="T392">
            <v>2.72</v>
          </cell>
          <cell r="AG392">
            <v>0</v>
          </cell>
        </row>
        <row r="393">
          <cell r="A393" t="str">
            <v>08</v>
          </cell>
          <cell r="E393" t="str">
            <v>24</v>
          </cell>
          <cell r="T393">
            <v>2.46</v>
          </cell>
          <cell r="AG393">
            <v>0</v>
          </cell>
        </row>
        <row r="394">
          <cell r="A394" t="str">
            <v>08</v>
          </cell>
          <cell r="E394" t="str">
            <v>20</v>
          </cell>
          <cell r="T394">
            <v>3.13</v>
          </cell>
          <cell r="AG394">
            <v>0</v>
          </cell>
        </row>
        <row r="395">
          <cell r="A395" t="str">
            <v>08</v>
          </cell>
          <cell r="E395" t="str">
            <v>20</v>
          </cell>
          <cell r="T395">
            <v>2.2000000000000002</v>
          </cell>
          <cell r="AG395">
            <v>0</v>
          </cell>
        </row>
        <row r="396">
          <cell r="A396" t="str">
            <v>08</v>
          </cell>
          <cell r="E396" t="str">
            <v>20</v>
          </cell>
          <cell r="T396">
            <v>3.14</v>
          </cell>
          <cell r="AG396">
            <v>0</v>
          </cell>
        </row>
        <row r="397">
          <cell r="A397" t="str">
            <v>08</v>
          </cell>
          <cell r="E397" t="str">
            <v>20</v>
          </cell>
          <cell r="T397">
            <v>3.04</v>
          </cell>
          <cell r="AG397">
            <v>0</v>
          </cell>
        </row>
        <row r="398">
          <cell r="A398" t="str">
            <v>08</v>
          </cell>
          <cell r="E398" t="str">
            <v>20</v>
          </cell>
          <cell r="T398">
            <v>2.88</v>
          </cell>
          <cell r="AG398">
            <v>0</v>
          </cell>
        </row>
        <row r="399">
          <cell r="A399" t="str">
            <v>08</v>
          </cell>
          <cell r="E399" t="str">
            <v>20</v>
          </cell>
          <cell r="T399">
            <v>2.79</v>
          </cell>
          <cell r="AG399">
            <v>0</v>
          </cell>
        </row>
        <row r="400">
          <cell r="A400" t="str">
            <v>08</v>
          </cell>
          <cell r="E400" t="str">
            <v>2A</v>
          </cell>
          <cell r="T400">
            <v>2.69</v>
          </cell>
          <cell r="AG400">
            <v>0</v>
          </cell>
        </row>
        <row r="401">
          <cell r="A401" t="str">
            <v>08</v>
          </cell>
          <cell r="E401" t="str">
            <v>2A</v>
          </cell>
          <cell r="T401">
            <v>2.35</v>
          </cell>
          <cell r="AG401">
            <v>0</v>
          </cell>
        </row>
        <row r="402">
          <cell r="A402" t="str">
            <v>08</v>
          </cell>
          <cell r="E402" t="str">
            <v>2A</v>
          </cell>
          <cell r="T402">
            <v>1.89</v>
          </cell>
          <cell r="AG402">
            <v>0</v>
          </cell>
        </row>
        <row r="403">
          <cell r="A403" t="str">
            <v>08</v>
          </cell>
          <cell r="E403" t="str">
            <v>2A</v>
          </cell>
          <cell r="T403">
            <v>2.95</v>
          </cell>
          <cell r="AG403">
            <v>0</v>
          </cell>
        </row>
        <row r="404">
          <cell r="A404" t="str">
            <v>08</v>
          </cell>
          <cell r="E404" t="str">
            <v>2A</v>
          </cell>
          <cell r="T404">
            <v>3.11</v>
          </cell>
          <cell r="AG404">
            <v>0</v>
          </cell>
        </row>
        <row r="405">
          <cell r="A405" t="str">
            <v>08</v>
          </cell>
          <cell r="E405" t="str">
            <v>2A</v>
          </cell>
          <cell r="T405">
            <v>2.46</v>
          </cell>
          <cell r="AG405">
            <v>0</v>
          </cell>
        </row>
        <row r="406">
          <cell r="A406" t="str">
            <v>08</v>
          </cell>
          <cell r="E406" t="str">
            <v>2A</v>
          </cell>
          <cell r="T406">
            <v>2.86</v>
          </cell>
          <cell r="AG406">
            <v>0</v>
          </cell>
        </row>
        <row r="407">
          <cell r="A407" t="str">
            <v>08</v>
          </cell>
          <cell r="E407" t="str">
            <v>2A</v>
          </cell>
          <cell r="T407">
            <v>3.11</v>
          </cell>
          <cell r="AG407">
            <v>0</v>
          </cell>
        </row>
        <row r="408">
          <cell r="A408" t="str">
            <v>08</v>
          </cell>
          <cell r="E408" t="str">
            <v>2A</v>
          </cell>
          <cell r="T408">
            <v>2.19</v>
          </cell>
          <cell r="AG408">
            <v>0</v>
          </cell>
        </row>
        <row r="409">
          <cell r="A409" t="str">
            <v>08</v>
          </cell>
          <cell r="E409" t="str">
            <v>2A</v>
          </cell>
          <cell r="T409">
            <v>3.22</v>
          </cell>
          <cell r="AG409">
            <v>0</v>
          </cell>
        </row>
        <row r="410">
          <cell r="A410" t="str">
            <v>08</v>
          </cell>
          <cell r="E410" t="str">
            <v>2A</v>
          </cell>
          <cell r="T410">
            <v>3.6</v>
          </cell>
          <cell r="AG410">
            <v>0</v>
          </cell>
        </row>
        <row r="411">
          <cell r="A411" t="str">
            <v>08</v>
          </cell>
          <cell r="E411" t="str">
            <v>2A</v>
          </cell>
          <cell r="T411">
            <v>3.31</v>
          </cell>
          <cell r="AG411">
            <v>0</v>
          </cell>
        </row>
        <row r="412">
          <cell r="A412" t="str">
            <v>08</v>
          </cell>
          <cell r="E412" t="str">
            <v>20</v>
          </cell>
          <cell r="T412">
            <v>3.13</v>
          </cell>
          <cell r="AG412">
            <v>0</v>
          </cell>
        </row>
        <row r="413">
          <cell r="A413" t="str">
            <v>08</v>
          </cell>
          <cell r="E413" t="str">
            <v>20</v>
          </cell>
          <cell r="T413">
            <v>2.57</v>
          </cell>
          <cell r="AG413">
            <v>0</v>
          </cell>
        </row>
        <row r="414">
          <cell r="A414" t="str">
            <v>08</v>
          </cell>
          <cell r="E414" t="str">
            <v>20</v>
          </cell>
          <cell r="T414">
            <v>2.92</v>
          </cell>
          <cell r="AG414">
            <v>0</v>
          </cell>
        </row>
        <row r="415">
          <cell r="A415" t="str">
            <v>08</v>
          </cell>
          <cell r="E415" t="str">
            <v>20</v>
          </cell>
          <cell r="T415">
            <v>3.47</v>
          </cell>
          <cell r="AG415">
            <v>0</v>
          </cell>
        </row>
        <row r="416">
          <cell r="A416" t="str">
            <v>08</v>
          </cell>
          <cell r="E416" t="str">
            <v>20</v>
          </cell>
          <cell r="T416">
            <v>3.68</v>
          </cell>
          <cell r="AG416">
            <v>0</v>
          </cell>
        </row>
        <row r="417">
          <cell r="A417" t="str">
            <v>08</v>
          </cell>
          <cell r="E417" t="str">
            <v>20</v>
          </cell>
          <cell r="T417">
            <v>3.25</v>
          </cell>
          <cell r="AG417">
            <v>0</v>
          </cell>
        </row>
        <row r="418">
          <cell r="A418" t="str">
            <v>08</v>
          </cell>
          <cell r="E418" t="str">
            <v>20</v>
          </cell>
          <cell r="T418">
            <v>3.5</v>
          </cell>
          <cell r="AG418">
            <v>0</v>
          </cell>
        </row>
        <row r="419">
          <cell r="A419" t="str">
            <v>08</v>
          </cell>
          <cell r="E419" t="str">
            <v>20</v>
          </cell>
          <cell r="T419">
            <v>3.59</v>
          </cell>
          <cell r="AG419">
            <v>0</v>
          </cell>
        </row>
        <row r="420">
          <cell r="A420" t="str">
            <v>08</v>
          </cell>
          <cell r="E420" t="str">
            <v>20</v>
          </cell>
          <cell r="T420">
            <v>2.4500000000000002</v>
          </cell>
          <cell r="AG420">
            <v>0</v>
          </cell>
        </row>
        <row r="421">
          <cell r="A421" t="str">
            <v>08</v>
          </cell>
          <cell r="E421" t="str">
            <v>20</v>
          </cell>
          <cell r="T421">
            <v>2.1800000000000002</v>
          </cell>
          <cell r="AG421">
            <v>0</v>
          </cell>
        </row>
        <row r="422">
          <cell r="A422" t="str">
            <v>08</v>
          </cell>
          <cell r="E422" t="str">
            <v>20</v>
          </cell>
          <cell r="T422">
            <v>2.79</v>
          </cell>
          <cell r="AG422">
            <v>0</v>
          </cell>
        </row>
        <row r="423">
          <cell r="A423" t="str">
            <v>08</v>
          </cell>
          <cell r="E423" t="str">
            <v>20</v>
          </cell>
          <cell r="T423">
            <v>2.0099999999999998</v>
          </cell>
          <cell r="AG423">
            <v>0</v>
          </cell>
        </row>
        <row r="424">
          <cell r="A424" t="str">
            <v>08</v>
          </cell>
          <cell r="E424" t="str">
            <v>20</v>
          </cell>
          <cell r="T424">
            <v>3.64</v>
          </cell>
          <cell r="AG424">
            <v>0</v>
          </cell>
        </row>
        <row r="425">
          <cell r="A425" t="str">
            <v>08</v>
          </cell>
          <cell r="E425" t="str">
            <v>20</v>
          </cell>
          <cell r="T425">
            <v>2.91</v>
          </cell>
          <cell r="AG425">
            <v>0</v>
          </cell>
        </row>
        <row r="426">
          <cell r="A426" t="str">
            <v>08</v>
          </cell>
          <cell r="E426" t="str">
            <v>20</v>
          </cell>
          <cell r="T426">
            <v>3.22</v>
          </cell>
          <cell r="AG426">
            <v>0</v>
          </cell>
        </row>
        <row r="427">
          <cell r="A427" t="str">
            <v>08</v>
          </cell>
          <cell r="E427" t="str">
            <v>2A</v>
          </cell>
          <cell r="T427">
            <v>2.84</v>
          </cell>
          <cell r="AG427">
            <v>0</v>
          </cell>
        </row>
        <row r="428">
          <cell r="A428" t="str">
            <v>08</v>
          </cell>
          <cell r="E428" t="str">
            <v>2A</v>
          </cell>
          <cell r="T428">
            <v>2.2799999999999998</v>
          </cell>
          <cell r="AG428">
            <v>0</v>
          </cell>
        </row>
        <row r="429">
          <cell r="A429" t="str">
            <v>08</v>
          </cell>
          <cell r="E429" t="str">
            <v>2A</v>
          </cell>
          <cell r="T429">
            <v>2.97</v>
          </cell>
          <cell r="AG429">
            <v>0</v>
          </cell>
        </row>
        <row r="430">
          <cell r="A430" t="str">
            <v>08</v>
          </cell>
          <cell r="E430" t="str">
            <v>2A</v>
          </cell>
          <cell r="T430">
            <v>2.7</v>
          </cell>
          <cell r="AG430">
            <v>0</v>
          </cell>
        </row>
        <row r="431">
          <cell r="A431" t="str">
            <v>08</v>
          </cell>
          <cell r="E431" t="str">
            <v>2A</v>
          </cell>
          <cell r="T431">
            <v>3.84</v>
          </cell>
          <cell r="AG431">
            <v>0</v>
          </cell>
        </row>
        <row r="432">
          <cell r="A432" t="str">
            <v>08</v>
          </cell>
          <cell r="E432" t="str">
            <v>2A</v>
          </cell>
          <cell r="T432">
            <v>2.77</v>
          </cell>
          <cell r="AG432">
            <v>0</v>
          </cell>
        </row>
        <row r="433">
          <cell r="A433" t="str">
            <v>08</v>
          </cell>
          <cell r="E433" t="str">
            <v>2A</v>
          </cell>
          <cell r="T433">
            <v>3.87</v>
          </cell>
          <cell r="AG433">
            <v>0</v>
          </cell>
        </row>
        <row r="434">
          <cell r="A434" t="str">
            <v>08</v>
          </cell>
          <cell r="E434" t="str">
            <v>2A</v>
          </cell>
          <cell r="T434">
            <v>1.89</v>
          </cell>
          <cell r="AG434">
            <v>0</v>
          </cell>
        </row>
        <row r="435">
          <cell r="A435" t="str">
            <v>08</v>
          </cell>
          <cell r="E435" t="str">
            <v>2A</v>
          </cell>
          <cell r="T435">
            <v>2.99</v>
          </cell>
          <cell r="AG435">
            <v>0</v>
          </cell>
        </row>
        <row r="436">
          <cell r="A436" t="str">
            <v>08</v>
          </cell>
          <cell r="E436" t="str">
            <v>2A</v>
          </cell>
          <cell r="T436">
            <v>2.4500000000000002</v>
          </cell>
          <cell r="AG436">
            <v>0</v>
          </cell>
        </row>
        <row r="437">
          <cell r="A437" t="str">
            <v>08</v>
          </cell>
          <cell r="E437" t="str">
            <v>2A</v>
          </cell>
          <cell r="T437">
            <v>4.05</v>
          </cell>
          <cell r="AG437">
            <v>0</v>
          </cell>
        </row>
        <row r="438">
          <cell r="A438" t="str">
            <v>08</v>
          </cell>
          <cell r="E438" t="str">
            <v>20</v>
          </cell>
          <cell r="T438">
            <v>4</v>
          </cell>
          <cell r="AG438">
            <v>0</v>
          </cell>
        </row>
        <row r="439">
          <cell r="A439" t="str">
            <v>08</v>
          </cell>
          <cell r="E439" t="str">
            <v>20</v>
          </cell>
          <cell r="T439">
            <v>3.56</v>
          </cell>
          <cell r="AG439">
            <v>0</v>
          </cell>
        </row>
        <row r="440">
          <cell r="A440" t="str">
            <v>08</v>
          </cell>
          <cell r="E440" t="str">
            <v>20</v>
          </cell>
          <cell r="T440">
            <v>3.48</v>
          </cell>
          <cell r="AG440">
            <v>0</v>
          </cell>
        </row>
        <row r="441">
          <cell r="A441" t="str">
            <v>08</v>
          </cell>
          <cell r="E441" t="str">
            <v>20</v>
          </cell>
          <cell r="T441">
            <v>2.56</v>
          </cell>
          <cell r="AG441">
            <v>0</v>
          </cell>
        </row>
        <row r="442">
          <cell r="A442" t="str">
            <v>08</v>
          </cell>
          <cell r="E442" t="str">
            <v>20</v>
          </cell>
          <cell r="T442">
            <v>2.39</v>
          </cell>
          <cell r="AG442">
            <v>0</v>
          </cell>
        </row>
        <row r="443">
          <cell r="A443" t="str">
            <v>08</v>
          </cell>
          <cell r="E443" t="str">
            <v>24</v>
          </cell>
          <cell r="T443">
            <v>4.71</v>
          </cell>
          <cell r="AG443">
            <v>0</v>
          </cell>
        </row>
        <row r="444">
          <cell r="A444" t="str">
            <v>08</v>
          </cell>
          <cell r="E444" t="str">
            <v>24</v>
          </cell>
          <cell r="T444">
            <v>2.99</v>
          </cell>
          <cell r="AG444">
            <v>0</v>
          </cell>
        </row>
        <row r="445">
          <cell r="A445" t="str">
            <v>09</v>
          </cell>
          <cell r="E445" t="str">
            <v>20</v>
          </cell>
          <cell r="T445">
            <v>2</v>
          </cell>
          <cell r="AG445">
            <v>0</v>
          </cell>
        </row>
        <row r="446">
          <cell r="A446" t="str">
            <v>09</v>
          </cell>
          <cell r="E446" t="str">
            <v>20</v>
          </cell>
          <cell r="T446">
            <v>3.1</v>
          </cell>
          <cell r="AG446">
            <v>0</v>
          </cell>
        </row>
        <row r="447">
          <cell r="A447" t="str">
            <v>09</v>
          </cell>
          <cell r="E447" t="str">
            <v>20</v>
          </cell>
          <cell r="T447">
            <v>2.04</v>
          </cell>
          <cell r="AG447">
            <v>0</v>
          </cell>
        </row>
        <row r="448">
          <cell r="A448" t="str">
            <v>09</v>
          </cell>
          <cell r="E448" t="str">
            <v>20</v>
          </cell>
          <cell r="T448">
            <v>2.11</v>
          </cell>
          <cell r="AG448">
            <v>0</v>
          </cell>
        </row>
        <row r="449">
          <cell r="A449" t="str">
            <v>09</v>
          </cell>
          <cell r="E449" t="str">
            <v>20</v>
          </cell>
          <cell r="T449">
            <v>4.0199999999999996</v>
          </cell>
          <cell r="AG449">
            <v>0</v>
          </cell>
        </row>
        <row r="450">
          <cell r="A450" t="str">
            <v>09</v>
          </cell>
          <cell r="E450" t="str">
            <v>2A</v>
          </cell>
          <cell r="T450">
            <v>3.52</v>
          </cell>
          <cell r="AG450">
            <v>0</v>
          </cell>
        </row>
        <row r="451">
          <cell r="A451" t="str">
            <v>09</v>
          </cell>
          <cell r="E451" t="str">
            <v>2A</v>
          </cell>
          <cell r="T451">
            <v>2.17</v>
          </cell>
          <cell r="AG451">
            <v>0</v>
          </cell>
        </row>
        <row r="452">
          <cell r="A452" t="str">
            <v>09</v>
          </cell>
          <cell r="E452" t="str">
            <v>2A</v>
          </cell>
          <cell r="T452">
            <v>3.05</v>
          </cell>
          <cell r="AG452">
            <v>0</v>
          </cell>
        </row>
        <row r="453">
          <cell r="A453" t="str">
            <v>09</v>
          </cell>
          <cell r="E453" t="str">
            <v>2A</v>
          </cell>
          <cell r="T453">
            <v>2.93</v>
          </cell>
          <cell r="AG453">
            <v>0</v>
          </cell>
        </row>
        <row r="454">
          <cell r="A454" t="str">
            <v>09</v>
          </cell>
          <cell r="E454" t="str">
            <v>2A</v>
          </cell>
          <cell r="T454">
            <v>2.79</v>
          </cell>
          <cell r="AG454">
            <v>0</v>
          </cell>
        </row>
        <row r="455">
          <cell r="A455" t="str">
            <v>09</v>
          </cell>
          <cell r="E455" t="str">
            <v>2A</v>
          </cell>
          <cell r="T455">
            <v>3.22</v>
          </cell>
          <cell r="AG455">
            <v>0</v>
          </cell>
        </row>
        <row r="456">
          <cell r="A456" t="str">
            <v>09</v>
          </cell>
          <cell r="E456" t="str">
            <v>2A</v>
          </cell>
          <cell r="T456">
            <v>2.42</v>
          </cell>
          <cell r="AG456">
            <v>0</v>
          </cell>
        </row>
        <row r="457">
          <cell r="A457" t="str">
            <v>09</v>
          </cell>
          <cell r="E457" t="str">
            <v>2A</v>
          </cell>
          <cell r="T457">
            <v>4.09</v>
          </cell>
          <cell r="AG457">
            <v>0</v>
          </cell>
        </row>
        <row r="458">
          <cell r="A458" t="str">
            <v>09</v>
          </cell>
          <cell r="E458" t="str">
            <v>2A</v>
          </cell>
          <cell r="T458">
            <v>3.04</v>
          </cell>
          <cell r="AG458">
            <v>0</v>
          </cell>
        </row>
        <row r="459">
          <cell r="A459" t="str">
            <v>09</v>
          </cell>
          <cell r="E459" t="str">
            <v>2A</v>
          </cell>
          <cell r="T459">
            <v>2.67</v>
          </cell>
          <cell r="AG459">
            <v>0</v>
          </cell>
        </row>
        <row r="460">
          <cell r="A460" t="str">
            <v>09</v>
          </cell>
          <cell r="E460" t="str">
            <v>2A</v>
          </cell>
          <cell r="T460">
            <v>4.16</v>
          </cell>
          <cell r="AG460">
            <v>0</v>
          </cell>
        </row>
        <row r="461">
          <cell r="A461" t="str">
            <v>09</v>
          </cell>
          <cell r="E461" t="str">
            <v>2A</v>
          </cell>
          <cell r="T461">
            <v>3.56</v>
          </cell>
          <cell r="AG461">
            <v>0</v>
          </cell>
        </row>
        <row r="462">
          <cell r="A462" t="str">
            <v>09</v>
          </cell>
          <cell r="E462" t="str">
            <v>2A</v>
          </cell>
          <cell r="T462">
            <v>3.67</v>
          </cell>
          <cell r="AG462">
            <v>0</v>
          </cell>
        </row>
        <row r="463">
          <cell r="A463" t="str">
            <v>09</v>
          </cell>
          <cell r="E463" t="str">
            <v>20</v>
          </cell>
          <cell r="T463">
            <v>4.3099999999999996</v>
          </cell>
          <cell r="AG463">
            <v>0</v>
          </cell>
        </row>
        <row r="464">
          <cell r="A464" t="str">
            <v>09</v>
          </cell>
          <cell r="E464" t="str">
            <v>20</v>
          </cell>
          <cell r="T464">
            <v>2.91</v>
          </cell>
          <cell r="AG464">
            <v>0</v>
          </cell>
        </row>
        <row r="465">
          <cell r="A465" t="str">
            <v>09</v>
          </cell>
          <cell r="E465" t="str">
            <v>20</v>
          </cell>
          <cell r="T465">
            <v>2.5499999999999998</v>
          </cell>
          <cell r="AG465">
            <v>0</v>
          </cell>
        </row>
        <row r="466">
          <cell r="A466" t="str">
            <v>09</v>
          </cell>
          <cell r="E466" t="str">
            <v>24</v>
          </cell>
          <cell r="T466">
            <v>3.49</v>
          </cell>
          <cell r="AG466">
            <v>0</v>
          </cell>
        </row>
        <row r="467">
          <cell r="A467" t="str">
            <v>09</v>
          </cell>
          <cell r="E467" t="str">
            <v>24</v>
          </cell>
          <cell r="T467">
            <v>2.98</v>
          </cell>
          <cell r="AG467">
            <v>0</v>
          </cell>
        </row>
        <row r="468">
          <cell r="A468" t="str">
            <v>09</v>
          </cell>
          <cell r="E468" t="str">
            <v>20</v>
          </cell>
          <cell r="T468">
            <v>3.24</v>
          </cell>
          <cell r="AG468">
            <v>0</v>
          </cell>
        </row>
        <row r="469">
          <cell r="A469" t="str">
            <v>09</v>
          </cell>
          <cell r="E469" t="str">
            <v>20</v>
          </cell>
          <cell r="T469">
            <v>2.83</v>
          </cell>
          <cell r="AG469">
            <v>0</v>
          </cell>
        </row>
        <row r="470">
          <cell r="A470" t="str">
            <v>09</v>
          </cell>
          <cell r="E470" t="str">
            <v>20</v>
          </cell>
          <cell r="T470">
            <v>3.21</v>
          </cell>
          <cell r="AG470">
            <v>0</v>
          </cell>
        </row>
        <row r="471">
          <cell r="A471" t="str">
            <v>09</v>
          </cell>
          <cell r="E471" t="str">
            <v>20</v>
          </cell>
          <cell r="T471">
            <v>3.32</v>
          </cell>
          <cell r="AG471">
            <v>0</v>
          </cell>
        </row>
        <row r="472">
          <cell r="A472" t="str">
            <v>09</v>
          </cell>
          <cell r="E472" t="str">
            <v>2A</v>
          </cell>
          <cell r="T472">
            <v>3.51</v>
          </cell>
          <cell r="AG472">
            <v>0</v>
          </cell>
        </row>
        <row r="473">
          <cell r="A473" t="str">
            <v>09</v>
          </cell>
          <cell r="E473" t="str">
            <v>2A</v>
          </cell>
          <cell r="T473">
            <v>3.03</v>
          </cell>
          <cell r="AG473">
            <v>0</v>
          </cell>
        </row>
        <row r="474">
          <cell r="A474" t="str">
            <v>09</v>
          </cell>
          <cell r="E474" t="str">
            <v>2A</v>
          </cell>
          <cell r="T474">
            <v>3.99</v>
          </cell>
          <cell r="AG474">
            <v>0</v>
          </cell>
        </row>
        <row r="475">
          <cell r="A475" t="str">
            <v>09</v>
          </cell>
          <cell r="E475" t="str">
            <v>2A</v>
          </cell>
          <cell r="T475">
            <v>3.26</v>
          </cell>
          <cell r="AG475">
            <v>0</v>
          </cell>
        </row>
        <row r="476">
          <cell r="A476" t="str">
            <v>09</v>
          </cell>
          <cell r="E476" t="str">
            <v>2A</v>
          </cell>
          <cell r="T476">
            <v>3.14</v>
          </cell>
          <cell r="AG476">
            <v>0</v>
          </cell>
        </row>
        <row r="477">
          <cell r="A477" t="str">
            <v>09</v>
          </cell>
          <cell r="E477" t="str">
            <v>2A</v>
          </cell>
          <cell r="T477">
            <v>3.95</v>
          </cell>
          <cell r="AG477">
            <v>0</v>
          </cell>
        </row>
        <row r="478">
          <cell r="A478" t="str">
            <v>09</v>
          </cell>
          <cell r="E478" t="str">
            <v>2A</v>
          </cell>
          <cell r="T478">
            <v>4.01</v>
          </cell>
          <cell r="AG478">
            <v>0</v>
          </cell>
        </row>
        <row r="479">
          <cell r="A479" t="str">
            <v>09</v>
          </cell>
          <cell r="E479" t="str">
            <v>2A</v>
          </cell>
          <cell r="T479">
            <v>3.61</v>
          </cell>
          <cell r="AG479">
            <v>0</v>
          </cell>
        </row>
        <row r="480">
          <cell r="A480" t="str">
            <v>09</v>
          </cell>
          <cell r="E480" t="str">
            <v>2A</v>
          </cell>
          <cell r="T480">
            <v>3.59</v>
          </cell>
          <cell r="AG480">
            <v>0</v>
          </cell>
        </row>
        <row r="481">
          <cell r="A481" t="str">
            <v>09</v>
          </cell>
          <cell r="E481" t="str">
            <v>2A</v>
          </cell>
          <cell r="T481">
            <v>2.98</v>
          </cell>
          <cell r="AG481">
            <v>0</v>
          </cell>
        </row>
        <row r="482">
          <cell r="A482" t="str">
            <v>09</v>
          </cell>
          <cell r="E482" t="str">
            <v>2A</v>
          </cell>
          <cell r="T482">
            <v>2.78</v>
          </cell>
          <cell r="AG482">
            <v>0</v>
          </cell>
        </row>
        <row r="483">
          <cell r="A483" t="str">
            <v>09</v>
          </cell>
          <cell r="E483" t="str">
            <v>2A</v>
          </cell>
          <cell r="T483">
            <v>2.21</v>
          </cell>
          <cell r="AG483">
            <v>0</v>
          </cell>
        </row>
        <row r="484">
          <cell r="A484" t="str">
            <v>09</v>
          </cell>
          <cell r="E484" t="str">
            <v>24</v>
          </cell>
          <cell r="T484">
            <v>3.26</v>
          </cell>
          <cell r="AG484">
            <v>0</v>
          </cell>
        </row>
        <row r="485">
          <cell r="A485" t="str">
            <v>09</v>
          </cell>
          <cell r="E485" t="str">
            <v>24</v>
          </cell>
          <cell r="T485">
            <v>2.77</v>
          </cell>
          <cell r="AG485">
            <v>0</v>
          </cell>
        </row>
        <row r="486">
          <cell r="A486" t="str">
            <v>09</v>
          </cell>
          <cell r="E486" t="str">
            <v>20</v>
          </cell>
          <cell r="T486">
            <v>2.94</v>
          </cell>
          <cell r="AG486">
            <v>0</v>
          </cell>
        </row>
        <row r="487">
          <cell r="A487" t="str">
            <v>09</v>
          </cell>
          <cell r="E487" t="str">
            <v>20</v>
          </cell>
          <cell r="T487">
            <v>3.2</v>
          </cell>
          <cell r="AG487">
            <v>0</v>
          </cell>
        </row>
        <row r="488">
          <cell r="A488" t="str">
            <v>09</v>
          </cell>
          <cell r="E488" t="str">
            <v>20</v>
          </cell>
          <cell r="T488">
            <v>2.99</v>
          </cell>
          <cell r="AG488">
            <v>0</v>
          </cell>
        </row>
        <row r="489">
          <cell r="A489" t="str">
            <v>09</v>
          </cell>
          <cell r="E489" t="str">
            <v>20</v>
          </cell>
          <cell r="T489">
            <v>2.4700000000000002</v>
          </cell>
          <cell r="AG489">
            <v>0</v>
          </cell>
        </row>
        <row r="490">
          <cell r="A490" t="str">
            <v>09</v>
          </cell>
          <cell r="E490" t="str">
            <v>20</v>
          </cell>
          <cell r="T490">
            <v>2.89</v>
          </cell>
          <cell r="AG490">
            <v>0</v>
          </cell>
        </row>
        <row r="491">
          <cell r="A491" t="str">
            <v>09</v>
          </cell>
          <cell r="E491" t="str">
            <v>20</v>
          </cell>
          <cell r="T491">
            <v>4.32</v>
          </cell>
          <cell r="AG491">
            <v>0</v>
          </cell>
        </row>
        <row r="492">
          <cell r="A492" t="str">
            <v>09</v>
          </cell>
          <cell r="E492" t="str">
            <v>20</v>
          </cell>
          <cell r="T492">
            <v>2.81</v>
          </cell>
          <cell r="AG492">
            <v>0</v>
          </cell>
        </row>
        <row r="493">
          <cell r="A493" t="str">
            <v>09</v>
          </cell>
          <cell r="E493" t="str">
            <v>20</v>
          </cell>
          <cell r="T493">
            <v>3.33</v>
          </cell>
          <cell r="AG493">
            <v>0</v>
          </cell>
        </row>
        <row r="494">
          <cell r="A494" t="str">
            <v>09</v>
          </cell>
          <cell r="E494" t="str">
            <v>20</v>
          </cell>
          <cell r="T494">
            <v>2.63</v>
          </cell>
          <cell r="AG494">
            <v>0</v>
          </cell>
        </row>
        <row r="495">
          <cell r="A495" t="str">
            <v>09</v>
          </cell>
          <cell r="E495" t="str">
            <v>20</v>
          </cell>
          <cell r="T495">
            <v>3.64</v>
          </cell>
          <cell r="AG495">
            <v>0</v>
          </cell>
        </row>
        <row r="496">
          <cell r="A496" t="str">
            <v>09</v>
          </cell>
          <cell r="E496" t="str">
            <v>20</v>
          </cell>
          <cell r="T496">
            <v>3.59</v>
          </cell>
          <cell r="AG496">
            <v>0</v>
          </cell>
        </row>
        <row r="497">
          <cell r="A497" t="str">
            <v>09</v>
          </cell>
          <cell r="E497" t="str">
            <v>2A</v>
          </cell>
          <cell r="T497">
            <v>3.17</v>
          </cell>
          <cell r="AG497">
            <v>0</v>
          </cell>
        </row>
        <row r="498">
          <cell r="A498" t="str">
            <v>09</v>
          </cell>
          <cell r="E498" t="str">
            <v>2A</v>
          </cell>
          <cell r="T498">
            <v>2.5099999999999998</v>
          </cell>
          <cell r="AG498">
            <v>0</v>
          </cell>
        </row>
        <row r="499">
          <cell r="A499" t="str">
            <v>09</v>
          </cell>
          <cell r="E499" t="str">
            <v>2A</v>
          </cell>
          <cell r="T499">
            <v>2.37</v>
          </cell>
          <cell r="AG499">
            <v>0</v>
          </cell>
        </row>
        <row r="500">
          <cell r="A500" t="str">
            <v>09</v>
          </cell>
          <cell r="E500" t="str">
            <v>2A</v>
          </cell>
          <cell r="T500">
            <v>3.34</v>
          </cell>
          <cell r="AG500">
            <v>0</v>
          </cell>
        </row>
        <row r="501">
          <cell r="A501" t="str">
            <v>09</v>
          </cell>
          <cell r="E501" t="str">
            <v>2A</v>
          </cell>
          <cell r="T501">
            <v>3.74</v>
          </cell>
          <cell r="AG501">
            <v>0</v>
          </cell>
        </row>
        <row r="502">
          <cell r="A502" t="str">
            <v>09</v>
          </cell>
          <cell r="E502" t="str">
            <v>2A</v>
          </cell>
          <cell r="T502">
            <v>2.94</v>
          </cell>
          <cell r="AG502">
            <v>0</v>
          </cell>
        </row>
        <row r="503">
          <cell r="A503" t="str">
            <v>09</v>
          </cell>
          <cell r="E503" t="str">
            <v>2A</v>
          </cell>
          <cell r="T503">
            <v>3.9</v>
          </cell>
          <cell r="AG503">
            <v>0</v>
          </cell>
        </row>
        <row r="504">
          <cell r="A504" t="str">
            <v>09</v>
          </cell>
          <cell r="E504" t="str">
            <v>2A</v>
          </cell>
          <cell r="T504">
            <v>3.93</v>
          </cell>
          <cell r="AG504">
            <v>0</v>
          </cell>
        </row>
        <row r="505">
          <cell r="A505" t="str">
            <v>09</v>
          </cell>
          <cell r="E505" t="str">
            <v>2A</v>
          </cell>
          <cell r="T505">
            <v>2.81</v>
          </cell>
          <cell r="AG505">
            <v>0</v>
          </cell>
        </row>
        <row r="506">
          <cell r="A506" t="str">
            <v>09</v>
          </cell>
          <cell r="E506" t="str">
            <v>20</v>
          </cell>
          <cell r="T506">
            <v>2.76</v>
          </cell>
          <cell r="AG506">
            <v>0</v>
          </cell>
        </row>
        <row r="507">
          <cell r="A507" t="str">
            <v>09</v>
          </cell>
          <cell r="E507" t="str">
            <v>20</v>
          </cell>
          <cell r="T507">
            <v>3.65</v>
          </cell>
          <cell r="AG507">
            <v>0</v>
          </cell>
        </row>
        <row r="508">
          <cell r="A508" t="str">
            <v>09</v>
          </cell>
          <cell r="E508" t="str">
            <v>20</v>
          </cell>
          <cell r="T508">
            <v>2.91</v>
          </cell>
          <cell r="AG508">
            <v>0</v>
          </cell>
        </row>
        <row r="509">
          <cell r="A509" t="str">
            <v>09</v>
          </cell>
          <cell r="E509" t="str">
            <v>20</v>
          </cell>
          <cell r="T509">
            <v>3.8</v>
          </cell>
          <cell r="AG509">
            <v>0</v>
          </cell>
        </row>
        <row r="510">
          <cell r="A510" t="str">
            <v>09</v>
          </cell>
          <cell r="E510" t="str">
            <v>24</v>
          </cell>
          <cell r="T510">
            <v>2.62</v>
          </cell>
          <cell r="AG510">
            <v>0</v>
          </cell>
        </row>
        <row r="511">
          <cell r="A511" t="str">
            <v>09</v>
          </cell>
          <cell r="E511" t="str">
            <v>24</v>
          </cell>
          <cell r="T511">
            <v>3.02</v>
          </cell>
          <cell r="AG511">
            <v>0</v>
          </cell>
        </row>
        <row r="512">
          <cell r="A512" t="str">
            <v>09</v>
          </cell>
          <cell r="E512" t="str">
            <v>20</v>
          </cell>
          <cell r="T512">
            <v>3.54</v>
          </cell>
          <cell r="AG512">
            <v>0</v>
          </cell>
        </row>
        <row r="513">
          <cell r="A513" t="str">
            <v>09</v>
          </cell>
          <cell r="E513" t="str">
            <v>20</v>
          </cell>
          <cell r="T513">
            <v>2.35</v>
          </cell>
          <cell r="AG513">
            <v>0</v>
          </cell>
        </row>
        <row r="514">
          <cell r="A514" t="str">
            <v>09</v>
          </cell>
          <cell r="E514" t="str">
            <v>20</v>
          </cell>
          <cell r="T514">
            <v>2.35</v>
          </cell>
          <cell r="AG514">
            <v>0</v>
          </cell>
        </row>
        <row r="515">
          <cell r="A515" t="str">
            <v>09</v>
          </cell>
          <cell r="E515" t="str">
            <v>20</v>
          </cell>
          <cell r="T515">
            <v>2.35</v>
          </cell>
          <cell r="AG515">
            <v>0</v>
          </cell>
        </row>
        <row r="516">
          <cell r="A516" t="str">
            <v>09</v>
          </cell>
          <cell r="E516" t="str">
            <v>20</v>
          </cell>
          <cell r="T516">
            <v>2.35</v>
          </cell>
          <cell r="AG516">
            <v>0</v>
          </cell>
        </row>
        <row r="517">
          <cell r="A517" t="str">
            <v>09</v>
          </cell>
          <cell r="E517" t="str">
            <v>20</v>
          </cell>
          <cell r="T517">
            <v>2.75</v>
          </cell>
          <cell r="AG517">
            <v>0</v>
          </cell>
        </row>
        <row r="518">
          <cell r="A518" t="str">
            <v>09</v>
          </cell>
          <cell r="E518" t="str">
            <v>20</v>
          </cell>
          <cell r="T518">
            <v>2.37</v>
          </cell>
          <cell r="AG518">
            <v>0</v>
          </cell>
        </row>
        <row r="519">
          <cell r="A519" t="str">
            <v>09</v>
          </cell>
          <cell r="E519" t="str">
            <v>20</v>
          </cell>
          <cell r="T519">
            <v>2.61</v>
          </cell>
          <cell r="AG519">
            <v>0</v>
          </cell>
        </row>
        <row r="520">
          <cell r="A520" t="str">
            <v>09</v>
          </cell>
          <cell r="E520" t="str">
            <v>20</v>
          </cell>
          <cell r="T520">
            <v>2.58</v>
          </cell>
          <cell r="AG520">
            <v>0</v>
          </cell>
        </row>
        <row r="521">
          <cell r="A521" t="str">
            <v>09</v>
          </cell>
          <cell r="E521" t="str">
            <v>2A</v>
          </cell>
          <cell r="T521">
            <v>4.0599999999999996</v>
          </cell>
          <cell r="AG521">
            <v>0</v>
          </cell>
        </row>
        <row r="522">
          <cell r="A522" t="str">
            <v>09</v>
          </cell>
          <cell r="E522" t="str">
            <v>2A</v>
          </cell>
          <cell r="T522">
            <v>2.4500000000000002</v>
          </cell>
          <cell r="AG522">
            <v>0</v>
          </cell>
        </row>
        <row r="523">
          <cell r="A523" t="str">
            <v>09</v>
          </cell>
          <cell r="E523" t="str">
            <v>2A</v>
          </cell>
          <cell r="T523">
            <v>3.01</v>
          </cell>
          <cell r="AG523">
            <v>0</v>
          </cell>
        </row>
        <row r="524">
          <cell r="A524" t="str">
            <v>09</v>
          </cell>
          <cell r="E524" t="str">
            <v>2A</v>
          </cell>
          <cell r="T524">
            <v>3.08</v>
          </cell>
          <cell r="AG524">
            <v>0</v>
          </cell>
        </row>
        <row r="525">
          <cell r="A525" t="str">
            <v>09</v>
          </cell>
          <cell r="E525" t="str">
            <v>2A</v>
          </cell>
          <cell r="T525">
            <v>3.7</v>
          </cell>
          <cell r="AG525">
            <v>444.63</v>
          </cell>
        </row>
        <row r="526">
          <cell r="A526" t="str">
            <v>09</v>
          </cell>
          <cell r="E526" t="str">
            <v>2A</v>
          </cell>
          <cell r="T526">
            <v>2.41</v>
          </cell>
          <cell r="AG526">
            <v>0</v>
          </cell>
        </row>
        <row r="527">
          <cell r="A527" t="str">
            <v>09</v>
          </cell>
          <cell r="E527" t="str">
            <v>2A</v>
          </cell>
          <cell r="T527">
            <v>4.24</v>
          </cell>
          <cell r="AG527">
            <v>0</v>
          </cell>
        </row>
        <row r="528">
          <cell r="A528" t="str">
            <v>09</v>
          </cell>
          <cell r="E528" t="str">
            <v>20</v>
          </cell>
          <cell r="T528">
            <v>3.45</v>
          </cell>
          <cell r="AG528">
            <v>0</v>
          </cell>
        </row>
        <row r="529">
          <cell r="A529" t="str">
            <v>09</v>
          </cell>
          <cell r="E529" t="str">
            <v>20</v>
          </cell>
          <cell r="T529">
            <v>4.1500000000000004</v>
          </cell>
          <cell r="AG529">
            <v>0</v>
          </cell>
        </row>
        <row r="530">
          <cell r="A530" t="str">
            <v>09</v>
          </cell>
          <cell r="E530" t="str">
            <v>20</v>
          </cell>
          <cell r="T530">
            <v>3</v>
          </cell>
          <cell r="AG530">
            <v>0</v>
          </cell>
        </row>
        <row r="531">
          <cell r="A531" t="str">
            <v>09</v>
          </cell>
          <cell r="E531" t="str">
            <v>20</v>
          </cell>
          <cell r="T531">
            <v>2.85</v>
          </cell>
          <cell r="AG531">
            <v>0</v>
          </cell>
        </row>
        <row r="532">
          <cell r="A532" t="str">
            <v>09</v>
          </cell>
          <cell r="E532" t="str">
            <v>20</v>
          </cell>
          <cell r="T532">
            <v>3.18</v>
          </cell>
          <cell r="AG532">
            <v>0</v>
          </cell>
        </row>
        <row r="533">
          <cell r="A533" t="str">
            <v>09</v>
          </cell>
          <cell r="E533" t="str">
            <v>20</v>
          </cell>
          <cell r="T533">
            <v>2.96</v>
          </cell>
          <cell r="AG533">
            <v>0</v>
          </cell>
        </row>
        <row r="534">
          <cell r="A534" t="str">
            <v>09</v>
          </cell>
          <cell r="E534" t="str">
            <v>20</v>
          </cell>
          <cell r="T534">
            <v>4.2</v>
          </cell>
          <cell r="AG534">
            <v>0</v>
          </cell>
        </row>
        <row r="535">
          <cell r="A535" t="str">
            <v>09</v>
          </cell>
          <cell r="E535" t="str">
            <v>2A</v>
          </cell>
          <cell r="T535">
            <v>2.7</v>
          </cell>
          <cell r="AG535">
            <v>0</v>
          </cell>
        </row>
        <row r="536">
          <cell r="A536" t="str">
            <v>09</v>
          </cell>
          <cell r="E536" t="str">
            <v>2A</v>
          </cell>
          <cell r="T536">
            <v>2.96</v>
          </cell>
          <cell r="AG536">
            <v>0</v>
          </cell>
        </row>
        <row r="537">
          <cell r="A537" t="str">
            <v>09</v>
          </cell>
          <cell r="E537" t="str">
            <v>2A</v>
          </cell>
          <cell r="T537">
            <v>4.82</v>
          </cell>
          <cell r="AG537">
            <v>0</v>
          </cell>
        </row>
        <row r="538">
          <cell r="A538" t="str">
            <v>10</v>
          </cell>
          <cell r="E538" t="str">
            <v>2A</v>
          </cell>
          <cell r="T538">
            <v>2.4300000000000002</v>
          </cell>
          <cell r="AG538">
            <v>0</v>
          </cell>
        </row>
        <row r="539">
          <cell r="A539" t="str">
            <v>10</v>
          </cell>
          <cell r="E539" t="str">
            <v>2A</v>
          </cell>
          <cell r="T539">
            <v>2.87</v>
          </cell>
          <cell r="AG539">
            <v>0</v>
          </cell>
        </row>
        <row r="540">
          <cell r="A540" t="str">
            <v>10</v>
          </cell>
          <cell r="E540" t="str">
            <v>2A</v>
          </cell>
          <cell r="T540">
            <v>3.68</v>
          </cell>
          <cell r="AG540">
            <v>0</v>
          </cell>
        </row>
        <row r="541">
          <cell r="A541" t="str">
            <v>10</v>
          </cell>
          <cell r="E541" t="str">
            <v>2A</v>
          </cell>
          <cell r="T541">
            <v>2.84</v>
          </cell>
          <cell r="AG541">
            <v>0</v>
          </cell>
        </row>
        <row r="542">
          <cell r="A542" t="str">
            <v>10</v>
          </cell>
          <cell r="E542" t="str">
            <v>2A</v>
          </cell>
          <cell r="T542">
            <v>1.66</v>
          </cell>
          <cell r="AG542">
            <v>0</v>
          </cell>
        </row>
        <row r="543">
          <cell r="A543" t="str">
            <v>10</v>
          </cell>
          <cell r="E543" t="str">
            <v>20</v>
          </cell>
          <cell r="T543">
            <v>3.82</v>
          </cell>
          <cell r="AG543">
            <v>0</v>
          </cell>
        </row>
        <row r="544">
          <cell r="A544" t="str">
            <v>10</v>
          </cell>
          <cell r="E544" t="str">
            <v>20</v>
          </cell>
          <cell r="T544">
            <v>2.63</v>
          </cell>
          <cell r="AG544">
            <v>0</v>
          </cell>
        </row>
        <row r="545">
          <cell r="A545" t="str">
            <v>10</v>
          </cell>
          <cell r="E545" t="str">
            <v>24</v>
          </cell>
          <cell r="T545">
            <v>2.77</v>
          </cell>
          <cell r="AG545">
            <v>0</v>
          </cell>
        </row>
        <row r="546">
          <cell r="A546" t="str">
            <v>10</v>
          </cell>
          <cell r="E546" t="str">
            <v>24</v>
          </cell>
          <cell r="T546">
            <v>3.21</v>
          </cell>
          <cell r="AG546">
            <v>0</v>
          </cell>
        </row>
        <row r="547">
          <cell r="A547" t="str">
            <v>10</v>
          </cell>
          <cell r="E547" t="str">
            <v>24</v>
          </cell>
          <cell r="T547">
            <v>2.74</v>
          </cell>
          <cell r="AG547">
            <v>0</v>
          </cell>
        </row>
        <row r="548">
          <cell r="A548" t="str">
            <v>10</v>
          </cell>
          <cell r="E548" t="str">
            <v>20</v>
          </cell>
          <cell r="T548">
            <v>2.5299999999999998</v>
          </cell>
          <cell r="AG548">
            <v>0</v>
          </cell>
        </row>
        <row r="549">
          <cell r="A549" t="str">
            <v>10</v>
          </cell>
          <cell r="E549" t="str">
            <v>20</v>
          </cell>
          <cell r="T549">
            <v>3.57</v>
          </cell>
          <cell r="AG549">
            <v>0</v>
          </cell>
        </row>
        <row r="550">
          <cell r="A550" t="str">
            <v>10</v>
          </cell>
          <cell r="E550" t="str">
            <v>20</v>
          </cell>
          <cell r="T550">
            <v>3.52</v>
          </cell>
          <cell r="AG550">
            <v>0</v>
          </cell>
        </row>
        <row r="551">
          <cell r="A551" t="str">
            <v>10</v>
          </cell>
          <cell r="E551" t="str">
            <v>20</v>
          </cell>
          <cell r="T551">
            <v>3.07</v>
          </cell>
          <cell r="AG551">
            <v>0</v>
          </cell>
        </row>
        <row r="552">
          <cell r="A552" t="str">
            <v>10</v>
          </cell>
          <cell r="E552" t="str">
            <v>20</v>
          </cell>
          <cell r="T552">
            <v>4.79</v>
          </cell>
          <cell r="AG552">
            <v>0</v>
          </cell>
        </row>
        <row r="553">
          <cell r="A553" t="str">
            <v>10</v>
          </cell>
          <cell r="E553" t="str">
            <v>20</v>
          </cell>
          <cell r="T553">
            <v>2.2999999999999998</v>
          </cell>
          <cell r="AG553">
            <v>0</v>
          </cell>
        </row>
        <row r="554">
          <cell r="A554" t="str">
            <v>10</v>
          </cell>
          <cell r="E554" t="str">
            <v>20</v>
          </cell>
          <cell r="T554">
            <v>3.22</v>
          </cell>
          <cell r="AG554">
            <v>0</v>
          </cell>
        </row>
        <row r="555">
          <cell r="A555" t="str">
            <v>10</v>
          </cell>
          <cell r="E555" t="str">
            <v>20</v>
          </cell>
          <cell r="T555">
            <v>2.27</v>
          </cell>
          <cell r="AG555">
            <v>0</v>
          </cell>
        </row>
        <row r="556">
          <cell r="A556" t="str">
            <v>10</v>
          </cell>
          <cell r="E556" t="str">
            <v>20</v>
          </cell>
          <cell r="T556">
            <v>2.77</v>
          </cell>
          <cell r="AG556">
            <v>0</v>
          </cell>
        </row>
        <row r="557">
          <cell r="A557" t="str">
            <v>10</v>
          </cell>
          <cell r="E557" t="str">
            <v>2A</v>
          </cell>
          <cell r="T557">
            <v>3.45</v>
          </cell>
          <cell r="AG557">
            <v>0</v>
          </cell>
        </row>
        <row r="558">
          <cell r="A558" t="str">
            <v>10</v>
          </cell>
          <cell r="E558" t="str">
            <v>2A</v>
          </cell>
          <cell r="T558">
            <v>3</v>
          </cell>
          <cell r="AG558">
            <v>0</v>
          </cell>
        </row>
        <row r="559">
          <cell r="A559" t="str">
            <v>10</v>
          </cell>
          <cell r="E559" t="str">
            <v>2A</v>
          </cell>
          <cell r="T559">
            <v>4.1500000000000004</v>
          </cell>
          <cell r="AG559">
            <v>0</v>
          </cell>
        </row>
        <row r="560">
          <cell r="A560" t="str">
            <v>10</v>
          </cell>
          <cell r="E560" t="str">
            <v>2A</v>
          </cell>
          <cell r="T560">
            <v>4.55</v>
          </cell>
          <cell r="AG560">
            <v>0</v>
          </cell>
        </row>
        <row r="561">
          <cell r="A561" t="str">
            <v>10</v>
          </cell>
          <cell r="E561" t="str">
            <v>2A</v>
          </cell>
          <cell r="T561">
            <v>2.99</v>
          </cell>
          <cell r="AG561">
            <v>0</v>
          </cell>
        </row>
        <row r="562">
          <cell r="A562" t="str">
            <v>10</v>
          </cell>
          <cell r="E562" t="str">
            <v>2A</v>
          </cell>
          <cell r="T562">
            <v>4.5199999999999996</v>
          </cell>
          <cell r="AG562">
            <v>0</v>
          </cell>
        </row>
        <row r="563">
          <cell r="A563" t="str">
            <v>10</v>
          </cell>
          <cell r="E563" t="str">
            <v>2A</v>
          </cell>
          <cell r="T563">
            <v>3.18</v>
          </cell>
          <cell r="AG563">
            <v>0</v>
          </cell>
        </row>
        <row r="564">
          <cell r="A564" t="str">
            <v>10</v>
          </cell>
          <cell r="E564" t="str">
            <v>2A</v>
          </cell>
          <cell r="T564">
            <v>3.67</v>
          </cell>
          <cell r="AG564">
            <v>0</v>
          </cell>
        </row>
        <row r="565">
          <cell r="A565" t="str">
            <v>10</v>
          </cell>
          <cell r="E565" t="str">
            <v>2A</v>
          </cell>
          <cell r="T565">
            <v>3.54</v>
          </cell>
          <cell r="AG565">
            <v>0</v>
          </cell>
        </row>
        <row r="566">
          <cell r="A566" t="str">
            <v>10</v>
          </cell>
          <cell r="E566" t="str">
            <v>2A</v>
          </cell>
          <cell r="T566">
            <v>2.35</v>
          </cell>
          <cell r="AG566">
            <v>0</v>
          </cell>
        </row>
        <row r="567">
          <cell r="A567" t="str">
            <v>10</v>
          </cell>
          <cell r="E567" t="str">
            <v>20</v>
          </cell>
          <cell r="T567">
            <v>2.63</v>
          </cell>
          <cell r="AG567">
            <v>0</v>
          </cell>
        </row>
        <row r="568">
          <cell r="A568" t="str">
            <v>10</v>
          </cell>
          <cell r="E568" t="str">
            <v>20</v>
          </cell>
          <cell r="T568">
            <v>2.98</v>
          </cell>
          <cell r="AG568">
            <v>0</v>
          </cell>
        </row>
        <row r="569">
          <cell r="A569" t="str">
            <v>10</v>
          </cell>
          <cell r="E569" t="str">
            <v>24</v>
          </cell>
          <cell r="T569">
            <v>3.38</v>
          </cell>
          <cell r="AG569">
            <v>0</v>
          </cell>
        </row>
        <row r="570">
          <cell r="A570" t="str">
            <v>10</v>
          </cell>
          <cell r="E570" t="str">
            <v>20</v>
          </cell>
          <cell r="T570">
            <v>2.5299999999999998</v>
          </cell>
          <cell r="AG570">
            <v>0</v>
          </cell>
        </row>
        <row r="571">
          <cell r="A571" t="str">
            <v>10</v>
          </cell>
          <cell r="E571" t="str">
            <v>20</v>
          </cell>
          <cell r="T571">
            <v>3.84</v>
          </cell>
          <cell r="AG571">
            <v>0</v>
          </cell>
        </row>
        <row r="572">
          <cell r="A572" t="str">
            <v>10</v>
          </cell>
          <cell r="E572" t="str">
            <v>20</v>
          </cell>
          <cell r="T572">
            <v>2.7</v>
          </cell>
          <cell r="AG572">
            <v>0</v>
          </cell>
        </row>
        <row r="573">
          <cell r="A573" t="str">
            <v>10</v>
          </cell>
          <cell r="E573" t="str">
            <v>20</v>
          </cell>
          <cell r="T573">
            <v>2.2999999999999998</v>
          </cell>
          <cell r="AG573">
            <v>0</v>
          </cell>
        </row>
        <row r="574">
          <cell r="A574" t="str">
            <v>10</v>
          </cell>
          <cell r="E574" t="str">
            <v>20</v>
          </cell>
          <cell r="T574">
            <v>2.67</v>
          </cell>
          <cell r="AG574">
            <v>0</v>
          </cell>
        </row>
        <row r="575">
          <cell r="A575" t="str">
            <v>10</v>
          </cell>
          <cell r="E575" t="str">
            <v>20</v>
          </cell>
          <cell r="T575">
            <v>1.97</v>
          </cell>
          <cell r="AG575">
            <v>0</v>
          </cell>
        </row>
        <row r="576">
          <cell r="A576" t="str">
            <v>10</v>
          </cell>
          <cell r="E576" t="str">
            <v>20</v>
          </cell>
          <cell r="T576">
            <v>3.69</v>
          </cell>
          <cell r="AG576">
            <v>0</v>
          </cell>
        </row>
        <row r="577">
          <cell r="A577" t="str">
            <v>10</v>
          </cell>
          <cell r="E577" t="str">
            <v>2A</v>
          </cell>
          <cell r="T577">
            <v>2.31</v>
          </cell>
          <cell r="AG577">
            <v>0</v>
          </cell>
        </row>
        <row r="578">
          <cell r="A578" t="str">
            <v>10</v>
          </cell>
          <cell r="E578" t="str">
            <v>2A</v>
          </cell>
          <cell r="T578">
            <v>2.39</v>
          </cell>
          <cell r="AG578">
            <v>0</v>
          </cell>
        </row>
        <row r="579">
          <cell r="A579" t="str">
            <v>10</v>
          </cell>
          <cell r="E579" t="str">
            <v>2A</v>
          </cell>
          <cell r="T579">
            <v>2.98</v>
          </cell>
          <cell r="AG579">
            <v>0</v>
          </cell>
        </row>
        <row r="580">
          <cell r="A580" t="str">
            <v>10</v>
          </cell>
          <cell r="E580" t="str">
            <v>2A</v>
          </cell>
          <cell r="T580">
            <v>1.89</v>
          </cell>
          <cell r="AG580">
            <v>0</v>
          </cell>
        </row>
        <row r="581">
          <cell r="A581" t="str">
            <v>10</v>
          </cell>
          <cell r="E581" t="str">
            <v>2A</v>
          </cell>
          <cell r="T581">
            <v>3.25</v>
          </cell>
          <cell r="AG581">
            <v>0</v>
          </cell>
        </row>
        <row r="582">
          <cell r="A582" t="str">
            <v>10</v>
          </cell>
          <cell r="E582" t="str">
            <v>2A</v>
          </cell>
          <cell r="T582">
            <v>3.38</v>
          </cell>
          <cell r="AG582">
            <v>0</v>
          </cell>
        </row>
        <row r="583">
          <cell r="A583" t="str">
            <v>10</v>
          </cell>
          <cell r="E583" t="str">
            <v>2A</v>
          </cell>
          <cell r="T583">
            <v>2.48</v>
          </cell>
          <cell r="AG583">
            <v>0</v>
          </cell>
        </row>
        <row r="584">
          <cell r="A584" t="str">
            <v>10</v>
          </cell>
          <cell r="E584" t="str">
            <v>2A</v>
          </cell>
          <cell r="T584">
            <v>4.66</v>
          </cell>
          <cell r="AG584">
            <v>0</v>
          </cell>
        </row>
        <row r="585">
          <cell r="A585" t="str">
            <v>10</v>
          </cell>
          <cell r="E585" t="str">
            <v>2A</v>
          </cell>
          <cell r="T585">
            <v>3.19</v>
          </cell>
          <cell r="AG585">
            <v>0</v>
          </cell>
        </row>
        <row r="586">
          <cell r="A586" t="str">
            <v>10</v>
          </cell>
          <cell r="E586" t="str">
            <v>20</v>
          </cell>
          <cell r="T586">
            <v>2.98</v>
          </cell>
          <cell r="AG586">
            <v>0</v>
          </cell>
        </row>
        <row r="587">
          <cell r="A587" t="str">
            <v>10</v>
          </cell>
          <cell r="E587" t="str">
            <v>20</v>
          </cell>
          <cell r="T587">
            <v>3.44</v>
          </cell>
          <cell r="AG587">
            <v>0</v>
          </cell>
        </row>
        <row r="588">
          <cell r="A588" t="str">
            <v>10</v>
          </cell>
          <cell r="E588" t="str">
            <v>20</v>
          </cell>
          <cell r="T588">
            <v>3.16</v>
          </cell>
          <cell r="AG588">
            <v>0</v>
          </cell>
        </row>
        <row r="589">
          <cell r="A589" t="str">
            <v>10</v>
          </cell>
          <cell r="E589" t="str">
            <v>20</v>
          </cell>
          <cell r="T589">
            <v>2.66</v>
          </cell>
          <cell r="AG589">
            <v>0</v>
          </cell>
        </row>
        <row r="590">
          <cell r="A590" t="str">
            <v>10</v>
          </cell>
          <cell r="E590" t="str">
            <v>20</v>
          </cell>
          <cell r="T590">
            <v>2.92</v>
          </cell>
          <cell r="AG590">
            <v>0</v>
          </cell>
        </row>
        <row r="591">
          <cell r="A591" t="str">
            <v>10</v>
          </cell>
          <cell r="E591" t="str">
            <v>20</v>
          </cell>
          <cell r="T591">
            <v>3.42</v>
          </cell>
          <cell r="AG591">
            <v>0</v>
          </cell>
        </row>
        <row r="592">
          <cell r="A592" t="str">
            <v>10</v>
          </cell>
          <cell r="E592" t="str">
            <v>20</v>
          </cell>
          <cell r="T592">
            <v>3.15</v>
          </cell>
          <cell r="AG592">
            <v>0</v>
          </cell>
        </row>
        <row r="593">
          <cell r="A593" t="str">
            <v>10</v>
          </cell>
          <cell r="E593" t="str">
            <v>20</v>
          </cell>
          <cell r="T593">
            <v>3.07</v>
          </cell>
          <cell r="AG593">
            <v>0</v>
          </cell>
        </row>
        <row r="594">
          <cell r="A594" t="str">
            <v>10</v>
          </cell>
          <cell r="E594" t="str">
            <v>20</v>
          </cell>
          <cell r="T594">
            <v>2.9</v>
          </cell>
          <cell r="AG594">
            <v>0</v>
          </cell>
        </row>
        <row r="595">
          <cell r="A595" t="str">
            <v>10</v>
          </cell>
          <cell r="E595" t="str">
            <v>20</v>
          </cell>
          <cell r="T595">
            <v>2.61</v>
          </cell>
          <cell r="AG595">
            <v>0</v>
          </cell>
        </row>
        <row r="596">
          <cell r="A596" t="str">
            <v>10</v>
          </cell>
          <cell r="E596" t="str">
            <v>20</v>
          </cell>
          <cell r="T596">
            <v>2.6</v>
          </cell>
          <cell r="AG596">
            <v>0</v>
          </cell>
        </row>
        <row r="597">
          <cell r="A597" t="str">
            <v>10</v>
          </cell>
          <cell r="E597" t="str">
            <v>2A</v>
          </cell>
          <cell r="T597">
            <v>2.64</v>
          </cell>
          <cell r="AG597">
            <v>0</v>
          </cell>
        </row>
        <row r="598">
          <cell r="A598" t="str">
            <v>10</v>
          </cell>
          <cell r="E598" t="str">
            <v>2A</v>
          </cell>
          <cell r="T598">
            <v>2.02</v>
          </cell>
          <cell r="AG598">
            <v>0</v>
          </cell>
        </row>
        <row r="599">
          <cell r="A599" t="str">
            <v>10</v>
          </cell>
          <cell r="E599" t="str">
            <v>2A</v>
          </cell>
          <cell r="T599">
            <v>4.21</v>
          </cell>
          <cell r="AG599">
            <v>0</v>
          </cell>
        </row>
        <row r="600">
          <cell r="A600" t="str">
            <v>10</v>
          </cell>
          <cell r="E600" t="str">
            <v>2A</v>
          </cell>
          <cell r="T600">
            <v>2.96</v>
          </cell>
          <cell r="AG600">
            <v>0</v>
          </cell>
        </row>
        <row r="601">
          <cell r="A601" t="str">
            <v>10</v>
          </cell>
          <cell r="E601" t="str">
            <v>2A</v>
          </cell>
          <cell r="T601">
            <v>2.38</v>
          </cell>
          <cell r="AG601">
            <v>0</v>
          </cell>
        </row>
        <row r="602">
          <cell r="A602" t="str">
            <v>10</v>
          </cell>
          <cell r="E602" t="str">
            <v>2A</v>
          </cell>
          <cell r="T602">
            <v>3.16</v>
          </cell>
          <cell r="AG602">
            <v>0</v>
          </cell>
        </row>
        <row r="603">
          <cell r="A603" t="str">
            <v>10</v>
          </cell>
          <cell r="E603" t="str">
            <v>2A</v>
          </cell>
          <cell r="T603">
            <v>3.42</v>
          </cell>
          <cell r="AG603">
            <v>0</v>
          </cell>
        </row>
        <row r="604">
          <cell r="A604" t="str">
            <v>10</v>
          </cell>
          <cell r="E604" t="str">
            <v>2A</v>
          </cell>
          <cell r="T604">
            <v>3.34</v>
          </cell>
          <cell r="AG604">
            <v>0</v>
          </cell>
        </row>
        <row r="605">
          <cell r="A605" t="str">
            <v>10</v>
          </cell>
          <cell r="E605" t="str">
            <v>2A</v>
          </cell>
          <cell r="T605">
            <v>2.4300000000000002</v>
          </cell>
          <cell r="AG605">
            <v>0</v>
          </cell>
        </row>
        <row r="606">
          <cell r="A606" t="str">
            <v>10</v>
          </cell>
          <cell r="E606" t="str">
            <v>2A</v>
          </cell>
          <cell r="T606">
            <v>3.43</v>
          </cell>
          <cell r="AG606">
            <v>0</v>
          </cell>
        </row>
        <row r="607">
          <cell r="A607" t="str">
            <v>10</v>
          </cell>
          <cell r="E607" t="str">
            <v>20</v>
          </cell>
          <cell r="T607">
            <v>2.67</v>
          </cell>
          <cell r="AG607">
            <v>0</v>
          </cell>
        </row>
        <row r="608">
          <cell r="A608" t="str">
            <v>10</v>
          </cell>
          <cell r="E608" t="str">
            <v>20</v>
          </cell>
          <cell r="T608">
            <v>1.9</v>
          </cell>
          <cell r="AG608">
            <v>0</v>
          </cell>
        </row>
        <row r="609">
          <cell r="A609" t="str">
            <v>10</v>
          </cell>
          <cell r="E609" t="str">
            <v>20</v>
          </cell>
          <cell r="T609">
            <v>2.68</v>
          </cell>
          <cell r="AG609">
            <v>0</v>
          </cell>
        </row>
        <row r="610">
          <cell r="A610" t="str">
            <v>10</v>
          </cell>
          <cell r="E610" t="str">
            <v>20</v>
          </cell>
          <cell r="T610">
            <v>1.67</v>
          </cell>
          <cell r="AG610">
            <v>0</v>
          </cell>
        </row>
        <row r="611">
          <cell r="A611" t="str">
            <v>10</v>
          </cell>
          <cell r="E611" t="str">
            <v>20</v>
          </cell>
          <cell r="T611">
            <v>2.69</v>
          </cell>
          <cell r="AG611">
            <v>0</v>
          </cell>
        </row>
        <row r="612">
          <cell r="A612" t="str">
            <v>10</v>
          </cell>
          <cell r="E612" t="str">
            <v>20</v>
          </cell>
          <cell r="T612">
            <v>1.8</v>
          </cell>
          <cell r="AG612">
            <v>0</v>
          </cell>
        </row>
        <row r="613">
          <cell r="A613" t="str">
            <v>10</v>
          </cell>
          <cell r="E613" t="str">
            <v>20</v>
          </cell>
          <cell r="T613">
            <v>1.58</v>
          </cell>
          <cell r="AG613">
            <v>0</v>
          </cell>
        </row>
        <row r="614">
          <cell r="A614" t="str">
            <v>10</v>
          </cell>
          <cell r="E614" t="str">
            <v>20</v>
          </cell>
          <cell r="T614">
            <v>2.71</v>
          </cell>
          <cell r="AG614">
            <v>0</v>
          </cell>
        </row>
        <row r="615">
          <cell r="A615" t="str">
            <v>10</v>
          </cell>
          <cell r="E615" t="str">
            <v>20</v>
          </cell>
          <cell r="T615">
            <v>3.02</v>
          </cell>
          <cell r="AG615">
            <v>0</v>
          </cell>
        </row>
        <row r="616">
          <cell r="A616" t="str">
            <v>10</v>
          </cell>
          <cell r="E616" t="str">
            <v>2A</v>
          </cell>
          <cell r="T616">
            <v>3</v>
          </cell>
          <cell r="AG616">
            <v>0</v>
          </cell>
        </row>
        <row r="617">
          <cell r="A617" t="str">
            <v>10</v>
          </cell>
          <cell r="E617" t="str">
            <v>2A</v>
          </cell>
          <cell r="T617">
            <v>3.18</v>
          </cell>
          <cell r="AG617">
            <v>0</v>
          </cell>
        </row>
        <row r="618">
          <cell r="A618" t="str">
            <v>10</v>
          </cell>
          <cell r="E618" t="str">
            <v>2A</v>
          </cell>
          <cell r="T618">
            <v>2.96</v>
          </cell>
          <cell r="AG618">
            <v>0</v>
          </cell>
        </row>
        <row r="619">
          <cell r="A619" t="str">
            <v>10</v>
          </cell>
          <cell r="E619" t="str">
            <v>2A</v>
          </cell>
          <cell r="T619">
            <v>2.92</v>
          </cell>
          <cell r="AG619">
            <v>0</v>
          </cell>
        </row>
        <row r="620">
          <cell r="A620" t="str">
            <v>10</v>
          </cell>
          <cell r="E620" t="str">
            <v>2A</v>
          </cell>
          <cell r="T620">
            <v>2.5</v>
          </cell>
          <cell r="AG620">
            <v>0</v>
          </cell>
        </row>
        <row r="621">
          <cell r="A621" t="str">
            <v>10</v>
          </cell>
          <cell r="E621" t="str">
            <v>2A</v>
          </cell>
          <cell r="T621">
            <v>2.4700000000000002</v>
          </cell>
          <cell r="AG621">
            <v>0</v>
          </cell>
        </row>
        <row r="622">
          <cell r="A622" t="str">
            <v>10</v>
          </cell>
          <cell r="E622" t="str">
            <v>2A</v>
          </cell>
          <cell r="T622">
            <v>3.21</v>
          </cell>
          <cell r="AG622">
            <v>0</v>
          </cell>
        </row>
        <row r="623">
          <cell r="A623" t="str">
            <v>10</v>
          </cell>
          <cell r="E623" t="str">
            <v>2A</v>
          </cell>
          <cell r="T623">
            <v>2.2400000000000002</v>
          </cell>
          <cell r="AG623">
            <v>0</v>
          </cell>
        </row>
        <row r="624">
          <cell r="A624" t="str">
            <v>11</v>
          </cell>
          <cell r="E624" t="str">
            <v>2A</v>
          </cell>
          <cell r="T624">
            <v>2.2999999999999998</v>
          </cell>
          <cell r="AG624">
            <v>0</v>
          </cell>
        </row>
        <row r="625">
          <cell r="A625" t="str">
            <v>11</v>
          </cell>
          <cell r="E625" t="str">
            <v>2A</v>
          </cell>
          <cell r="T625">
            <v>3.41</v>
          </cell>
          <cell r="AG625">
            <v>0</v>
          </cell>
        </row>
        <row r="626">
          <cell r="A626" t="str">
            <v>11</v>
          </cell>
          <cell r="E626" t="str">
            <v>20</v>
          </cell>
          <cell r="T626">
            <v>3.69</v>
          </cell>
          <cell r="AG626">
            <v>0</v>
          </cell>
        </row>
        <row r="627">
          <cell r="A627" t="str">
            <v>11</v>
          </cell>
          <cell r="E627" t="str">
            <v>20</v>
          </cell>
          <cell r="T627">
            <v>3.03</v>
          </cell>
          <cell r="AG627">
            <v>0</v>
          </cell>
        </row>
        <row r="628">
          <cell r="A628" t="str">
            <v>11</v>
          </cell>
          <cell r="E628" t="str">
            <v>20</v>
          </cell>
          <cell r="T628">
            <v>3.21</v>
          </cell>
          <cell r="AG628">
            <v>0</v>
          </cell>
        </row>
        <row r="629">
          <cell r="A629" t="str">
            <v>11</v>
          </cell>
          <cell r="E629" t="str">
            <v>20</v>
          </cell>
          <cell r="T629">
            <v>2.7</v>
          </cell>
          <cell r="AG629">
            <v>0</v>
          </cell>
        </row>
        <row r="630">
          <cell r="A630" t="str">
            <v>11</v>
          </cell>
          <cell r="E630" t="str">
            <v>20</v>
          </cell>
          <cell r="T630">
            <v>3.11</v>
          </cell>
          <cell r="AG630">
            <v>0</v>
          </cell>
        </row>
        <row r="631">
          <cell r="A631" t="str">
            <v>11</v>
          </cell>
          <cell r="E631" t="str">
            <v>20</v>
          </cell>
          <cell r="T631">
            <v>2.57</v>
          </cell>
          <cell r="AG631">
            <v>0</v>
          </cell>
        </row>
        <row r="632">
          <cell r="A632" t="str">
            <v>11</v>
          </cell>
          <cell r="E632" t="str">
            <v>20</v>
          </cell>
          <cell r="T632">
            <v>3.04</v>
          </cell>
          <cell r="AG632">
            <v>0</v>
          </cell>
        </row>
        <row r="633">
          <cell r="A633" t="str">
            <v>11</v>
          </cell>
          <cell r="E633" t="str">
            <v>20</v>
          </cell>
          <cell r="T633">
            <v>3.38</v>
          </cell>
          <cell r="AG633">
            <v>0</v>
          </cell>
        </row>
        <row r="634">
          <cell r="A634" t="str">
            <v>11</v>
          </cell>
          <cell r="E634" t="str">
            <v>2A</v>
          </cell>
          <cell r="T634">
            <v>1.88</v>
          </cell>
          <cell r="AG634">
            <v>0</v>
          </cell>
        </row>
        <row r="635">
          <cell r="A635" t="str">
            <v>11</v>
          </cell>
          <cell r="E635" t="str">
            <v>2A</v>
          </cell>
          <cell r="T635">
            <v>2.67</v>
          </cell>
          <cell r="AG635">
            <v>0</v>
          </cell>
        </row>
        <row r="636">
          <cell r="A636" t="str">
            <v>11</v>
          </cell>
          <cell r="E636" t="str">
            <v>2A</v>
          </cell>
          <cell r="T636">
            <v>2.68</v>
          </cell>
          <cell r="AG636">
            <v>0</v>
          </cell>
        </row>
        <row r="637">
          <cell r="A637" t="str">
            <v>11</v>
          </cell>
          <cell r="E637" t="str">
            <v>2A</v>
          </cell>
          <cell r="T637">
            <v>2.17</v>
          </cell>
          <cell r="AG637">
            <v>0</v>
          </cell>
        </row>
        <row r="638">
          <cell r="A638" t="str">
            <v>11</v>
          </cell>
          <cell r="E638" t="str">
            <v>2A</v>
          </cell>
          <cell r="T638">
            <v>3.1</v>
          </cell>
          <cell r="AG638">
            <v>0</v>
          </cell>
        </row>
        <row r="639">
          <cell r="A639" t="str">
            <v>11</v>
          </cell>
          <cell r="E639" t="str">
            <v>2A</v>
          </cell>
          <cell r="T639">
            <v>3.09</v>
          </cell>
          <cell r="AG639">
            <v>0</v>
          </cell>
        </row>
        <row r="640">
          <cell r="A640" t="str">
            <v>11</v>
          </cell>
          <cell r="E640" t="str">
            <v>2A</v>
          </cell>
          <cell r="T640">
            <v>2.76</v>
          </cell>
          <cell r="AG640">
            <v>0</v>
          </cell>
        </row>
        <row r="641">
          <cell r="A641" t="str">
            <v>11</v>
          </cell>
          <cell r="E641" t="str">
            <v>2A</v>
          </cell>
          <cell r="T641">
            <v>2.71</v>
          </cell>
          <cell r="AG641">
            <v>0</v>
          </cell>
        </row>
        <row r="642">
          <cell r="A642" t="str">
            <v>11</v>
          </cell>
          <cell r="E642" t="str">
            <v>2A</v>
          </cell>
          <cell r="T642">
            <v>3.17</v>
          </cell>
          <cell r="AG642">
            <v>0</v>
          </cell>
        </row>
        <row r="643">
          <cell r="A643" t="str">
            <v>11</v>
          </cell>
          <cell r="E643" t="str">
            <v>20</v>
          </cell>
          <cell r="T643">
            <v>2.88</v>
          </cell>
          <cell r="AG643">
            <v>0</v>
          </cell>
        </row>
        <row r="644">
          <cell r="A644" t="str">
            <v>11</v>
          </cell>
          <cell r="E644" t="str">
            <v>20</v>
          </cell>
          <cell r="T644">
            <v>2.17</v>
          </cell>
          <cell r="AG644">
            <v>0</v>
          </cell>
        </row>
        <row r="645">
          <cell r="A645" t="str">
            <v>11</v>
          </cell>
          <cell r="E645" t="str">
            <v>20</v>
          </cell>
          <cell r="T645">
            <v>3.6</v>
          </cell>
          <cell r="AG645">
            <v>0</v>
          </cell>
        </row>
        <row r="646">
          <cell r="A646" t="str">
            <v>11</v>
          </cell>
          <cell r="E646" t="str">
            <v>20</v>
          </cell>
          <cell r="T646">
            <v>2.56</v>
          </cell>
          <cell r="AG646">
            <v>0</v>
          </cell>
        </row>
        <row r="647">
          <cell r="A647" t="str">
            <v>11</v>
          </cell>
          <cell r="E647" t="str">
            <v>20</v>
          </cell>
          <cell r="T647">
            <v>1.56</v>
          </cell>
          <cell r="AG647">
            <v>0</v>
          </cell>
        </row>
        <row r="648">
          <cell r="A648" t="str">
            <v>11</v>
          </cell>
          <cell r="E648" t="str">
            <v>20</v>
          </cell>
          <cell r="T648">
            <v>2.5</v>
          </cell>
          <cell r="AG648">
            <v>0</v>
          </cell>
        </row>
        <row r="649">
          <cell r="A649" t="str">
            <v>11</v>
          </cell>
          <cell r="E649" t="str">
            <v>20</v>
          </cell>
          <cell r="T649">
            <v>3.6</v>
          </cell>
          <cell r="AG649">
            <v>0</v>
          </cell>
        </row>
        <row r="650">
          <cell r="A650" t="str">
            <v>11</v>
          </cell>
          <cell r="E650" t="str">
            <v>20</v>
          </cell>
          <cell r="T650">
            <v>1.72</v>
          </cell>
          <cell r="AG650">
            <v>0</v>
          </cell>
        </row>
        <row r="651">
          <cell r="A651" t="str">
            <v>11</v>
          </cell>
          <cell r="E651" t="str">
            <v>20</v>
          </cell>
          <cell r="T651">
            <v>2</v>
          </cell>
          <cell r="AG651">
            <v>0</v>
          </cell>
        </row>
        <row r="652">
          <cell r="A652" t="str">
            <v>11</v>
          </cell>
          <cell r="E652" t="str">
            <v>20</v>
          </cell>
          <cell r="T652">
            <v>3.09</v>
          </cell>
          <cell r="AG652">
            <v>0</v>
          </cell>
        </row>
        <row r="653">
          <cell r="A653" t="str">
            <v>11</v>
          </cell>
          <cell r="E653" t="str">
            <v>20</v>
          </cell>
          <cell r="T653">
            <v>2.5499999999999998</v>
          </cell>
          <cell r="AG653">
            <v>0</v>
          </cell>
        </row>
        <row r="654">
          <cell r="A654" t="str">
            <v>11</v>
          </cell>
          <cell r="E654" t="str">
            <v>20</v>
          </cell>
          <cell r="T654">
            <v>2.2000000000000002</v>
          </cell>
          <cell r="AG654">
            <v>0</v>
          </cell>
        </row>
        <row r="655">
          <cell r="A655" t="str">
            <v>11</v>
          </cell>
          <cell r="E655" t="str">
            <v>2A</v>
          </cell>
          <cell r="T655">
            <v>2.4300000000000002</v>
          </cell>
          <cell r="AG655">
            <v>0</v>
          </cell>
        </row>
        <row r="656">
          <cell r="A656" t="str">
            <v>11</v>
          </cell>
          <cell r="E656" t="str">
            <v>2A</v>
          </cell>
          <cell r="T656">
            <v>2.96</v>
          </cell>
          <cell r="AG656">
            <v>0</v>
          </cell>
        </row>
        <row r="657">
          <cell r="A657" t="str">
            <v>11</v>
          </cell>
          <cell r="E657" t="str">
            <v>2A</v>
          </cell>
          <cell r="T657">
            <v>2.74</v>
          </cell>
          <cell r="AG657">
            <v>0</v>
          </cell>
        </row>
        <row r="658">
          <cell r="A658" t="str">
            <v>11</v>
          </cell>
          <cell r="E658" t="str">
            <v>2A</v>
          </cell>
          <cell r="T658">
            <v>3.67</v>
          </cell>
          <cell r="AG658">
            <v>0</v>
          </cell>
        </row>
        <row r="659">
          <cell r="A659" t="str">
            <v>11</v>
          </cell>
          <cell r="E659" t="str">
            <v>2A</v>
          </cell>
          <cell r="T659">
            <v>3.22</v>
          </cell>
          <cell r="AG659">
            <v>0</v>
          </cell>
        </row>
        <row r="660">
          <cell r="A660" t="str">
            <v>11</v>
          </cell>
          <cell r="E660" t="str">
            <v>2A</v>
          </cell>
          <cell r="T660">
            <v>2.64</v>
          </cell>
          <cell r="AG660">
            <v>0</v>
          </cell>
        </row>
        <row r="661">
          <cell r="A661" t="str">
            <v>11</v>
          </cell>
          <cell r="E661" t="str">
            <v>2A</v>
          </cell>
          <cell r="T661">
            <v>3.16</v>
          </cell>
          <cell r="AG661">
            <v>0</v>
          </cell>
        </row>
        <row r="662">
          <cell r="A662" t="str">
            <v>11</v>
          </cell>
          <cell r="E662" t="str">
            <v>2A</v>
          </cell>
          <cell r="T662">
            <v>3.52</v>
          </cell>
          <cell r="AG662">
            <v>0</v>
          </cell>
        </row>
        <row r="663">
          <cell r="A663" t="str">
            <v>11</v>
          </cell>
          <cell r="E663" t="str">
            <v>2A</v>
          </cell>
          <cell r="T663">
            <v>4.54</v>
          </cell>
          <cell r="AG663">
            <v>0</v>
          </cell>
        </row>
        <row r="664">
          <cell r="A664" t="str">
            <v>11</v>
          </cell>
          <cell r="E664" t="str">
            <v>20</v>
          </cell>
          <cell r="T664">
            <v>2.81</v>
          </cell>
          <cell r="AG664">
            <v>0</v>
          </cell>
        </row>
        <row r="665">
          <cell r="A665" t="str">
            <v>11</v>
          </cell>
          <cell r="E665" t="str">
            <v>20</v>
          </cell>
          <cell r="T665">
            <v>2.95</v>
          </cell>
          <cell r="AG665">
            <v>0</v>
          </cell>
        </row>
        <row r="666">
          <cell r="A666" t="str">
            <v>11</v>
          </cell>
          <cell r="E666" t="str">
            <v>20</v>
          </cell>
          <cell r="T666">
            <v>2.46</v>
          </cell>
          <cell r="AG666">
            <v>0</v>
          </cell>
        </row>
        <row r="667">
          <cell r="A667" t="str">
            <v>11</v>
          </cell>
          <cell r="E667" t="str">
            <v>24</v>
          </cell>
          <cell r="T667">
            <v>4.09</v>
          </cell>
          <cell r="AG667">
            <v>0</v>
          </cell>
        </row>
        <row r="668">
          <cell r="A668" t="str">
            <v>11</v>
          </cell>
          <cell r="E668" t="str">
            <v>20</v>
          </cell>
          <cell r="T668">
            <v>2.5</v>
          </cell>
          <cell r="AG668">
            <v>0</v>
          </cell>
        </row>
        <row r="669">
          <cell r="A669" t="str">
            <v>11</v>
          </cell>
          <cell r="E669" t="str">
            <v>20</v>
          </cell>
          <cell r="T669">
            <v>2.74</v>
          </cell>
          <cell r="AG669">
            <v>0</v>
          </cell>
        </row>
        <row r="670">
          <cell r="A670" t="str">
            <v>11</v>
          </cell>
          <cell r="E670" t="str">
            <v>20</v>
          </cell>
          <cell r="T670">
            <v>2.86</v>
          </cell>
          <cell r="AG670">
            <v>0</v>
          </cell>
        </row>
        <row r="671">
          <cell r="A671" t="str">
            <v>11</v>
          </cell>
          <cell r="E671" t="str">
            <v>20</v>
          </cell>
          <cell r="T671">
            <v>3.51</v>
          </cell>
          <cell r="AG671">
            <v>0</v>
          </cell>
        </row>
        <row r="672">
          <cell r="A672" t="str">
            <v>11</v>
          </cell>
          <cell r="E672" t="str">
            <v>20</v>
          </cell>
          <cell r="T672">
            <v>3.75</v>
          </cell>
          <cell r="AG672">
            <v>0</v>
          </cell>
        </row>
        <row r="673">
          <cell r="A673" t="str">
            <v>11</v>
          </cell>
          <cell r="E673" t="str">
            <v>20</v>
          </cell>
          <cell r="T673">
            <v>3.37</v>
          </cell>
          <cell r="AG673">
            <v>0</v>
          </cell>
        </row>
        <row r="674">
          <cell r="A674" t="str">
            <v>11</v>
          </cell>
          <cell r="E674" t="str">
            <v>2A</v>
          </cell>
          <cell r="T674">
            <v>3.74</v>
          </cell>
          <cell r="AG674">
            <v>0</v>
          </cell>
        </row>
        <row r="675">
          <cell r="A675" t="str">
            <v>11</v>
          </cell>
          <cell r="E675" t="str">
            <v>2A</v>
          </cell>
          <cell r="T675">
            <v>2.74</v>
          </cell>
          <cell r="AG675">
            <v>0</v>
          </cell>
        </row>
        <row r="676">
          <cell r="A676" t="str">
            <v>11</v>
          </cell>
          <cell r="E676" t="str">
            <v>2A</v>
          </cell>
          <cell r="T676">
            <v>4.37</v>
          </cell>
          <cell r="AG676">
            <v>0</v>
          </cell>
        </row>
        <row r="677">
          <cell r="A677" t="str">
            <v>11</v>
          </cell>
          <cell r="E677" t="str">
            <v>2A</v>
          </cell>
          <cell r="T677">
            <v>2.92</v>
          </cell>
          <cell r="AG677">
            <v>0</v>
          </cell>
        </row>
        <row r="678">
          <cell r="A678" t="str">
            <v>11</v>
          </cell>
          <cell r="E678" t="str">
            <v>2A</v>
          </cell>
          <cell r="T678">
            <v>3.59</v>
          </cell>
          <cell r="AG678">
            <v>0</v>
          </cell>
        </row>
        <row r="679">
          <cell r="A679" t="str">
            <v>11</v>
          </cell>
          <cell r="E679" t="str">
            <v>2A</v>
          </cell>
          <cell r="T679">
            <v>2.1</v>
          </cell>
          <cell r="AG679">
            <v>0</v>
          </cell>
        </row>
        <row r="680">
          <cell r="A680" t="str">
            <v>11</v>
          </cell>
          <cell r="E680" t="str">
            <v>2A</v>
          </cell>
          <cell r="T680">
            <v>3.01</v>
          </cell>
          <cell r="AG680">
            <v>0</v>
          </cell>
        </row>
        <row r="681">
          <cell r="A681" t="str">
            <v>11</v>
          </cell>
          <cell r="E681" t="str">
            <v>2A</v>
          </cell>
          <cell r="T681">
            <v>3.06</v>
          </cell>
          <cell r="AG681">
            <v>0</v>
          </cell>
        </row>
        <row r="682">
          <cell r="A682" t="str">
            <v>11</v>
          </cell>
          <cell r="E682" t="str">
            <v>20</v>
          </cell>
          <cell r="T682">
            <v>2.63</v>
          </cell>
          <cell r="AG682">
            <v>0</v>
          </cell>
        </row>
        <row r="683">
          <cell r="A683" t="str">
            <v>11</v>
          </cell>
          <cell r="E683" t="str">
            <v>20</v>
          </cell>
          <cell r="T683">
            <v>2.48</v>
          </cell>
          <cell r="AG683">
            <v>0</v>
          </cell>
        </row>
        <row r="684">
          <cell r="A684" t="str">
            <v>11</v>
          </cell>
          <cell r="E684" t="str">
            <v>20</v>
          </cell>
          <cell r="T684">
            <v>2.72</v>
          </cell>
          <cell r="AG684">
            <v>0</v>
          </cell>
        </row>
        <row r="685">
          <cell r="A685" t="str">
            <v>11</v>
          </cell>
          <cell r="E685" t="str">
            <v>20</v>
          </cell>
          <cell r="T685">
            <v>2.95</v>
          </cell>
          <cell r="AG685">
            <v>0</v>
          </cell>
        </row>
        <row r="686">
          <cell r="A686" t="str">
            <v>11</v>
          </cell>
          <cell r="E686" t="str">
            <v>20</v>
          </cell>
          <cell r="T686">
            <v>3.3</v>
          </cell>
          <cell r="AG686">
            <v>0</v>
          </cell>
        </row>
        <row r="687">
          <cell r="A687" t="str">
            <v>11</v>
          </cell>
          <cell r="E687" t="str">
            <v>20</v>
          </cell>
          <cell r="T687">
            <v>1.1599999999999999</v>
          </cell>
          <cell r="AG687">
            <v>0</v>
          </cell>
        </row>
        <row r="688">
          <cell r="A688" t="str">
            <v>11</v>
          </cell>
          <cell r="E688" t="str">
            <v>20</v>
          </cell>
          <cell r="T688">
            <v>2.48</v>
          </cell>
          <cell r="AG688">
            <v>0</v>
          </cell>
        </row>
        <row r="689">
          <cell r="A689" t="str">
            <v>11</v>
          </cell>
          <cell r="E689" t="str">
            <v>20</v>
          </cell>
          <cell r="T689">
            <v>3.07</v>
          </cell>
          <cell r="AG689">
            <v>0</v>
          </cell>
        </row>
        <row r="690">
          <cell r="A690" t="str">
            <v>11</v>
          </cell>
          <cell r="E690" t="str">
            <v>20</v>
          </cell>
          <cell r="T690">
            <v>2.2799999999999998</v>
          </cell>
          <cell r="AG690">
            <v>0</v>
          </cell>
        </row>
        <row r="691">
          <cell r="A691" t="str">
            <v>11</v>
          </cell>
          <cell r="E691" t="str">
            <v>20</v>
          </cell>
          <cell r="T691">
            <v>2.8</v>
          </cell>
          <cell r="AG691">
            <v>0</v>
          </cell>
        </row>
        <row r="692">
          <cell r="A692" t="str">
            <v>11</v>
          </cell>
          <cell r="E692" t="str">
            <v>20</v>
          </cell>
          <cell r="T692">
            <v>2.5099999999999998</v>
          </cell>
          <cell r="AG692">
            <v>0</v>
          </cell>
        </row>
        <row r="693">
          <cell r="A693" t="str">
            <v>11</v>
          </cell>
          <cell r="E693" t="str">
            <v>20</v>
          </cell>
          <cell r="T693">
            <v>2.69</v>
          </cell>
          <cell r="AG693">
            <v>0</v>
          </cell>
        </row>
        <row r="694">
          <cell r="A694" t="str">
            <v>11</v>
          </cell>
          <cell r="E694" t="str">
            <v>2A</v>
          </cell>
          <cell r="T694">
            <v>3.16</v>
          </cell>
          <cell r="AG694">
            <v>0</v>
          </cell>
        </row>
        <row r="695">
          <cell r="A695" t="str">
            <v>11</v>
          </cell>
          <cell r="E695" t="str">
            <v>2A</v>
          </cell>
          <cell r="T695">
            <v>2.35</v>
          </cell>
          <cell r="AG695">
            <v>0</v>
          </cell>
        </row>
        <row r="696">
          <cell r="A696" t="str">
            <v>11</v>
          </cell>
          <cell r="E696" t="str">
            <v>2A</v>
          </cell>
          <cell r="T696">
            <v>3.15</v>
          </cell>
          <cell r="AG696">
            <v>0</v>
          </cell>
        </row>
        <row r="697">
          <cell r="A697" t="str">
            <v>11</v>
          </cell>
          <cell r="E697" t="str">
            <v>2A</v>
          </cell>
          <cell r="T697">
            <v>2.99</v>
          </cell>
          <cell r="AG697">
            <v>359.31</v>
          </cell>
        </row>
        <row r="698">
          <cell r="A698" t="str">
            <v>11</v>
          </cell>
          <cell r="E698" t="str">
            <v>2A</v>
          </cell>
          <cell r="T698">
            <v>2.61</v>
          </cell>
          <cell r="AG698">
            <v>0</v>
          </cell>
        </row>
        <row r="699">
          <cell r="A699" t="str">
            <v>11</v>
          </cell>
          <cell r="E699" t="str">
            <v>2A</v>
          </cell>
          <cell r="T699">
            <v>3.32</v>
          </cell>
          <cell r="AG699">
            <v>0</v>
          </cell>
        </row>
        <row r="700">
          <cell r="A700" t="str">
            <v>11</v>
          </cell>
          <cell r="E700" t="str">
            <v>2A</v>
          </cell>
          <cell r="T700">
            <v>2.99</v>
          </cell>
          <cell r="AG700">
            <v>0</v>
          </cell>
        </row>
        <row r="701">
          <cell r="A701" t="str">
            <v>11</v>
          </cell>
          <cell r="E701" t="str">
            <v>2A</v>
          </cell>
          <cell r="T701">
            <v>3.25</v>
          </cell>
          <cell r="AG701">
            <v>0</v>
          </cell>
        </row>
        <row r="702">
          <cell r="A702" t="str">
            <v>11</v>
          </cell>
          <cell r="E702" t="str">
            <v>2A</v>
          </cell>
          <cell r="T702">
            <v>2.99</v>
          </cell>
          <cell r="AG702">
            <v>0</v>
          </cell>
        </row>
        <row r="703">
          <cell r="A703" t="str">
            <v>11</v>
          </cell>
          <cell r="E703" t="str">
            <v>2A</v>
          </cell>
          <cell r="T703">
            <v>2.8</v>
          </cell>
          <cell r="AG703">
            <v>0</v>
          </cell>
        </row>
        <row r="704">
          <cell r="A704" t="str">
            <v>11</v>
          </cell>
          <cell r="E704" t="str">
            <v>2A</v>
          </cell>
          <cell r="T704">
            <v>2.73</v>
          </cell>
          <cell r="AG704">
            <v>0</v>
          </cell>
        </row>
        <row r="705">
          <cell r="A705" t="str">
            <v>11</v>
          </cell>
          <cell r="E705" t="str">
            <v>2A</v>
          </cell>
          <cell r="T705">
            <v>3.26</v>
          </cell>
          <cell r="AG705">
            <v>0</v>
          </cell>
        </row>
        <row r="706">
          <cell r="A706" t="str">
            <v>11</v>
          </cell>
          <cell r="E706" t="str">
            <v>2A</v>
          </cell>
          <cell r="T706">
            <v>2.29</v>
          </cell>
          <cell r="AG706">
            <v>0</v>
          </cell>
        </row>
        <row r="707">
          <cell r="A707" t="str">
            <v>11</v>
          </cell>
          <cell r="E707" t="str">
            <v>2A</v>
          </cell>
          <cell r="T707">
            <v>2.72</v>
          </cell>
          <cell r="AG707">
            <v>0</v>
          </cell>
        </row>
        <row r="708">
          <cell r="A708" t="str">
            <v>11</v>
          </cell>
          <cell r="E708" t="str">
            <v>2A</v>
          </cell>
          <cell r="T708">
            <v>2.64</v>
          </cell>
          <cell r="AG708">
            <v>0</v>
          </cell>
        </row>
        <row r="709">
          <cell r="A709" t="str">
            <v>12</v>
          </cell>
          <cell r="E709" t="str">
            <v>20</v>
          </cell>
          <cell r="T709">
            <v>3.34</v>
          </cell>
          <cell r="AG709">
            <v>0</v>
          </cell>
        </row>
        <row r="710">
          <cell r="A710" t="str">
            <v>12</v>
          </cell>
          <cell r="E710" t="str">
            <v>20</v>
          </cell>
          <cell r="T710">
            <v>1.88</v>
          </cell>
          <cell r="AG710">
            <v>0</v>
          </cell>
        </row>
        <row r="711">
          <cell r="A711" t="str">
            <v>12</v>
          </cell>
          <cell r="E711" t="str">
            <v>20</v>
          </cell>
          <cell r="T711">
            <v>3.06</v>
          </cell>
          <cell r="AG711">
            <v>0</v>
          </cell>
        </row>
        <row r="712">
          <cell r="A712" t="str">
            <v>12</v>
          </cell>
          <cell r="E712" t="str">
            <v>20</v>
          </cell>
          <cell r="T712">
            <v>3.56</v>
          </cell>
          <cell r="AG712">
            <v>0</v>
          </cell>
        </row>
        <row r="713">
          <cell r="A713" t="str">
            <v>12</v>
          </cell>
          <cell r="E713" t="str">
            <v>2A</v>
          </cell>
          <cell r="T713">
            <v>2.78</v>
          </cell>
          <cell r="AG713">
            <v>0</v>
          </cell>
        </row>
        <row r="714">
          <cell r="A714" t="str">
            <v>12</v>
          </cell>
          <cell r="E714" t="str">
            <v>2A</v>
          </cell>
          <cell r="T714">
            <v>2.8</v>
          </cell>
          <cell r="AG714">
            <v>0</v>
          </cell>
        </row>
        <row r="715">
          <cell r="A715" t="str">
            <v>12</v>
          </cell>
          <cell r="E715" t="str">
            <v>2A</v>
          </cell>
          <cell r="T715">
            <v>2.87</v>
          </cell>
          <cell r="AG715">
            <v>0</v>
          </cell>
        </row>
        <row r="716">
          <cell r="A716" t="str">
            <v>12</v>
          </cell>
          <cell r="E716" t="str">
            <v>2A</v>
          </cell>
          <cell r="T716">
            <v>2.63</v>
          </cell>
          <cell r="AG716">
            <v>0</v>
          </cell>
        </row>
        <row r="717">
          <cell r="A717" t="str">
            <v>12</v>
          </cell>
          <cell r="E717" t="str">
            <v>2A</v>
          </cell>
          <cell r="T717">
            <v>3.46</v>
          </cell>
          <cell r="AG717">
            <v>0</v>
          </cell>
        </row>
        <row r="718">
          <cell r="A718" t="str">
            <v>12</v>
          </cell>
          <cell r="E718" t="str">
            <v>2A</v>
          </cell>
          <cell r="T718">
            <v>2.48</v>
          </cell>
          <cell r="AG718">
            <v>0</v>
          </cell>
        </row>
        <row r="719">
          <cell r="A719" t="str">
            <v>12</v>
          </cell>
          <cell r="E719" t="str">
            <v>2A</v>
          </cell>
          <cell r="T719">
            <v>2.4300000000000002</v>
          </cell>
          <cell r="AG719">
            <v>0</v>
          </cell>
        </row>
        <row r="720">
          <cell r="A720" t="str">
            <v>12</v>
          </cell>
          <cell r="E720" t="str">
            <v>20</v>
          </cell>
          <cell r="T720">
            <v>1.9</v>
          </cell>
          <cell r="AG720">
            <v>0</v>
          </cell>
        </row>
        <row r="721">
          <cell r="A721" t="str">
            <v>12</v>
          </cell>
          <cell r="E721" t="str">
            <v>20</v>
          </cell>
          <cell r="T721">
            <v>2.42</v>
          </cell>
          <cell r="AG721">
            <v>0</v>
          </cell>
        </row>
        <row r="722">
          <cell r="A722" t="str">
            <v>12</v>
          </cell>
          <cell r="E722" t="str">
            <v>20</v>
          </cell>
          <cell r="T722">
            <v>2.98</v>
          </cell>
          <cell r="AG722">
            <v>0</v>
          </cell>
        </row>
        <row r="723">
          <cell r="A723" t="str">
            <v>12</v>
          </cell>
          <cell r="E723" t="str">
            <v>20</v>
          </cell>
          <cell r="T723">
            <v>2.2799999999999998</v>
          </cell>
          <cell r="AG723">
            <v>0</v>
          </cell>
        </row>
        <row r="724">
          <cell r="A724" t="str">
            <v>12</v>
          </cell>
          <cell r="E724" t="str">
            <v>20</v>
          </cell>
          <cell r="T724">
            <v>3.03</v>
          </cell>
          <cell r="AG724">
            <v>0</v>
          </cell>
        </row>
        <row r="725">
          <cell r="A725" t="str">
            <v>12</v>
          </cell>
          <cell r="E725" t="str">
            <v>20</v>
          </cell>
          <cell r="T725">
            <v>2.2599999999999998</v>
          </cell>
          <cell r="AG725">
            <v>0</v>
          </cell>
        </row>
        <row r="726">
          <cell r="A726" t="str">
            <v>12</v>
          </cell>
          <cell r="E726" t="str">
            <v>20</v>
          </cell>
          <cell r="T726">
            <v>2.4700000000000002</v>
          </cell>
          <cell r="AG726">
            <v>0</v>
          </cell>
        </row>
        <row r="727">
          <cell r="A727" t="str">
            <v>12</v>
          </cell>
          <cell r="E727" t="str">
            <v>2A</v>
          </cell>
          <cell r="T727">
            <v>2.15</v>
          </cell>
          <cell r="AG727">
            <v>0</v>
          </cell>
        </row>
        <row r="728">
          <cell r="A728" t="str">
            <v>12</v>
          </cell>
          <cell r="E728" t="str">
            <v>2A</v>
          </cell>
          <cell r="T728">
            <v>2.12</v>
          </cell>
          <cell r="AG728">
            <v>0</v>
          </cell>
        </row>
        <row r="729">
          <cell r="A729" t="str">
            <v>12</v>
          </cell>
          <cell r="E729" t="str">
            <v>2A</v>
          </cell>
          <cell r="T729">
            <v>3.02</v>
          </cell>
          <cell r="AG729">
            <v>0</v>
          </cell>
        </row>
        <row r="730">
          <cell r="A730" t="str">
            <v>12</v>
          </cell>
          <cell r="E730" t="str">
            <v>2A</v>
          </cell>
          <cell r="T730">
            <v>2.2999999999999998</v>
          </cell>
          <cell r="AG730">
            <v>0</v>
          </cell>
        </row>
        <row r="731">
          <cell r="A731" t="str">
            <v>12</v>
          </cell>
          <cell r="E731" t="str">
            <v>2A</v>
          </cell>
          <cell r="T731">
            <v>3.28</v>
          </cell>
          <cell r="AG731">
            <v>0</v>
          </cell>
        </row>
        <row r="732">
          <cell r="A732" t="str">
            <v>12</v>
          </cell>
          <cell r="E732" t="str">
            <v>2A</v>
          </cell>
          <cell r="T732">
            <v>2.75</v>
          </cell>
          <cell r="AG732">
            <v>0</v>
          </cell>
        </row>
        <row r="733">
          <cell r="A733" t="str">
            <v>12</v>
          </cell>
          <cell r="E733" t="str">
            <v>24</v>
          </cell>
          <cell r="T733">
            <v>3.26</v>
          </cell>
          <cell r="AG733">
            <v>0</v>
          </cell>
        </row>
        <row r="734">
          <cell r="A734" t="str">
            <v>12</v>
          </cell>
          <cell r="E734" t="str">
            <v>24</v>
          </cell>
          <cell r="T734">
            <v>2.79</v>
          </cell>
          <cell r="AG734">
            <v>0</v>
          </cell>
        </row>
        <row r="735">
          <cell r="A735" t="str">
            <v>12</v>
          </cell>
          <cell r="E735" t="str">
            <v>24</v>
          </cell>
          <cell r="T735">
            <v>2.48</v>
          </cell>
          <cell r="AG735">
            <v>0</v>
          </cell>
        </row>
        <row r="736">
          <cell r="A736" t="str">
            <v>12</v>
          </cell>
          <cell r="E736" t="str">
            <v>24</v>
          </cell>
          <cell r="T736">
            <v>2.9</v>
          </cell>
          <cell r="AG736">
            <v>0</v>
          </cell>
        </row>
        <row r="737">
          <cell r="A737" t="str">
            <v>12</v>
          </cell>
          <cell r="E737" t="str">
            <v>20</v>
          </cell>
          <cell r="T737">
            <v>3.81</v>
          </cell>
          <cell r="AG737">
            <v>0</v>
          </cell>
        </row>
        <row r="738">
          <cell r="A738" t="str">
            <v>12</v>
          </cell>
          <cell r="E738" t="str">
            <v>20</v>
          </cell>
          <cell r="T738">
            <v>2.88</v>
          </cell>
          <cell r="AG738">
            <v>0</v>
          </cell>
        </row>
        <row r="739">
          <cell r="A739" t="str">
            <v>12</v>
          </cell>
          <cell r="E739" t="str">
            <v>20</v>
          </cell>
          <cell r="T739">
            <v>2.21</v>
          </cell>
          <cell r="AG739">
            <v>0</v>
          </cell>
        </row>
        <row r="740">
          <cell r="A740" t="str">
            <v>12</v>
          </cell>
          <cell r="E740" t="str">
            <v>20</v>
          </cell>
          <cell r="T740">
            <v>2.25</v>
          </cell>
          <cell r="AG740">
            <v>0</v>
          </cell>
        </row>
        <row r="741">
          <cell r="A741" t="str">
            <v>12</v>
          </cell>
          <cell r="E741" t="str">
            <v>20</v>
          </cell>
          <cell r="T741">
            <v>2.82</v>
          </cell>
          <cell r="AG741">
            <v>0</v>
          </cell>
        </row>
        <row r="742">
          <cell r="A742" t="str">
            <v>12</v>
          </cell>
          <cell r="E742" t="str">
            <v>20</v>
          </cell>
          <cell r="T742">
            <v>2.2400000000000002</v>
          </cell>
          <cell r="AG742">
            <v>0</v>
          </cell>
        </row>
        <row r="743">
          <cell r="A743" t="str">
            <v>12</v>
          </cell>
          <cell r="E743" t="str">
            <v>2A</v>
          </cell>
          <cell r="T743">
            <v>2.74</v>
          </cell>
          <cell r="AG743">
            <v>0</v>
          </cell>
        </row>
        <row r="744">
          <cell r="A744" t="str">
            <v>12</v>
          </cell>
          <cell r="E744" t="str">
            <v>2A</v>
          </cell>
          <cell r="T744">
            <v>2.91</v>
          </cell>
          <cell r="AG744">
            <v>0</v>
          </cell>
        </row>
        <row r="745">
          <cell r="A745" t="str">
            <v>12</v>
          </cell>
          <cell r="E745" t="str">
            <v>2A</v>
          </cell>
          <cell r="T745">
            <v>3.03</v>
          </cell>
          <cell r="AG745">
            <v>0</v>
          </cell>
        </row>
        <row r="746">
          <cell r="A746" t="str">
            <v>12</v>
          </cell>
          <cell r="E746" t="str">
            <v>2A</v>
          </cell>
          <cell r="T746">
            <v>1.89</v>
          </cell>
          <cell r="AG746">
            <v>0</v>
          </cell>
        </row>
        <row r="747">
          <cell r="A747" t="str">
            <v>12</v>
          </cell>
          <cell r="E747" t="str">
            <v>2A</v>
          </cell>
          <cell r="T747">
            <v>3.27</v>
          </cell>
          <cell r="AG747">
            <v>0</v>
          </cell>
        </row>
        <row r="748">
          <cell r="A748" t="str">
            <v>12</v>
          </cell>
          <cell r="E748" t="str">
            <v>20</v>
          </cell>
          <cell r="T748">
            <v>3.68</v>
          </cell>
          <cell r="AG748">
            <v>0</v>
          </cell>
        </row>
        <row r="749">
          <cell r="A749" t="str">
            <v>12</v>
          </cell>
          <cell r="E749" t="str">
            <v>20</v>
          </cell>
          <cell r="T749">
            <v>2.94</v>
          </cell>
          <cell r="AG749">
            <v>0</v>
          </cell>
        </row>
        <row r="750">
          <cell r="A750" t="str">
            <v>12</v>
          </cell>
          <cell r="E750" t="str">
            <v>20</v>
          </cell>
          <cell r="T750">
            <v>3.28</v>
          </cell>
          <cell r="AG750">
            <v>0</v>
          </cell>
        </row>
        <row r="751">
          <cell r="A751" t="str">
            <v>12</v>
          </cell>
          <cell r="E751" t="str">
            <v>20</v>
          </cell>
          <cell r="T751">
            <v>3.12</v>
          </cell>
          <cell r="AG751">
            <v>0</v>
          </cell>
        </row>
        <row r="752">
          <cell r="A752" t="str">
            <v>12</v>
          </cell>
          <cell r="E752" t="str">
            <v>20</v>
          </cell>
          <cell r="T752">
            <v>3.21</v>
          </cell>
          <cell r="AG752">
            <v>0</v>
          </cell>
        </row>
        <row r="753">
          <cell r="A753" t="str">
            <v>12</v>
          </cell>
          <cell r="E753" t="str">
            <v>20</v>
          </cell>
          <cell r="T753">
            <v>2.77</v>
          </cell>
          <cell r="AG753">
            <v>0</v>
          </cell>
        </row>
        <row r="754">
          <cell r="A754" t="str">
            <v>12</v>
          </cell>
          <cell r="E754" t="str">
            <v>2A</v>
          </cell>
          <cell r="T754">
            <v>1.62</v>
          </cell>
          <cell r="AG754">
            <v>0</v>
          </cell>
        </row>
        <row r="755">
          <cell r="A755" t="str">
            <v>12</v>
          </cell>
          <cell r="E755" t="str">
            <v>2A</v>
          </cell>
          <cell r="T755">
            <v>3.19</v>
          </cell>
          <cell r="AG755">
            <v>0</v>
          </cell>
        </row>
        <row r="756">
          <cell r="A756" t="str">
            <v>12</v>
          </cell>
          <cell r="E756" t="str">
            <v>2A</v>
          </cell>
          <cell r="T756">
            <v>3.23</v>
          </cell>
          <cell r="AG756">
            <v>0</v>
          </cell>
        </row>
        <row r="757">
          <cell r="A757" t="str">
            <v>12</v>
          </cell>
          <cell r="E757" t="str">
            <v>2A</v>
          </cell>
          <cell r="T757">
            <v>2.31</v>
          </cell>
          <cell r="AG757">
            <v>0</v>
          </cell>
        </row>
        <row r="758">
          <cell r="A758" t="str">
            <v>12</v>
          </cell>
          <cell r="E758" t="str">
            <v>2A</v>
          </cell>
          <cell r="T758">
            <v>2.76</v>
          </cell>
          <cell r="AG758">
            <v>0</v>
          </cell>
        </row>
        <row r="759">
          <cell r="A759" t="str">
            <v>12</v>
          </cell>
          <cell r="E759" t="str">
            <v>2A</v>
          </cell>
          <cell r="T759">
            <v>2.9</v>
          </cell>
          <cell r="AG759">
            <v>0</v>
          </cell>
        </row>
        <row r="760">
          <cell r="A760" t="str">
            <v>12</v>
          </cell>
          <cell r="E760" t="str">
            <v>20</v>
          </cell>
          <cell r="T760">
            <v>2.74</v>
          </cell>
          <cell r="AG760">
            <v>0</v>
          </cell>
        </row>
        <row r="761">
          <cell r="A761" t="str">
            <v>12</v>
          </cell>
          <cell r="E761" t="str">
            <v>20</v>
          </cell>
          <cell r="T761">
            <v>2.62</v>
          </cell>
          <cell r="AG761">
            <v>0</v>
          </cell>
        </row>
        <row r="762">
          <cell r="A762" t="str">
            <v>12</v>
          </cell>
          <cell r="E762" t="str">
            <v>20</v>
          </cell>
          <cell r="T762">
            <v>3.36</v>
          </cell>
          <cell r="AG762">
            <v>0</v>
          </cell>
        </row>
        <row r="763">
          <cell r="A763" t="str">
            <v>12</v>
          </cell>
          <cell r="E763" t="str">
            <v>20</v>
          </cell>
          <cell r="T763">
            <v>2.56</v>
          </cell>
          <cell r="AG763">
            <v>0</v>
          </cell>
        </row>
        <row r="764">
          <cell r="A764" t="str">
            <v>12</v>
          </cell>
          <cell r="E764" t="str">
            <v>2A</v>
          </cell>
          <cell r="T764">
            <v>2.81</v>
          </cell>
          <cell r="AG764">
            <v>0</v>
          </cell>
        </row>
        <row r="765">
          <cell r="A765" t="str">
            <v>12</v>
          </cell>
          <cell r="E765" t="str">
            <v>2A</v>
          </cell>
          <cell r="T765">
            <v>3.22</v>
          </cell>
          <cell r="AG765">
            <v>0</v>
          </cell>
        </row>
        <row r="766">
          <cell r="A766" t="str">
            <v>12</v>
          </cell>
          <cell r="E766" t="str">
            <v>2A</v>
          </cell>
          <cell r="T766">
            <v>3.05</v>
          </cell>
          <cell r="AG766">
            <v>0</v>
          </cell>
        </row>
        <row r="767">
          <cell r="A767" t="str">
            <v>12</v>
          </cell>
          <cell r="E767" t="str">
            <v>20</v>
          </cell>
          <cell r="T767">
            <v>2.96</v>
          </cell>
          <cell r="AG767">
            <v>0</v>
          </cell>
        </row>
        <row r="768">
          <cell r="A768" t="str">
            <v>12</v>
          </cell>
          <cell r="E768" t="str">
            <v>20</v>
          </cell>
          <cell r="T768">
            <v>1.94</v>
          </cell>
          <cell r="AG768">
            <v>0</v>
          </cell>
        </row>
        <row r="769">
          <cell r="A769" t="str">
            <v>12</v>
          </cell>
          <cell r="E769" t="str">
            <v>20</v>
          </cell>
          <cell r="T769">
            <v>2.95</v>
          </cell>
          <cell r="AG769">
            <v>0</v>
          </cell>
        </row>
        <row r="770">
          <cell r="A770" t="str">
            <v>12</v>
          </cell>
          <cell r="E770" t="str">
            <v>20</v>
          </cell>
          <cell r="T770">
            <v>2.5299999999999998</v>
          </cell>
          <cell r="AG770">
            <v>0</v>
          </cell>
        </row>
        <row r="771">
          <cell r="A771" t="str">
            <v>12</v>
          </cell>
          <cell r="E771" t="str">
            <v>20</v>
          </cell>
          <cell r="T771">
            <v>2.89</v>
          </cell>
          <cell r="AG771">
            <v>0</v>
          </cell>
        </row>
        <row r="772">
          <cell r="A772" t="str">
            <v>12</v>
          </cell>
          <cell r="E772" t="str">
            <v>20</v>
          </cell>
          <cell r="T772">
            <v>2.15</v>
          </cell>
          <cell r="AG772">
            <v>0</v>
          </cell>
        </row>
        <row r="773">
          <cell r="A773" t="str">
            <v>12</v>
          </cell>
          <cell r="E773" t="str">
            <v>2A</v>
          </cell>
          <cell r="T773">
            <v>3.26</v>
          </cell>
          <cell r="AG773">
            <v>0</v>
          </cell>
        </row>
        <row r="774">
          <cell r="A774" t="str">
            <v>12</v>
          </cell>
          <cell r="E774" t="str">
            <v>2A</v>
          </cell>
          <cell r="T774">
            <v>3.97</v>
          </cell>
          <cell r="AG774">
            <v>0</v>
          </cell>
        </row>
        <row r="775">
          <cell r="A775" t="str">
            <v>12</v>
          </cell>
          <cell r="E775" t="str">
            <v>2A</v>
          </cell>
          <cell r="T775">
            <v>3.97</v>
          </cell>
          <cell r="AG775">
            <v>0</v>
          </cell>
        </row>
        <row r="776">
          <cell r="A776" t="str">
            <v>12</v>
          </cell>
          <cell r="E776" t="str">
            <v>2A</v>
          </cell>
          <cell r="T776">
            <v>3.97</v>
          </cell>
          <cell r="AG776">
            <v>0</v>
          </cell>
        </row>
        <row r="777">
          <cell r="A777" t="str">
            <v>12</v>
          </cell>
          <cell r="E777" t="str">
            <v>2A</v>
          </cell>
          <cell r="T777">
            <v>3.97</v>
          </cell>
          <cell r="AG777">
            <v>0</v>
          </cell>
        </row>
        <row r="778">
          <cell r="A778" t="str">
            <v>12</v>
          </cell>
          <cell r="E778" t="str">
            <v>2A</v>
          </cell>
          <cell r="T778">
            <v>2.44</v>
          </cell>
          <cell r="AG778">
            <v>0</v>
          </cell>
        </row>
        <row r="779">
          <cell r="A779" t="str">
            <v>12</v>
          </cell>
          <cell r="E779" t="str">
            <v>2A</v>
          </cell>
          <cell r="T779">
            <v>2.38</v>
          </cell>
          <cell r="AG779">
            <v>0</v>
          </cell>
        </row>
        <row r="780">
          <cell r="A780" t="str">
            <v>01</v>
          </cell>
          <cell r="E780" t="str">
            <v>2A</v>
          </cell>
          <cell r="T780">
            <v>2.56</v>
          </cell>
          <cell r="AG780">
            <v>0</v>
          </cell>
        </row>
        <row r="781">
          <cell r="A781" t="str">
            <v>01</v>
          </cell>
          <cell r="E781" t="str">
            <v>2A</v>
          </cell>
          <cell r="T781">
            <v>4.3499999999999996</v>
          </cell>
          <cell r="AG781">
            <v>0</v>
          </cell>
        </row>
        <row r="782">
          <cell r="A782" t="str">
            <v>01</v>
          </cell>
          <cell r="E782" t="str">
            <v>2A</v>
          </cell>
          <cell r="T782">
            <v>3.47</v>
          </cell>
          <cell r="AG782">
            <v>0</v>
          </cell>
        </row>
        <row r="783">
          <cell r="A783" t="str">
            <v>01</v>
          </cell>
          <cell r="E783" t="str">
            <v>2A</v>
          </cell>
          <cell r="T783">
            <v>3.45</v>
          </cell>
          <cell r="AG783">
            <v>0</v>
          </cell>
        </row>
        <row r="784">
          <cell r="A784" t="str">
            <v>01</v>
          </cell>
          <cell r="E784" t="str">
            <v>2A</v>
          </cell>
          <cell r="T784">
            <v>3.52</v>
          </cell>
          <cell r="AG784">
            <v>0</v>
          </cell>
        </row>
        <row r="785">
          <cell r="A785" t="str">
            <v>01</v>
          </cell>
          <cell r="E785" t="str">
            <v>2A</v>
          </cell>
          <cell r="T785">
            <v>2.67</v>
          </cell>
          <cell r="AG785">
            <v>0</v>
          </cell>
        </row>
        <row r="786">
          <cell r="A786" t="str">
            <v>01</v>
          </cell>
          <cell r="E786" t="str">
            <v>2A</v>
          </cell>
          <cell r="T786">
            <v>2.89</v>
          </cell>
          <cell r="AG786">
            <v>0</v>
          </cell>
        </row>
        <row r="787">
          <cell r="A787" t="str">
            <v>01</v>
          </cell>
          <cell r="E787" t="str">
            <v>2A</v>
          </cell>
          <cell r="T787">
            <v>2.85</v>
          </cell>
          <cell r="AG787">
            <v>0</v>
          </cell>
        </row>
        <row r="788">
          <cell r="A788" t="str">
            <v>01</v>
          </cell>
          <cell r="E788" t="str">
            <v>24</v>
          </cell>
          <cell r="T788">
            <v>2.93</v>
          </cell>
          <cell r="AG788">
            <v>0</v>
          </cell>
        </row>
        <row r="789">
          <cell r="A789" t="str">
            <v>01</v>
          </cell>
          <cell r="E789" t="str">
            <v>24</v>
          </cell>
          <cell r="T789">
            <v>2.64</v>
          </cell>
          <cell r="AG789">
            <v>0</v>
          </cell>
        </row>
        <row r="790">
          <cell r="A790" t="str">
            <v>01</v>
          </cell>
          <cell r="E790" t="str">
            <v>20</v>
          </cell>
          <cell r="T790">
            <v>2.95</v>
          </cell>
          <cell r="AG790">
            <v>0</v>
          </cell>
        </row>
        <row r="791">
          <cell r="A791" t="str">
            <v>01</v>
          </cell>
          <cell r="E791" t="str">
            <v>20</v>
          </cell>
          <cell r="T791">
            <v>3.03</v>
          </cell>
          <cell r="AG791">
            <v>0</v>
          </cell>
        </row>
        <row r="792">
          <cell r="A792" t="str">
            <v>01</v>
          </cell>
          <cell r="E792" t="str">
            <v>20</v>
          </cell>
          <cell r="T792">
            <v>3.11</v>
          </cell>
          <cell r="AG792">
            <v>0</v>
          </cell>
        </row>
        <row r="793">
          <cell r="A793" t="str">
            <v>01</v>
          </cell>
          <cell r="E793" t="str">
            <v>20</v>
          </cell>
          <cell r="T793">
            <v>3.82</v>
          </cell>
          <cell r="AG793">
            <v>0</v>
          </cell>
        </row>
        <row r="794">
          <cell r="A794" t="str">
            <v>01</v>
          </cell>
          <cell r="E794" t="str">
            <v>20</v>
          </cell>
          <cell r="T794">
            <v>2.39</v>
          </cell>
          <cell r="AG794">
            <v>0</v>
          </cell>
        </row>
        <row r="795">
          <cell r="A795" t="str">
            <v>01</v>
          </cell>
          <cell r="E795" t="str">
            <v>20</v>
          </cell>
          <cell r="T795">
            <v>2.02</v>
          </cell>
          <cell r="AG795">
            <v>0</v>
          </cell>
        </row>
        <row r="796">
          <cell r="A796" t="str">
            <v>01</v>
          </cell>
          <cell r="E796" t="str">
            <v>2A</v>
          </cell>
          <cell r="T796">
            <v>2.39</v>
          </cell>
          <cell r="AG796">
            <v>0</v>
          </cell>
        </row>
        <row r="797">
          <cell r="A797" t="str">
            <v>01</v>
          </cell>
          <cell r="E797" t="str">
            <v>2A</v>
          </cell>
          <cell r="T797">
            <v>2.82</v>
          </cell>
          <cell r="AG797">
            <v>0</v>
          </cell>
        </row>
        <row r="798">
          <cell r="A798" t="str">
            <v>01</v>
          </cell>
          <cell r="E798" t="str">
            <v>2A</v>
          </cell>
          <cell r="T798">
            <v>3.08</v>
          </cell>
          <cell r="AG798">
            <v>0</v>
          </cell>
        </row>
        <row r="799">
          <cell r="A799" t="str">
            <v>01</v>
          </cell>
          <cell r="E799" t="str">
            <v>2A</v>
          </cell>
          <cell r="T799">
            <v>2.78</v>
          </cell>
          <cell r="AG799">
            <v>0</v>
          </cell>
        </row>
        <row r="800">
          <cell r="A800" t="str">
            <v>01</v>
          </cell>
          <cell r="E800" t="str">
            <v>2A</v>
          </cell>
          <cell r="T800">
            <v>2.38</v>
          </cell>
          <cell r="AG800">
            <v>0</v>
          </cell>
        </row>
        <row r="801">
          <cell r="A801" t="str">
            <v>01</v>
          </cell>
          <cell r="E801" t="str">
            <v>2A</v>
          </cell>
          <cell r="T801">
            <v>2.2200000000000002</v>
          </cell>
          <cell r="AG801">
            <v>0</v>
          </cell>
        </row>
        <row r="802">
          <cell r="A802" t="str">
            <v>01</v>
          </cell>
          <cell r="E802" t="str">
            <v>2A</v>
          </cell>
          <cell r="T802">
            <v>3.04</v>
          </cell>
          <cell r="AG802">
            <v>0</v>
          </cell>
        </row>
        <row r="803">
          <cell r="A803" t="str">
            <v>01</v>
          </cell>
          <cell r="E803" t="str">
            <v>2A</v>
          </cell>
          <cell r="T803">
            <v>2.35</v>
          </cell>
          <cell r="AG803">
            <v>0</v>
          </cell>
        </row>
        <row r="804">
          <cell r="A804" t="str">
            <v>01</v>
          </cell>
          <cell r="E804" t="str">
            <v>2A</v>
          </cell>
          <cell r="T804">
            <v>3.28</v>
          </cell>
          <cell r="AG804">
            <v>0</v>
          </cell>
        </row>
        <row r="805">
          <cell r="A805" t="str">
            <v>01</v>
          </cell>
          <cell r="E805" t="str">
            <v>24</v>
          </cell>
          <cell r="T805">
            <v>3.36</v>
          </cell>
          <cell r="AG805">
            <v>0</v>
          </cell>
        </row>
        <row r="806">
          <cell r="A806" t="str">
            <v>01</v>
          </cell>
          <cell r="E806" t="str">
            <v>24</v>
          </cell>
          <cell r="T806">
            <v>2.67</v>
          </cell>
          <cell r="AG806">
            <v>0</v>
          </cell>
        </row>
        <row r="807">
          <cell r="A807" t="str">
            <v>01</v>
          </cell>
          <cell r="E807" t="str">
            <v>24</v>
          </cell>
          <cell r="T807">
            <v>3.51</v>
          </cell>
          <cell r="AG807">
            <v>0</v>
          </cell>
        </row>
        <row r="808">
          <cell r="A808" t="str">
            <v>01</v>
          </cell>
          <cell r="E808" t="str">
            <v>20</v>
          </cell>
          <cell r="T808">
            <v>2.81</v>
          </cell>
          <cell r="AG808">
            <v>0</v>
          </cell>
        </row>
        <row r="809">
          <cell r="A809" t="str">
            <v>01</v>
          </cell>
          <cell r="E809" t="str">
            <v>20</v>
          </cell>
          <cell r="T809">
            <v>2.2400000000000002</v>
          </cell>
          <cell r="AG809">
            <v>0</v>
          </cell>
        </row>
        <row r="810">
          <cell r="A810" t="str">
            <v>01</v>
          </cell>
          <cell r="E810" t="str">
            <v>20</v>
          </cell>
          <cell r="T810">
            <v>2.76</v>
          </cell>
          <cell r="AG810">
            <v>0</v>
          </cell>
        </row>
        <row r="811">
          <cell r="A811" t="str">
            <v>01</v>
          </cell>
          <cell r="E811" t="str">
            <v>20</v>
          </cell>
          <cell r="T811">
            <v>2.67</v>
          </cell>
          <cell r="AG811">
            <v>0</v>
          </cell>
        </row>
        <row r="812">
          <cell r="A812" t="str">
            <v>01</v>
          </cell>
          <cell r="E812" t="str">
            <v>2A</v>
          </cell>
          <cell r="T812">
            <v>2.98</v>
          </cell>
          <cell r="AG812">
            <v>0</v>
          </cell>
        </row>
        <row r="813">
          <cell r="A813" t="str">
            <v>01</v>
          </cell>
          <cell r="E813" t="str">
            <v>2A</v>
          </cell>
          <cell r="T813">
            <v>3.49</v>
          </cell>
          <cell r="AG813">
            <v>0</v>
          </cell>
        </row>
        <row r="814">
          <cell r="A814" t="str">
            <v>01</v>
          </cell>
          <cell r="E814" t="str">
            <v>2A</v>
          </cell>
          <cell r="T814">
            <v>2.9</v>
          </cell>
          <cell r="AG814">
            <v>0</v>
          </cell>
        </row>
        <row r="815">
          <cell r="A815" t="str">
            <v>01</v>
          </cell>
          <cell r="E815" t="str">
            <v>2A</v>
          </cell>
          <cell r="T815">
            <v>3.58</v>
          </cell>
          <cell r="AG815">
            <v>0</v>
          </cell>
        </row>
        <row r="816">
          <cell r="A816" t="str">
            <v>01</v>
          </cell>
          <cell r="E816" t="str">
            <v>2A</v>
          </cell>
          <cell r="T816">
            <v>2.75</v>
          </cell>
          <cell r="AG816">
            <v>0</v>
          </cell>
        </row>
        <row r="817">
          <cell r="A817" t="str">
            <v>01</v>
          </cell>
          <cell r="E817" t="str">
            <v>2A</v>
          </cell>
          <cell r="T817">
            <v>4.8600000000000003</v>
          </cell>
          <cell r="AG817">
            <v>0</v>
          </cell>
        </row>
        <row r="818">
          <cell r="A818" t="str">
            <v>01</v>
          </cell>
          <cell r="E818" t="str">
            <v>2A</v>
          </cell>
          <cell r="T818">
            <v>3.33</v>
          </cell>
          <cell r="AG818">
            <v>0</v>
          </cell>
        </row>
        <row r="819">
          <cell r="A819" t="str">
            <v>01</v>
          </cell>
          <cell r="E819" t="str">
            <v>2A</v>
          </cell>
          <cell r="T819">
            <v>3.03</v>
          </cell>
          <cell r="AG819">
            <v>0</v>
          </cell>
        </row>
        <row r="820">
          <cell r="A820" t="str">
            <v>01</v>
          </cell>
          <cell r="E820" t="str">
            <v>2A</v>
          </cell>
          <cell r="T820">
            <v>3.68</v>
          </cell>
          <cell r="AG820">
            <v>0</v>
          </cell>
        </row>
        <row r="821">
          <cell r="A821" t="str">
            <v>01</v>
          </cell>
          <cell r="E821" t="str">
            <v>24</v>
          </cell>
          <cell r="T821">
            <v>2.52</v>
          </cell>
          <cell r="AG821">
            <v>0</v>
          </cell>
        </row>
        <row r="822">
          <cell r="A822" t="str">
            <v>01</v>
          </cell>
          <cell r="E822" t="str">
            <v>24</v>
          </cell>
          <cell r="T822">
            <v>3.97</v>
          </cell>
          <cell r="AG822">
            <v>0</v>
          </cell>
        </row>
        <row r="823">
          <cell r="A823" t="str">
            <v>01</v>
          </cell>
          <cell r="E823" t="str">
            <v>24</v>
          </cell>
          <cell r="T823">
            <v>2.72</v>
          </cell>
          <cell r="AG823">
            <v>0</v>
          </cell>
        </row>
        <row r="824">
          <cell r="A824" t="str">
            <v>01</v>
          </cell>
          <cell r="E824" t="str">
            <v>20</v>
          </cell>
          <cell r="T824">
            <v>3</v>
          </cell>
          <cell r="AG824">
            <v>0</v>
          </cell>
        </row>
        <row r="825">
          <cell r="A825" t="str">
            <v>01</v>
          </cell>
          <cell r="E825" t="str">
            <v>20</v>
          </cell>
          <cell r="T825">
            <v>3.01</v>
          </cell>
          <cell r="AG825">
            <v>0</v>
          </cell>
        </row>
        <row r="826">
          <cell r="A826" t="str">
            <v>01</v>
          </cell>
          <cell r="E826" t="str">
            <v>20</v>
          </cell>
          <cell r="T826">
            <v>2.4300000000000002</v>
          </cell>
          <cell r="AG826">
            <v>0</v>
          </cell>
        </row>
        <row r="827">
          <cell r="A827" t="str">
            <v>01</v>
          </cell>
          <cell r="E827" t="str">
            <v>20</v>
          </cell>
          <cell r="T827">
            <v>3.3</v>
          </cell>
          <cell r="AG827">
            <v>0</v>
          </cell>
        </row>
        <row r="828">
          <cell r="A828" t="str">
            <v>01</v>
          </cell>
          <cell r="E828" t="str">
            <v>20</v>
          </cell>
          <cell r="T828">
            <v>2.83</v>
          </cell>
          <cell r="AG828">
            <v>0</v>
          </cell>
        </row>
        <row r="829">
          <cell r="A829" t="str">
            <v>01</v>
          </cell>
          <cell r="E829" t="str">
            <v>20</v>
          </cell>
          <cell r="T829">
            <v>3.82</v>
          </cell>
          <cell r="AG829">
            <v>0</v>
          </cell>
        </row>
        <row r="830">
          <cell r="A830" t="str">
            <v>01</v>
          </cell>
          <cell r="E830" t="str">
            <v>20</v>
          </cell>
          <cell r="T830">
            <v>3.54</v>
          </cell>
          <cell r="AG830">
            <v>0</v>
          </cell>
        </row>
        <row r="831">
          <cell r="A831" t="str">
            <v>01</v>
          </cell>
          <cell r="E831" t="str">
            <v>20</v>
          </cell>
          <cell r="T831">
            <v>2.4300000000000002</v>
          </cell>
          <cell r="AG831">
            <v>0</v>
          </cell>
        </row>
        <row r="832">
          <cell r="A832" t="str">
            <v>01</v>
          </cell>
          <cell r="E832" t="str">
            <v>2A</v>
          </cell>
          <cell r="T832">
            <v>2.62</v>
          </cell>
          <cell r="AG832">
            <v>0</v>
          </cell>
        </row>
        <row r="833">
          <cell r="A833" t="str">
            <v>01</v>
          </cell>
          <cell r="E833" t="str">
            <v>2A</v>
          </cell>
          <cell r="T833">
            <v>2.1</v>
          </cell>
          <cell r="AG833">
            <v>0</v>
          </cell>
        </row>
        <row r="834">
          <cell r="A834" t="str">
            <v>01</v>
          </cell>
          <cell r="E834" t="str">
            <v>2A</v>
          </cell>
          <cell r="T834">
            <v>2.92</v>
          </cell>
          <cell r="AG834">
            <v>0</v>
          </cell>
        </row>
        <row r="835">
          <cell r="A835" t="str">
            <v>01</v>
          </cell>
          <cell r="E835" t="str">
            <v>2A</v>
          </cell>
          <cell r="T835">
            <v>3.09</v>
          </cell>
          <cell r="AG835">
            <v>0</v>
          </cell>
        </row>
        <row r="836">
          <cell r="A836" t="str">
            <v>01</v>
          </cell>
          <cell r="E836" t="str">
            <v>2A</v>
          </cell>
          <cell r="T836">
            <v>2.63</v>
          </cell>
          <cell r="AG836">
            <v>0</v>
          </cell>
        </row>
        <row r="837">
          <cell r="A837" t="str">
            <v>01</v>
          </cell>
          <cell r="E837" t="str">
            <v>2A</v>
          </cell>
          <cell r="T837">
            <v>2.67</v>
          </cell>
          <cell r="AG837">
            <v>0</v>
          </cell>
        </row>
        <row r="838">
          <cell r="A838" t="str">
            <v>01</v>
          </cell>
          <cell r="E838" t="str">
            <v>2A</v>
          </cell>
          <cell r="T838">
            <v>4.12</v>
          </cell>
          <cell r="AG838">
            <v>0</v>
          </cell>
        </row>
        <row r="839">
          <cell r="A839" t="str">
            <v>01</v>
          </cell>
          <cell r="E839" t="str">
            <v>2A</v>
          </cell>
          <cell r="T839">
            <v>2.64</v>
          </cell>
          <cell r="AG839">
            <v>0</v>
          </cell>
        </row>
        <row r="840">
          <cell r="A840" t="str">
            <v>01</v>
          </cell>
          <cell r="E840" t="str">
            <v>20</v>
          </cell>
          <cell r="T840">
            <v>2.77</v>
          </cell>
          <cell r="AG840">
            <v>0</v>
          </cell>
        </row>
        <row r="841">
          <cell r="A841" t="str">
            <v>01</v>
          </cell>
          <cell r="E841" t="str">
            <v>20</v>
          </cell>
          <cell r="T841">
            <v>3.42</v>
          </cell>
          <cell r="AG841">
            <v>0</v>
          </cell>
        </row>
        <row r="842">
          <cell r="A842" t="str">
            <v>01</v>
          </cell>
          <cell r="E842" t="str">
            <v>20</v>
          </cell>
          <cell r="T842">
            <v>3.31</v>
          </cell>
          <cell r="AG842">
            <v>0</v>
          </cell>
        </row>
        <row r="843">
          <cell r="A843" t="str">
            <v>01</v>
          </cell>
          <cell r="E843" t="str">
            <v>20</v>
          </cell>
          <cell r="T843">
            <v>2.5099999999999998</v>
          </cell>
          <cell r="AG843">
            <v>0</v>
          </cell>
        </row>
        <row r="844">
          <cell r="A844" t="str">
            <v>01</v>
          </cell>
          <cell r="E844" t="str">
            <v>20</v>
          </cell>
          <cell r="T844">
            <v>2.2599999999999998</v>
          </cell>
          <cell r="AG844">
            <v>0</v>
          </cell>
        </row>
        <row r="845">
          <cell r="A845" t="str">
            <v>01</v>
          </cell>
          <cell r="E845" t="str">
            <v>20</v>
          </cell>
          <cell r="T845">
            <v>3.21</v>
          </cell>
          <cell r="AG845">
            <v>0</v>
          </cell>
        </row>
        <row r="846">
          <cell r="A846" t="str">
            <v>01</v>
          </cell>
          <cell r="E846" t="str">
            <v>20</v>
          </cell>
          <cell r="T846">
            <v>2</v>
          </cell>
          <cell r="AG846">
            <v>0</v>
          </cell>
        </row>
        <row r="847">
          <cell r="A847" t="str">
            <v>01</v>
          </cell>
          <cell r="E847" t="str">
            <v>20</v>
          </cell>
          <cell r="T847">
            <v>2.78</v>
          </cell>
          <cell r="AG847">
            <v>0</v>
          </cell>
        </row>
        <row r="848">
          <cell r="A848" t="str">
            <v>01</v>
          </cell>
          <cell r="E848" t="str">
            <v>20</v>
          </cell>
          <cell r="T848">
            <v>2.64</v>
          </cell>
          <cell r="AG848">
            <v>0</v>
          </cell>
        </row>
        <row r="849">
          <cell r="A849" t="str">
            <v>01</v>
          </cell>
          <cell r="E849" t="str">
            <v>20</v>
          </cell>
          <cell r="T849">
            <v>1.08</v>
          </cell>
          <cell r="AG849">
            <v>0</v>
          </cell>
        </row>
        <row r="850">
          <cell r="A850" t="str">
            <v>01</v>
          </cell>
          <cell r="E850" t="str">
            <v>20</v>
          </cell>
          <cell r="T850">
            <v>2.89</v>
          </cell>
          <cell r="AG850">
            <v>0</v>
          </cell>
        </row>
        <row r="851">
          <cell r="A851" t="str">
            <v>01</v>
          </cell>
          <cell r="E851" t="str">
            <v>20</v>
          </cell>
          <cell r="T851">
            <v>2.9</v>
          </cell>
          <cell r="AG851">
            <v>0</v>
          </cell>
        </row>
        <row r="852">
          <cell r="A852" t="str">
            <v>01</v>
          </cell>
          <cell r="E852" t="str">
            <v>20</v>
          </cell>
          <cell r="T852">
            <v>1.65</v>
          </cell>
          <cell r="AG852">
            <v>0</v>
          </cell>
        </row>
        <row r="853">
          <cell r="A853" t="str">
            <v>01</v>
          </cell>
          <cell r="E853" t="str">
            <v>2A</v>
          </cell>
          <cell r="T853">
            <v>4.1399999999999997</v>
          </cell>
          <cell r="AG853">
            <v>0</v>
          </cell>
        </row>
        <row r="854">
          <cell r="A854" t="str">
            <v>01</v>
          </cell>
          <cell r="E854" t="str">
            <v>2A</v>
          </cell>
          <cell r="T854">
            <v>3.36</v>
          </cell>
          <cell r="AG854">
            <v>0</v>
          </cell>
        </row>
        <row r="855">
          <cell r="A855" t="str">
            <v>01</v>
          </cell>
          <cell r="E855" t="str">
            <v>2A</v>
          </cell>
          <cell r="T855">
            <v>3.15</v>
          </cell>
          <cell r="AG855">
            <v>0</v>
          </cell>
        </row>
        <row r="856">
          <cell r="A856" t="str">
            <v>01</v>
          </cell>
          <cell r="E856" t="str">
            <v>2A</v>
          </cell>
          <cell r="T856">
            <v>3.23</v>
          </cell>
          <cell r="AG856">
            <v>0</v>
          </cell>
        </row>
        <row r="857">
          <cell r="A857" t="str">
            <v>01</v>
          </cell>
          <cell r="E857" t="str">
            <v>2A</v>
          </cell>
          <cell r="T857">
            <v>3.06</v>
          </cell>
          <cell r="AG857">
            <v>0</v>
          </cell>
        </row>
        <row r="858">
          <cell r="A858" t="str">
            <v>01</v>
          </cell>
          <cell r="E858" t="str">
            <v>2A</v>
          </cell>
          <cell r="T858">
            <v>3.07</v>
          </cell>
          <cell r="AG858">
            <v>0</v>
          </cell>
        </row>
        <row r="859">
          <cell r="A859" t="str">
            <v>01</v>
          </cell>
          <cell r="E859" t="str">
            <v>2A</v>
          </cell>
          <cell r="T859">
            <v>3.79</v>
          </cell>
          <cell r="AG859">
            <v>0</v>
          </cell>
        </row>
        <row r="860">
          <cell r="A860" t="str">
            <v>01</v>
          </cell>
          <cell r="E860" t="str">
            <v>2A</v>
          </cell>
          <cell r="T860">
            <v>2.1800000000000002</v>
          </cell>
          <cell r="AG860">
            <v>0</v>
          </cell>
        </row>
        <row r="861">
          <cell r="A861" t="str">
            <v>01</v>
          </cell>
          <cell r="E861" t="str">
            <v>2A</v>
          </cell>
          <cell r="T861">
            <v>3.39</v>
          </cell>
          <cell r="AG861">
            <v>0</v>
          </cell>
        </row>
        <row r="862">
          <cell r="A862" t="str">
            <v>02</v>
          </cell>
          <cell r="E862" t="str">
            <v>20</v>
          </cell>
          <cell r="T862">
            <v>3.43</v>
          </cell>
          <cell r="AG862">
            <v>0</v>
          </cell>
        </row>
        <row r="863">
          <cell r="A863" t="str">
            <v>02</v>
          </cell>
          <cell r="E863" t="str">
            <v>20</v>
          </cell>
          <cell r="T863">
            <v>2.68</v>
          </cell>
          <cell r="AG863">
            <v>0</v>
          </cell>
        </row>
        <row r="864">
          <cell r="A864" t="str">
            <v>02</v>
          </cell>
          <cell r="E864" t="str">
            <v>20</v>
          </cell>
          <cell r="T864">
            <v>2.85</v>
          </cell>
          <cell r="AG864">
            <v>0</v>
          </cell>
        </row>
        <row r="865">
          <cell r="A865" t="str">
            <v>02</v>
          </cell>
          <cell r="E865" t="str">
            <v>20</v>
          </cell>
          <cell r="T865">
            <v>3.51</v>
          </cell>
          <cell r="AG865">
            <v>0</v>
          </cell>
        </row>
        <row r="866">
          <cell r="A866" t="str">
            <v>02</v>
          </cell>
          <cell r="E866" t="str">
            <v>24</v>
          </cell>
          <cell r="T866">
            <v>2.96</v>
          </cell>
          <cell r="AG866">
            <v>0</v>
          </cell>
        </row>
        <row r="867">
          <cell r="A867" t="str">
            <v>02</v>
          </cell>
          <cell r="E867" t="str">
            <v>20</v>
          </cell>
          <cell r="T867">
            <v>2.99</v>
          </cell>
          <cell r="AG867">
            <v>0</v>
          </cell>
        </row>
        <row r="868">
          <cell r="A868" t="str">
            <v>02</v>
          </cell>
          <cell r="E868" t="str">
            <v>20</v>
          </cell>
          <cell r="T868">
            <v>1.67</v>
          </cell>
          <cell r="AG868">
            <v>0</v>
          </cell>
        </row>
        <row r="869">
          <cell r="A869" t="str">
            <v>02</v>
          </cell>
          <cell r="E869" t="str">
            <v>20</v>
          </cell>
          <cell r="T869">
            <v>2.39</v>
          </cell>
          <cell r="AG869">
            <v>0</v>
          </cell>
        </row>
        <row r="870">
          <cell r="A870" t="str">
            <v>02</v>
          </cell>
          <cell r="E870" t="str">
            <v>20</v>
          </cell>
          <cell r="T870">
            <v>2.74</v>
          </cell>
          <cell r="AG870">
            <v>0</v>
          </cell>
        </row>
        <row r="871">
          <cell r="A871" t="str">
            <v>02</v>
          </cell>
          <cell r="E871" t="str">
            <v>20</v>
          </cell>
          <cell r="T871">
            <v>3.04</v>
          </cell>
          <cell r="AG871">
            <v>0</v>
          </cell>
        </row>
        <row r="872">
          <cell r="A872" t="str">
            <v>02</v>
          </cell>
          <cell r="E872" t="str">
            <v>20</v>
          </cell>
          <cell r="T872">
            <v>2.67</v>
          </cell>
          <cell r="AG872">
            <v>0</v>
          </cell>
        </row>
        <row r="873">
          <cell r="A873" t="str">
            <v>02</v>
          </cell>
          <cell r="E873" t="str">
            <v>2A</v>
          </cell>
          <cell r="T873">
            <v>3.73</v>
          </cell>
          <cell r="AG873">
            <v>0</v>
          </cell>
        </row>
        <row r="874">
          <cell r="A874" t="str">
            <v>02</v>
          </cell>
          <cell r="E874" t="str">
            <v>2A</v>
          </cell>
          <cell r="T874">
            <v>3.23</v>
          </cell>
          <cell r="AG874">
            <v>0</v>
          </cell>
        </row>
        <row r="875">
          <cell r="A875" t="str">
            <v>02</v>
          </cell>
          <cell r="E875" t="str">
            <v>2A</v>
          </cell>
          <cell r="T875">
            <v>1.75</v>
          </cell>
          <cell r="AG875">
            <v>0</v>
          </cell>
        </row>
        <row r="876">
          <cell r="A876" t="str">
            <v>02</v>
          </cell>
          <cell r="E876" t="str">
            <v>20</v>
          </cell>
          <cell r="T876">
            <v>3.19</v>
          </cell>
          <cell r="AG876">
            <v>0</v>
          </cell>
        </row>
        <row r="877">
          <cell r="A877" t="str">
            <v>02</v>
          </cell>
          <cell r="E877" t="str">
            <v>20</v>
          </cell>
          <cell r="T877">
            <v>3.24</v>
          </cell>
          <cell r="AG877">
            <v>0</v>
          </cell>
        </row>
        <row r="878">
          <cell r="A878" t="str">
            <v>02</v>
          </cell>
          <cell r="E878" t="str">
            <v>20</v>
          </cell>
          <cell r="T878">
            <v>3.18</v>
          </cell>
          <cell r="AG878">
            <v>0</v>
          </cell>
        </row>
        <row r="879">
          <cell r="A879" t="str">
            <v>02</v>
          </cell>
          <cell r="E879" t="str">
            <v>20</v>
          </cell>
          <cell r="T879">
            <v>2.36</v>
          </cell>
          <cell r="AG879">
            <v>0</v>
          </cell>
        </row>
        <row r="880">
          <cell r="A880" t="str">
            <v>02</v>
          </cell>
          <cell r="E880" t="str">
            <v>20</v>
          </cell>
          <cell r="T880">
            <v>2.96</v>
          </cell>
          <cell r="AG880">
            <v>0</v>
          </cell>
        </row>
        <row r="881">
          <cell r="A881" t="str">
            <v>02</v>
          </cell>
          <cell r="E881" t="str">
            <v>20</v>
          </cell>
          <cell r="T881">
            <v>2.61</v>
          </cell>
          <cell r="AG881">
            <v>0</v>
          </cell>
        </row>
        <row r="882">
          <cell r="A882" t="str">
            <v>02</v>
          </cell>
          <cell r="E882" t="str">
            <v>20</v>
          </cell>
          <cell r="T882">
            <v>2.91</v>
          </cell>
          <cell r="AG882">
            <v>0</v>
          </cell>
        </row>
        <row r="883">
          <cell r="A883" t="str">
            <v>02</v>
          </cell>
          <cell r="E883" t="str">
            <v>20</v>
          </cell>
          <cell r="T883">
            <v>3.34</v>
          </cell>
          <cell r="AG883">
            <v>0</v>
          </cell>
        </row>
        <row r="884">
          <cell r="A884" t="str">
            <v>02</v>
          </cell>
          <cell r="E884" t="str">
            <v>20</v>
          </cell>
          <cell r="T884">
            <v>3.7</v>
          </cell>
          <cell r="AG884">
            <v>0</v>
          </cell>
        </row>
        <row r="885">
          <cell r="A885" t="str">
            <v>02</v>
          </cell>
          <cell r="E885" t="str">
            <v>2A</v>
          </cell>
          <cell r="T885">
            <v>2.99</v>
          </cell>
          <cell r="AG885">
            <v>0</v>
          </cell>
        </row>
        <row r="886">
          <cell r="A886" t="str">
            <v>02</v>
          </cell>
          <cell r="E886" t="str">
            <v>2A</v>
          </cell>
          <cell r="T886">
            <v>3.43</v>
          </cell>
          <cell r="AG886">
            <v>0</v>
          </cell>
        </row>
        <row r="887">
          <cell r="A887" t="str">
            <v>02</v>
          </cell>
          <cell r="E887" t="str">
            <v>2A</v>
          </cell>
          <cell r="T887">
            <v>2.48</v>
          </cell>
          <cell r="AG887">
            <v>0</v>
          </cell>
        </row>
        <row r="888">
          <cell r="A888" t="str">
            <v>02</v>
          </cell>
          <cell r="E888" t="str">
            <v>2A</v>
          </cell>
          <cell r="T888">
            <v>2.0099999999999998</v>
          </cell>
          <cell r="AG888">
            <v>0</v>
          </cell>
        </row>
        <row r="889">
          <cell r="A889" t="str">
            <v>02</v>
          </cell>
          <cell r="E889" t="str">
            <v>2A</v>
          </cell>
          <cell r="T889">
            <v>3.13</v>
          </cell>
          <cell r="AG889">
            <v>0</v>
          </cell>
        </row>
        <row r="890">
          <cell r="A890" t="str">
            <v>02</v>
          </cell>
          <cell r="E890" t="str">
            <v>20</v>
          </cell>
          <cell r="T890">
            <v>2.4500000000000002</v>
          </cell>
          <cell r="AG890">
            <v>0</v>
          </cell>
        </row>
        <row r="891">
          <cell r="A891" t="str">
            <v>02</v>
          </cell>
          <cell r="E891" t="str">
            <v>20</v>
          </cell>
          <cell r="T891">
            <v>2.96</v>
          </cell>
          <cell r="AG891">
            <v>0</v>
          </cell>
        </row>
        <row r="892">
          <cell r="A892" t="str">
            <v>02</v>
          </cell>
          <cell r="E892" t="str">
            <v>20</v>
          </cell>
          <cell r="T892">
            <v>2.35</v>
          </cell>
          <cell r="AG892">
            <v>0</v>
          </cell>
        </row>
        <row r="893">
          <cell r="A893" t="str">
            <v>02</v>
          </cell>
          <cell r="E893" t="str">
            <v>20</v>
          </cell>
          <cell r="T893">
            <v>2.91</v>
          </cell>
          <cell r="AG893">
            <v>0</v>
          </cell>
        </row>
        <row r="894">
          <cell r="A894" t="str">
            <v>02</v>
          </cell>
          <cell r="E894" t="str">
            <v>20</v>
          </cell>
          <cell r="T894">
            <v>3.3</v>
          </cell>
          <cell r="AG894">
            <v>0</v>
          </cell>
        </row>
        <row r="895">
          <cell r="A895" t="str">
            <v>02</v>
          </cell>
          <cell r="E895" t="str">
            <v>20</v>
          </cell>
          <cell r="T895">
            <v>3.84</v>
          </cell>
          <cell r="AG895">
            <v>0</v>
          </cell>
        </row>
        <row r="896">
          <cell r="A896" t="str">
            <v>02</v>
          </cell>
          <cell r="E896" t="str">
            <v>20</v>
          </cell>
          <cell r="T896">
            <v>2.78</v>
          </cell>
          <cell r="AG896">
            <v>0</v>
          </cell>
        </row>
        <row r="897">
          <cell r="A897" t="str">
            <v>02</v>
          </cell>
          <cell r="E897" t="str">
            <v>20</v>
          </cell>
          <cell r="T897">
            <v>3.01</v>
          </cell>
          <cell r="AG897">
            <v>0</v>
          </cell>
        </row>
        <row r="898">
          <cell r="A898" t="str">
            <v>02</v>
          </cell>
          <cell r="E898" t="str">
            <v>20</v>
          </cell>
          <cell r="T898">
            <v>2.9</v>
          </cell>
          <cell r="AG898">
            <v>0</v>
          </cell>
        </row>
        <row r="899">
          <cell r="A899" t="str">
            <v>02</v>
          </cell>
          <cell r="E899" t="str">
            <v>2A</v>
          </cell>
          <cell r="T899">
            <v>2.91</v>
          </cell>
          <cell r="AG899">
            <v>0</v>
          </cell>
        </row>
        <row r="900">
          <cell r="A900" t="str">
            <v>02</v>
          </cell>
          <cell r="E900" t="str">
            <v>2A</v>
          </cell>
          <cell r="T900">
            <v>2.78</v>
          </cell>
          <cell r="AG900">
            <v>0</v>
          </cell>
        </row>
        <row r="901">
          <cell r="A901" t="str">
            <v>02</v>
          </cell>
          <cell r="E901" t="str">
            <v>2A</v>
          </cell>
          <cell r="T901">
            <v>2.34</v>
          </cell>
          <cell r="AG901">
            <v>0</v>
          </cell>
        </row>
        <row r="902">
          <cell r="A902" t="str">
            <v>02</v>
          </cell>
          <cell r="E902" t="str">
            <v>2A</v>
          </cell>
          <cell r="T902">
            <v>2.69</v>
          </cell>
          <cell r="AG902">
            <v>0</v>
          </cell>
        </row>
        <row r="903">
          <cell r="A903" t="str">
            <v>02</v>
          </cell>
          <cell r="E903" t="str">
            <v>2A</v>
          </cell>
          <cell r="T903">
            <v>2.92</v>
          </cell>
          <cell r="AG903">
            <v>0</v>
          </cell>
        </row>
        <row r="904">
          <cell r="A904" t="str">
            <v>02</v>
          </cell>
          <cell r="E904" t="str">
            <v>2A</v>
          </cell>
          <cell r="T904">
            <v>3.01</v>
          </cell>
          <cell r="AG904">
            <v>0</v>
          </cell>
        </row>
        <row r="905">
          <cell r="A905" t="str">
            <v>02</v>
          </cell>
          <cell r="E905" t="str">
            <v>2A</v>
          </cell>
          <cell r="T905">
            <v>3.03</v>
          </cell>
          <cell r="AG905">
            <v>0</v>
          </cell>
        </row>
        <row r="906">
          <cell r="A906" t="str">
            <v>02</v>
          </cell>
          <cell r="E906" t="str">
            <v>20</v>
          </cell>
          <cell r="T906">
            <v>3.82</v>
          </cell>
          <cell r="AG906">
            <v>0</v>
          </cell>
        </row>
        <row r="907">
          <cell r="A907" t="str">
            <v>02</v>
          </cell>
          <cell r="E907" t="str">
            <v>20</v>
          </cell>
          <cell r="T907">
            <v>3.19</v>
          </cell>
          <cell r="AG907">
            <v>0</v>
          </cell>
        </row>
        <row r="908">
          <cell r="A908" t="str">
            <v>02</v>
          </cell>
          <cell r="E908" t="str">
            <v>20</v>
          </cell>
          <cell r="T908">
            <v>3.75</v>
          </cell>
          <cell r="AG908">
            <v>0</v>
          </cell>
        </row>
        <row r="909">
          <cell r="A909" t="str">
            <v>02</v>
          </cell>
          <cell r="E909" t="str">
            <v>20</v>
          </cell>
          <cell r="T909">
            <v>2.93</v>
          </cell>
          <cell r="AG909">
            <v>0</v>
          </cell>
        </row>
        <row r="910">
          <cell r="A910" t="str">
            <v>02</v>
          </cell>
          <cell r="E910" t="str">
            <v>20</v>
          </cell>
          <cell r="T910">
            <v>2.88</v>
          </cell>
          <cell r="AG910">
            <v>0</v>
          </cell>
        </row>
        <row r="911">
          <cell r="A911" t="str">
            <v>02</v>
          </cell>
          <cell r="E911" t="str">
            <v>20</v>
          </cell>
          <cell r="T911">
            <v>2.34</v>
          </cell>
          <cell r="AG911">
            <v>0</v>
          </cell>
        </row>
        <row r="912">
          <cell r="A912" t="str">
            <v>02</v>
          </cell>
          <cell r="E912" t="str">
            <v>20</v>
          </cell>
          <cell r="T912">
            <v>3.01</v>
          </cell>
          <cell r="AG912">
            <v>0</v>
          </cell>
        </row>
        <row r="913">
          <cell r="A913" t="str">
            <v>02</v>
          </cell>
          <cell r="E913" t="str">
            <v>20</v>
          </cell>
          <cell r="T913">
            <v>3.45</v>
          </cell>
          <cell r="AG913">
            <v>0</v>
          </cell>
        </row>
        <row r="914">
          <cell r="A914" t="str">
            <v>02</v>
          </cell>
          <cell r="E914" t="str">
            <v>2A</v>
          </cell>
          <cell r="T914">
            <v>2.56</v>
          </cell>
          <cell r="AG914">
            <v>0</v>
          </cell>
        </row>
        <row r="915">
          <cell r="A915" t="str">
            <v>02</v>
          </cell>
          <cell r="E915" t="str">
            <v>2A</v>
          </cell>
          <cell r="T915">
            <v>2.37</v>
          </cell>
          <cell r="AG915">
            <v>0</v>
          </cell>
        </row>
        <row r="916">
          <cell r="A916" t="str">
            <v>02</v>
          </cell>
          <cell r="E916" t="str">
            <v>2A</v>
          </cell>
          <cell r="T916">
            <v>3.26</v>
          </cell>
          <cell r="AG916">
            <v>0</v>
          </cell>
        </row>
        <row r="917">
          <cell r="A917" t="str">
            <v>02</v>
          </cell>
          <cell r="E917" t="str">
            <v>2A</v>
          </cell>
          <cell r="T917">
            <v>4.42</v>
          </cell>
          <cell r="AG917">
            <v>0</v>
          </cell>
        </row>
        <row r="918">
          <cell r="A918" t="str">
            <v>02</v>
          </cell>
          <cell r="E918" t="str">
            <v>2A</v>
          </cell>
          <cell r="T918">
            <v>2.78</v>
          </cell>
          <cell r="AG918">
            <v>0</v>
          </cell>
        </row>
        <row r="919">
          <cell r="A919" t="str">
            <v>02</v>
          </cell>
          <cell r="E919" t="str">
            <v>2A</v>
          </cell>
          <cell r="T919">
            <v>2.29</v>
          </cell>
          <cell r="AG919">
            <v>0</v>
          </cell>
        </row>
        <row r="920">
          <cell r="A920" t="str">
            <v>02</v>
          </cell>
          <cell r="E920" t="str">
            <v>2A</v>
          </cell>
          <cell r="T920">
            <v>3.28</v>
          </cell>
          <cell r="AG920">
            <v>0</v>
          </cell>
        </row>
        <row r="921">
          <cell r="A921" t="str">
            <v>02</v>
          </cell>
          <cell r="E921" t="str">
            <v>2A</v>
          </cell>
          <cell r="T921">
            <v>2.72</v>
          </cell>
          <cell r="AG921">
            <v>0</v>
          </cell>
        </row>
        <row r="922">
          <cell r="A922" t="str">
            <v>02</v>
          </cell>
          <cell r="E922" t="str">
            <v>2A</v>
          </cell>
          <cell r="T922">
            <v>2.95</v>
          </cell>
          <cell r="AG922">
            <v>0</v>
          </cell>
        </row>
        <row r="923">
          <cell r="A923" t="str">
            <v>03</v>
          </cell>
          <cell r="E923" t="str">
            <v>20</v>
          </cell>
          <cell r="T923">
            <v>3.3</v>
          </cell>
          <cell r="AG923">
            <v>0</v>
          </cell>
        </row>
        <row r="924">
          <cell r="A924" t="str">
            <v>03</v>
          </cell>
          <cell r="E924" t="str">
            <v>20</v>
          </cell>
          <cell r="T924">
            <v>2.38</v>
          </cell>
          <cell r="AG924">
            <v>0</v>
          </cell>
        </row>
        <row r="925">
          <cell r="A925" t="str">
            <v>03</v>
          </cell>
          <cell r="E925" t="str">
            <v>20</v>
          </cell>
          <cell r="T925">
            <v>3.47</v>
          </cell>
          <cell r="AG925">
            <v>0</v>
          </cell>
        </row>
        <row r="926">
          <cell r="A926" t="str">
            <v>03</v>
          </cell>
          <cell r="E926" t="str">
            <v>20</v>
          </cell>
          <cell r="T926">
            <v>4.91</v>
          </cell>
          <cell r="AG926">
            <v>0</v>
          </cell>
        </row>
        <row r="927">
          <cell r="A927" t="str">
            <v>03</v>
          </cell>
          <cell r="E927" t="str">
            <v>20</v>
          </cell>
          <cell r="T927">
            <v>2.61</v>
          </cell>
          <cell r="AG927">
            <v>0</v>
          </cell>
        </row>
        <row r="928">
          <cell r="A928" t="str">
            <v>03</v>
          </cell>
          <cell r="E928" t="str">
            <v>20</v>
          </cell>
          <cell r="T928">
            <v>3.13</v>
          </cell>
          <cell r="AG928">
            <v>0</v>
          </cell>
        </row>
        <row r="929">
          <cell r="A929" t="str">
            <v>03</v>
          </cell>
          <cell r="E929" t="str">
            <v>20</v>
          </cell>
          <cell r="T929">
            <v>3.31</v>
          </cell>
          <cell r="AG929">
            <v>0</v>
          </cell>
        </row>
        <row r="930">
          <cell r="A930" t="str">
            <v>03</v>
          </cell>
          <cell r="E930" t="str">
            <v>2A</v>
          </cell>
          <cell r="T930">
            <v>3</v>
          </cell>
          <cell r="AG930">
            <v>0</v>
          </cell>
        </row>
        <row r="931">
          <cell r="A931" t="str">
            <v>03</v>
          </cell>
          <cell r="E931" t="str">
            <v>2A</v>
          </cell>
          <cell r="T931">
            <v>3.41</v>
          </cell>
          <cell r="AG931">
            <v>0</v>
          </cell>
        </row>
        <row r="932">
          <cell r="A932" t="str">
            <v>03</v>
          </cell>
          <cell r="E932" t="str">
            <v>2A</v>
          </cell>
          <cell r="T932">
            <v>3.28</v>
          </cell>
          <cell r="AG932">
            <v>0</v>
          </cell>
        </row>
        <row r="933">
          <cell r="A933" t="str">
            <v>03</v>
          </cell>
          <cell r="E933" t="str">
            <v>2A</v>
          </cell>
          <cell r="T933">
            <v>3.14</v>
          </cell>
          <cell r="AG933">
            <v>0</v>
          </cell>
        </row>
        <row r="934">
          <cell r="A934" t="str">
            <v>03</v>
          </cell>
          <cell r="E934" t="str">
            <v>2A</v>
          </cell>
          <cell r="T934">
            <v>3.43</v>
          </cell>
          <cell r="AG934">
            <v>0</v>
          </cell>
        </row>
        <row r="935">
          <cell r="A935" t="str">
            <v>03</v>
          </cell>
          <cell r="E935" t="str">
            <v>2A</v>
          </cell>
          <cell r="T935">
            <v>2.61</v>
          </cell>
          <cell r="AG935">
            <v>0</v>
          </cell>
        </row>
        <row r="936">
          <cell r="A936" t="str">
            <v>03</v>
          </cell>
          <cell r="E936" t="str">
            <v>2A</v>
          </cell>
          <cell r="T936">
            <v>2.87</v>
          </cell>
          <cell r="AG936">
            <v>0</v>
          </cell>
        </row>
        <row r="937">
          <cell r="A937" t="str">
            <v>03</v>
          </cell>
          <cell r="E937" t="str">
            <v>20</v>
          </cell>
          <cell r="T937">
            <v>2.83</v>
          </cell>
          <cell r="AG937">
            <v>0</v>
          </cell>
        </row>
        <row r="938">
          <cell r="A938" t="str">
            <v>03</v>
          </cell>
          <cell r="E938" t="str">
            <v>20</v>
          </cell>
          <cell r="T938">
            <v>2.85</v>
          </cell>
          <cell r="AG938">
            <v>0</v>
          </cell>
        </row>
        <row r="939">
          <cell r="A939" t="str">
            <v>03</v>
          </cell>
          <cell r="E939" t="str">
            <v>20</v>
          </cell>
          <cell r="T939">
            <v>2.86</v>
          </cell>
          <cell r="AG939">
            <v>0</v>
          </cell>
        </row>
        <row r="940">
          <cell r="A940" t="str">
            <v>03</v>
          </cell>
          <cell r="E940" t="str">
            <v>24</v>
          </cell>
          <cell r="T940">
            <v>3.57</v>
          </cell>
          <cell r="AG940">
            <v>0</v>
          </cell>
        </row>
        <row r="941">
          <cell r="A941" t="str">
            <v>03</v>
          </cell>
          <cell r="E941" t="str">
            <v>24</v>
          </cell>
          <cell r="T941">
            <v>2.69</v>
          </cell>
          <cell r="AG941">
            <v>0</v>
          </cell>
        </row>
        <row r="942">
          <cell r="A942" t="str">
            <v>03</v>
          </cell>
          <cell r="E942" t="str">
            <v>20</v>
          </cell>
          <cell r="T942">
            <v>3.07</v>
          </cell>
          <cell r="AG942">
            <v>0</v>
          </cell>
        </row>
        <row r="943">
          <cell r="A943" t="str">
            <v>03</v>
          </cell>
          <cell r="E943" t="str">
            <v>20</v>
          </cell>
          <cell r="T943">
            <v>2.59</v>
          </cell>
          <cell r="AG943">
            <v>0</v>
          </cell>
        </row>
        <row r="944">
          <cell r="A944" t="str">
            <v>03</v>
          </cell>
          <cell r="E944" t="str">
            <v>20</v>
          </cell>
          <cell r="T944">
            <v>3.21</v>
          </cell>
          <cell r="AG944">
            <v>0</v>
          </cell>
        </row>
        <row r="945">
          <cell r="A945" t="str">
            <v>03</v>
          </cell>
          <cell r="E945" t="str">
            <v>20</v>
          </cell>
          <cell r="T945">
            <v>1.62</v>
          </cell>
          <cell r="AG945">
            <v>0</v>
          </cell>
        </row>
        <row r="946">
          <cell r="A946" t="str">
            <v>03</v>
          </cell>
          <cell r="E946" t="str">
            <v>20</v>
          </cell>
          <cell r="T946">
            <v>2.92</v>
          </cell>
          <cell r="AG946">
            <v>0</v>
          </cell>
        </row>
        <row r="947">
          <cell r="A947" t="str">
            <v>03</v>
          </cell>
          <cell r="E947" t="str">
            <v>20</v>
          </cell>
          <cell r="T947">
            <v>3.05</v>
          </cell>
          <cell r="AG947">
            <v>0</v>
          </cell>
        </row>
        <row r="948">
          <cell r="A948" t="str">
            <v>03</v>
          </cell>
          <cell r="E948" t="str">
            <v>20</v>
          </cell>
          <cell r="T948">
            <v>3.12</v>
          </cell>
          <cell r="AG948">
            <v>0</v>
          </cell>
        </row>
        <row r="949">
          <cell r="A949" t="str">
            <v>03</v>
          </cell>
          <cell r="E949" t="str">
            <v>2A</v>
          </cell>
          <cell r="T949">
            <v>3.01</v>
          </cell>
          <cell r="AG949">
            <v>0</v>
          </cell>
        </row>
        <row r="950">
          <cell r="A950" t="str">
            <v>03</v>
          </cell>
          <cell r="E950" t="str">
            <v>2A</v>
          </cell>
          <cell r="T950">
            <v>2.93</v>
          </cell>
          <cell r="AG950">
            <v>0</v>
          </cell>
        </row>
        <row r="951">
          <cell r="A951" t="str">
            <v>03</v>
          </cell>
          <cell r="E951" t="str">
            <v>2A</v>
          </cell>
          <cell r="T951">
            <v>4.4000000000000004</v>
          </cell>
          <cell r="AG951">
            <v>0</v>
          </cell>
        </row>
        <row r="952">
          <cell r="A952" t="str">
            <v>03</v>
          </cell>
          <cell r="E952" t="str">
            <v>2A</v>
          </cell>
          <cell r="T952">
            <v>3.81</v>
          </cell>
          <cell r="AG952">
            <v>0</v>
          </cell>
        </row>
        <row r="953">
          <cell r="A953" t="str">
            <v>03</v>
          </cell>
          <cell r="E953" t="str">
            <v>2A</v>
          </cell>
          <cell r="T953">
            <v>4.07</v>
          </cell>
          <cell r="AG953">
            <v>0</v>
          </cell>
        </row>
        <row r="954">
          <cell r="A954" t="str">
            <v>03</v>
          </cell>
          <cell r="E954" t="str">
            <v>2A</v>
          </cell>
          <cell r="T954">
            <v>2.96</v>
          </cell>
          <cell r="AG954">
            <v>0</v>
          </cell>
        </row>
        <row r="955">
          <cell r="A955" t="str">
            <v>03</v>
          </cell>
          <cell r="E955" t="str">
            <v>2A</v>
          </cell>
          <cell r="T955">
            <v>3.38</v>
          </cell>
          <cell r="AG955">
            <v>0</v>
          </cell>
        </row>
        <row r="956">
          <cell r="A956" t="str">
            <v>03</v>
          </cell>
          <cell r="E956" t="str">
            <v>2A</v>
          </cell>
          <cell r="T956">
            <v>2.5299999999999998</v>
          </cell>
          <cell r="AG956">
            <v>0</v>
          </cell>
        </row>
        <row r="957">
          <cell r="A957" t="str">
            <v>03</v>
          </cell>
          <cell r="E957" t="str">
            <v>2A</v>
          </cell>
          <cell r="T957">
            <v>3.53</v>
          </cell>
          <cell r="AG957">
            <v>0</v>
          </cell>
        </row>
        <row r="958">
          <cell r="A958" t="str">
            <v>03</v>
          </cell>
          <cell r="E958" t="str">
            <v>20</v>
          </cell>
          <cell r="T958">
            <v>3.38</v>
          </cell>
          <cell r="AG958">
            <v>0</v>
          </cell>
        </row>
        <row r="959">
          <cell r="A959" t="str">
            <v>03</v>
          </cell>
          <cell r="E959" t="str">
            <v>20</v>
          </cell>
          <cell r="T959">
            <v>3.36</v>
          </cell>
          <cell r="AG959">
            <v>0</v>
          </cell>
        </row>
        <row r="960">
          <cell r="A960" t="str">
            <v>03</v>
          </cell>
          <cell r="E960" t="str">
            <v>20</v>
          </cell>
          <cell r="T960">
            <v>3.08</v>
          </cell>
          <cell r="AG960">
            <v>0</v>
          </cell>
        </row>
        <row r="961">
          <cell r="A961" t="str">
            <v>03</v>
          </cell>
          <cell r="E961" t="str">
            <v>20</v>
          </cell>
          <cell r="T961">
            <v>4.7699999999999996</v>
          </cell>
          <cell r="AG961">
            <v>0</v>
          </cell>
        </row>
        <row r="962">
          <cell r="A962" t="str">
            <v>03</v>
          </cell>
          <cell r="E962" t="str">
            <v>20</v>
          </cell>
          <cell r="T962">
            <v>3.26</v>
          </cell>
          <cell r="AG962">
            <v>0</v>
          </cell>
        </row>
        <row r="963">
          <cell r="A963" t="str">
            <v>03</v>
          </cell>
          <cell r="E963" t="str">
            <v>20</v>
          </cell>
          <cell r="T963">
            <v>3.16</v>
          </cell>
          <cell r="AG963">
            <v>0</v>
          </cell>
        </row>
        <row r="964">
          <cell r="A964" t="str">
            <v>03</v>
          </cell>
          <cell r="E964" t="str">
            <v>20</v>
          </cell>
          <cell r="T964">
            <v>2.98</v>
          </cell>
          <cell r="AG964">
            <v>0</v>
          </cell>
        </row>
        <row r="965">
          <cell r="A965" t="str">
            <v>03</v>
          </cell>
          <cell r="E965" t="str">
            <v>20</v>
          </cell>
          <cell r="T965">
            <v>3.16</v>
          </cell>
          <cell r="AG965">
            <v>0</v>
          </cell>
        </row>
        <row r="966">
          <cell r="A966" t="str">
            <v>03</v>
          </cell>
          <cell r="E966" t="str">
            <v>20</v>
          </cell>
          <cell r="T966">
            <v>3.01</v>
          </cell>
          <cell r="AG966">
            <v>0</v>
          </cell>
        </row>
        <row r="967">
          <cell r="A967" t="str">
            <v>03</v>
          </cell>
          <cell r="E967" t="str">
            <v>20</v>
          </cell>
          <cell r="T967">
            <v>3.91</v>
          </cell>
          <cell r="AG967">
            <v>0</v>
          </cell>
        </row>
        <row r="968">
          <cell r="A968" t="str">
            <v>03</v>
          </cell>
          <cell r="E968" t="str">
            <v>2A</v>
          </cell>
          <cell r="T968">
            <v>3.39</v>
          </cell>
          <cell r="AG968">
            <v>0</v>
          </cell>
        </row>
        <row r="969">
          <cell r="A969" t="str">
            <v>03</v>
          </cell>
          <cell r="E969" t="str">
            <v>2A</v>
          </cell>
          <cell r="T969">
            <v>3.66</v>
          </cell>
          <cell r="AG969">
            <v>0</v>
          </cell>
        </row>
        <row r="970">
          <cell r="A970" t="str">
            <v>03</v>
          </cell>
          <cell r="E970" t="str">
            <v>2A</v>
          </cell>
          <cell r="T970">
            <v>2.38</v>
          </cell>
          <cell r="AG970">
            <v>0</v>
          </cell>
        </row>
        <row r="971">
          <cell r="A971" t="str">
            <v>03</v>
          </cell>
          <cell r="E971" t="str">
            <v>2A</v>
          </cell>
          <cell r="T971">
            <v>3.85</v>
          </cell>
          <cell r="AG971">
            <v>0</v>
          </cell>
        </row>
        <row r="972">
          <cell r="A972" t="str">
            <v>03</v>
          </cell>
          <cell r="E972" t="str">
            <v>2A</v>
          </cell>
          <cell r="T972">
            <v>3.2</v>
          </cell>
          <cell r="AG972">
            <v>0</v>
          </cell>
        </row>
        <row r="973">
          <cell r="A973" t="str">
            <v>03</v>
          </cell>
          <cell r="E973" t="str">
            <v>2A</v>
          </cell>
          <cell r="T973">
            <v>4.03</v>
          </cell>
          <cell r="AG973">
            <v>0</v>
          </cell>
        </row>
        <row r="974">
          <cell r="A974" t="str">
            <v>03</v>
          </cell>
          <cell r="E974" t="str">
            <v>2A</v>
          </cell>
          <cell r="T974">
            <v>2.64</v>
          </cell>
          <cell r="AG974">
            <v>0</v>
          </cell>
        </row>
        <row r="975">
          <cell r="A975" t="str">
            <v>03</v>
          </cell>
          <cell r="E975" t="str">
            <v>2A</v>
          </cell>
          <cell r="T975">
            <v>2.96</v>
          </cell>
          <cell r="AG975">
            <v>0</v>
          </cell>
        </row>
        <row r="976">
          <cell r="A976" t="str">
            <v>03</v>
          </cell>
          <cell r="E976" t="str">
            <v>24</v>
          </cell>
          <cell r="T976">
            <v>3.58</v>
          </cell>
          <cell r="AG976">
            <v>0</v>
          </cell>
        </row>
        <row r="977">
          <cell r="A977" t="str">
            <v>03</v>
          </cell>
          <cell r="E977" t="str">
            <v>24</v>
          </cell>
          <cell r="T977">
            <v>3.11</v>
          </cell>
          <cell r="AG977">
            <v>0</v>
          </cell>
        </row>
        <row r="978">
          <cell r="A978" t="str">
            <v>03</v>
          </cell>
          <cell r="E978" t="str">
            <v>24</v>
          </cell>
          <cell r="T978">
            <v>4.2699999999999996</v>
          </cell>
          <cell r="AG978">
            <v>0</v>
          </cell>
        </row>
        <row r="979">
          <cell r="A979" t="str">
            <v>03</v>
          </cell>
          <cell r="E979" t="str">
            <v>24</v>
          </cell>
          <cell r="T979">
            <v>3.48</v>
          </cell>
          <cell r="AG979">
            <v>0</v>
          </cell>
        </row>
        <row r="980">
          <cell r="A980" t="str">
            <v>03</v>
          </cell>
          <cell r="E980" t="str">
            <v>24</v>
          </cell>
          <cell r="T980">
            <v>4.17</v>
          </cell>
          <cell r="AG980">
            <v>0</v>
          </cell>
        </row>
        <row r="981">
          <cell r="A981" t="str">
            <v>03</v>
          </cell>
          <cell r="E981" t="str">
            <v>20</v>
          </cell>
          <cell r="T981">
            <v>3.59</v>
          </cell>
          <cell r="AG981">
            <v>0</v>
          </cell>
        </row>
        <row r="982">
          <cell r="A982" t="str">
            <v>03</v>
          </cell>
          <cell r="E982" t="str">
            <v>20</v>
          </cell>
          <cell r="T982">
            <v>3.83</v>
          </cell>
          <cell r="AG982">
            <v>0</v>
          </cell>
        </row>
        <row r="983">
          <cell r="A983" t="str">
            <v>03</v>
          </cell>
          <cell r="E983" t="str">
            <v>20</v>
          </cell>
          <cell r="T983">
            <v>3.32</v>
          </cell>
          <cell r="AG983">
            <v>0</v>
          </cell>
        </row>
        <row r="984">
          <cell r="A984" t="str">
            <v>03</v>
          </cell>
          <cell r="E984" t="str">
            <v>20</v>
          </cell>
          <cell r="T984">
            <v>3.91</v>
          </cell>
          <cell r="AG984">
            <v>0</v>
          </cell>
        </row>
        <row r="985">
          <cell r="A985" t="str">
            <v>03</v>
          </cell>
          <cell r="E985" t="str">
            <v>20</v>
          </cell>
          <cell r="T985">
            <v>3.41</v>
          </cell>
          <cell r="AG985">
            <v>0</v>
          </cell>
        </row>
        <row r="986">
          <cell r="A986" t="str">
            <v>03</v>
          </cell>
          <cell r="E986" t="str">
            <v>20</v>
          </cell>
          <cell r="T986">
            <v>2.74</v>
          </cell>
          <cell r="AG986">
            <v>0</v>
          </cell>
        </row>
        <row r="987">
          <cell r="A987" t="str">
            <v>03</v>
          </cell>
          <cell r="E987" t="str">
            <v>20</v>
          </cell>
          <cell r="T987">
            <v>2.82</v>
          </cell>
          <cell r="AG987">
            <v>0</v>
          </cell>
        </row>
        <row r="988">
          <cell r="A988" t="str">
            <v>03</v>
          </cell>
          <cell r="E988" t="str">
            <v>20</v>
          </cell>
          <cell r="T988">
            <v>3.8</v>
          </cell>
          <cell r="AG988">
            <v>0</v>
          </cell>
        </row>
        <row r="989">
          <cell r="A989" t="str">
            <v>03</v>
          </cell>
          <cell r="E989" t="str">
            <v>2A</v>
          </cell>
          <cell r="T989">
            <v>3.81</v>
          </cell>
          <cell r="AG989">
            <v>0</v>
          </cell>
        </row>
        <row r="990">
          <cell r="A990" t="str">
            <v>03</v>
          </cell>
          <cell r="E990" t="str">
            <v>2A</v>
          </cell>
          <cell r="T990">
            <v>4.0999999999999996</v>
          </cell>
          <cell r="AG990">
            <v>0</v>
          </cell>
        </row>
        <row r="991">
          <cell r="A991" t="str">
            <v>03</v>
          </cell>
          <cell r="E991" t="str">
            <v>2A</v>
          </cell>
          <cell r="T991">
            <v>3.86</v>
          </cell>
          <cell r="AG991">
            <v>0</v>
          </cell>
        </row>
        <row r="992">
          <cell r="A992" t="str">
            <v>03</v>
          </cell>
          <cell r="E992" t="str">
            <v>2A</v>
          </cell>
          <cell r="T992">
            <v>3.42</v>
          </cell>
          <cell r="AG992">
            <v>0</v>
          </cell>
        </row>
        <row r="993">
          <cell r="A993" t="str">
            <v>03</v>
          </cell>
          <cell r="E993" t="str">
            <v>2A</v>
          </cell>
          <cell r="T993">
            <v>3.7</v>
          </cell>
          <cell r="AG993">
            <v>0</v>
          </cell>
        </row>
        <row r="994">
          <cell r="A994" t="str">
            <v>03</v>
          </cell>
          <cell r="E994" t="str">
            <v>20</v>
          </cell>
          <cell r="T994">
            <v>3.04</v>
          </cell>
          <cell r="AG994">
            <v>0</v>
          </cell>
        </row>
        <row r="995">
          <cell r="A995" t="str">
            <v>03</v>
          </cell>
          <cell r="E995" t="str">
            <v>2A</v>
          </cell>
          <cell r="T995">
            <v>3.87</v>
          </cell>
          <cell r="AG995">
            <v>0</v>
          </cell>
        </row>
        <row r="996">
          <cell r="A996" t="str">
            <v>03</v>
          </cell>
          <cell r="E996" t="str">
            <v>2A</v>
          </cell>
          <cell r="T996">
            <v>3.43</v>
          </cell>
          <cell r="AG996">
            <v>0</v>
          </cell>
        </row>
        <row r="997">
          <cell r="A997" t="str">
            <v>03</v>
          </cell>
          <cell r="E997" t="str">
            <v>2A</v>
          </cell>
          <cell r="T997">
            <v>4.03</v>
          </cell>
          <cell r="AG997">
            <v>0</v>
          </cell>
        </row>
        <row r="998">
          <cell r="A998" t="str">
            <v>03</v>
          </cell>
          <cell r="E998" t="str">
            <v>2A</v>
          </cell>
          <cell r="T998">
            <v>3.61</v>
          </cell>
          <cell r="AG998">
            <v>0</v>
          </cell>
        </row>
        <row r="999">
          <cell r="A999" t="str">
            <v>03</v>
          </cell>
          <cell r="E999" t="str">
            <v>2A</v>
          </cell>
          <cell r="T999">
            <v>3.6</v>
          </cell>
          <cell r="AG999">
            <v>0</v>
          </cell>
        </row>
        <row r="1000">
          <cell r="A1000" t="str">
            <v>03</v>
          </cell>
          <cell r="E1000" t="str">
            <v>2A</v>
          </cell>
          <cell r="T1000">
            <v>2.83</v>
          </cell>
          <cell r="AG1000">
            <v>0</v>
          </cell>
        </row>
        <row r="1001">
          <cell r="A1001" t="str">
            <v>03</v>
          </cell>
          <cell r="E1001" t="str">
            <v>2A</v>
          </cell>
          <cell r="T1001">
            <v>2.4900000000000002</v>
          </cell>
          <cell r="AG1001">
            <v>0</v>
          </cell>
        </row>
        <row r="1002">
          <cell r="A1002" t="str">
            <v>03</v>
          </cell>
          <cell r="E1002" t="str">
            <v>20</v>
          </cell>
          <cell r="T1002">
            <v>2.5499999999999998</v>
          </cell>
          <cell r="AG1002">
            <v>0</v>
          </cell>
        </row>
        <row r="1003">
          <cell r="A1003" t="str">
            <v>03</v>
          </cell>
          <cell r="E1003" t="str">
            <v>20</v>
          </cell>
          <cell r="T1003">
            <v>2.1</v>
          </cell>
          <cell r="AG1003">
            <v>0</v>
          </cell>
        </row>
        <row r="1004">
          <cell r="A1004" t="str">
            <v>03</v>
          </cell>
          <cell r="E1004" t="str">
            <v>20</v>
          </cell>
          <cell r="T1004">
            <v>2.69</v>
          </cell>
          <cell r="AG1004">
            <v>0</v>
          </cell>
        </row>
        <row r="1005">
          <cell r="A1005" t="str">
            <v>03</v>
          </cell>
          <cell r="E1005" t="str">
            <v>20</v>
          </cell>
          <cell r="T1005">
            <v>3.37</v>
          </cell>
          <cell r="AG1005">
            <v>0</v>
          </cell>
        </row>
        <row r="1006">
          <cell r="A1006" t="str">
            <v>03</v>
          </cell>
          <cell r="E1006" t="str">
            <v>20</v>
          </cell>
          <cell r="T1006">
            <v>2.77</v>
          </cell>
          <cell r="AG1006">
            <v>0</v>
          </cell>
        </row>
        <row r="1007">
          <cell r="A1007" t="str">
            <v>03</v>
          </cell>
          <cell r="E1007" t="str">
            <v>20</v>
          </cell>
          <cell r="T1007">
            <v>3.22</v>
          </cell>
          <cell r="AG1007">
            <v>0</v>
          </cell>
        </row>
        <row r="1008">
          <cell r="A1008" t="str">
            <v>03</v>
          </cell>
          <cell r="E1008" t="str">
            <v>20</v>
          </cell>
          <cell r="T1008">
            <v>3</v>
          </cell>
          <cell r="AG1008">
            <v>0</v>
          </cell>
        </row>
        <row r="1009">
          <cell r="A1009" t="str">
            <v>03</v>
          </cell>
          <cell r="E1009" t="str">
            <v>20</v>
          </cell>
          <cell r="T1009">
            <v>2.46</v>
          </cell>
          <cell r="AG1009">
            <v>0</v>
          </cell>
        </row>
        <row r="1010">
          <cell r="A1010" t="str">
            <v>03</v>
          </cell>
          <cell r="E1010" t="str">
            <v>2A</v>
          </cell>
          <cell r="T1010">
            <v>1.93</v>
          </cell>
          <cell r="AG1010">
            <v>0</v>
          </cell>
        </row>
        <row r="1011">
          <cell r="A1011" t="str">
            <v>03</v>
          </cell>
          <cell r="E1011" t="str">
            <v>2A</v>
          </cell>
          <cell r="T1011">
            <v>3.06</v>
          </cell>
          <cell r="AG1011">
            <v>0</v>
          </cell>
        </row>
        <row r="1012">
          <cell r="A1012" t="str">
            <v>03</v>
          </cell>
          <cell r="E1012" t="str">
            <v>2A</v>
          </cell>
          <cell r="T1012">
            <v>2.98</v>
          </cell>
          <cell r="AG1012">
            <v>0</v>
          </cell>
        </row>
        <row r="1013">
          <cell r="A1013" t="str">
            <v>03</v>
          </cell>
          <cell r="E1013" t="str">
            <v>2A</v>
          </cell>
          <cell r="T1013">
            <v>3.2</v>
          </cell>
          <cell r="AG1013">
            <v>0</v>
          </cell>
        </row>
        <row r="1014">
          <cell r="A1014" t="str">
            <v>03</v>
          </cell>
          <cell r="E1014" t="str">
            <v>2A</v>
          </cell>
          <cell r="T1014">
            <v>2.85</v>
          </cell>
          <cell r="AG1014">
            <v>0</v>
          </cell>
        </row>
        <row r="1015">
          <cell r="A1015" t="str">
            <v>04</v>
          </cell>
          <cell r="E1015" t="str">
            <v>2A</v>
          </cell>
          <cell r="T1015">
            <v>2.93</v>
          </cell>
          <cell r="AG1015">
            <v>0</v>
          </cell>
        </row>
        <row r="1016">
          <cell r="A1016" t="str">
            <v>04</v>
          </cell>
          <cell r="E1016" t="str">
            <v>2A</v>
          </cell>
          <cell r="T1016">
            <v>2.2400000000000002</v>
          </cell>
          <cell r="AG1016">
            <v>0</v>
          </cell>
        </row>
        <row r="1017">
          <cell r="A1017" t="str">
            <v>04</v>
          </cell>
          <cell r="E1017" t="str">
            <v>2A</v>
          </cell>
          <cell r="T1017">
            <v>3.27</v>
          </cell>
          <cell r="AG1017">
            <v>0</v>
          </cell>
        </row>
        <row r="1018">
          <cell r="A1018" t="str">
            <v>04</v>
          </cell>
          <cell r="E1018" t="str">
            <v>2A</v>
          </cell>
          <cell r="T1018">
            <v>3.48</v>
          </cell>
          <cell r="AG1018">
            <v>0</v>
          </cell>
        </row>
        <row r="1019">
          <cell r="A1019" t="str">
            <v>04</v>
          </cell>
          <cell r="E1019" t="str">
            <v>2A</v>
          </cell>
          <cell r="T1019">
            <v>2.71</v>
          </cell>
          <cell r="AG1019">
            <v>0</v>
          </cell>
        </row>
        <row r="1020">
          <cell r="A1020" t="str">
            <v>04</v>
          </cell>
          <cell r="E1020" t="str">
            <v>2A</v>
          </cell>
          <cell r="T1020">
            <v>3.52</v>
          </cell>
          <cell r="AG1020">
            <v>0</v>
          </cell>
        </row>
        <row r="1021">
          <cell r="A1021" t="str">
            <v>04</v>
          </cell>
          <cell r="E1021" t="str">
            <v>2A</v>
          </cell>
          <cell r="T1021">
            <v>3.76</v>
          </cell>
          <cell r="AG1021">
            <v>0</v>
          </cell>
        </row>
        <row r="1022">
          <cell r="A1022" t="str">
            <v>04</v>
          </cell>
          <cell r="E1022" t="str">
            <v>2A</v>
          </cell>
          <cell r="T1022">
            <v>3.1</v>
          </cell>
          <cell r="AG1022">
            <v>0</v>
          </cell>
        </row>
        <row r="1023">
          <cell r="A1023" t="str">
            <v>04</v>
          </cell>
          <cell r="E1023" t="str">
            <v>20</v>
          </cell>
          <cell r="T1023">
            <v>2.84</v>
          </cell>
          <cell r="AG1023">
            <v>0</v>
          </cell>
        </row>
        <row r="1024">
          <cell r="A1024" t="str">
            <v>04</v>
          </cell>
          <cell r="E1024" t="str">
            <v>20</v>
          </cell>
          <cell r="T1024">
            <v>2.96</v>
          </cell>
          <cell r="AG1024">
            <v>0</v>
          </cell>
        </row>
        <row r="1025">
          <cell r="A1025" t="str">
            <v>04</v>
          </cell>
          <cell r="E1025" t="str">
            <v>20</v>
          </cell>
          <cell r="T1025">
            <v>2.5499999999999998</v>
          </cell>
          <cell r="AG1025">
            <v>0</v>
          </cell>
        </row>
        <row r="1026">
          <cell r="A1026" t="str">
            <v>04</v>
          </cell>
          <cell r="E1026" t="str">
            <v>20</v>
          </cell>
          <cell r="T1026">
            <v>4.34</v>
          </cell>
          <cell r="AG1026">
            <v>0</v>
          </cell>
        </row>
        <row r="1027">
          <cell r="A1027" t="str">
            <v>04</v>
          </cell>
          <cell r="E1027" t="str">
            <v>20</v>
          </cell>
          <cell r="T1027">
            <v>2.78</v>
          </cell>
          <cell r="AG1027">
            <v>0</v>
          </cell>
        </row>
        <row r="1028">
          <cell r="A1028" t="str">
            <v>04</v>
          </cell>
          <cell r="E1028" t="str">
            <v>20</v>
          </cell>
          <cell r="T1028">
            <v>2.77</v>
          </cell>
          <cell r="AG1028">
            <v>0</v>
          </cell>
        </row>
        <row r="1029">
          <cell r="A1029" t="str">
            <v>04</v>
          </cell>
          <cell r="E1029" t="str">
            <v>20</v>
          </cell>
          <cell r="T1029">
            <v>4.16</v>
          </cell>
          <cell r="AG1029">
            <v>0</v>
          </cell>
        </row>
        <row r="1030">
          <cell r="A1030" t="str">
            <v>04</v>
          </cell>
          <cell r="E1030" t="str">
            <v>20</v>
          </cell>
          <cell r="T1030">
            <v>3.31</v>
          </cell>
          <cell r="AG1030">
            <v>0</v>
          </cell>
        </row>
        <row r="1031">
          <cell r="A1031" t="str">
            <v>04</v>
          </cell>
          <cell r="E1031" t="str">
            <v>2A</v>
          </cell>
          <cell r="T1031">
            <v>2.2799999999999998</v>
          </cell>
          <cell r="AG1031">
            <v>0</v>
          </cell>
        </row>
        <row r="1032">
          <cell r="A1032" t="str">
            <v>04</v>
          </cell>
          <cell r="E1032" t="str">
            <v>2A</v>
          </cell>
          <cell r="T1032">
            <v>3.09</v>
          </cell>
          <cell r="AG1032">
            <v>0</v>
          </cell>
        </row>
        <row r="1033">
          <cell r="A1033" t="str">
            <v>04</v>
          </cell>
          <cell r="E1033" t="str">
            <v>2A</v>
          </cell>
          <cell r="T1033">
            <v>2.89</v>
          </cell>
          <cell r="AG1033">
            <v>0</v>
          </cell>
        </row>
        <row r="1034">
          <cell r="A1034" t="str">
            <v>04</v>
          </cell>
          <cell r="E1034" t="str">
            <v>2A</v>
          </cell>
          <cell r="T1034">
            <v>3.2</v>
          </cell>
          <cell r="AG1034">
            <v>0</v>
          </cell>
        </row>
        <row r="1035">
          <cell r="A1035" t="str">
            <v>04</v>
          </cell>
          <cell r="E1035" t="str">
            <v>2A</v>
          </cell>
          <cell r="T1035">
            <v>2.87</v>
          </cell>
          <cell r="AG1035">
            <v>0</v>
          </cell>
        </row>
        <row r="1036">
          <cell r="A1036" t="str">
            <v>04</v>
          </cell>
          <cell r="E1036" t="str">
            <v>2A</v>
          </cell>
          <cell r="T1036">
            <v>3.5</v>
          </cell>
          <cell r="AG1036">
            <v>0</v>
          </cell>
        </row>
        <row r="1037">
          <cell r="A1037" t="str">
            <v>04</v>
          </cell>
          <cell r="E1037" t="str">
            <v>2A</v>
          </cell>
          <cell r="T1037">
            <v>3.18</v>
          </cell>
          <cell r="AG1037">
            <v>0</v>
          </cell>
        </row>
        <row r="1038">
          <cell r="A1038" t="str">
            <v>04</v>
          </cell>
          <cell r="E1038" t="str">
            <v>2A</v>
          </cell>
          <cell r="T1038">
            <v>3.65</v>
          </cell>
          <cell r="AG1038">
            <v>0</v>
          </cell>
        </row>
        <row r="1039">
          <cell r="A1039" t="str">
            <v>04</v>
          </cell>
          <cell r="E1039" t="str">
            <v>2A</v>
          </cell>
          <cell r="T1039">
            <v>3.68</v>
          </cell>
          <cell r="AG1039">
            <v>0</v>
          </cell>
        </row>
        <row r="1040">
          <cell r="A1040" t="str">
            <v>04</v>
          </cell>
          <cell r="E1040" t="str">
            <v>2A</v>
          </cell>
          <cell r="T1040">
            <v>3.24</v>
          </cell>
          <cell r="AG1040">
            <v>0</v>
          </cell>
        </row>
        <row r="1041">
          <cell r="A1041" t="str">
            <v>04</v>
          </cell>
          <cell r="E1041" t="str">
            <v>2A</v>
          </cell>
          <cell r="T1041">
            <v>2.91</v>
          </cell>
          <cell r="AG1041">
            <v>0</v>
          </cell>
        </row>
        <row r="1042">
          <cell r="A1042" t="str">
            <v>04</v>
          </cell>
          <cell r="E1042" t="str">
            <v>2A</v>
          </cell>
          <cell r="T1042">
            <v>3.26</v>
          </cell>
          <cell r="AG1042">
            <v>0</v>
          </cell>
        </row>
        <row r="1043">
          <cell r="A1043" t="str">
            <v>04</v>
          </cell>
          <cell r="E1043" t="str">
            <v>2A</v>
          </cell>
          <cell r="T1043">
            <v>3.51</v>
          </cell>
          <cell r="AG1043">
            <v>0</v>
          </cell>
        </row>
        <row r="1044">
          <cell r="A1044" t="str">
            <v>04</v>
          </cell>
          <cell r="E1044" t="str">
            <v>20</v>
          </cell>
          <cell r="T1044">
            <v>3.57</v>
          </cell>
          <cell r="AG1044">
            <v>0</v>
          </cell>
        </row>
        <row r="1045">
          <cell r="A1045" t="str">
            <v>04</v>
          </cell>
          <cell r="E1045" t="str">
            <v>20</v>
          </cell>
          <cell r="T1045">
            <v>2.79</v>
          </cell>
          <cell r="AG1045">
            <v>0</v>
          </cell>
        </row>
        <row r="1046">
          <cell r="A1046" t="str">
            <v>04</v>
          </cell>
          <cell r="E1046" t="str">
            <v>20</v>
          </cell>
          <cell r="T1046">
            <v>3.96</v>
          </cell>
          <cell r="AG1046">
            <v>0</v>
          </cell>
        </row>
        <row r="1047">
          <cell r="A1047" t="str">
            <v>04</v>
          </cell>
          <cell r="E1047" t="str">
            <v>20</v>
          </cell>
          <cell r="T1047">
            <v>3.42</v>
          </cell>
          <cell r="AG1047">
            <v>0</v>
          </cell>
        </row>
        <row r="1048">
          <cell r="A1048" t="str">
            <v>04</v>
          </cell>
          <cell r="E1048" t="str">
            <v>20</v>
          </cell>
          <cell r="T1048">
            <v>2.84</v>
          </cell>
          <cell r="AG1048">
            <v>0</v>
          </cell>
        </row>
        <row r="1049">
          <cell r="A1049" t="str">
            <v>04</v>
          </cell>
          <cell r="E1049" t="str">
            <v>24</v>
          </cell>
          <cell r="T1049">
            <v>3.81</v>
          </cell>
          <cell r="AG1049">
            <v>0</v>
          </cell>
        </row>
        <row r="1050">
          <cell r="A1050" t="str">
            <v>04</v>
          </cell>
          <cell r="E1050" t="str">
            <v>20</v>
          </cell>
          <cell r="T1050">
            <v>2.4300000000000002</v>
          </cell>
          <cell r="AG1050">
            <v>0</v>
          </cell>
        </row>
        <row r="1051">
          <cell r="A1051" t="str">
            <v>04</v>
          </cell>
          <cell r="E1051" t="str">
            <v>20</v>
          </cell>
          <cell r="T1051">
            <v>2.2400000000000002</v>
          </cell>
          <cell r="AG1051">
            <v>0</v>
          </cell>
        </row>
        <row r="1052">
          <cell r="A1052" t="str">
            <v>04</v>
          </cell>
          <cell r="E1052" t="str">
            <v>20</v>
          </cell>
          <cell r="T1052">
            <v>3.27</v>
          </cell>
          <cell r="AG1052">
            <v>0</v>
          </cell>
        </row>
        <row r="1053">
          <cell r="A1053" t="str">
            <v>04</v>
          </cell>
          <cell r="E1053" t="str">
            <v>20</v>
          </cell>
          <cell r="T1053">
            <v>2.14</v>
          </cell>
          <cell r="AG1053">
            <v>0</v>
          </cell>
        </row>
        <row r="1054">
          <cell r="A1054" t="str">
            <v>04</v>
          </cell>
          <cell r="E1054" t="str">
            <v>20</v>
          </cell>
          <cell r="T1054">
            <v>3.39</v>
          </cell>
          <cell r="AG1054">
            <v>0</v>
          </cell>
        </row>
        <row r="1055">
          <cell r="A1055" t="str">
            <v>04</v>
          </cell>
          <cell r="E1055" t="str">
            <v>20</v>
          </cell>
          <cell r="T1055">
            <v>3.7</v>
          </cell>
          <cell r="AG1055">
            <v>0</v>
          </cell>
        </row>
        <row r="1056">
          <cell r="A1056" t="str">
            <v>04</v>
          </cell>
          <cell r="E1056" t="str">
            <v>20</v>
          </cell>
          <cell r="T1056">
            <v>3.46</v>
          </cell>
          <cell r="AG1056">
            <v>0</v>
          </cell>
        </row>
        <row r="1057">
          <cell r="A1057" t="str">
            <v>04</v>
          </cell>
          <cell r="E1057" t="str">
            <v>20</v>
          </cell>
          <cell r="T1057">
            <v>2.79</v>
          </cell>
          <cell r="AG1057">
            <v>0</v>
          </cell>
        </row>
        <row r="1058">
          <cell r="A1058" t="str">
            <v>04</v>
          </cell>
          <cell r="E1058" t="str">
            <v>20</v>
          </cell>
          <cell r="T1058">
            <v>3.02</v>
          </cell>
          <cell r="AG1058">
            <v>0</v>
          </cell>
        </row>
        <row r="1059">
          <cell r="A1059" t="str">
            <v>04</v>
          </cell>
          <cell r="E1059" t="str">
            <v>2A</v>
          </cell>
          <cell r="T1059">
            <v>2.9</v>
          </cell>
          <cell r="AG1059">
            <v>0</v>
          </cell>
        </row>
        <row r="1060">
          <cell r="A1060" t="str">
            <v>04</v>
          </cell>
          <cell r="E1060" t="str">
            <v>2A</v>
          </cell>
          <cell r="T1060">
            <v>3.17</v>
          </cell>
          <cell r="AG1060">
            <v>0</v>
          </cell>
        </row>
        <row r="1061">
          <cell r="A1061" t="str">
            <v>04</v>
          </cell>
          <cell r="E1061" t="str">
            <v>2A</v>
          </cell>
          <cell r="T1061">
            <v>3.44</v>
          </cell>
          <cell r="AG1061">
            <v>0</v>
          </cell>
        </row>
        <row r="1062">
          <cell r="A1062" t="str">
            <v>04</v>
          </cell>
          <cell r="E1062" t="str">
            <v>2A</v>
          </cell>
          <cell r="T1062">
            <v>1.83</v>
          </cell>
          <cell r="AG1062">
            <v>0</v>
          </cell>
        </row>
        <row r="1063">
          <cell r="A1063" t="str">
            <v>04</v>
          </cell>
          <cell r="E1063" t="str">
            <v>2A</v>
          </cell>
          <cell r="T1063">
            <v>3.14</v>
          </cell>
          <cell r="AG1063">
            <v>0</v>
          </cell>
        </row>
        <row r="1064">
          <cell r="A1064" t="str">
            <v>04</v>
          </cell>
          <cell r="E1064" t="str">
            <v>2A</v>
          </cell>
          <cell r="T1064">
            <v>3.06</v>
          </cell>
          <cell r="AG1064">
            <v>0</v>
          </cell>
        </row>
        <row r="1065">
          <cell r="A1065" t="str">
            <v>04</v>
          </cell>
          <cell r="E1065" t="str">
            <v>2A</v>
          </cell>
          <cell r="T1065">
            <v>4.71</v>
          </cell>
          <cell r="AG1065">
            <v>0</v>
          </cell>
        </row>
        <row r="1066">
          <cell r="A1066" t="str">
            <v>04</v>
          </cell>
          <cell r="E1066" t="str">
            <v>2A</v>
          </cell>
          <cell r="T1066">
            <v>3.46</v>
          </cell>
          <cell r="AG1066">
            <v>0</v>
          </cell>
        </row>
        <row r="1067">
          <cell r="A1067" t="str">
            <v>04</v>
          </cell>
          <cell r="E1067" t="str">
            <v>2A</v>
          </cell>
          <cell r="T1067">
            <v>3.51</v>
          </cell>
          <cell r="AG1067">
            <v>0</v>
          </cell>
        </row>
        <row r="1068">
          <cell r="A1068" t="str">
            <v>04</v>
          </cell>
          <cell r="E1068" t="str">
            <v>2A</v>
          </cell>
          <cell r="T1068">
            <v>3.1</v>
          </cell>
          <cell r="AG1068">
            <v>0</v>
          </cell>
        </row>
        <row r="1069">
          <cell r="A1069" t="str">
            <v>04</v>
          </cell>
          <cell r="E1069" t="str">
            <v>2A</v>
          </cell>
          <cell r="T1069">
            <v>3.19</v>
          </cell>
          <cell r="AG1069">
            <v>0</v>
          </cell>
        </row>
        <row r="1070">
          <cell r="A1070" t="str">
            <v>04</v>
          </cell>
          <cell r="E1070" t="str">
            <v>20</v>
          </cell>
          <cell r="T1070">
            <v>2.63</v>
          </cell>
          <cell r="AG1070">
            <v>0</v>
          </cell>
        </row>
        <row r="1071">
          <cell r="A1071" t="str">
            <v>04</v>
          </cell>
          <cell r="E1071" t="str">
            <v>20</v>
          </cell>
          <cell r="T1071">
            <v>3.16</v>
          </cell>
          <cell r="AG1071">
            <v>0</v>
          </cell>
        </row>
        <row r="1072">
          <cell r="A1072" t="str">
            <v>04</v>
          </cell>
          <cell r="E1072" t="str">
            <v>20</v>
          </cell>
          <cell r="T1072">
            <v>2.89</v>
          </cell>
          <cell r="AG1072">
            <v>0</v>
          </cell>
        </row>
        <row r="1073">
          <cell r="A1073" t="str">
            <v>04</v>
          </cell>
          <cell r="E1073" t="str">
            <v>20</v>
          </cell>
          <cell r="T1073">
            <v>2.81</v>
          </cell>
          <cell r="AG1073">
            <v>0</v>
          </cell>
        </row>
        <row r="1074">
          <cell r="A1074" t="str">
            <v>04</v>
          </cell>
          <cell r="E1074" t="str">
            <v>20</v>
          </cell>
          <cell r="T1074">
            <v>3.65</v>
          </cell>
          <cell r="AG1074">
            <v>0</v>
          </cell>
        </row>
        <row r="1075">
          <cell r="A1075" t="str">
            <v>04</v>
          </cell>
          <cell r="E1075" t="str">
            <v>20</v>
          </cell>
          <cell r="T1075">
            <v>3.23</v>
          </cell>
          <cell r="AG1075">
            <v>0</v>
          </cell>
        </row>
        <row r="1076">
          <cell r="A1076" t="str">
            <v>04</v>
          </cell>
          <cell r="E1076" t="str">
            <v>20</v>
          </cell>
          <cell r="T1076">
            <v>3.63</v>
          </cell>
          <cell r="AG1076">
            <v>0</v>
          </cell>
        </row>
        <row r="1077">
          <cell r="A1077" t="str">
            <v>04</v>
          </cell>
          <cell r="E1077" t="str">
            <v>20</v>
          </cell>
          <cell r="T1077">
            <v>3.41</v>
          </cell>
          <cell r="AG1077">
            <v>0</v>
          </cell>
        </row>
        <row r="1078">
          <cell r="A1078" t="str">
            <v>04</v>
          </cell>
          <cell r="E1078" t="str">
            <v>2A</v>
          </cell>
          <cell r="T1078">
            <v>2.96</v>
          </cell>
          <cell r="AG1078">
            <v>0</v>
          </cell>
        </row>
        <row r="1079">
          <cell r="A1079" t="str">
            <v>04</v>
          </cell>
          <cell r="E1079" t="str">
            <v>2A</v>
          </cell>
          <cell r="T1079">
            <v>3</v>
          </cell>
          <cell r="AG1079">
            <v>0</v>
          </cell>
        </row>
        <row r="1080">
          <cell r="A1080" t="str">
            <v>04</v>
          </cell>
          <cell r="E1080" t="str">
            <v>2A</v>
          </cell>
          <cell r="T1080">
            <v>3.69</v>
          </cell>
          <cell r="AG1080">
            <v>0</v>
          </cell>
        </row>
        <row r="1081">
          <cell r="A1081" t="str">
            <v>04</v>
          </cell>
          <cell r="E1081" t="str">
            <v>2A</v>
          </cell>
          <cell r="T1081">
            <v>2.21</v>
          </cell>
          <cell r="AG1081">
            <v>0</v>
          </cell>
        </row>
        <row r="1082">
          <cell r="A1082" t="str">
            <v>04</v>
          </cell>
          <cell r="E1082" t="str">
            <v>2A</v>
          </cell>
          <cell r="T1082">
            <v>3.88</v>
          </cell>
          <cell r="AG1082">
            <v>0</v>
          </cell>
        </row>
        <row r="1083">
          <cell r="A1083" t="str">
            <v>04</v>
          </cell>
          <cell r="E1083" t="str">
            <v>2A</v>
          </cell>
          <cell r="T1083">
            <v>4.0599999999999996</v>
          </cell>
          <cell r="AG1083">
            <v>0</v>
          </cell>
        </row>
        <row r="1084">
          <cell r="A1084" t="str">
            <v>04</v>
          </cell>
          <cell r="E1084" t="str">
            <v>2A</v>
          </cell>
          <cell r="T1084">
            <v>3.14</v>
          </cell>
          <cell r="AG1084">
            <v>0</v>
          </cell>
        </row>
        <row r="1085">
          <cell r="A1085" t="str">
            <v>04</v>
          </cell>
          <cell r="E1085" t="str">
            <v>2A</v>
          </cell>
          <cell r="T1085">
            <v>2.95</v>
          </cell>
          <cell r="AG1085">
            <v>0</v>
          </cell>
        </row>
        <row r="1086">
          <cell r="A1086" t="str">
            <v>04</v>
          </cell>
          <cell r="E1086" t="str">
            <v>2A</v>
          </cell>
          <cell r="T1086">
            <v>4.17</v>
          </cell>
          <cell r="AG1086">
            <v>0</v>
          </cell>
        </row>
        <row r="1087">
          <cell r="A1087" t="str">
            <v>04</v>
          </cell>
          <cell r="E1087" t="str">
            <v>20</v>
          </cell>
          <cell r="T1087">
            <v>4.3499999999999996</v>
          </cell>
          <cell r="AG1087">
            <v>0</v>
          </cell>
        </row>
        <row r="1088">
          <cell r="A1088" t="str">
            <v>04</v>
          </cell>
          <cell r="E1088" t="str">
            <v>20</v>
          </cell>
          <cell r="T1088">
            <v>1.37</v>
          </cell>
          <cell r="AG1088">
            <v>0</v>
          </cell>
        </row>
        <row r="1089">
          <cell r="A1089" t="str">
            <v>04</v>
          </cell>
          <cell r="E1089" t="str">
            <v>20</v>
          </cell>
          <cell r="T1089">
            <v>2.5</v>
          </cell>
          <cell r="AG1089">
            <v>0</v>
          </cell>
        </row>
        <row r="1090">
          <cell r="A1090" t="str">
            <v>04</v>
          </cell>
          <cell r="E1090" t="str">
            <v>20</v>
          </cell>
          <cell r="T1090">
            <v>2.9</v>
          </cell>
          <cell r="AG1090">
            <v>0</v>
          </cell>
        </row>
        <row r="1091">
          <cell r="A1091" t="str">
            <v>04</v>
          </cell>
          <cell r="E1091" t="str">
            <v>24</v>
          </cell>
          <cell r="T1091">
            <v>2.88</v>
          </cell>
          <cell r="AG1091">
            <v>0</v>
          </cell>
        </row>
        <row r="1092">
          <cell r="A1092" t="str">
            <v>04</v>
          </cell>
          <cell r="E1092" t="str">
            <v>24</v>
          </cell>
          <cell r="T1092">
            <v>2.4</v>
          </cell>
          <cell r="AG1092">
            <v>0</v>
          </cell>
        </row>
        <row r="1093">
          <cell r="A1093" t="str">
            <v>04</v>
          </cell>
          <cell r="E1093" t="str">
            <v>20</v>
          </cell>
          <cell r="T1093">
            <v>2.2599999999999998</v>
          </cell>
          <cell r="AG1093">
            <v>0</v>
          </cell>
        </row>
        <row r="1094">
          <cell r="A1094" t="str">
            <v>04</v>
          </cell>
          <cell r="E1094" t="str">
            <v>20</v>
          </cell>
          <cell r="T1094">
            <v>3.49</v>
          </cell>
          <cell r="AG1094">
            <v>0</v>
          </cell>
        </row>
        <row r="1095">
          <cell r="A1095" t="str">
            <v>04</v>
          </cell>
          <cell r="E1095" t="str">
            <v>20</v>
          </cell>
          <cell r="T1095">
            <v>3.87</v>
          </cell>
          <cell r="AG1095">
            <v>0</v>
          </cell>
        </row>
        <row r="1096">
          <cell r="A1096" t="str">
            <v>04</v>
          </cell>
          <cell r="E1096" t="str">
            <v>20</v>
          </cell>
          <cell r="T1096">
            <v>3.87</v>
          </cell>
          <cell r="AG1096">
            <v>0</v>
          </cell>
        </row>
        <row r="1097">
          <cell r="A1097" t="str">
            <v>04</v>
          </cell>
          <cell r="E1097" t="str">
            <v>20</v>
          </cell>
          <cell r="T1097">
            <v>3.87</v>
          </cell>
          <cell r="AG1097">
            <v>0</v>
          </cell>
        </row>
        <row r="1098">
          <cell r="A1098" t="str">
            <v>04</v>
          </cell>
          <cell r="E1098" t="str">
            <v>20</v>
          </cell>
          <cell r="T1098">
            <v>3.87</v>
          </cell>
          <cell r="AG1098">
            <v>0</v>
          </cell>
        </row>
        <row r="1099">
          <cell r="A1099" t="str">
            <v>04</v>
          </cell>
          <cell r="E1099" t="str">
            <v>20</v>
          </cell>
          <cell r="T1099">
            <v>3.44</v>
          </cell>
          <cell r="AG1099">
            <v>0</v>
          </cell>
        </row>
        <row r="1100">
          <cell r="A1100" t="str">
            <v>04</v>
          </cell>
          <cell r="E1100" t="str">
            <v>20</v>
          </cell>
          <cell r="T1100">
            <v>3.55</v>
          </cell>
          <cell r="AG1100">
            <v>0</v>
          </cell>
        </row>
        <row r="1101">
          <cell r="A1101" t="str">
            <v>04</v>
          </cell>
          <cell r="E1101" t="str">
            <v>2A</v>
          </cell>
          <cell r="T1101">
            <v>1.57</v>
          </cell>
          <cell r="AG1101">
            <v>0</v>
          </cell>
        </row>
        <row r="1102">
          <cell r="A1102" t="str">
            <v>04</v>
          </cell>
          <cell r="E1102" t="str">
            <v>2A</v>
          </cell>
          <cell r="T1102">
            <v>3.25</v>
          </cell>
          <cell r="AG1102">
            <v>0</v>
          </cell>
        </row>
        <row r="1103">
          <cell r="A1103" t="str">
            <v>04</v>
          </cell>
          <cell r="E1103" t="str">
            <v>2A</v>
          </cell>
          <cell r="T1103">
            <v>3.21</v>
          </cell>
          <cell r="AG1103">
            <v>0</v>
          </cell>
        </row>
        <row r="1104">
          <cell r="A1104" t="str">
            <v>04</v>
          </cell>
          <cell r="E1104" t="str">
            <v>2A</v>
          </cell>
          <cell r="T1104">
            <v>3.02</v>
          </cell>
          <cell r="AG1104">
            <v>0</v>
          </cell>
        </row>
        <row r="1105">
          <cell r="A1105" t="str">
            <v>04</v>
          </cell>
          <cell r="E1105" t="str">
            <v>2A</v>
          </cell>
          <cell r="T1105">
            <v>3.06</v>
          </cell>
          <cell r="AG1105">
            <v>0</v>
          </cell>
        </row>
        <row r="1106">
          <cell r="A1106" t="str">
            <v>04</v>
          </cell>
          <cell r="E1106" t="str">
            <v>2A</v>
          </cell>
          <cell r="T1106">
            <v>3.44</v>
          </cell>
          <cell r="AG1106">
            <v>0</v>
          </cell>
        </row>
        <row r="1107">
          <cell r="A1107" t="str">
            <v>04</v>
          </cell>
          <cell r="E1107" t="str">
            <v>2A</v>
          </cell>
          <cell r="T1107">
            <v>2.4900000000000002</v>
          </cell>
          <cell r="AG1107">
            <v>0</v>
          </cell>
        </row>
      </sheetData>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BUD CC Pull"/>
      <sheetName val="2014 A53 Division Expense"/>
    </sheetNames>
    <sheetDataSet>
      <sheetData sheetId="0"/>
      <sheetData sheetId="1">
        <row r="51">
          <cell r="G51">
            <v>0.99999999999999978</v>
          </cell>
          <cell r="H51">
            <v>0.1219733494752763</v>
          </cell>
          <cell r="I51">
            <v>4.9422062947085649E-2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tFee"/>
      <sheetName val="MGtFee_Staff"/>
      <sheetName val="2014 BUD CC Pull"/>
      <sheetName val="2014 A53 Division Expense"/>
      <sheetName val="Essbase Mgmt Fee"/>
    </sheetNames>
    <sheetDataSet>
      <sheetData sheetId="0"/>
      <sheetData sheetId="1"/>
      <sheetData sheetId="2">
        <row r="8">
          <cell r="S8">
            <v>3.6151871736498265E-3</v>
          </cell>
        </row>
        <row r="9">
          <cell r="S9">
            <v>8.9222598624068422E-3</v>
          </cell>
        </row>
        <row r="10">
          <cell r="S10">
            <v>7.3149256790848077E-2</v>
          </cell>
        </row>
      </sheetData>
      <sheetData sheetId="3">
        <row r="47">
          <cell r="B47">
            <v>25174350.569999997</v>
          </cell>
        </row>
        <row r="51">
          <cell r="B51">
            <v>344150462.69</v>
          </cell>
        </row>
      </sheetData>
      <sheetData sheetId="4">
        <row r="33">
          <cell r="B33">
            <v>1034611.93</v>
          </cell>
          <cell r="C33">
            <v>8.1674482553220865E-2</v>
          </cell>
        </row>
        <row r="34">
          <cell r="B34">
            <v>480567.54</v>
          </cell>
          <cell r="C34">
            <v>3.7937031289958414E-2</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iner"/>
      <sheetName val="Essbase"/>
    </sheetNames>
    <sheetDataSet>
      <sheetData sheetId="0">
        <row r="85">
          <cell r="B85">
            <v>61583</v>
          </cell>
          <cell r="C85">
            <v>200422</v>
          </cell>
          <cell r="D85">
            <v>76243</v>
          </cell>
          <cell r="E85">
            <v>250918</v>
          </cell>
          <cell r="F85">
            <v>68017</v>
          </cell>
          <cell r="G85">
            <v>222093</v>
          </cell>
          <cell r="H85">
            <v>35767</v>
          </cell>
          <cell r="I85">
            <v>128665</v>
          </cell>
          <cell r="J85">
            <v>39905</v>
          </cell>
          <cell r="K85">
            <v>307758</v>
          </cell>
        </row>
        <row r="91">
          <cell r="B91">
            <v>29590</v>
          </cell>
          <cell r="C91">
            <v>103270</v>
          </cell>
          <cell r="D91">
            <v>50957</v>
          </cell>
          <cell r="E91">
            <v>225619</v>
          </cell>
          <cell r="F91">
            <v>68018</v>
          </cell>
          <cell r="G91">
            <v>222094</v>
          </cell>
          <cell r="H91">
            <v>29593</v>
          </cell>
          <cell r="I91">
            <v>82797</v>
          </cell>
          <cell r="J91">
            <v>14498</v>
          </cell>
          <cell r="K91">
            <v>221800</v>
          </cell>
        </row>
        <row r="92">
          <cell r="B92">
            <v>31993</v>
          </cell>
          <cell r="C92">
            <v>97152</v>
          </cell>
          <cell r="D92">
            <v>25286</v>
          </cell>
          <cell r="E92">
            <v>25298</v>
          </cell>
          <cell r="F92">
            <v>0</v>
          </cell>
          <cell r="G92">
            <v>0</v>
          </cell>
          <cell r="H92">
            <v>6174</v>
          </cell>
          <cell r="I92">
            <v>45868</v>
          </cell>
          <cell r="J92">
            <v>25407</v>
          </cell>
          <cell r="K92">
            <v>85958</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si WUTC Calc"/>
      <sheetName val="Comm WUTC Calc"/>
      <sheetName val="Route Breakdown"/>
      <sheetName val="Drive-by Calc"/>
      <sheetName val="Comm Route Breakdown"/>
      <sheetName val="Annual Resi Hrs"/>
      <sheetName val="Annual Comm Hrs"/>
      <sheetName val="Route Detail (Sum)"/>
      <sheetName val="Roll-off Hours (Sum)"/>
      <sheetName val="Route Detail"/>
      <sheetName val="Roll-off Hours"/>
    </sheetNames>
    <sheetDataSet>
      <sheetData sheetId="0">
        <row r="5">
          <cell r="D5">
            <v>2767.912462981621</v>
          </cell>
        </row>
        <row r="6">
          <cell r="D6">
            <v>0</v>
          </cell>
        </row>
        <row r="8">
          <cell r="D8">
            <v>1166.5297279124616</v>
          </cell>
        </row>
        <row r="10">
          <cell r="D10">
            <v>8747.4608414836148</v>
          </cell>
        </row>
        <row r="11">
          <cell r="D11">
            <v>6587.9376520929654</v>
          </cell>
        </row>
        <row r="12">
          <cell r="D12">
            <v>5276.8363147552082</v>
          </cell>
        </row>
        <row r="14">
          <cell r="D14">
            <v>634.75000000000011</v>
          </cell>
        </row>
        <row r="22">
          <cell r="F22">
            <v>0.14344888907984618</v>
          </cell>
        </row>
        <row r="27">
          <cell r="D27">
            <v>0.26161891668393106</v>
          </cell>
        </row>
        <row r="28">
          <cell r="D28">
            <v>0.20955271180292639</v>
          </cell>
        </row>
        <row r="29">
          <cell r="D29">
            <v>4.6325004851723577E-2</v>
          </cell>
        </row>
        <row r="30">
          <cell r="D30">
            <v>0.48250336666141902</v>
          </cell>
        </row>
        <row r="36">
          <cell r="G36">
            <v>0.23635453981543936</v>
          </cell>
          <cell r="H36">
            <v>0.18931633611607324</v>
          </cell>
          <cell r="I36">
            <v>4.1851427803689965E-2</v>
          </cell>
          <cell r="J36">
            <v>0.53247769626479735</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ff Compare and Adj"/>
      <sheetName val="Recon &amp; PF Adj Staff"/>
      <sheetName val="Summary Calcs"/>
      <sheetName val="PR295"/>
      <sheetName val="2015 L&amp;I Staff"/>
      <sheetName val="Union Info"/>
      <sheetName val="New hires"/>
      <sheetName val="Staff Payroll Table"/>
      <sheetName val="New Hire Reprt Staff"/>
      <sheetName val="Termination Reprt Staff"/>
      <sheetName val="Benefits"/>
      <sheetName val="4172 Rates"/>
    </sheetNames>
    <sheetDataSet>
      <sheetData sheetId="0">
        <row r="13">
          <cell r="D13">
            <v>5785488.7811053991</v>
          </cell>
        </row>
        <row r="14">
          <cell r="D14">
            <v>73365.474999999991</v>
          </cell>
        </row>
        <row r="15">
          <cell r="E15">
            <v>-5457.116001919494</v>
          </cell>
        </row>
        <row r="18">
          <cell r="D18">
            <v>541261.89761373459</v>
          </cell>
        </row>
        <row r="19">
          <cell r="D19">
            <v>6936.5999158903487</v>
          </cell>
        </row>
        <row r="20">
          <cell r="D20">
            <v>172349.64146258024</v>
          </cell>
        </row>
        <row r="21">
          <cell r="D21">
            <v>93467.115689124184</v>
          </cell>
        </row>
        <row r="22">
          <cell r="D22">
            <v>2908716.4399999985</v>
          </cell>
        </row>
        <row r="25">
          <cell r="D25">
            <v>452021.44</v>
          </cell>
        </row>
        <row r="26">
          <cell r="D26">
            <v>301038.99296747398</v>
          </cell>
        </row>
        <row r="27">
          <cell r="D27">
            <v>68423.435524080487</v>
          </cell>
        </row>
        <row r="28">
          <cell r="D28">
            <v>806.16467150954429</v>
          </cell>
        </row>
        <row r="29">
          <cell r="D29">
            <v>11747.852792884747</v>
          </cell>
        </row>
        <row r="30">
          <cell r="D30">
            <v>28946.950122846541</v>
          </cell>
        </row>
        <row r="31">
          <cell r="D31">
            <v>184879.57000000007</v>
          </cell>
        </row>
        <row r="33">
          <cell r="D33">
            <v>9962.69</v>
          </cell>
        </row>
        <row r="51">
          <cell r="D51">
            <v>557980.69240973808</v>
          </cell>
        </row>
        <row r="52">
          <cell r="D52">
            <v>52962.495103692701</v>
          </cell>
        </row>
        <row r="53">
          <cell r="D53">
            <v>0</v>
          </cell>
        </row>
        <row r="54">
          <cell r="D54">
            <v>8782.624908612026</v>
          </cell>
        </row>
        <row r="55">
          <cell r="D55">
            <v>9556.0859935846656</v>
          </cell>
        </row>
        <row r="56">
          <cell r="D56">
            <v>67326.799999999916</v>
          </cell>
        </row>
        <row r="57">
          <cell r="D57">
            <v>6464.3300000000008</v>
          </cell>
        </row>
        <row r="59">
          <cell r="D59">
            <v>407450.87597678613</v>
          </cell>
        </row>
        <row r="60">
          <cell r="D60">
            <v>196560.06561514197</v>
          </cell>
        </row>
        <row r="61">
          <cell r="D61">
            <v>53294.79729297445</v>
          </cell>
        </row>
        <row r="62">
          <cell r="D62">
            <v>6102.780048982404</v>
          </cell>
        </row>
        <row r="63">
          <cell r="D63">
            <v>6438.9536403785487</v>
          </cell>
        </row>
        <row r="64">
          <cell r="D64">
            <v>37264.159999999989</v>
          </cell>
        </row>
        <row r="65">
          <cell r="D65">
            <v>17291.060000000005</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M260 Asset Listing"/>
    </sheetNames>
    <sheetDataSet>
      <sheetData sheetId="0"/>
      <sheetData sheetId="1">
        <row r="792">
          <cell r="AV792">
            <v>381873.49490436824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260 Asset Listing"/>
      <sheetName val="Summary"/>
      <sheetName val="Summary (Staff)"/>
      <sheetName val="Staff Depreciation"/>
    </sheetNames>
    <sheetDataSet>
      <sheetData sheetId="0">
        <row r="12">
          <cell r="AZ12">
            <v>0</v>
          </cell>
          <cell r="BG12">
            <v>0</v>
          </cell>
        </row>
        <row r="25">
          <cell r="AZ25">
            <v>3086.0116666662843</v>
          </cell>
          <cell r="BG25">
            <v>8887.7341666668581</v>
          </cell>
        </row>
        <row r="26">
          <cell r="AZ26">
            <v>1342.076</v>
          </cell>
          <cell r="BG26">
            <v>19348.262333333434</v>
          </cell>
        </row>
        <row r="27">
          <cell r="AZ27">
            <v>2441.5446666666667</v>
          </cell>
          <cell r="BG27">
            <v>26450.067222222591</v>
          </cell>
        </row>
        <row r="28">
          <cell r="AZ28">
            <v>492.69749999999999</v>
          </cell>
          <cell r="BG28">
            <v>5337.5562500000369</v>
          </cell>
        </row>
        <row r="29">
          <cell r="AZ29">
            <v>2004.3375000000001</v>
          </cell>
          <cell r="BG29">
            <v>21713.656250000153</v>
          </cell>
        </row>
        <row r="30">
          <cell r="AZ30">
            <v>207.5</v>
          </cell>
          <cell r="BG30">
            <v>1383.3333333333489</v>
          </cell>
        </row>
        <row r="31">
          <cell r="AZ31">
            <v>882.5</v>
          </cell>
          <cell r="BG31">
            <v>5883.3333333333994</v>
          </cell>
        </row>
        <row r="32">
          <cell r="AZ32">
            <v>0</v>
          </cell>
          <cell r="BG32">
            <v>44258.805</v>
          </cell>
        </row>
        <row r="33">
          <cell r="AZ33">
            <v>0</v>
          </cell>
          <cell r="BG33">
            <v>0</v>
          </cell>
        </row>
        <row r="34">
          <cell r="AZ34">
            <v>378.33333333333337</v>
          </cell>
          <cell r="BG34">
            <v>4193.1944444445016</v>
          </cell>
        </row>
        <row r="35">
          <cell r="AZ35">
            <v>240.33333333333334</v>
          </cell>
          <cell r="BG35">
            <v>2663.6944444444807</v>
          </cell>
        </row>
        <row r="36">
          <cell r="AZ36">
            <v>718.66666666666663</v>
          </cell>
          <cell r="BG36">
            <v>7965.2222222223309</v>
          </cell>
        </row>
        <row r="37">
          <cell r="AZ37">
            <v>333.16666666666669</v>
          </cell>
          <cell r="BG37">
            <v>3692.5972222222726</v>
          </cell>
        </row>
        <row r="38">
          <cell r="AZ38">
            <v>663.33333333333337</v>
          </cell>
          <cell r="BG38">
            <v>7351.9444444445453</v>
          </cell>
        </row>
        <row r="39">
          <cell r="AZ39">
            <v>925.83400000000006</v>
          </cell>
          <cell r="BG39">
            <v>10261.326833333474</v>
          </cell>
        </row>
        <row r="40">
          <cell r="AZ40">
            <v>199</v>
          </cell>
          <cell r="BG40">
            <v>2205.5833333333635</v>
          </cell>
        </row>
        <row r="41">
          <cell r="AZ41">
            <v>224.59999999999997</v>
          </cell>
          <cell r="BG41">
            <v>2489.3166666667012</v>
          </cell>
        </row>
        <row r="42">
          <cell r="AZ42">
            <v>618.83333333333326</v>
          </cell>
          <cell r="BG42">
            <v>6858.736111111205</v>
          </cell>
        </row>
        <row r="43">
          <cell r="AZ43">
            <v>245.43333333333334</v>
          </cell>
          <cell r="BG43">
            <v>2720.2194444444817</v>
          </cell>
        </row>
        <row r="44">
          <cell r="AZ44">
            <v>147.44466666666668</v>
          </cell>
          <cell r="BG44">
            <v>1634.1783888889113</v>
          </cell>
        </row>
        <row r="45">
          <cell r="AZ45">
            <v>103.11133333333333</v>
          </cell>
          <cell r="BG45">
            <v>1142.8172777777936</v>
          </cell>
        </row>
        <row r="46">
          <cell r="AZ46">
            <v>217.37733333333335</v>
          </cell>
          <cell r="BG46">
            <v>2409.265444444477</v>
          </cell>
        </row>
        <row r="47">
          <cell r="AZ47">
            <v>198.16666666666669</v>
          </cell>
          <cell r="BG47">
            <v>2196.3472222222522</v>
          </cell>
        </row>
        <row r="48">
          <cell r="AZ48">
            <v>122.3</v>
          </cell>
          <cell r="BG48">
            <v>1355.4916666666854</v>
          </cell>
        </row>
        <row r="49">
          <cell r="AZ49">
            <v>155.77800000000002</v>
          </cell>
          <cell r="BG49">
            <v>1726.5395000000235</v>
          </cell>
        </row>
        <row r="50">
          <cell r="AZ50">
            <v>184.04466666666667</v>
          </cell>
          <cell r="BG50">
            <v>2039.8283888889168</v>
          </cell>
        </row>
        <row r="51">
          <cell r="AZ51">
            <v>236.11066666666665</v>
          </cell>
          <cell r="BG51">
            <v>2616.8932222222579</v>
          </cell>
        </row>
        <row r="52">
          <cell r="AZ52">
            <v>122.30066666666666</v>
          </cell>
          <cell r="BG52">
            <v>1355.4990555555742</v>
          </cell>
        </row>
        <row r="53">
          <cell r="AZ53">
            <v>274.5</v>
          </cell>
          <cell r="BG53">
            <v>3042.3750000000418</v>
          </cell>
        </row>
        <row r="54">
          <cell r="AZ54">
            <v>469.81466666666665</v>
          </cell>
          <cell r="BG54">
            <v>5207.1125555556273</v>
          </cell>
        </row>
        <row r="55">
          <cell r="AZ55">
            <v>461.14800000000002</v>
          </cell>
          <cell r="BG55">
            <v>5111.0570000000698</v>
          </cell>
        </row>
        <row r="56">
          <cell r="AZ56">
            <v>248.14799999999997</v>
          </cell>
          <cell r="BG56">
            <v>2750.3070000000375</v>
          </cell>
        </row>
        <row r="57">
          <cell r="AZ57">
            <v>243.81466666666665</v>
          </cell>
          <cell r="BG57">
            <v>2702.2792222222588</v>
          </cell>
        </row>
        <row r="58">
          <cell r="AZ58">
            <v>70.814666666666668</v>
          </cell>
          <cell r="BG58">
            <v>784.86255555556636</v>
          </cell>
        </row>
        <row r="59">
          <cell r="AZ59">
            <v>647.14799999999991</v>
          </cell>
          <cell r="BG59">
            <v>7172.5570000000971</v>
          </cell>
        </row>
        <row r="60">
          <cell r="AZ60">
            <v>678.48133333333328</v>
          </cell>
          <cell r="BG60">
            <v>7519.8347777778799</v>
          </cell>
        </row>
        <row r="61">
          <cell r="AZ61">
            <v>70.814666666666668</v>
          </cell>
          <cell r="BG61">
            <v>784.86255555556636</v>
          </cell>
        </row>
        <row r="62">
          <cell r="AZ62">
            <v>70.814666666666668</v>
          </cell>
          <cell r="BG62">
            <v>784.86255555556636</v>
          </cell>
        </row>
        <row r="63">
          <cell r="AZ63">
            <v>631.24466666666672</v>
          </cell>
          <cell r="BG63">
            <v>6996.2950555556508</v>
          </cell>
        </row>
        <row r="64">
          <cell r="AZ64">
            <v>406.44466666666665</v>
          </cell>
          <cell r="BG64">
            <v>4504.7617222222834</v>
          </cell>
        </row>
        <row r="65">
          <cell r="AZ65">
            <v>256.57799999999997</v>
          </cell>
          <cell r="BG65">
            <v>2843.7395000000388</v>
          </cell>
        </row>
        <row r="66">
          <cell r="AZ66">
            <v>149.39999999999998</v>
          </cell>
          <cell r="BG66">
            <v>1655.8500000000226</v>
          </cell>
        </row>
        <row r="67">
          <cell r="AZ67">
            <v>74</v>
          </cell>
          <cell r="BG67">
            <v>820.16666666667788</v>
          </cell>
        </row>
        <row r="68">
          <cell r="AZ68">
            <v>403.6</v>
          </cell>
          <cell r="BG68">
            <v>4473.2333333333945</v>
          </cell>
        </row>
        <row r="69">
          <cell r="AZ69">
            <v>305.8</v>
          </cell>
          <cell r="BG69">
            <v>3389.2833333333797</v>
          </cell>
        </row>
        <row r="70">
          <cell r="AZ70">
            <v>436.13333333333333</v>
          </cell>
          <cell r="BG70">
            <v>4833.8111111111775</v>
          </cell>
        </row>
        <row r="71">
          <cell r="AZ71">
            <v>463.3</v>
          </cell>
          <cell r="BG71">
            <v>5134.9083333334038</v>
          </cell>
        </row>
        <row r="72">
          <cell r="AZ72">
            <v>550.76666666666665</v>
          </cell>
          <cell r="BG72">
            <v>6104.330555555639</v>
          </cell>
        </row>
        <row r="73">
          <cell r="AZ73">
            <v>89.699999999999989</v>
          </cell>
          <cell r="BG73">
            <v>994.17500000001371</v>
          </cell>
        </row>
        <row r="74">
          <cell r="AZ74">
            <v>484.9</v>
          </cell>
          <cell r="BG74">
            <v>5374.3083333334071</v>
          </cell>
        </row>
        <row r="75">
          <cell r="AZ75">
            <v>230.93333333333334</v>
          </cell>
          <cell r="BG75">
            <v>2694.2222222222395</v>
          </cell>
        </row>
        <row r="76">
          <cell r="AZ76">
            <v>919.33333333333337</v>
          </cell>
          <cell r="BG76">
            <v>10725.555555555624</v>
          </cell>
        </row>
        <row r="77">
          <cell r="AZ77">
            <v>361.6</v>
          </cell>
          <cell r="BG77">
            <v>4218.6666666666943</v>
          </cell>
        </row>
        <row r="78">
          <cell r="AZ78">
            <v>52.866666666666674</v>
          </cell>
          <cell r="BG78">
            <v>616.77777777778169</v>
          </cell>
        </row>
        <row r="79">
          <cell r="AZ79">
            <v>356.66666666666663</v>
          </cell>
          <cell r="BG79">
            <v>4161.1111111111386</v>
          </cell>
        </row>
        <row r="80">
          <cell r="AZ80">
            <v>584.16666666666674</v>
          </cell>
          <cell r="BG80">
            <v>6863.958333333333</v>
          </cell>
        </row>
        <row r="81">
          <cell r="AZ81">
            <v>709.16666666666663</v>
          </cell>
          <cell r="BG81">
            <v>8332.7083333333321</v>
          </cell>
        </row>
        <row r="82">
          <cell r="AZ82">
            <v>1445.8333333333335</v>
          </cell>
          <cell r="BG82">
            <v>16988.541666666664</v>
          </cell>
        </row>
        <row r="83">
          <cell r="AZ83">
            <v>73.221999999999994</v>
          </cell>
          <cell r="BG83">
            <v>860.35849999999994</v>
          </cell>
        </row>
        <row r="84">
          <cell r="AZ84">
            <v>136.62200000000001</v>
          </cell>
          <cell r="BG84">
            <v>1605.3084999999999</v>
          </cell>
        </row>
        <row r="85">
          <cell r="AZ85">
            <v>136.62266666666667</v>
          </cell>
          <cell r="BG85">
            <v>1605.3163333333334</v>
          </cell>
        </row>
        <row r="86">
          <cell r="AZ86">
            <v>113.02199999999999</v>
          </cell>
          <cell r="BG86">
            <v>1328.0084999999999</v>
          </cell>
        </row>
        <row r="87">
          <cell r="AZ87">
            <v>120.62199999999999</v>
          </cell>
          <cell r="BG87">
            <v>1417.3085000000001</v>
          </cell>
        </row>
        <row r="88">
          <cell r="AZ88">
            <v>303.88933333333335</v>
          </cell>
          <cell r="BG88">
            <v>3570.6996666666669</v>
          </cell>
        </row>
        <row r="89">
          <cell r="AZ89">
            <v>508</v>
          </cell>
          <cell r="BG89">
            <v>5969</v>
          </cell>
        </row>
        <row r="90">
          <cell r="AZ90">
            <v>72.066666666666663</v>
          </cell>
          <cell r="BG90">
            <v>846.7833333333333</v>
          </cell>
        </row>
        <row r="91">
          <cell r="AZ91">
            <v>484.66666666666663</v>
          </cell>
          <cell r="BG91">
            <v>5694.8333333333339</v>
          </cell>
        </row>
        <row r="92">
          <cell r="AZ92">
            <v>64.289333333333332</v>
          </cell>
          <cell r="BG92">
            <v>755.39966666666669</v>
          </cell>
        </row>
        <row r="93">
          <cell r="AZ93">
            <v>210.48866666666666</v>
          </cell>
          <cell r="BG93">
            <v>2473.2418333333335</v>
          </cell>
        </row>
        <row r="94">
          <cell r="AZ94">
            <v>246.22199999999998</v>
          </cell>
          <cell r="BG94">
            <v>2893.1085000000003</v>
          </cell>
        </row>
        <row r="95">
          <cell r="AZ95">
            <v>213.60000000000002</v>
          </cell>
          <cell r="BG95">
            <v>2509.8000000000002</v>
          </cell>
        </row>
        <row r="96">
          <cell r="AZ96">
            <v>457.26666666666665</v>
          </cell>
          <cell r="BG96">
            <v>5372.8833333333332</v>
          </cell>
        </row>
        <row r="97">
          <cell r="AZ97">
            <v>322</v>
          </cell>
          <cell r="BG97">
            <v>3783.5</v>
          </cell>
        </row>
        <row r="98">
          <cell r="AZ98">
            <v>261.33333333333337</v>
          </cell>
          <cell r="BG98">
            <v>3070.6666666666665</v>
          </cell>
        </row>
        <row r="99">
          <cell r="AZ99">
            <v>506.13333333333333</v>
          </cell>
          <cell r="BG99">
            <v>5947.0666666666666</v>
          </cell>
        </row>
        <row r="100">
          <cell r="AZ100">
            <v>544.16666666666663</v>
          </cell>
          <cell r="BG100">
            <v>6484.6527777778192</v>
          </cell>
        </row>
        <row r="101">
          <cell r="AZ101">
            <v>371.66666666666663</v>
          </cell>
          <cell r="BG101">
            <v>4429.0277777778065</v>
          </cell>
        </row>
        <row r="102">
          <cell r="AZ102">
            <v>540.66666666666674</v>
          </cell>
          <cell r="BG102">
            <v>6442.9444444444853</v>
          </cell>
        </row>
        <row r="103">
          <cell r="AZ103">
            <v>551.66666666666663</v>
          </cell>
          <cell r="BG103">
            <v>6574.0277777778192</v>
          </cell>
        </row>
        <row r="104">
          <cell r="AZ104">
            <v>184.16666666666666</v>
          </cell>
          <cell r="BG104">
            <v>2194.6527777777919</v>
          </cell>
        </row>
        <row r="105">
          <cell r="AZ105">
            <v>273.15533333333332</v>
          </cell>
          <cell r="BG105">
            <v>3300.6269444444861</v>
          </cell>
        </row>
        <row r="106">
          <cell r="AZ106">
            <v>273.15533333333332</v>
          </cell>
          <cell r="BG106">
            <v>3300.6269444444861</v>
          </cell>
        </row>
        <row r="107">
          <cell r="AZ107">
            <v>157.422</v>
          </cell>
          <cell r="BG107">
            <v>1902.1825000000238</v>
          </cell>
        </row>
        <row r="108">
          <cell r="AZ108">
            <v>540.80000000000007</v>
          </cell>
          <cell r="BG108">
            <v>6534.6666666667479</v>
          </cell>
        </row>
        <row r="109">
          <cell r="AZ109">
            <v>158.84466666666665</v>
          </cell>
          <cell r="BG109">
            <v>1919.3730555555799</v>
          </cell>
        </row>
        <row r="110">
          <cell r="AZ110">
            <v>158.84466666666665</v>
          </cell>
          <cell r="BG110">
            <v>1919.3730555555799</v>
          </cell>
        </row>
        <row r="111">
          <cell r="AZ111">
            <v>261.51133333333331</v>
          </cell>
          <cell r="BG111">
            <v>3159.928611111151</v>
          </cell>
        </row>
        <row r="112">
          <cell r="AZ112">
            <v>112.93333333333334</v>
          </cell>
          <cell r="BG112">
            <v>1364.6111111111281</v>
          </cell>
        </row>
        <row r="113">
          <cell r="AZ113">
            <v>112.93333333333334</v>
          </cell>
          <cell r="BG113">
            <v>1364.6111111111281</v>
          </cell>
        </row>
        <row r="114">
          <cell r="AZ114">
            <v>199.6</v>
          </cell>
          <cell r="BG114">
            <v>2411.833333333364</v>
          </cell>
        </row>
        <row r="115">
          <cell r="AZ115">
            <v>99.8</v>
          </cell>
          <cell r="BG115">
            <v>1205.916666666682</v>
          </cell>
        </row>
        <row r="116">
          <cell r="AZ116">
            <v>497.06666666666672</v>
          </cell>
          <cell r="BG116">
            <v>6006.2222222222972</v>
          </cell>
        </row>
        <row r="117">
          <cell r="AZ117">
            <v>497.06666666666672</v>
          </cell>
          <cell r="BG117">
            <v>6006.2222222222972</v>
          </cell>
        </row>
        <row r="118">
          <cell r="AZ118">
            <v>140.79999999999998</v>
          </cell>
          <cell r="BG118">
            <v>1701.3333333333549</v>
          </cell>
        </row>
        <row r="119">
          <cell r="AZ119">
            <v>140.79999999999998</v>
          </cell>
          <cell r="BG119">
            <v>1701.3333333333549</v>
          </cell>
        </row>
        <row r="120">
          <cell r="AZ120">
            <v>270</v>
          </cell>
          <cell r="BG120">
            <v>3262.5000000000409</v>
          </cell>
        </row>
        <row r="121">
          <cell r="AZ121">
            <v>318.66666666666669</v>
          </cell>
          <cell r="BG121">
            <v>3850.5555555556039</v>
          </cell>
        </row>
        <row r="122">
          <cell r="AZ122">
            <v>79.866666666666674</v>
          </cell>
          <cell r="BG122">
            <v>965.05555555556771</v>
          </cell>
        </row>
        <row r="123">
          <cell r="AZ123">
            <v>346</v>
          </cell>
          <cell r="BG123">
            <v>4180.8333333333858</v>
          </cell>
        </row>
        <row r="124">
          <cell r="AZ124">
            <v>433.33333333333337</v>
          </cell>
          <cell r="BG124">
            <v>5236.1111111111768</v>
          </cell>
        </row>
        <row r="125">
          <cell r="AZ125">
            <v>433.33333333333337</v>
          </cell>
          <cell r="BG125">
            <v>5236.1111111111768</v>
          </cell>
        </row>
        <row r="126">
          <cell r="AZ126">
            <v>280.83333333333337</v>
          </cell>
          <cell r="BG126">
            <v>3393.4027777778201</v>
          </cell>
        </row>
        <row r="127">
          <cell r="AZ127">
            <v>171.66666666666666</v>
          </cell>
          <cell r="BG127">
            <v>2074.3055555555816</v>
          </cell>
        </row>
        <row r="128">
          <cell r="AZ128">
            <v>221.46666666666667</v>
          </cell>
          <cell r="BG128">
            <v>2768.333333333333</v>
          </cell>
        </row>
        <row r="129">
          <cell r="AZ129">
            <v>290</v>
          </cell>
          <cell r="BG129">
            <v>3625</v>
          </cell>
        </row>
        <row r="130">
          <cell r="AZ130">
            <v>254.73333333333335</v>
          </cell>
          <cell r="BG130">
            <v>3184.166666666667</v>
          </cell>
        </row>
        <row r="131">
          <cell r="AZ131">
            <v>316.33333333333331</v>
          </cell>
          <cell r="BG131">
            <v>3954.1666666666665</v>
          </cell>
        </row>
        <row r="132">
          <cell r="AZ132">
            <v>522.66666666666674</v>
          </cell>
          <cell r="BG132">
            <v>6620.4444444444835</v>
          </cell>
        </row>
        <row r="133">
          <cell r="AZ133">
            <v>91.466666666666669</v>
          </cell>
          <cell r="BG133">
            <v>1158.5777777777846</v>
          </cell>
        </row>
        <row r="134">
          <cell r="AZ134">
            <v>426.78</v>
          </cell>
          <cell r="BG134">
            <v>5939.3550000000323</v>
          </cell>
        </row>
        <row r="135">
          <cell r="AZ135">
            <v>545.44666666666672</v>
          </cell>
          <cell r="BG135">
            <v>7863.5227777778191</v>
          </cell>
        </row>
        <row r="136">
          <cell r="AZ136">
            <v>272.72333333333336</v>
          </cell>
          <cell r="BG136">
            <v>3931.7613888889096</v>
          </cell>
        </row>
        <row r="137">
          <cell r="AZ137">
            <v>637.27333333333331</v>
          </cell>
          <cell r="BG137">
            <v>9187.357222222272</v>
          </cell>
        </row>
        <row r="138">
          <cell r="AZ138">
            <v>318.64</v>
          </cell>
          <cell r="BG138">
            <v>4593.726666666691</v>
          </cell>
        </row>
        <row r="139">
          <cell r="AZ139">
            <v>417.15533333333332</v>
          </cell>
          <cell r="BG139">
            <v>2920.0873333333334</v>
          </cell>
        </row>
        <row r="140">
          <cell r="AZ140">
            <v>472.35533333333331</v>
          </cell>
          <cell r="BG140">
            <v>3306.4873333333335</v>
          </cell>
        </row>
        <row r="141">
          <cell r="AZ141">
            <v>130.35599999999999</v>
          </cell>
          <cell r="BG141">
            <v>912.49199999999996</v>
          </cell>
        </row>
        <row r="142">
          <cell r="AZ142">
            <v>492.4666666666667</v>
          </cell>
          <cell r="BG142">
            <v>3447.2666666666664</v>
          </cell>
        </row>
        <row r="143">
          <cell r="AZ143">
            <v>252.06666666666666</v>
          </cell>
          <cell r="BG143">
            <v>1764.4666666666667</v>
          </cell>
        </row>
        <row r="144">
          <cell r="AZ144">
            <v>69.066666666666663</v>
          </cell>
          <cell r="BG144">
            <v>483.4666666666667</v>
          </cell>
        </row>
        <row r="145">
          <cell r="AZ145">
            <v>126.46666666666667</v>
          </cell>
          <cell r="BG145">
            <v>885.26666666666665</v>
          </cell>
        </row>
        <row r="146">
          <cell r="AZ146">
            <v>505.86666666666667</v>
          </cell>
          <cell r="BG146">
            <v>3541.0666666666666</v>
          </cell>
        </row>
        <row r="147">
          <cell r="AZ147">
            <v>504.13333333333333</v>
          </cell>
          <cell r="BG147">
            <v>3528.9333333333334</v>
          </cell>
        </row>
        <row r="148">
          <cell r="AZ148">
            <v>80.733333333333334</v>
          </cell>
          <cell r="BG148">
            <v>565.13333333333333</v>
          </cell>
        </row>
        <row r="149">
          <cell r="AZ149">
            <v>448.46666666666664</v>
          </cell>
          <cell r="BG149">
            <v>3139.2666666666669</v>
          </cell>
        </row>
        <row r="150">
          <cell r="AZ150">
            <v>147.19999999996651</v>
          </cell>
          <cell r="BG150">
            <v>1582.4000000000167</v>
          </cell>
        </row>
        <row r="151">
          <cell r="AZ151">
            <v>220.79999999994982</v>
          </cell>
          <cell r="BG151">
            <v>2373.6000000000249</v>
          </cell>
        </row>
        <row r="152">
          <cell r="AZ152">
            <v>175.28888888884904</v>
          </cell>
          <cell r="BG152">
            <v>1884.3555555555754</v>
          </cell>
        </row>
        <row r="153">
          <cell r="AZ153">
            <v>262.93333333327354</v>
          </cell>
          <cell r="BG153">
            <v>2826.5333333333633</v>
          </cell>
        </row>
        <row r="154">
          <cell r="AZ154">
            <v>186.4</v>
          </cell>
          <cell r="BG154">
            <v>5498.8</v>
          </cell>
        </row>
        <row r="155">
          <cell r="AZ155">
            <v>125.06666666666666</v>
          </cell>
          <cell r="BG155">
            <v>3689.4666666666667</v>
          </cell>
        </row>
        <row r="156">
          <cell r="AZ156">
            <v>132.30000000000001</v>
          </cell>
          <cell r="BG156">
            <v>3902.85</v>
          </cell>
        </row>
        <row r="157">
          <cell r="AZ157">
            <v>339.73333333333335</v>
          </cell>
          <cell r="BG157">
            <v>10022.133333333333</v>
          </cell>
        </row>
        <row r="158">
          <cell r="AZ158">
            <v>108.85</v>
          </cell>
          <cell r="BG158">
            <v>3211.0749999999998</v>
          </cell>
        </row>
        <row r="159">
          <cell r="AZ159">
            <v>43.455333333293815</v>
          </cell>
          <cell r="BG159">
            <v>1933.7623333333531</v>
          </cell>
        </row>
        <row r="160">
          <cell r="AZ160">
            <v>43.455333333293815</v>
          </cell>
          <cell r="BG160">
            <v>1933.7623333333531</v>
          </cell>
        </row>
        <row r="161">
          <cell r="AZ161">
            <v>50.389999999954171</v>
          </cell>
          <cell r="BG161">
            <v>2242.3550000000232</v>
          </cell>
        </row>
        <row r="162">
          <cell r="AZ162">
            <v>50.390333333287508</v>
          </cell>
          <cell r="BG162">
            <v>2242.3698333333564</v>
          </cell>
        </row>
        <row r="163">
          <cell r="AZ163">
            <v>57.325333333281193</v>
          </cell>
          <cell r="BG163">
            <v>2550.9773333333592</v>
          </cell>
        </row>
        <row r="164">
          <cell r="AZ164">
            <v>57.325333333281193</v>
          </cell>
          <cell r="BG164">
            <v>2550.9773333333592</v>
          </cell>
        </row>
        <row r="165">
          <cell r="AZ165">
            <v>0</v>
          </cell>
          <cell r="BG165">
            <v>3099</v>
          </cell>
        </row>
        <row r="166">
          <cell r="AZ166">
            <v>0</v>
          </cell>
          <cell r="BG166">
            <v>1145</v>
          </cell>
        </row>
        <row r="167">
          <cell r="AZ167">
            <v>0</v>
          </cell>
          <cell r="BG167">
            <v>3045</v>
          </cell>
        </row>
        <row r="168">
          <cell r="AZ168">
            <v>0</v>
          </cell>
          <cell r="BG168">
            <v>2541</v>
          </cell>
        </row>
        <row r="169">
          <cell r="AZ169">
            <v>0</v>
          </cell>
          <cell r="BG169">
            <v>3150.5</v>
          </cell>
        </row>
        <row r="170">
          <cell r="AZ170">
            <v>0</v>
          </cell>
          <cell r="BG170">
            <v>1540.5</v>
          </cell>
        </row>
        <row r="171">
          <cell r="AZ171">
            <v>0</v>
          </cell>
          <cell r="BG171">
            <v>2054</v>
          </cell>
        </row>
        <row r="172">
          <cell r="AZ172">
            <v>0</v>
          </cell>
          <cell r="BG172">
            <v>1276.4100000000001</v>
          </cell>
        </row>
        <row r="173">
          <cell r="AZ173">
            <v>0</v>
          </cell>
          <cell r="BG173">
            <v>3921.5549999999998</v>
          </cell>
        </row>
        <row r="174">
          <cell r="AZ174">
            <v>7.1999999999999993</v>
          </cell>
          <cell r="BG174">
            <v>3.6000000000000014</v>
          </cell>
        </row>
        <row r="175">
          <cell r="AZ175">
            <v>4.5</v>
          </cell>
          <cell r="BG175">
            <v>2.25</v>
          </cell>
        </row>
        <row r="176">
          <cell r="AZ176">
            <v>4</v>
          </cell>
          <cell r="BG176">
            <v>2</v>
          </cell>
        </row>
        <row r="177">
          <cell r="AZ177">
            <v>2</v>
          </cell>
          <cell r="BG177">
            <v>1</v>
          </cell>
        </row>
        <row r="178">
          <cell r="AZ178">
            <v>0</v>
          </cell>
          <cell r="BG178">
            <v>0</v>
          </cell>
        </row>
        <row r="179">
          <cell r="AZ179">
            <v>0</v>
          </cell>
          <cell r="BG179">
            <v>0</v>
          </cell>
        </row>
        <row r="180">
          <cell r="AZ180">
            <v>0</v>
          </cell>
          <cell r="BG180">
            <v>0</v>
          </cell>
        </row>
        <row r="181">
          <cell r="AZ181">
            <v>0</v>
          </cell>
          <cell r="BG181">
            <v>0</v>
          </cell>
        </row>
        <row r="182">
          <cell r="AZ182">
            <v>0</v>
          </cell>
          <cell r="BG182">
            <v>0</v>
          </cell>
        </row>
        <row r="183">
          <cell r="AZ183">
            <v>0</v>
          </cell>
          <cell r="BG183">
            <v>0</v>
          </cell>
        </row>
        <row r="184">
          <cell r="AZ184">
            <v>0</v>
          </cell>
          <cell r="BG184">
            <v>0</v>
          </cell>
        </row>
        <row r="185">
          <cell r="AZ185">
            <v>0</v>
          </cell>
          <cell r="BG185">
            <v>0</v>
          </cell>
        </row>
        <row r="186">
          <cell r="AZ186">
            <v>0</v>
          </cell>
          <cell r="BG186">
            <v>0</v>
          </cell>
        </row>
        <row r="187">
          <cell r="AZ187">
            <v>0</v>
          </cell>
          <cell r="BG187">
            <v>0</v>
          </cell>
        </row>
        <row r="188">
          <cell r="AZ188">
            <v>35</v>
          </cell>
          <cell r="BG188">
            <v>17.5</v>
          </cell>
        </row>
        <row r="189">
          <cell r="AZ189">
            <v>20.16</v>
          </cell>
          <cell r="BG189">
            <v>10.079999999999998</v>
          </cell>
        </row>
        <row r="190">
          <cell r="AZ190">
            <v>4</v>
          </cell>
          <cell r="BG190">
            <v>2</v>
          </cell>
        </row>
        <row r="191">
          <cell r="AZ191">
            <v>9</v>
          </cell>
          <cell r="BG191">
            <v>4.5</v>
          </cell>
        </row>
        <row r="192">
          <cell r="AZ192">
            <v>0</v>
          </cell>
          <cell r="BG192">
            <v>0</v>
          </cell>
        </row>
        <row r="193">
          <cell r="AZ193">
            <v>0</v>
          </cell>
          <cell r="BG193">
            <v>0</v>
          </cell>
        </row>
        <row r="194">
          <cell r="AZ194">
            <v>0</v>
          </cell>
          <cell r="BG194">
            <v>0</v>
          </cell>
        </row>
        <row r="195">
          <cell r="AZ195">
            <v>0</v>
          </cell>
          <cell r="BG195">
            <v>0</v>
          </cell>
        </row>
        <row r="196">
          <cell r="AZ196">
            <v>154.83870967743695</v>
          </cell>
          <cell r="BG196">
            <v>77.419354838718505</v>
          </cell>
        </row>
        <row r="197">
          <cell r="AZ197">
            <v>202.81690140845069</v>
          </cell>
          <cell r="BG197">
            <v>185.91549295774666</v>
          </cell>
        </row>
        <row r="198">
          <cell r="AZ198">
            <v>1164.7058823529412</v>
          </cell>
          <cell r="BG198">
            <v>776.47058823529414</v>
          </cell>
        </row>
        <row r="199">
          <cell r="AZ199">
            <v>0</v>
          </cell>
          <cell r="BG199">
            <v>0</v>
          </cell>
        </row>
        <row r="200">
          <cell r="AZ200">
            <v>0</v>
          </cell>
          <cell r="BG200">
            <v>0</v>
          </cell>
        </row>
        <row r="201">
          <cell r="AZ201">
            <v>0</v>
          </cell>
          <cell r="BG201">
            <v>0</v>
          </cell>
        </row>
        <row r="202">
          <cell r="AZ202">
            <v>0</v>
          </cell>
          <cell r="BG202">
            <v>0</v>
          </cell>
        </row>
        <row r="203">
          <cell r="AZ203">
            <v>0</v>
          </cell>
          <cell r="BG203">
            <v>0</v>
          </cell>
        </row>
        <row r="204">
          <cell r="AZ204">
            <v>0</v>
          </cell>
          <cell r="BG204">
            <v>0</v>
          </cell>
        </row>
        <row r="205">
          <cell r="AZ205">
            <v>0</v>
          </cell>
          <cell r="BG205">
            <v>0</v>
          </cell>
        </row>
        <row r="206">
          <cell r="AZ206">
            <v>0</v>
          </cell>
          <cell r="BG206">
            <v>0</v>
          </cell>
        </row>
        <row r="207">
          <cell r="AZ207">
            <v>0</v>
          </cell>
          <cell r="BG207">
            <v>0</v>
          </cell>
        </row>
        <row r="208">
          <cell r="AZ208">
            <v>3</v>
          </cell>
          <cell r="BG208">
            <v>1.5</v>
          </cell>
        </row>
        <row r="209">
          <cell r="AZ209">
            <v>10</v>
          </cell>
          <cell r="BG209">
            <v>5</v>
          </cell>
        </row>
        <row r="210">
          <cell r="AZ210">
            <v>7.15</v>
          </cell>
          <cell r="BG210">
            <v>3.5750000000000028</v>
          </cell>
        </row>
        <row r="211">
          <cell r="AZ211">
            <v>12</v>
          </cell>
          <cell r="BG211">
            <v>6</v>
          </cell>
        </row>
        <row r="212">
          <cell r="AZ212">
            <v>5.3850000000000007</v>
          </cell>
          <cell r="BG212">
            <v>2.692499999999999</v>
          </cell>
        </row>
        <row r="213">
          <cell r="AZ213">
            <v>12.959999999999997</v>
          </cell>
          <cell r="BG213">
            <v>6.4799999999999969</v>
          </cell>
        </row>
        <row r="214">
          <cell r="AZ214">
            <v>18</v>
          </cell>
          <cell r="BG214">
            <v>9</v>
          </cell>
        </row>
        <row r="215">
          <cell r="AZ215">
            <v>12.8</v>
          </cell>
          <cell r="BG215">
            <v>6.3999999999999986</v>
          </cell>
        </row>
        <row r="216">
          <cell r="AZ216">
            <v>5.7140000000000004</v>
          </cell>
          <cell r="BG216">
            <v>2.8569999999999993</v>
          </cell>
        </row>
        <row r="217">
          <cell r="AZ217">
            <v>24</v>
          </cell>
          <cell r="BG217">
            <v>12</v>
          </cell>
        </row>
        <row r="218">
          <cell r="AZ218">
            <v>9</v>
          </cell>
          <cell r="BG218">
            <v>4.5</v>
          </cell>
        </row>
        <row r="219">
          <cell r="AZ219">
            <v>29</v>
          </cell>
          <cell r="BG219">
            <v>14.5</v>
          </cell>
        </row>
        <row r="220">
          <cell r="AZ220">
            <v>17</v>
          </cell>
          <cell r="BG220">
            <v>8.5</v>
          </cell>
        </row>
        <row r="221">
          <cell r="AZ221">
            <v>28</v>
          </cell>
          <cell r="BG221">
            <v>14</v>
          </cell>
        </row>
        <row r="222">
          <cell r="AZ222">
            <v>62.356999999999999</v>
          </cell>
          <cell r="BG222">
            <v>31.178499999999985</v>
          </cell>
        </row>
        <row r="223">
          <cell r="AZ223">
            <v>1</v>
          </cell>
          <cell r="BG223">
            <v>0.5</v>
          </cell>
        </row>
        <row r="224">
          <cell r="AZ224">
            <v>13</v>
          </cell>
          <cell r="BG224">
            <v>6.5</v>
          </cell>
        </row>
        <row r="225">
          <cell r="AZ225">
            <v>28.973000000000003</v>
          </cell>
          <cell r="BG225">
            <v>14.486500000000007</v>
          </cell>
        </row>
        <row r="226">
          <cell r="AZ226">
            <v>14</v>
          </cell>
          <cell r="BG226">
            <v>7</v>
          </cell>
        </row>
        <row r="227">
          <cell r="AZ227">
            <v>10</v>
          </cell>
          <cell r="BG227">
            <v>5</v>
          </cell>
        </row>
        <row r="228">
          <cell r="AZ228">
            <v>26</v>
          </cell>
          <cell r="BG228">
            <v>13</v>
          </cell>
        </row>
        <row r="229">
          <cell r="AZ229">
            <v>15</v>
          </cell>
          <cell r="BG229">
            <v>7.5</v>
          </cell>
        </row>
        <row r="230">
          <cell r="AZ230">
            <v>16</v>
          </cell>
          <cell r="BG230">
            <v>8</v>
          </cell>
        </row>
        <row r="231">
          <cell r="AZ231">
            <v>24</v>
          </cell>
          <cell r="BG231">
            <v>12</v>
          </cell>
        </row>
        <row r="232">
          <cell r="AZ232">
            <v>16</v>
          </cell>
          <cell r="BG232">
            <v>8</v>
          </cell>
        </row>
        <row r="233">
          <cell r="AZ233">
            <v>27</v>
          </cell>
          <cell r="BG233">
            <v>13.5</v>
          </cell>
        </row>
        <row r="234">
          <cell r="AZ234">
            <v>23</v>
          </cell>
          <cell r="BG234">
            <v>11.5</v>
          </cell>
        </row>
        <row r="235">
          <cell r="AZ235">
            <v>27</v>
          </cell>
          <cell r="BG235">
            <v>13.5</v>
          </cell>
        </row>
        <row r="236">
          <cell r="AZ236">
            <v>32</v>
          </cell>
          <cell r="BG236">
            <v>16</v>
          </cell>
        </row>
        <row r="237">
          <cell r="AZ237">
            <v>12</v>
          </cell>
          <cell r="BG237">
            <v>6</v>
          </cell>
        </row>
        <row r="238">
          <cell r="AZ238">
            <v>4</v>
          </cell>
          <cell r="BG238">
            <v>2</v>
          </cell>
        </row>
        <row r="239">
          <cell r="AZ239">
            <v>11</v>
          </cell>
          <cell r="BG239">
            <v>5.5</v>
          </cell>
        </row>
        <row r="240">
          <cell r="AZ240">
            <v>13</v>
          </cell>
          <cell r="BG240">
            <v>6.5</v>
          </cell>
        </row>
        <row r="241">
          <cell r="AZ241">
            <v>7</v>
          </cell>
          <cell r="BG241">
            <v>3.5</v>
          </cell>
        </row>
        <row r="242">
          <cell r="AZ242">
            <v>17</v>
          </cell>
          <cell r="BG242">
            <v>8.5</v>
          </cell>
        </row>
        <row r="243">
          <cell r="AZ243">
            <v>10</v>
          </cell>
          <cell r="BG243">
            <v>5</v>
          </cell>
        </row>
        <row r="244">
          <cell r="AZ244">
            <v>254.54545454545453</v>
          </cell>
          <cell r="BG244">
            <v>127.27272727272725</v>
          </cell>
        </row>
        <row r="245">
          <cell r="AZ245">
            <v>358.20895522388059</v>
          </cell>
          <cell r="BG245">
            <v>208.95522388059692</v>
          </cell>
        </row>
        <row r="246">
          <cell r="AZ246">
            <v>1576.1194029850747</v>
          </cell>
          <cell r="BG246">
            <v>919.40298507462694</v>
          </cell>
        </row>
        <row r="247">
          <cell r="AZ247">
            <v>555.22388059701484</v>
          </cell>
          <cell r="BG247">
            <v>323.88059701492557</v>
          </cell>
        </row>
        <row r="248">
          <cell r="AZ248">
            <v>1468.6567164179105</v>
          </cell>
          <cell r="BG248">
            <v>856.71641791044749</v>
          </cell>
        </row>
        <row r="249">
          <cell r="AZ249">
            <v>268.77882352941174</v>
          </cell>
          <cell r="BG249">
            <v>179.18588235294112</v>
          </cell>
        </row>
        <row r="250">
          <cell r="AZ250">
            <v>166.3870588235294</v>
          </cell>
          <cell r="BG250">
            <v>110.92470588235295</v>
          </cell>
        </row>
        <row r="251">
          <cell r="AZ251">
            <v>652.94117647058829</v>
          </cell>
          <cell r="BG251">
            <v>435.29411764705856</v>
          </cell>
        </row>
        <row r="252">
          <cell r="AZ252">
            <v>882.35294117647061</v>
          </cell>
          <cell r="BG252">
            <v>588.23529411764707</v>
          </cell>
        </row>
        <row r="253">
          <cell r="AZ253">
            <v>0</v>
          </cell>
          <cell r="BG253">
            <v>0</v>
          </cell>
        </row>
        <row r="254">
          <cell r="AZ254">
            <v>0</v>
          </cell>
          <cell r="BG254">
            <v>0</v>
          </cell>
        </row>
        <row r="255">
          <cell r="AZ255">
            <v>0</v>
          </cell>
          <cell r="BG255">
            <v>0</v>
          </cell>
        </row>
        <row r="256">
          <cell r="AZ256">
            <v>0</v>
          </cell>
          <cell r="BG256">
            <v>0</v>
          </cell>
        </row>
        <row r="257">
          <cell r="AZ257">
            <v>0</v>
          </cell>
          <cell r="BG257">
            <v>0</v>
          </cell>
        </row>
        <row r="258">
          <cell r="AZ258">
            <v>0</v>
          </cell>
          <cell r="BG258">
            <v>0</v>
          </cell>
        </row>
        <row r="259">
          <cell r="AZ259">
            <v>0</v>
          </cell>
          <cell r="BG259">
            <v>0</v>
          </cell>
        </row>
        <row r="260">
          <cell r="AZ260">
            <v>0</v>
          </cell>
          <cell r="BG260">
            <v>0</v>
          </cell>
        </row>
        <row r="261">
          <cell r="AZ261">
            <v>0</v>
          </cell>
          <cell r="BG261">
            <v>0</v>
          </cell>
        </row>
        <row r="262">
          <cell r="AZ262">
            <v>0</v>
          </cell>
          <cell r="BG262">
            <v>0</v>
          </cell>
        </row>
        <row r="263">
          <cell r="AZ263">
            <v>0</v>
          </cell>
          <cell r="BG263">
            <v>0</v>
          </cell>
        </row>
        <row r="264">
          <cell r="AZ264">
            <v>0</v>
          </cell>
          <cell r="BG264">
            <v>0</v>
          </cell>
        </row>
        <row r="265">
          <cell r="AZ265">
            <v>0</v>
          </cell>
          <cell r="BG265">
            <v>0</v>
          </cell>
        </row>
        <row r="266">
          <cell r="AZ266">
            <v>0</v>
          </cell>
          <cell r="BG266">
            <v>0</v>
          </cell>
        </row>
        <row r="267">
          <cell r="AZ267">
            <v>0</v>
          </cell>
          <cell r="BG267">
            <v>0</v>
          </cell>
        </row>
        <row r="268">
          <cell r="AZ268">
            <v>0</v>
          </cell>
          <cell r="BG268">
            <v>0</v>
          </cell>
        </row>
        <row r="269">
          <cell r="AZ269">
            <v>0</v>
          </cell>
          <cell r="BG269">
            <v>0</v>
          </cell>
        </row>
        <row r="270">
          <cell r="AZ270">
            <v>300</v>
          </cell>
          <cell r="BG270">
            <v>300</v>
          </cell>
        </row>
        <row r="271">
          <cell r="AZ271">
            <v>316.66666666666669</v>
          </cell>
          <cell r="BG271">
            <v>316.66666666666663</v>
          </cell>
        </row>
        <row r="272">
          <cell r="AZ272">
            <v>1250</v>
          </cell>
          <cell r="BG272">
            <v>1250</v>
          </cell>
        </row>
        <row r="273">
          <cell r="AZ273">
            <v>1350</v>
          </cell>
          <cell r="BG273">
            <v>1350</v>
          </cell>
        </row>
        <row r="274">
          <cell r="AZ274">
            <v>1250</v>
          </cell>
          <cell r="BG274">
            <v>1250</v>
          </cell>
        </row>
        <row r="275">
          <cell r="AZ275">
            <v>716.66666666666663</v>
          </cell>
          <cell r="BG275">
            <v>716.66666666666674</v>
          </cell>
        </row>
        <row r="276">
          <cell r="AZ276">
            <v>46.027397260273972</v>
          </cell>
          <cell r="BG276">
            <v>49.863013698630141</v>
          </cell>
        </row>
        <row r="277">
          <cell r="AZ277">
            <v>410.95890410958907</v>
          </cell>
          <cell r="BG277">
            <v>445.20547945205476</v>
          </cell>
        </row>
        <row r="278">
          <cell r="AZ278">
            <v>263.01369863013696</v>
          </cell>
          <cell r="BG278">
            <v>284.93150684931504</v>
          </cell>
        </row>
        <row r="279">
          <cell r="AZ279">
            <v>118.35616438356165</v>
          </cell>
          <cell r="BG279">
            <v>128.21917808219177</v>
          </cell>
        </row>
        <row r="280">
          <cell r="AZ280">
            <v>624.65753424657532</v>
          </cell>
          <cell r="BG280">
            <v>676.71232876712361</v>
          </cell>
        </row>
        <row r="281">
          <cell r="AZ281">
            <v>213.69863013698628</v>
          </cell>
          <cell r="BG281">
            <v>231.50684931506851</v>
          </cell>
        </row>
        <row r="282">
          <cell r="AZ282">
            <v>1495.8904109589041</v>
          </cell>
          <cell r="BG282">
            <v>1620.5479452054797</v>
          </cell>
        </row>
        <row r="283">
          <cell r="AZ283">
            <v>437.83783783783781</v>
          </cell>
          <cell r="BG283">
            <v>510.81081081081095</v>
          </cell>
        </row>
        <row r="284">
          <cell r="AZ284">
            <v>1118.918918918919</v>
          </cell>
          <cell r="BG284">
            <v>1305.4054054054054</v>
          </cell>
        </row>
        <row r="285">
          <cell r="AZ285">
            <v>129.72972972972974</v>
          </cell>
          <cell r="BG285">
            <v>151.35135135135135</v>
          </cell>
        </row>
        <row r="286">
          <cell r="AZ286">
            <v>437.83783783783781</v>
          </cell>
          <cell r="BG286">
            <v>510.81081081081095</v>
          </cell>
        </row>
        <row r="287">
          <cell r="AZ287">
            <v>116.75675675675676</v>
          </cell>
          <cell r="BG287">
            <v>136.2162162162162</v>
          </cell>
        </row>
        <row r="288">
          <cell r="AZ288">
            <v>843.24324324324334</v>
          </cell>
          <cell r="BG288">
            <v>983.78378378378352</v>
          </cell>
        </row>
        <row r="289">
          <cell r="AZ289">
            <v>551.35135135135135</v>
          </cell>
          <cell r="BG289">
            <v>643.24324324324357</v>
          </cell>
        </row>
        <row r="290">
          <cell r="AZ290">
            <v>1304.3478260869565</v>
          </cell>
          <cell r="BG290">
            <v>3478.2608695652166</v>
          </cell>
        </row>
        <row r="291">
          <cell r="AZ291">
            <v>1565.217391304348</v>
          </cell>
          <cell r="BG291">
            <v>4173.9130434782619</v>
          </cell>
        </row>
        <row r="292">
          <cell r="AZ292">
            <v>489.79591836734693</v>
          </cell>
          <cell r="BG292">
            <v>1551.0204081632653</v>
          </cell>
        </row>
        <row r="293">
          <cell r="AZ293">
            <v>967.34693877551024</v>
          </cell>
          <cell r="BG293">
            <v>3063.2653061224491</v>
          </cell>
        </row>
        <row r="294">
          <cell r="AZ294">
            <v>612.24489795918373</v>
          </cell>
          <cell r="BG294">
            <v>1938.7755102040815</v>
          </cell>
        </row>
        <row r="295">
          <cell r="AZ295">
            <v>563.26530612244892</v>
          </cell>
          <cell r="BG295">
            <v>1783.6734693877554</v>
          </cell>
        </row>
        <row r="296">
          <cell r="AZ296">
            <v>1224.4897959183675</v>
          </cell>
          <cell r="BG296">
            <v>3877.5510204081629</v>
          </cell>
        </row>
        <row r="297">
          <cell r="AZ297">
            <v>86.938775510204081</v>
          </cell>
          <cell r="BG297">
            <v>275.30612244897958</v>
          </cell>
        </row>
        <row r="298">
          <cell r="AZ298">
            <v>159.18367346938777</v>
          </cell>
          <cell r="BG298">
            <v>504.08163265306115</v>
          </cell>
        </row>
        <row r="299">
          <cell r="AZ299">
            <v>134.69387755102042</v>
          </cell>
          <cell r="BG299">
            <v>426.53061224489795</v>
          </cell>
        </row>
        <row r="300">
          <cell r="AZ300">
            <v>391.83673469387759</v>
          </cell>
          <cell r="BG300">
            <v>1240.8163265306121</v>
          </cell>
        </row>
        <row r="301">
          <cell r="AZ301">
            <v>232.65306122448982</v>
          </cell>
          <cell r="BG301">
            <v>736.73469387755097</v>
          </cell>
        </row>
        <row r="302">
          <cell r="AZ302">
            <v>159.18367346938777</v>
          </cell>
          <cell r="BG302">
            <v>504.08163265306115</v>
          </cell>
        </row>
        <row r="303">
          <cell r="AZ303">
            <v>1469.3877551020407</v>
          </cell>
          <cell r="BG303">
            <v>4653.0612244897966</v>
          </cell>
        </row>
        <row r="304">
          <cell r="AZ304">
            <v>134.69387755102042</v>
          </cell>
          <cell r="BG304">
            <v>426.53061224489795</v>
          </cell>
        </row>
        <row r="305">
          <cell r="AZ305">
            <v>1100.9174311926606</v>
          </cell>
          <cell r="BG305">
            <v>4495.4128440366967</v>
          </cell>
        </row>
        <row r="306">
          <cell r="AZ306">
            <v>319.26605504587155</v>
          </cell>
          <cell r="BG306">
            <v>1303.6697247706425</v>
          </cell>
        </row>
        <row r="307">
          <cell r="AZ307">
            <v>264.22018348623851</v>
          </cell>
          <cell r="BG307">
            <v>1078.8990825688074</v>
          </cell>
        </row>
        <row r="308">
          <cell r="AZ308">
            <v>704.58715596330285</v>
          </cell>
          <cell r="BG308">
            <v>2877.0642201834862</v>
          </cell>
        </row>
        <row r="309">
          <cell r="AZ309">
            <v>704.58715596330285</v>
          </cell>
          <cell r="BG309">
            <v>2877.0642201834862</v>
          </cell>
        </row>
        <row r="310">
          <cell r="AZ310">
            <v>781.65137614678906</v>
          </cell>
          <cell r="BG310">
            <v>3191.7431192660547</v>
          </cell>
        </row>
        <row r="311">
          <cell r="AZ311">
            <v>781.65137614678906</v>
          </cell>
          <cell r="BG311">
            <v>3191.7431192660547</v>
          </cell>
        </row>
        <row r="312">
          <cell r="AZ312">
            <v>0</v>
          </cell>
          <cell r="BG312">
            <v>0</v>
          </cell>
        </row>
        <row r="313">
          <cell r="AZ313">
            <v>1000.0000000004547</v>
          </cell>
          <cell r="BG313">
            <v>500.00000000022737</v>
          </cell>
        </row>
        <row r="314">
          <cell r="AZ314">
            <v>641.37931034482767</v>
          </cell>
          <cell r="BG314">
            <v>2993.1034482758623</v>
          </cell>
        </row>
        <row r="315">
          <cell r="AZ315">
            <v>527.58620689655174</v>
          </cell>
          <cell r="BG315">
            <v>2462.0689655172414</v>
          </cell>
        </row>
        <row r="316">
          <cell r="AZ316">
            <v>558.62068965517233</v>
          </cell>
          <cell r="BG316">
            <v>2606.8965517241377</v>
          </cell>
        </row>
        <row r="317">
          <cell r="AZ317">
            <v>558.62068965517233</v>
          </cell>
          <cell r="BG317">
            <v>2606.8965517241377</v>
          </cell>
        </row>
        <row r="318">
          <cell r="AZ318">
            <v>527.58620689655174</v>
          </cell>
          <cell r="BG318">
            <v>2462.0689655172414</v>
          </cell>
        </row>
        <row r="319">
          <cell r="AZ319">
            <v>310.34482758620692</v>
          </cell>
          <cell r="BG319">
            <v>1448.2758620689654</v>
          </cell>
        </row>
        <row r="320">
          <cell r="AZ320">
            <v>641.37931034482767</v>
          </cell>
          <cell r="BG320">
            <v>2993.1034482758623</v>
          </cell>
        </row>
        <row r="321">
          <cell r="AZ321">
            <v>0</v>
          </cell>
          <cell r="BG321">
            <v>0</v>
          </cell>
        </row>
        <row r="322">
          <cell r="AZ322">
            <v>0</v>
          </cell>
          <cell r="BG322">
            <v>0</v>
          </cell>
        </row>
        <row r="323">
          <cell r="AZ323">
            <v>0</v>
          </cell>
          <cell r="BG323">
            <v>0</v>
          </cell>
        </row>
        <row r="324">
          <cell r="AZ324">
            <v>0</v>
          </cell>
          <cell r="BG324">
            <v>0</v>
          </cell>
        </row>
        <row r="325">
          <cell r="AZ325">
            <v>1516.076</v>
          </cell>
          <cell r="BG325">
            <v>21856.762333333449</v>
          </cell>
        </row>
        <row r="326">
          <cell r="AZ326">
            <v>2633.5053333333335</v>
          </cell>
          <cell r="BG326">
            <v>37966.36855555576</v>
          </cell>
        </row>
        <row r="327">
          <cell r="AZ327">
            <v>1953.6759999999999</v>
          </cell>
          <cell r="BG327">
            <v>28165.495666666815</v>
          </cell>
        </row>
        <row r="328">
          <cell r="AZ328">
            <v>0</v>
          </cell>
          <cell r="BG328">
            <v>0</v>
          </cell>
        </row>
        <row r="329">
          <cell r="AZ329">
            <v>26</v>
          </cell>
          <cell r="BG329">
            <v>13</v>
          </cell>
        </row>
        <row r="330">
          <cell r="AZ330">
            <v>8</v>
          </cell>
          <cell r="BG330">
            <v>4</v>
          </cell>
        </row>
        <row r="331">
          <cell r="AZ331">
            <v>19</v>
          </cell>
          <cell r="BG331">
            <v>9.5</v>
          </cell>
        </row>
        <row r="332">
          <cell r="AZ332">
            <v>0</v>
          </cell>
          <cell r="BG332">
            <v>0</v>
          </cell>
        </row>
        <row r="333">
          <cell r="AZ333">
            <v>0</v>
          </cell>
          <cell r="BG333">
            <v>0</v>
          </cell>
        </row>
        <row r="334">
          <cell r="AZ334">
            <v>0</v>
          </cell>
          <cell r="BG334">
            <v>0</v>
          </cell>
        </row>
        <row r="335">
          <cell r="AZ335">
            <v>0</v>
          </cell>
          <cell r="BG335">
            <v>0</v>
          </cell>
        </row>
        <row r="336">
          <cell r="AZ336">
            <v>0</v>
          </cell>
          <cell r="BG336">
            <v>0</v>
          </cell>
        </row>
        <row r="337">
          <cell r="AZ337">
            <v>0</v>
          </cell>
          <cell r="BG337">
            <v>0</v>
          </cell>
        </row>
        <row r="338">
          <cell r="AZ338">
            <v>0</v>
          </cell>
          <cell r="BG338">
            <v>0</v>
          </cell>
        </row>
        <row r="339">
          <cell r="AZ339">
            <v>0</v>
          </cell>
          <cell r="BG339">
            <v>0</v>
          </cell>
        </row>
        <row r="340">
          <cell r="AZ340">
            <v>0</v>
          </cell>
          <cell r="BG340">
            <v>0</v>
          </cell>
        </row>
        <row r="341">
          <cell r="AZ341">
            <v>0</v>
          </cell>
          <cell r="BG341">
            <v>0</v>
          </cell>
        </row>
        <row r="342">
          <cell r="AZ342">
            <v>0</v>
          </cell>
          <cell r="BG342">
            <v>0</v>
          </cell>
        </row>
        <row r="343">
          <cell r="AZ343">
            <v>0</v>
          </cell>
          <cell r="BG343">
            <v>0</v>
          </cell>
        </row>
        <row r="344">
          <cell r="AZ344">
            <v>0</v>
          </cell>
          <cell r="BG344">
            <v>0</v>
          </cell>
        </row>
        <row r="345">
          <cell r="AZ345">
            <v>0</v>
          </cell>
          <cell r="BG345">
            <v>0</v>
          </cell>
        </row>
        <row r="346">
          <cell r="AZ346">
            <v>18</v>
          </cell>
          <cell r="BG346">
            <v>9</v>
          </cell>
        </row>
        <row r="347">
          <cell r="AZ347">
            <v>18</v>
          </cell>
          <cell r="BG347">
            <v>9</v>
          </cell>
        </row>
        <row r="348">
          <cell r="AZ348">
            <v>5</v>
          </cell>
          <cell r="BG348">
            <v>2.5</v>
          </cell>
        </row>
        <row r="349">
          <cell r="AZ349">
            <v>5</v>
          </cell>
          <cell r="BG349">
            <v>2.5</v>
          </cell>
        </row>
        <row r="350">
          <cell r="AZ350">
            <v>5</v>
          </cell>
          <cell r="BG350">
            <v>2.5</v>
          </cell>
        </row>
        <row r="351">
          <cell r="AZ351">
            <v>21</v>
          </cell>
          <cell r="BG351">
            <v>10.5</v>
          </cell>
        </row>
        <row r="352">
          <cell r="AZ352">
            <v>52</v>
          </cell>
          <cell r="BG352">
            <v>26</v>
          </cell>
        </row>
        <row r="353">
          <cell r="AZ353">
            <v>82</v>
          </cell>
          <cell r="BG353">
            <v>41</v>
          </cell>
        </row>
        <row r="354">
          <cell r="AZ354">
            <v>0</v>
          </cell>
          <cell r="BG354">
            <v>0</v>
          </cell>
        </row>
        <row r="355">
          <cell r="AZ355">
            <v>33</v>
          </cell>
          <cell r="BG355">
            <v>16.5</v>
          </cell>
        </row>
        <row r="356">
          <cell r="AZ356">
            <v>61</v>
          </cell>
          <cell r="BG356">
            <v>30.5</v>
          </cell>
        </row>
        <row r="357">
          <cell r="AZ357">
            <v>5</v>
          </cell>
          <cell r="BG357">
            <v>2.5</v>
          </cell>
        </row>
        <row r="358">
          <cell r="AZ358">
            <v>29</v>
          </cell>
          <cell r="BG358">
            <v>14.5</v>
          </cell>
        </row>
        <row r="359">
          <cell r="AZ359">
            <v>0</v>
          </cell>
          <cell r="BG359">
            <v>0</v>
          </cell>
        </row>
        <row r="360">
          <cell r="AZ360">
            <v>330.61224489795916</v>
          </cell>
          <cell r="BG360">
            <v>1046.9387755102041</v>
          </cell>
        </row>
        <row r="361">
          <cell r="AZ361">
            <v>918.36734693877543</v>
          </cell>
          <cell r="BG361">
            <v>2908.1632653061224</v>
          </cell>
        </row>
        <row r="362">
          <cell r="AZ362">
            <v>918.36734693877543</v>
          </cell>
          <cell r="BG362">
            <v>2908.1632653061224</v>
          </cell>
        </row>
        <row r="363">
          <cell r="AZ363">
            <v>3340.2061855670104</v>
          </cell>
          <cell r="BG363">
            <v>10298.969072164949</v>
          </cell>
        </row>
        <row r="364">
          <cell r="AZ364">
            <v>1682.2429906542056</v>
          </cell>
          <cell r="BG364">
            <v>6588.7850467289736</v>
          </cell>
        </row>
        <row r="365">
          <cell r="AZ365">
            <v>1345.7943925233644</v>
          </cell>
          <cell r="BG365">
            <v>5271.0280373831774</v>
          </cell>
        </row>
        <row r="366">
          <cell r="AZ366">
            <v>3054.5454545454545</v>
          </cell>
          <cell r="BG366">
            <v>12727.272727272728</v>
          </cell>
        </row>
        <row r="367">
          <cell r="AZ367">
            <v>1963.6363636363635</v>
          </cell>
          <cell r="BG367">
            <v>8181.818181818182</v>
          </cell>
        </row>
        <row r="368">
          <cell r="AZ368">
            <v>1008.4033613445379</v>
          </cell>
          <cell r="BG368">
            <v>4957.9831932773104</v>
          </cell>
        </row>
        <row r="369">
          <cell r="AZ369">
            <v>1008.4033613445379</v>
          </cell>
          <cell r="BG369">
            <v>4957.9831932773104</v>
          </cell>
        </row>
        <row r="370">
          <cell r="AZ370">
            <v>1008.4033613445379</v>
          </cell>
          <cell r="BG370">
            <v>4957.9831932773104</v>
          </cell>
        </row>
        <row r="371">
          <cell r="AZ371">
            <v>342.85714285714289</v>
          </cell>
          <cell r="BG371">
            <v>1685.7142857142858</v>
          </cell>
        </row>
        <row r="372">
          <cell r="AZ372">
            <v>1512.6050420168067</v>
          </cell>
          <cell r="BG372">
            <v>7436.9747899159647</v>
          </cell>
        </row>
        <row r="373">
          <cell r="AZ373">
            <v>1008.4033613445379</v>
          </cell>
          <cell r="BG373">
            <v>4957.9831932773104</v>
          </cell>
        </row>
        <row r="374">
          <cell r="AZ374">
            <v>0</v>
          </cell>
          <cell r="BG374">
            <v>0</v>
          </cell>
        </row>
        <row r="375">
          <cell r="AZ375">
            <v>0</v>
          </cell>
          <cell r="BG375">
            <v>0</v>
          </cell>
        </row>
        <row r="376">
          <cell r="AZ376">
            <v>0</v>
          </cell>
          <cell r="BG376">
            <v>0</v>
          </cell>
        </row>
        <row r="377">
          <cell r="AZ377">
            <v>4</v>
          </cell>
          <cell r="BG377">
            <v>2</v>
          </cell>
        </row>
        <row r="378">
          <cell r="AZ378">
            <v>4</v>
          </cell>
          <cell r="BG378">
            <v>2</v>
          </cell>
        </row>
        <row r="379">
          <cell r="AZ379">
            <v>4</v>
          </cell>
          <cell r="BG379">
            <v>2</v>
          </cell>
        </row>
        <row r="380">
          <cell r="AZ380">
            <v>5</v>
          </cell>
          <cell r="BG380">
            <v>2.5</v>
          </cell>
        </row>
        <row r="381">
          <cell r="AZ381">
            <v>0</v>
          </cell>
          <cell r="BG381">
            <v>0</v>
          </cell>
        </row>
        <row r="382">
          <cell r="AZ382">
            <v>5</v>
          </cell>
          <cell r="BG382">
            <v>2.5</v>
          </cell>
        </row>
        <row r="383">
          <cell r="AZ383">
            <v>12</v>
          </cell>
          <cell r="BG383">
            <v>6</v>
          </cell>
        </row>
        <row r="384">
          <cell r="AZ384">
            <v>31</v>
          </cell>
          <cell r="BG384">
            <v>15.5</v>
          </cell>
        </row>
        <row r="385">
          <cell r="AZ385">
            <v>10</v>
          </cell>
          <cell r="BG385">
            <v>5</v>
          </cell>
        </row>
        <row r="386">
          <cell r="AZ386">
            <v>1260.8700000000001</v>
          </cell>
          <cell r="BG386">
            <v>630.4350000000004</v>
          </cell>
        </row>
        <row r="387">
          <cell r="AZ387">
            <v>36</v>
          </cell>
          <cell r="BG387">
            <v>18</v>
          </cell>
        </row>
        <row r="388">
          <cell r="AZ388">
            <v>265.5</v>
          </cell>
          <cell r="BG388">
            <v>132.75</v>
          </cell>
        </row>
        <row r="389">
          <cell r="AZ389">
            <v>0</v>
          </cell>
          <cell r="BG389">
            <v>0</v>
          </cell>
        </row>
        <row r="390">
          <cell r="AZ390">
            <v>582.03800000000001</v>
          </cell>
          <cell r="BG390">
            <v>3540.7311666667551</v>
          </cell>
        </row>
        <row r="391">
          <cell r="AZ391">
            <v>480.72500000000002</v>
          </cell>
          <cell r="BG391">
            <v>2924.4104166667394</v>
          </cell>
        </row>
        <row r="392">
          <cell r="AZ392">
            <v>1064.9279999999999</v>
          </cell>
          <cell r="BG392">
            <v>6478.3120000001618</v>
          </cell>
        </row>
        <row r="393">
          <cell r="AZ393">
            <v>352.625</v>
          </cell>
          <cell r="BG393">
            <v>2145.1354166667202</v>
          </cell>
        </row>
        <row r="394">
          <cell r="AZ394">
            <v>188.428</v>
          </cell>
          <cell r="BG394">
            <v>1146.270333333362</v>
          </cell>
        </row>
        <row r="395">
          <cell r="AZ395">
            <v>415.495</v>
          </cell>
          <cell r="BG395">
            <v>2527.5945833333963</v>
          </cell>
        </row>
        <row r="396">
          <cell r="AZ396">
            <v>2302.846</v>
          </cell>
          <cell r="BG396">
            <v>14008.979833333682</v>
          </cell>
        </row>
        <row r="397">
          <cell r="AZ397">
            <v>1948.5619999999999</v>
          </cell>
          <cell r="BG397">
            <v>11853.75216666696</v>
          </cell>
        </row>
        <row r="398">
          <cell r="AZ398">
            <v>206.02499999999998</v>
          </cell>
          <cell r="BG398">
            <v>1253.3187500000313</v>
          </cell>
        </row>
        <row r="399">
          <cell r="AZ399">
            <v>105.32300000000001</v>
          </cell>
          <cell r="BG399">
            <v>640.71491666668271</v>
          </cell>
        </row>
        <row r="400">
          <cell r="AZ400">
            <v>151.125</v>
          </cell>
          <cell r="BG400">
            <v>919.34375000002296</v>
          </cell>
        </row>
        <row r="401">
          <cell r="AZ401">
            <v>630.82299999999998</v>
          </cell>
          <cell r="BG401">
            <v>3837.5065833334284</v>
          </cell>
        </row>
        <row r="402">
          <cell r="AZ402">
            <v>1391.0049999999999</v>
          </cell>
          <cell r="BG402">
            <v>8461.9470833335436</v>
          </cell>
        </row>
        <row r="403">
          <cell r="AZ403">
            <v>227.75399999999996</v>
          </cell>
          <cell r="BG403">
            <v>1385.5035000000346</v>
          </cell>
        </row>
        <row r="404">
          <cell r="AZ404">
            <v>1220.24</v>
          </cell>
          <cell r="BG404">
            <v>7423.1266666668516</v>
          </cell>
        </row>
        <row r="405">
          <cell r="AZ405">
            <v>547.41099999999994</v>
          </cell>
          <cell r="BG405">
            <v>3330.0835833334158</v>
          </cell>
        </row>
        <row r="406">
          <cell r="AZ406">
            <v>696.02600000000007</v>
          </cell>
          <cell r="BG406">
            <v>4234.1581666667726</v>
          </cell>
        </row>
        <row r="407">
          <cell r="AZ407">
            <v>647.17399999999998</v>
          </cell>
          <cell r="BG407">
            <v>3936.9751666667648</v>
          </cell>
        </row>
        <row r="408">
          <cell r="AZ408">
            <v>984.375</v>
          </cell>
          <cell r="BG408">
            <v>5988.2812500001492</v>
          </cell>
        </row>
        <row r="409">
          <cell r="AZ409">
            <v>669.98799999999994</v>
          </cell>
          <cell r="BG409">
            <v>4075.7603333334355</v>
          </cell>
        </row>
        <row r="410">
          <cell r="AZ410">
            <v>169.33800000000002</v>
          </cell>
          <cell r="BG410">
            <v>1030.1395000000257</v>
          </cell>
        </row>
        <row r="411">
          <cell r="AZ411">
            <v>506.57499999999993</v>
          </cell>
          <cell r="BG411">
            <v>3081.6645833334101</v>
          </cell>
        </row>
        <row r="412">
          <cell r="AZ412">
            <v>1883.6999999999998</v>
          </cell>
          <cell r="BG412">
            <v>11459.175000000287</v>
          </cell>
        </row>
        <row r="413">
          <cell r="AZ413">
            <v>798</v>
          </cell>
          <cell r="BG413">
            <v>4854.500000000121</v>
          </cell>
        </row>
        <row r="414">
          <cell r="AZ414">
            <v>522.96</v>
          </cell>
          <cell r="BG414">
            <v>3181.3400000000797</v>
          </cell>
        </row>
        <row r="415">
          <cell r="AZ415">
            <v>54.14</v>
          </cell>
          <cell r="BG415">
            <v>329.35166666667482</v>
          </cell>
        </row>
        <row r="416">
          <cell r="AZ416">
            <v>2330.174</v>
          </cell>
          <cell r="BG416">
            <v>14175.22516666702</v>
          </cell>
        </row>
        <row r="417">
          <cell r="AZ417">
            <v>2166.6260000000002</v>
          </cell>
          <cell r="BG417">
            <v>13180.308166666993</v>
          </cell>
        </row>
        <row r="418">
          <cell r="AZ418">
            <v>456.25</v>
          </cell>
          <cell r="BG418">
            <v>2775.5208333334022</v>
          </cell>
        </row>
        <row r="419">
          <cell r="AZ419">
            <v>421.875</v>
          </cell>
          <cell r="BG419">
            <v>2566.4062500000637</v>
          </cell>
        </row>
        <row r="420">
          <cell r="AZ420">
            <v>66.263000000000005</v>
          </cell>
          <cell r="BG420">
            <v>403.09991666667668</v>
          </cell>
        </row>
        <row r="421">
          <cell r="AZ421">
            <v>566.91300000000001</v>
          </cell>
          <cell r="BG421">
            <v>3448.7207500000859</v>
          </cell>
        </row>
        <row r="422">
          <cell r="AZ422">
            <v>1695.9249999999997</v>
          </cell>
          <cell r="BG422">
            <v>10316.877083333591</v>
          </cell>
        </row>
        <row r="423">
          <cell r="AZ423">
            <v>186.3</v>
          </cell>
          <cell r="BG423">
            <v>1133.325000000028</v>
          </cell>
        </row>
        <row r="424">
          <cell r="AZ424">
            <v>342</v>
          </cell>
          <cell r="BG424">
            <v>2080.5000000000518</v>
          </cell>
        </row>
        <row r="425">
          <cell r="AZ425">
            <v>4847.5304347826095</v>
          </cell>
          <cell r="BG425">
            <v>2423.7652173913048</v>
          </cell>
        </row>
        <row r="426">
          <cell r="AZ426">
            <v>1815.72</v>
          </cell>
          <cell r="BG426">
            <v>907.86000000000013</v>
          </cell>
        </row>
        <row r="427">
          <cell r="AZ427">
            <v>1815.72</v>
          </cell>
          <cell r="BG427">
            <v>907.86000000000013</v>
          </cell>
        </row>
        <row r="428">
          <cell r="AZ428">
            <v>1009.5</v>
          </cell>
          <cell r="BG428">
            <v>504.75</v>
          </cell>
        </row>
        <row r="429">
          <cell r="AZ429">
            <v>1657.1739130434785</v>
          </cell>
          <cell r="BG429">
            <v>828.58695652173901</v>
          </cell>
        </row>
        <row r="430">
          <cell r="AZ430">
            <v>5526.1043478260872</v>
          </cell>
          <cell r="BG430">
            <v>2763.0521739130436</v>
          </cell>
        </row>
        <row r="431">
          <cell r="AZ431">
            <v>3280.2000000000003</v>
          </cell>
          <cell r="BG431">
            <v>1640.1000000000004</v>
          </cell>
        </row>
        <row r="432">
          <cell r="AZ432">
            <v>6279</v>
          </cell>
          <cell r="BG432">
            <v>3139.5</v>
          </cell>
        </row>
        <row r="433">
          <cell r="AZ433">
            <v>1587</v>
          </cell>
          <cell r="BG433">
            <v>793.5</v>
          </cell>
        </row>
        <row r="434">
          <cell r="AZ434">
            <v>183.78</v>
          </cell>
          <cell r="BG434">
            <v>1225.2000000000139</v>
          </cell>
        </row>
        <row r="435">
          <cell r="AZ435">
            <v>2330.174</v>
          </cell>
          <cell r="BG435">
            <v>15534.49333333351</v>
          </cell>
        </row>
        <row r="436">
          <cell r="AZ436">
            <v>2330.174</v>
          </cell>
          <cell r="BG436">
            <v>15534.49333333351</v>
          </cell>
        </row>
        <row r="437">
          <cell r="AZ437">
            <v>1295.5249999999999</v>
          </cell>
          <cell r="BG437">
            <v>8636.8333333334303</v>
          </cell>
        </row>
        <row r="438">
          <cell r="AZ438">
            <v>272.25</v>
          </cell>
          <cell r="BG438">
            <v>1815.0000000000207</v>
          </cell>
        </row>
        <row r="439">
          <cell r="AZ439">
            <v>907.86</v>
          </cell>
          <cell r="BG439">
            <v>6052.4000000000688</v>
          </cell>
        </row>
        <row r="440">
          <cell r="AZ440">
            <v>538.89</v>
          </cell>
          <cell r="BG440">
            <v>3592.6000000000404</v>
          </cell>
        </row>
        <row r="441">
          <cell r="AZ441">
            <v>238.04999999999998</v>
          </cell>
          <cell r="BG441">
            <v>1587.0000000000182</v>
          </cell>
        </row>
        <row r="442">
          <cell r="AZ442">
            <v>2036.65</v>
          </cell>
          <cell r="BG442">
            <v>13577.666666666821</v>
          </cell>
        </row>
        <row r="443">
          <cell r="AZ443">
            <v>6223.0373333333328</v>
          </cell>
          <cell r="BG443">
            <v>5185.8644444453885</v>
          </cell>
        </row>
        <row r="444">
          <cell r="AZ444">
            <v>1858.8293333333331</v>
          </cell>
          <cell r="BG444">
            <v>1549.0244444447262</v>
          </cell>
        </row>
        <row r="445">
          <cell r="AZ445">
            <v>5995.7333333333336</v>
          </cell>
          <cell r="BG445">
            <v>4996.4444444453529</v>
          </cell>
        </row>
        <row r="446">
          <cell r="AZ446">
            <v>1790.9333333333334</v>
          </cell>
          <cell r="BG446">
            <v>1492.4444444447158</v>
          </cell>
        </row>
        <row r="447">
          <cell r="AZ447">
            <v>6223.0373333333328</v>
          </cell>
          <cell r="BG447">
            <v>5185.8644444453885</v>
          </cell>
        </row>
        <row r="448">
          <cell r="AZ448">
            <v>1858.8293333333331</v>
          </cell>
          <cell r="BG448">
            <v>1549.0244444447262</v>
          </cell>
        </row>
        <row r="449">
          <cell r="AZ449">
            <v>6230.2240000000002</v>
          </cell>
          <cell r="BG449">
            <v>5191.8533333342775</v>
          </cell>
        </row>
        <row r="450">
          <cell r="AZ450">
            <v>1860.9760000000001</v>
          </cell>
          <cell r="BG450">
            <v>1550.8133333336159</v>
          </cell>
        </row>
        <row r="451">
          <cell r="AZ451">
            <v>1058.8268354430379</v>
          </cell>
          <cell r="BG451">
            <v>3970.6006329114725</v>
          </cell>
        </row>
        <row r="452">
          <cell r="AZ452">
            <v>2333.6389999999997</v>
          </cell>
          <cell r="BG452">
            <v>16724.41283333351</v>
          </cell>
        </row>
        <row r="453">
          <cell r="AZ453">
            <v>517.375</v>
          </cell>
          <cell r="BG453">
            <v>3707.8541666667061</v>
          </cell>
        </row>
        <row r="454">
          <cell r="AZ454">
            <v>961.61468354430372</v>
          </cell>
          <cell r="BG454">
            <v>3606.0550632912127</v>
          </cell>
        </row>
        <row r="455">
          <cell r="AZ455">
            <v>271.31299999999999</v>
          </cell>
          <cell r="BG455">
            <v>1944.4098333333541</v>
          </cell>
        </row>
        <row r="456">
          <cell r="AZ456">
            <v>1047.3174683544303</v>
          </cell>
          <cell r="BG456">
            <v>3927.4405063291933</v>
          </cell>
        </row>
        <row r="457">
          <cell r="AZ457">
            <v>68.190999999999988</v>
          </cell>
          <cell r="BG457">
            <v>488.70216666667181</v>
          </cell>
        </row>
        <row r="458">
          <cell r="AZ458">
            <v>805.62987341772146</v>
          </cell>
          <cell r="BG458">
            <v>3021.1120253165163</v>
          </cell>
        </row>
        <row r="459">
          <cell r="AZ459">
            <v>227.303</v>
          </cell>
          <cell r="BG459">
            <v>1629.0048333333507</v>
          </cell>
        </row>
        <row r="460">
          <cell r="AZ460">
            <v>1209.8239999999998</v>
          </cell>
          <cell r="BG460">
            <v>8872.04266666685</v>
          </cell>
        </row>
        <row r="461">
          <cell r="AZ461">
            <v>3155.3846153846152</v>
          </cell>
          <cell r="BG461">
            <v>1840.6410256415033</v>
          </cell>
        </row>
        <row r="462">
          <cell r="AZ462">
            <v>439.5</v>
          </cell>
          <cell r="BG462">
            <v>3223.0000000000664</v>
          </cell>
        </row>
        <row r="463">
          <cell r="AZ463">
            <v>2148.6953846153847</v>
          </cell>
          <cell r="BG463">
            <v>1253.4056410259664</v>
          </cell>
        </row>
        <row r="464">
          <cell r="AZ464">
            <v>2337.8739999999998</v>
          </cell>
          <cell r="BG464">
            <v>17144.40933333369</v>
          </cell>
        </row>
        <row r="465">
          <cell r="AZ465">
            <v>2148.6953846153847</v>
          </cell>
          <cell r="BG465">
            <v>1253.4056410259664</v>
          </cell>
        </row>
        <row r="466">
          <cell r="AZ466">
            <v>2337.8739999999998</v>
          </cell>
          <cell r="BG466">
            <v>17144.40933333369</v>
          </cell>
        </row>
        <row r="467">
          <cell r="AZ467">
            <v>1111.9261538461537</v>
          </cell>
          <cell r="BG467">
            <v>648.62358974375843</v>
          </cell>
        </row>
        <row r="468">
          <cell r="AZ468">
            <v>2455.0200000002028</v>
          </cell>
          <cell r="BG468">
            <v>1227.5100000001021</v>
          </cell>
        </row>
        <row r="469">
          <cell r="AZ469">
            <v>2465.6939999999995</v>
          </cell>
          <cell r="BG469">
            <v>18903.654000000184</v>
          </cell>
        </row>
        <row r="470">
          <cell r="AZ470">
            <v>960.66000000000008</v>
          </cell>
          <cell r="BG470">
            <v>7445.1149999999998</v>
          </cell>
        </row>
        <row r="471">
          <cell r="AZ471">
            <v>8151.0545454545454</v>
          </cell>
          <cell r="BG471">
            <v>4075.5272727272732</v>
          </cell>
        </row>
        <row r="472">
          <cell r="AZ472">
            <v>5875.2514285714287</v>
          </cell>
          <cell r="BG472">
            <v>2937.6257142857144</v>
          </cell>
        </row>
        <row r="473">
          <cell r="AZ473">
            <v>587.52499999999998</v>
          </cell>
          <cell r="BG473">
            <v>4798.120833333378</v>
          </cell>
        </row>
        <row r="474">
          <cell r="AZ474">
            <v>3571.3757142857139</v>
          </cell>
          <cell r="BG474">
            <v>1785.687857142857</v>
          </cell>
        </row>
        <row r="475">
          <cell r="AZ475">
            <v>82.415999999999997</v>
          </cell>
          <cell r="BG475">
            <v>673.06400000000622</v>
          </cell>
        </row>
        <row r="476">
          <cell r="AZ476">
            <v>3133.7999999999997</v>
          </cell>
          <cell r="BG476">
            <v>26376.150000000242</v>
          </cell>
        </row>
        <row r="477">
          <cell r="AZ477">
            <v>4307.5</v>
          </cell>
          <cell r="BG477">
            <v>36613.75</v>
          </cell>
        </row>
        <row r="478">
          <cell r="AZ478">
            <v>11154.052173915579</v>
          </cell>
          <cell r="BG478">
            <v>5577.0260869577896</v>
          </cell>
        </row>
        <row r="479">
          <cell r="AZ479">
            <v>995.93999999999983</v>
          </cell>
          <cell r="BG479">
            <v>8548.4850000001497</v>
          </cell>
        </row>
        <row r="480">
          <cell r="AZ480">
            <v>4320.7854545454547</v>
          </cell>
          <cell r="BG480">
            <v>2520.4581818181809</v>
          </cell>
        </row>
        <row r="481">
          <cell r="AZ481">
            <v>2640.4560000000001</v>
          </cell>
          <cell r="BG481">
            <v>23103.99</v>
          </cell>
        </row>
        <row r="482">
          <cell r="AZ482">
            <v>316.90000000000003</v>
          </cell>
          <cell r="BG482">
            <v>2852.1000000000004</v>
          </cell>
        </row>
        <row r="483">
          <cell r="AZ483">
            <v>1647.7560000000003</v>
          </cell>
          <cell r="BG483">
            <v>14967.117000000251</v>
          </cell>
        </row>
        <row r="484">
          <cell r="AZ484">
            <v>1414.768</v>
          </cell>
          <cell r="BG484">
            <v>12850.809333333547</v>
          </cell>
        </row>
        <row r="485">
          <cell r="AZ485">
            <v>1300.4250000000002</v>
          </cell>
          <cell r="BG485">
            <v>12028.93125</v>
          </cell>
        </row>
        <row r="486">
          <cell r="AZ486">
            <v>3046.4117647058824</v>
          </cell>
          <cell r="BG486">
            <v>2030.9411764705881</v>
          </cell>
        </row>
        <row r="487">
          <cell r="AZ487">
            <v>736.04899999999998</v>
          </cell>
          <cell r="BG487">
            <v>6808.4532500000005</v>
          </cell>
        </row>
        <row r="488">
          <cell r="AZ488">
            <v>1551.9458823529412</v>
          </cell>
          <cell r="BG488">
            <v>1034.6305882352942</v>
          </cell>
        </row>
        <row r="489">
          <cell r="AZ489">
            <v>545.14200000000005</v>
          </cell>
          <cell r="BG489">
            <v>5042.5635000000002</v>
          </cell>
        </row>
        <row r="490">
          <cell r="AZ490">
            <v>1149.5858823529411</v>
          </cell>
          <cell r="BG490">
            <v>766.39058823529399</v>
          </cell>
        </row>
        <row r="491">
          <cell r="AZ491">
            <v>2849.002</v>
          </cell>
          <cell r="BG491">
            <v>26590.685333333764</v>
          </cell>
        </row>
        <row r="492">
          <cell r="AZ492">
            <v>6020.2049999999999</v>
          </cell>
          <cell r="BG492">
            <v>4013.4700000009125</v>
          </cell>
        </row>
        <row r="493">
          <cell r="AZ493">
            <v>552.29999999999995</v>
          </cell>
          <cell r="BG493">
            <v>2485.35</v>
          </cell>
        </row>
        <row r="494">
          <cell r="AZ494">
            <v>241.96</v>
          </cell>
          <cell r="BG494">
            <v>1088.82</v>
          </cell>
        </row>
        <row r="495">
          <cell r="AZ495">
            <v>957.32</v>
          </cell>
          <cell r="BG495">
            <v>4307.9400000000005</v>
          </cell>
        </row>
        <row r="496">
          <cell r="AZ496">
            <v>236.70000000000002</v>
          </cell>
          <cell r="BG496">
            <v>1065.1500000000001</v>
          </cell>
        </row>
        <row r="497">
          <cell r="AZ497">
            <v>810.04</v>
          </cell>
          <cell r="BG497">
            <v>3645.18</v>
          </cell>
        </row>
        <row r="498">
          <cell r="AZ498">
            <v>94.585999999999999</v>
          </cell>
          <cell r="BG498">
            <v>425.637</v>
          </cell>
        </row>
        <row r="499">
          <cell r="AZ499">
            <v>666.601</v>
          </cell>
          <cell r="BG499">
            <v>2999.7045000000003</v>
          </cell>
        </row>
        <row r="500">
          <cell r="AZ500">
            <v>437.75400000000002</v>
          </cell>
          <cell r="BG500">
            <v>1969.893</v>
          </cell>
        </row>
        <row r="501">
          <cell r="AZ501">
            <v>1291.2329999999999</v>
          </cell>
          <cell r="BG501">
            <v>5810.5484999999999</v>
          </cell>
        </row>
        <row r="502">
          <cell r="AZ502">
            <v>285.68600000000004</v>
          </cell>
          <cell r="BG502">
            <v>1285.587</v>
          </cell>
        </row>
        <row r="503">
          <cell r="AZ503">
            <v>1466.194</v>
          </cell>
          <cell r="BG503">
            <v>6597.8730000000005</v>
          </cell>
        </row>
        <row r="504">
          <cell r="AZ504">
            <v>127.70399999999999</v>
          </cell>
          <cell r="BG504">
            <v>574.66800000000001</v>
          </cell>
        </row>
        <row r="505">
          <cell r="AZ505">
            <v>2731.2899999997517</v>
          </cell>
          <cell r="BG505">
            <v>15022.095000000125</v>
          </cell>
        </row>
        <row r="506">
          <cell r="AZ506">
            <v>2260.9492500000001</v>
          </cell>
          <cell r="BG506">
            <v>13942.520375</v>
          </cell>
        </row>
        <row r="507">
          <cell r="AZ507">
            <v>2503.0417499999999</v>
          </cell>
          <cell r="BG507">
            <v>15435.424125</v>
          </cell>
        </row>
        <row r="508">
          <cell r="AZ508">
            <v>325.37175000000002</v>
          </cell>
          <cell r="BG508">
            <v>2006.4591249999999</v>
          </cell>
        </row>
        <row r="509">
          <cell r="AZ509">
            <v>1994.5029999997412</v>
          </cell>
          <cell r="BG509">
            <v>16098.48850000013</v>
          </cell>
        </row>
        <row r="510">
          <cell r="AZ510">
            <v>1424.6449999994818</v>
          </cell>
          <cell r="BG510">
            <v>16383.417500000261</v>
          </cell>
        </row>
        <row r="511">
          <cell r="AZ511">
            <v>1155.4549999997375</v>
          </cell>
          <cell r="BG511">
            <v>16754.097500000131</v>
          </cell>
        </row>
        <row r="512">
          <cell r="AZ512">
            <v>256.21749999976697</v>
          </cell>
          <cell r="BG512">
            <v>7558.4162500001157</v>
          </cell>
        </row>
        <row r="513">
          <cell r="AZ513">
            <v>205.00933333314688</v>
          </cell>
          <cell r="BG513">
            <v>6047.7753333334267</v>
          </cell>
        </row>
        <row r="514">
          <cell r="AZ514">
            <v>191.9451666664921</v>
          </cell>
          <cell r="BG514">
            <v>5662.3824166667537</v>
          </cell>
        </row>
        <row r="515">
          <cell r="AZ515">
            <v>243.48041666644525</v>
          </cell>
          <cell r="BG515">
            <v>14487.084791666779</v>
          </cell>
        </row>
        <row r="516">
          <cell r="AZ516">
            <v>70.770916666602304</v>
          </cell>
          <cell r="BG516">
            <v>4210.8695416666988</v>
          </cell>
        </row>
        <row r="517">
          <cell r="AZ517">
            <v>0</v>
          </cell>
          <cell r="BG517">
            <v>5971.085</v>
          </cell>
        </row>
        <row r="518">
          <cell r="AZ518">
            <v>0</v>
          </cell>
          <cell r="BG518">
            <v>13598.91</v>
          </cell>
        </row>
        <row r="519">
          <cell r="AZ519">
            <v>0</v>
          </cell>
          <cell r="BG519">
            <v>2961.3049999999998</v>
          </cell>
        </row>
        <row r="520">
          <cell r="AZ520">
            <v>0</v>
          </cell>
          <cell r="BG520">
            <v>1352.145</v>
          </cell>
        </row>
        <row r="521">
          <cell r="AZ521">
            <v>0</v>
          </cell>
          <cell r="BG521">
            <v>9524.9249999999993</v>
          </cell>
        </row>
        <row r="522">
          <cell r="AZ522">
            <v>0</v>
          </cell>
          <cell r="BG522">
            <v>9524.9249999999993</v>
          </cell>
        </row>
        <row r="523">
          <cell r="AZ523">
            <v>11.850000000000001</v>
          </cell>
          <cell r="BG523">
            <v>5.9249999999999972</v>
          </cell>
        </row>
        <row r="524">
          <cell r="AZ524">
            <v>22</v>
          </cell>
          <cell r="BG524">
            <v>11</v>
          </cell>
        </row>
        <row r="525">
          <cell r="AZ525">
            <v>13.707000000000001</v>
          </cell>
          <cell r="BG525">
            <v>6.8534999999999968</v>
          </cell>
        </row>
        <row r="526">
          <cell r="AZ526">
            <v>20.033999999999999</v>
          </cell>
          <cell r="BG526">
            <v>10.016999999999996</v>
          </cell>
        </row>
        <row r="527">
          <cell r="AZ527">
            <v>5</v>
          </cell>
          <cell r="BG527">
            <v>2.5</v>
          </cell>
        </row>
        <row r="528">
          <cell r="AZ528">
            <v>13.158000000000001</v>
          </cell>
          <cell r="BG528">
            <v>6.5790000000000006</v>
          </cell>
        </row>
        <row r="529">
          <cell r="AZ529">
            <v>8.8030000000000008</v>
          </cell>
          <cell r="BG529">
            <v>4.4014999999999986</v>
          </cell>
        </row>
        <row r="530">
          <cell r="AZ530">
            <v>4.3999999999999995</v>
          </cell>
          <cell r="BG530">
            <v>2.1999999999999993</v>
          </cell>
        </row>
        <row r="531">
          <cell r="AZ531">
            <v>11.059999999999999</v>
          </cell>
          <cell r="BG531">
            <v>5.5300000000000011</v>
          </cell>
        </row>
        <row r="532">
          <cell r="AZ532">
            <v>2</v>
          </cell>
          <cell r="BG532">
            <v>1</v>
          </cell>
        </row>
        <row r="533">
          <cell r="AZ533">
            <v>14</v>
          </cell>
          <cell r="BG533">
            <v>7</v>
          </cell>
        </row>
        <row r="534">
          <cell r="AZ534">
            <v>41</v>
          </cell>
          <cell r="BG534">
            <v>20.5</v>
          </cell>
        </row>
        <row r="535">
          <cell r="AZ535">
            <v>28</v>
          </cell>
          <cell r="BG535">
            <v>14</v>
          </cell>
        </row>
        <row r="536">
          <cell r="AZ536">
            <v>2</v>
          </cell>
          <cell r="BG536">
            <v>1</v>
          </cell>
        </row>
        <row r="537">
          <cell r="AZ537">
            <v>2</v>
          </cell>
          <cell r="BG537">
            <v>1</v>
          </cell>
        </row>
        <row r="538">
          <cell r="AZ538">
            <v>29</v>
          </cell>
          <cell r="BG538">
            <v>14.5</v>
          </cell>
        </row>
        <row r="539">
          <cell r="AZ539">
            <v>1.9600000000000004</v>
          </cell>
          <cell r="BG539">
            <v>0.98000000000000043</v>
          </cell>
        </row>
        <row r="540">
          <cell r="AZ540">
            <v>0.87599999999999989</v>
          </cell>
          <cell r="BG540">
            <v>0.43799999999999972</v>
          </cell>
        </row>
        <row r="541">
          <cell r="AZ541">
            <v>1</v>
          </cell>
          <cell r="BG541">
            <v>0.5</v>
          </cell>
        </row>
        <row r="542">
          <cell r="AZ542">
            <v>110</v>
          </cell>
          <cell r="BG542">
            <v>55</v>
          </cell>
        </row>
        <row r="543">
          <cell r="AZ543">
            <v>110</v>
          </cell>
          <cell r="BG543">
            <v>55</v>
          </cell>
        </row>
        <row r="544">
          <cell r="AZ544">
            <v>34</v>
          </cell>
          <cell r="BG544">
            <v>17</v>
          </cell>
        </row>
        <row r="545">
          <cell r="AZ545">
            <v>36</v>
          </cell>
          <cell r="BG545">
            <v>18</v>
          </cell>
        </row>
        <row r="546">
          <cell r="AZ546">
            <v>5</v>
          </cell>
          <cell r="BG546">
            <v>2.5</v>
          </cell>
        </row>
        <row r="547">
          <cell r="AZ547">
            <v>12</v>
          </cell>
          <cell r="BG547">
            <v>6</v>
          </cell>
        </row>
        <row r="548">
          <cell r="AZ548">
            <v>5</v>
          </cell>
          <cell r="BG548">
            <v>2.5</v>
          </cell>
        </row>
        <row r="549">
          <cell r="AZ549">
            <v>15</v>
          </cell>
          <cell r="BG549">
            <v>7.5</v>
          </cell>
        </row>
        <row r="550">
          <cell r="AZ550">
            <v>42</v>
          </cell>
          <cell r="BG550">
            <v>21</v>
          </cell>
        </row>
        <row r="551">
          <cell r="AZ551">
            <v>29</v>
          </cell>
          <cell r="BG551">
            <v>14.5</v>
          </cell>
        </row>
        <row r="552">
          <cell r="AZ552">
            <v>41</v>
          </cell>
          <cell r="BG552">
            <v>20.5</v>
          </cell>
        </row>
        <row r="553">
          <cell r="AZ553">
            <v>34</v>
          </cell>
          <cell r="BG553">
            <v>17</v>
          </cell>
        </row>
        <row r="554">
          <cell r="AZ554">
            <v>42</v>
          </cell>
          <cell r="BG554">
            <v>21</v>
          </cell>
        </row>
        <row r="555">
          <cell r="AZ555">
            <v>34</v>
          </cell>
          <cell r="BG555">
            <v>17</v>
          </cell>
        </row>
        <row r="556">
          <cell r="AZ556">
            <v>38</v>
          </cell>
          <cell r="BG556">
            <v>19</v>
          </cell>
        </row>
        <row r="557">
          <cell r="AZ557">
            <v>54</v>
          </cell>
          <cell r="BG557">
            <v>27</v>
          </cell>
        </row>
        <row r="558">
          <cell r="AZ558">
            <v>0</v>
          </cell>
          <cell r="BG558">
            <v>0</v>
          </cell>
        </row>
        <row r="559">
          <cell r="AZ559">
            <v>0</v>
          </cell>
          <cell r="BG559">
            <v>0</v>
          </cell>
        </row>
        <row r="560">
          <cell r="AZ560">
            <v>0</v>
          </cell>
          <cell r="BG560">
            <v>0</v>
          </cell>
        </row>
        <row r="561">
          <cell r="AZ561">
            <v>34</v>
          </cell>
          <cell r="BG561">
            <v>17</v>
          </cell>
        </row>
        <row r="562">
          <cell r="AZ562">
            <v>38</v>
          </cell>
          <cell r="BG562">
            <v>19</v>
          </cell>
        </row>
        <row r="563">
          <cell r="AZ563">
            <v>12.957000000000001</v>
          </cell>
          <cell r="BG563">
            <v>6.4784999999999968</v>
          </cell>
        </row>
        <row r="564">
          <cell r="AZ564">
            <v>19</v>
          </cell>
          <cell r="BG564">
            <v>9.5</v>
          </cell>
        </row>
        <row r="565">
          <cell r="AZ565">
            <v>0</v>
          </cell>
          <cell r="BG565">
            <v>0</v>
          </cell>
        </row>
        <row r="566">
          <cell r="AZ566">
            <v>0</v>
          </cell>
          <cell r="BG566">
            <v>0</v>
          </cell>
        </row>
        <row r="567">
          <cell r="AZ567">
            <v>0</v>
          </cell>
          <cell r="BG567">
            <v>0</v>
          </cell>
        </row>
        <row r="568">
          <cell r="AZ568">
            <v>0</v>
          </cell>
          <cell r="BG568">
            <v>0</v>
          </cell>
        </row>
        <row r="569">
          <cell r="AZ569">
            <v>0</v>
          </cell>
          <cell r="BG569">
            <v>0</v>
          </cell>
        </row>
        <row r="570">
          <cell r="AZ570">
            <v>21.106999999999999</v>
          </cell>
          <cell r="BG570">
            <v>10.5535</v>
          </cell>
        </row>
        <row r="571">
          <cell r="AZ571">
            <v>41</v>
          </cell>
          <cell r="BG571">
            <v>20.5</v>
          </cell>
        </row>
        <row r="572">
          <cell r="AZ572">
            <v>41</v>
          </cell>
          <cell r="BG572">
            <v>20.5</v>
          </cell>
        </row>
        <row r="573">
          <cell r="AZ573">
            <v>41</v>
          </cell>
          <cell r="BG573">
            <v>20.5</v>
          </cell>
        </row>
        <row r="574">
          <cell r="AZ574">
            <v>41</v>
          </cell>
          <cell r="BG574">
            <v>20.5</v>
          </cell>
        </row>
        <row r="575">
          <cell r="AZ575">
            <v>45</v>
          </cell>
          <cell r="BG575">
            <v>22.5</v>
          </cell>
        </row>
        <row r="576">
          <cell r="AZ576">
            <v>45</v>
          </cell>
          <cell r="BG576">
            <v>22.5</v>
          </cell>
        </row>
        <row r="577">
          <cell r="AZ577">
            <v>45</v>
          </cell>
          <cell r="BG577">
            <v>22.5</v>
          </cell>
        </row>
        <row r="578">
          <cell r="AZ578">
            <v>41</v>
          </cell>
          <cell r="BG578">
            <v>20.5</v>
          </cell>
        </row>
        <row r="579">
          <cell r="AZ579">
            <v>41</v>
          </cell>
          <cell r="BG579">
            <v>20.5</v>
          </cell>
        </row>
        <row r="580">
          <cell r="AZ580">
            <v>41</v>
          </cell>
          <cell r="BG580">
            <v>20.5</v>
          </cell>
        </row>
        <row r="581">
          <cell r="AZ581">
            <v>41</v>
          </cell>
          <cell r="BG581">
            <v>20.5</v>
          </cell>
        </row>
        <row r="582">
          <cell r="AZ582">
            <v>41</v>
          </cell>
          <cell r="BG582">
            <v>20.5</v>
          </cell>
        </row>
        <row r="583">
          <cell r="AZ583">
            <v>41</v>
          </cell>
          <cell r="BG583">
            <v>20.5</v>
          </cell>
        </row>
        <row r="584">
          <cell r="AZ584">
            <v>41</v>
          </cell>
          <cell r="BG584">
            <v>20.5</v>
          </cell>
        </row>
        <row r="585">
          <cell r="AZ585">
            <v>38</v>
          </cell>
          <cell r="BG585">
            <v>19</v>
          </cell>
        </row>
        <row r="586">
          <cell r="AZ586">
            <v>41</v>
          </cell>
          <cell r="BG586">
            <v>20.5</v>
          </cell>
        </row>
        <row r="587">
          <cell r="AZ587">
            <v>40</v>
          </cell>
          <cell r="BG587">
            <v>20</v>
          </cell>
        </row>
        <row r="588">
          <cell r="AZ588">
            <v>35</v>
          </cell>
          <cell r="BG588">
            <v>17.5</v>
          </cell>
        </row>
        <row r="589">
          <cell r="AZ589">
            <v>6</v>
          </cell>
          <cell r="BG589">
            <v>3</v>
          </cell>
        </row>
        <row r="590">
          <cell r="AZ590">
            <v>35</v>
          </cell>
          <cell r="BG590">
            <v>17.5</v>
          </cell>
        </row>
        <row r="591">
          <cell r="AZ591">
            <v>35</v>
          </cell>
          <cell r="BG591">
            <v>17.5</v>
          </cell>
        </row>
        <row r="592">
          <cell r="AZ592">
            <v>37</v>
          </cell>
          <cell r="BG592">
            <v>18.5</v>
          </cell>
        </row>
        <row r="593">
          <cell r="AZ593">
            <v>37</v>
          </cell>
          <cell r="BG593">
            <v>18.5</v>
          </cell>
        </row>
        <row r="594">
          <cell r="AZ594">
            <v>17</v>
          </cell>
          <cell r="BG594">
            <v>8.5</v>
          </cell>
        </row>
        <row r="595">
          <cell r="AZ595">
            <v>37</v>
          </cell>
          <cell r="BG595">
            <v>18.5</v>
          </cell>
        </row>
        <row r="596">
          <cell r="AZ596">
            <v>37</v>
          </cell>
          <cell r="BG596">
            <v>18.5</v>
          </cell>
        </row>
        <row r="597">
          <cell r="AZ597">
            <v>37</v>
          </cell>
          <cell r="BG597">
            <v>18.5</v>
          </cell>
        </row>
        <row r="598">
          <cell r="AZ598">
            <v>37</v>
          </cell>
          <cell r="BG598">
            <v>18.5</v>
          </cell>
        </row>
        <row r="599">
          <cell r="AZ599">
            <v>0</v>
          </cell>
          <cell r="BG599">
            <v>0</v>
          </cell>
        </row>
        <row r="600">
          <cell r="AZ600">
            <v>32</v>
          </cell>
          <cell r="BG600">
            <v>16</v>
          </cell>
        </row>
        <row r="601">
          <cell r="AZ601">
            <v>32</v>
          </cell>
          <cell r="BG601">
            <v>16</v>
          </cell>
        </row>
        <row r="602">
          <cell r="AZ602">
            <v>35</v>
          </cell>
          <cell r="BG602">
            <v>17.5</v>
          </cell>
        </row>
        <row r="603">
          <cell r="AZ603">
            <v>35</v>
          </cell>
          <cell r="BG603">
            <v>17.5</v>
          </cell>
        </row>
        <row r="604">
          <cell r="AZ604">
            <v>23.965999999999998</v>
          </cell>
          <cell r="BG604">
            <v>11.983000000000004</v>
          </cell>
        </row>
        <row r="605">
          <cell r="AZ605">
            <v>8.83</v>
          </cell>
          <cell r="BG605">
            <v>4.4149999999999991</v>
          </cell>
        </row>
        <row r="606">
          <cell r="AZ606">
            <v>32</v>
          </cell>
          <cell r="BG606">
            <v>16</v>
          </cell>
        </row>
        <row r="607">
          <cell r="AZ607">
            <v>32</v>
          </cell>
          <cell r="BG607">
            <v>16</v>
          </cell>
        </row>
        <row r="608">
          <cell r="AZ608">
            <v>32</v>
          </cell>
          <cell r="BG608">
            <v>16</v>
          </cell>
        </row>
        <row r="609">
          <cell r="AZ609">
            <v>32</v>
          </cell>
          <cell r="BG609">
            <v>16</v>
          </cell>
        </row>
        <row r="610">
          <cell r="AZ610">
            <v>10.785</v>
          </cell>
          <cell r="BG610">
            <v>5.3924999999999983</v>
          </cell>
        </row>
        <row r="611">
          <cell r="AZ611">
            <v>12.794999999999998</v>
          </cell>
          <cell r="BG611">
            <v>6.3975000000000009</v>
          </cell>
        </row>
        <row r="612">
          <cell r="AZ612">
            <v>32</v>
          </cell>
          <cell r="BG612">
            <v>16</v>
          </cell>
        </row>
        <row r="613">
          <cell r="AZ613">
            <v>32</v>
          </cell>
          <cell r="BG613">
            <v>16</v>
          </cell>
        </row>
        <row r="614">
          <cell r="AZ614">
            <v>32</v>
          </cell>
          <cell r="BG614">
            <v>16</v>
          </cell>
        </row>
        <row r="615">
          <cell r="AZ615">
            <v>13.749000000000001</v>
          </cell>
          <cell r="BG615">
            <v>6.8744999999999976</v>
          </cell>
        </row>
        <row r="616">
          <cell r="AZ616">
            <v>11</v>
          </cell>
          <cell r="BG616">
            <v>5.5</v>
          </cell>
        </row>
        <row r="617">
          <cell r="AZ617">
            <v>11</v>
          </cell>
          <cell r="BG617">
            <v>5.5</v>
          </cell>
        </row>
        <row r="618">
          <cell r="AZ618">
            <v>9</v>
          </cell>
          <cell r="BG618">
            <v>4.5</v>
          </cell>
        </row>
        <row r="619">
          <cell r="AZ619">
            <v>45</v>
          </cell>
          <cell r="BG619">
            <v>22.5</v>
          </cell>
        </row>
        <row r="620">
          <cell r="AZ620">
            <v>21</v>
          </cell>
          <cell r="BG620">
            <v>10.5</v>
          </cell>
        </row>
        <row r="621">
          <cell r="AZ621">
            <v>31</v>
          </cell>
          <cell r="BG621">
            <v>15.5</v>
          </cell>
        </row>
        <row r="622">
          <cell r="AZ622">
            <v>34</v>
          </cell>
          <cell r="BG622">
            <v>17</v>
          </cell>
        </row>
        <row r="623">
          <cell r="AZ623">
            <v>44</v>
          </cell>
          <cell r="BG623">
            <v>22</v>
          </cell>
        </row>
        <row r="624">
          <cell r="AZ624">
            <v>34</v>
          </cell>
          <cell r="BG624">
            <v>17</v>
          </cell>
        </row>
        <row r="625">
          <cell r="AZ625">
            <v>68</v>
          </cell>
          <cell r="BG625">
            <v>34</v>
          </cell>
        </row>
        <row r="626">
          <cell r="AZ626">
            <v>6</v>
          </cell>
          <cell r="BG626">
            <v>3</v>
          </cell>
        </row>
        <row r="627">
          <cell r="AZ627">
            <v>82</v>
          </cell>
          <cell r="BG627">
            <v>41</v>
          </cell>
        </row>
        <row r="628">
          <cell r="AZ628">
            <v>41</v>
          </cell>
          <cell r="BG628">
            <v>20.5</v>
          </cell>
        </row>
        <row r="629">
          <cell r="AZ629">
            <v>41</v>
          </cell>
          <cell r="BG629">
            <v>20.5</v>
          </cell>
        </row>
        <row r="630">
          <cell r="AZ630">
            <v>41</v>
          </cell>
          <cell r="BG630">
            <v>20.5</v>
          </cell>
        </row>
        <row r="631">
          <cell r="AZ631">
            <v>10</v>
          </cell>
          <cell r="BG631">
            <v>5</v>
          </cell>
        </row>
        <row r="632">
          <cell r="AZ632">
            <v>41</v>
          </cell>
          <cell r="BG632">
            <v>20.5</v>
          </cell>
        </row>
        <row r="633">
          <cell r="AZ633">
            <v>52</v>
          </cell>
          <cell r="BG633">
            <v>26</v>
          </cell>
        </row>
        <row r="634">
          <cell r="AZ634">
            <v>41</v>
          </cell>
          <cell r="BG634">
            <v>20.5</v>
          </cell>
        </row>
        <row r="635">
          <cell r="AZ635">
            <v>41</v>
          </cell>
          <cell r="BG635">
            <v>20.5</v>
          </cell>
        </row>
        <row r="636">
          <cell r="AZ636">
            <v>0</v>
          </cell>
          <cell r="BG636">
            <v>0</v>
          </cell>
        </row>
        <row r="637">
          <cell r="AZ637">
            <v>41</v>
          </cell>
          <cell r="BG637">
            <v>20.5</v>
          </cell>
        </row>
        <row r="638">
          <cell r="AZ638">
            <v>41</v>
          </cell>
          <cell r="BG638">
            <v>20.5</v>
          </cell>
        </row>
        <row r="639">
          <cell r="AZ639">
            <v>41</v>
          </cell>
          <cell r="BG639">
            <v>20.5</v>
          </cell>
        </row>
        <row r="640">
          <cell r="AZ640">
            <v>4</v>
          </cell>
          <cell r="BG640">
            <v>2</v>
          </cell>
        </row>
        <row r="641">
          <cell r="AZ641">
            <v>41</v>
          </cell>
          <cell r="BG641">
            <v>20.5</v>
          </cell>
        </row>
        <row r="642">
          <cell r="AZ642">
            <v>41</v>
          </cell>
          <cell r="BG642">
            <v>20.5</v>
          </cell>
        </row>
        <row r="643">
          <cell r="AZ643">
            <v>41</v>
          </cell>
          <cell r="BG643">
            <v>20.5</v>
          </cell>
        </row>
        <row r="644">
          <cell r="AZ644">
            <v>13.788999999999998</v>
          </cell>
          <cell r="BG644">
            <v>6.8945000000000007</v>
          </cell>
        </row>
        <row r="645">
          <cell r="AZ645">
            <v>0</v>
          </cell>
          <cell r="BG645">
            <v>0</v>
          </cell>
        </row>
        <row r="646">
          <cell r="AZ646">
            <v>41</v>
          </cell>
          <cell r="BG646">
            <v>20.5</v>
          </cell>
        </row>
        <row r="647">
          <cell r="AZ647">
            <v>12</v>
          </cell>
          <cell r="BG647">
            <v>6</v>
          </cell>
        </row>
        <row r="648">
          <cell r="AZ648">
            <v>41</v>
          </cell>
          <cell r="BG648">
            <v>20.5</v>
          </cell>
        </row>
        <row r="649">
          <cell r="AZ649">
            <v>41</v>
          </cell>
          <cell r="BG649">
            <v>20.5</v>
          </cell>
        </row>
        <row r="650">
          <cell r="AZ650">
            <v>41</v>
          </cell>
          <cell r="BG650">
            <v>20.5</v>
          </cell>
        </row>
        <row r="651">
          <cell r="AZ651">
            <v>53</v>
          </cell>
          <cell r="BG651">
            <v>26.5</v>
          </cell>
        </row>
        <row r="652">
          <cell r="AZ652">
            <v>41</v>
          </cell>
          <cell r="BG652">
            <v>20.5</v>
          </cell>
        </row>
        <row r="653">
          <cell r="AZ653">
            <v>41</v>
          </cell>
          <cell r="BG653">
            <v>20.5</v>
          </cell>
        </row>
        <row r="654">
          <cell r="AZ654">
            <v>41</v>
          </cell>
          <cell r="BG654">
            <v>20.5</v>
          </cell>
        </row>
        <row r="655">
          <cell r="AZ655">
            <v>3</v>
          </cell>
          <cell r="BG655">
            <v>1.5</v>
          </cell>
        </row>
        <row r="656">
          <cell r="AZ656">
            <v>35</v>
          </cell>
          <cell r="BG656">
            <v>17.5</v>
          </cell>
        </row>
        <row r="657">
          <cell r="AZ657">
            <v>41</v>
          </cell>
          <cell r="BG657">
            <v>20.5</v>
          </cell>
        </row>
        <row r="658">
          <cell r="AZ658">
            <v>41</v>
          </cell>
          <cell r="BG658">
            <v>20.5</v>
          </cell>
        </row>
        <row r="659">
          <cell r="AZ659">
            <v>16</v>
          </cell>
          <cell r="BG659">
            <v>8</v>
          </cell>
        </row>
        <row r="660">
          <cell r="AZ660">
            <v>28</v>
          </cell>
          <cell r="BG660">
            <v>14</v>
          </cell>
        </row>
        <row r="661">
          <cell r="AZ661">
            <v>18</v>
          </cell>
          <cell r="BG661">
            <v>9</v>
          </cell>
        </row>
        <row r="662">
          <cell r="AZ662">
            <v>42</v>
          </cell>
          <cell r="BG662">
            <v>21</v>
          </cell>
        </row>
        <row r="663">
          <cell r="AZ663">
            <v>36</v>
          </cell>
          <cell r="BG663">
            <v>18</v>
          </cell>
        </row>
        <row r="664">
          <cell r="AZ664">
            <v>41</v>
          </cell>
          <cell r="BG664">
            <v>20.5</v>
          </cell>
        </row>
        <row r="665">
          <cell r="AZ665">
            <v>41</v>
          </cell>
          <cell r="BG665">
            <v>20.5</v>
          </cell>
        </row>
        <row r="666">
          <cell r="AZ666">
            <v>41</v>
          </cell>
          <cell r="BG666">
            <v>20.5</v>
          </cell>
        </row>
        <row r="667">
          <cell r="AZ667">
            <v>3</v>
          </cell>
          <cell r="BG667">
            <v>1.5</v>
          </cell>
        </row>
        <row r="668">
          <cell r="AZ668">
            <v>41</v>
          </cell>
          <cell r="BG668">
            <v>20.5</v>
          </cell>
        </row>
        <row r="669">
          <cell r="AZ669">
            <v>37</v>
          </cell>
          <cell r="BG669">
            <v>18.5</v>
          </cell>
        </row>
        <row r="670">
          <cell r="AZ670">
            <v>0</v>
          </cell>
          <cell r="BG670">
            <v>0</v>
          </cell>
        </row>
        <row r="671">
          <cell r="AZ671">
            <v>0</v>
          </cell>
          <cell r="BG671">
            <v>0</v>
          </cell>
        </row>
        <row r="672">
          <cell r="AZ672">
            <v>0</v>
          </cell>
          <cell r="BG672">
            <v>0</v>
          </cell>
        </row>
        <row r="673">
          <cell r="AZ673">
            <v>0</v>
          </cell>
          <cell r="BG673">
            <v>0</v>
          </cell>
        </row>
        <row r="674">
          <cell r="AZ674">
            <v>0</v>
          </cell>
          <cell r="BG674">
            <v>0</v>
          </cell>
        </row>
        <row r="675">
          <cell r="AZ675">
            <v>0</v>
          </cell>
          <cell r="BG675">
            <v>0</v>
          </cell>
        </row>
        <row r="676">
          <cell r="AZ676">
            <v>0</v>
          </cell>
          <cell r="BG676">
            <v>0</v>
          </cell>
        </row>
        <row r="677">
          <cell r="AZ677">
            <v>0</v>
          </cell>
          <cell r="BG677">
            <v>0</v>
          </cell>
        </row>
        <row r="678">
          <cell r="AZ678">
            <v>0</v>
          </cell>
          <cell r="BG678">
            <v>0</v>
          </cell>
        </row>
        <row r="679">
          <cell r="AZ679">
            <v>0</v>
          </cell>
          <cell r="BG679">
            <v>0</v>
          </cell>
        </row>
        <row r="680">
          <cell r="AZ680">
            <v>0</v>
          </cell>
          <cell r="BG680">
            <v>0</v>
          </cell>
        </row>
        <row r="681">
          <cell r="AZ681">
            <v>0</v>
          </cell>
          <cell r="BG681">
            <v>0</v>
          </cell>
        </row>
        <row r="682">
          <cell r="AZ682">
            <v>0</v>
          </cell>
          <cell r="BG682">
            <v>0</v>
          </cell>
        </row>
        <row r="683">
          <cell r="AZ683">
            <v>0</v>
          </cell>
          <cell r="BG683">
            <v>0</v>
          </cell>
        </row>
        <row r="684">
          <cell r="AZ684">
            <v>190</v>
          </cell>
          <cell r="BG684">
            <v>95</v>
          </cell>
        </row>
        <row r="685">
          <cell r="AZ685">
            <v>39</v>
          </cell>
          <cell r="BG685">
            <v>19.5</v>
          </cell>
        </row>
        <row r="686">
          <cell r="AZ686">
            <v>39</v>
          </cell>
          <cell r="BG686">
            <v>19.5</v>
          </cell>
        </row>
        <row r="687">
          <cell r="AZ687">
            <v>9</v>
          </cell>
          <cell r="BG687">
            <v>4.5</v>
          </cell>
        </row>
        <row r="688">
          <cell r="AZ688">
            <v>3</v>
          </cell>
          <cell r="BG688">
            <v>1.5</v>
          </cell>
        </row>
        <row r="689">
          <cell r="AZ689">
            <v>3</v>
          </cell>
          <cell r="BG689">
            <v>1.5</v>
          </cell>
        </row>
        <row r="690">
          <cell r="AZ690">
            <v>3</v>
          </cell>
          <cell r="BG690">
            <v>1.5</v>
          </cell>
        </row>
        <row r="691">
          <cell r="AZ691">
            <v>0</v>
          </cell>
          <cell r="BG691">
            <v>0</v>
          </cell>
        </row>
        <row r="692">
          <cell r="AZ692">
            <v>0</v>
          </cell>
          <cell r="BG692">
            <v>0</v>
          </cell>
        </row>
        <row r="693">
          <cell r="AZ693">
            <v>0</v>
          </cell>
          <cell r="BG693">
            <v>0</v>
          </cell>
        </row>
        <row r="694">
          <cell r="AZ694">
            <v>0</v>
          </cell>
          <cell r="BG694">
            <v>0</v>
          </cell>
        </row>
        <row r="695">
          <cell r="AZ695">
            <v>0</v>
          </cell>
          <cell r="BG695">
            <v>0</v>
          </cell>
        </row>
        <row r="696">
          <cell r="AZ696">
            <v>0</v>
          </cell>
          <cell r="BG696">
            <v>0</v>
          </cell>
        </row>
        <row r="697">
          <cell r="AZ697">
            <v>0</v>
          </cell>
          <cell r="BG697">
            <v>0</v>
          </cell>
        </row>
        <row r="698">
          <cell r="AZ698">
            <v>0</v>
          </cell>
          <cell r="BG698">
            <v>0</v>
          </cell>
        </row>
        <row r="699">
          <cell r="AZ699">
            <v>0</v>
          </cell>
          <cell r="BG699">
            <v>0</v>
          </cell>
        </row>
        <row r="700">
          <cell r="AZ700">
            <v>0</v>
          </cell>
          <cell r="BG700">
            <v>0</v>
          </cell>
        </row>
        <row r="701">
          <cell r="AZ701">
            <v>0</v>
          </cell>
          <cell r="BG701">
            <v>0</v>
          </cell>
        </row>
        <row r="702">
          <cell r="AZ702">
            <v>0</v>
          </cell>
          <cell r="BG702">
            <v>0</v>
          </cell>
        </row>
        <row r="703">
          <cell r="AZ703">
            <v>0</v>
          </cell>
          <cell r="BG703">
            <v>0</v>
          </cell>
        </row>
        <row r="704">
          <cell r="AZ704">
            <v>0</v>
          </cell>
          <cell r="BG704">
            <v>0</v>
          </cell>
        </row>
        <row r="705">
          <cell r="AZ705">
            <v>0</v>
          </cell>
          <cell r="BG705">
            <v>0</v>
          </cell>
        </row>
        <row r="706">
          <cell r="AZ706">
            <v>0</v>
          </cell>
          <cell r="BG706">
            <v>0</v>
          </cell>
        </row>
        <row r="707">
          <cell r="AZ707">
            <v>0</v>
          </cell>
          <cell r="BG707">
            <v>0</v>
          </cell>
        </row>
        <row r="708">
          <cell r="AZ708">
            <v>0</v>
          </cell>
          <cell r="BG708">
            <v>0</v>
          </cell>
        </row>
        <row r="709">
          <cell r="AZ709">
            <v>0</v>
          </cell>
          <cell r="BG709">
            <v>0</v>
          </cell>
        </row>
        <row r="710">
          <cell r="AZ710">
            <v>0</v>
          </cell>
          <cell r="BG710">
            <v>0</v>
          </cell>
        </row>
        <row r="711">
          <cell r="AZ711">
            <v>0</v>
          </cell>
          <cell r="BG711">
            <v>0</v>
          </cell>
        </row>
        <row r="712">
          <cell r="AZ712">
            <v>0</v>
          </cell>
          <cell r="BG712">
            <v>0</v>
          </cell>
        </row>
        <row r="713">
          <cell r="AZ713">
            <v>0</v>
          </cell>
          <cell r="BG713">
            <v>0</v>
          </cell>
        </row>
        <row r="714">
          <cell r="AZ714">
            <v>0</v>
          </cell>
          <cell r="BG714">
            <v>0</v>
          </cell>
        </row>
        <row r="715">
          <cell r="AZ715">
            <v>0</v>
          </cell>
          <cell r="BG715">
            <v>0</v>
          </cell>
        </row>
        <row r="716">
          <cell r="AZ716">
            <v>0</v>
          </cell>
          <cell r="BG716">
            <v>0</v>
          </cell>
        </row>
        <row r="717">
          <cell r="AZ717">
            <v>0</v>
          </cell>
          <cell r="BG717">
            <v>0</v>
          </cell>
        </row>
        <row r="718">
          <cell r="AZ718">
            <v>0</v>
          </cell>
          <cell r="BG718">
            <v>0</v>
          </cell>
        </row>
        <row r="719">
          <cell r="AZ719">
            <v>0</v>
          </cell>
          <cell r="BG719">
            <v>0</v>
          </cell>
        </row>
        <row r="720">
          <cell r="AZ720">
            <v>0</v>
          </cell>
          <cell r="BG720">
            <v>0</v>
          </cell>
        </row>
        <row r="721">
          <cell r="AZ721">
            <v>0</v>
          </cell>
          <cell r="BG721">
            <v>0</v>
          </cell>
        </row>
        <row r="722">
          <cell r="AZ722">
            <v>0</v>
          </cell>
          <cell r="BG722">
            <v>0</v>
          </cell>
        </row>
        <row r="723">
          <cell r="AZ723">
            <v>0</v>
          </cell>
          <cell r="BG723">
            <v>0</v>
          </cell>
        </row>
        <row r="724">
          <cell r="AZ724">
            <v>0</v>
          </cell>
          <cell r="BG724">
            <v>0</v>
          </cell>
        </row>
        <row r="725">
          <cell r="AZ725">
            <v>0</v>
          </cell>
          <cell r="BG725">
            <v>0</v>
          </cell>
        </row>
        <row r="726">
          <cell r="AZ726">
            <v>0</v>
          </cell>
          <cell r="BG726">
            <v>0</v>
          </cell>
        </row>
        <row r="727">
          <cell r="AZ727">
            <v>0</v>
          </cell>
          <cell r="BG727">
            <v>0</v>
          </cell>
        </row>
        <row r="728">
          <cell r="AZ728">
            <v>0</v>
          </cell>
          <cell r="BG728">
            <v>0</v>
          </cell>
        </row>
        <row r="729">
          <cell r="AZ729">
            <v>0</v>
          </cell>
          <cell r="BG729">
            <v>0</v>
          </cell>
        </row>
        <row r="730">
          <cell r="AZ730">
            <v>0</v>
          </cell>
          <cell r="BG730">
            <v>0</v>
          </cell>
        </row>
        <row r="731">
          <cell r="AZ731">
            <v>0</v>
          </cell>
          <cell r="BG731">
            <v>0</v>
          </cell>
        </row>
        <row r="732">
          <cell r="AZ732">
            <v>0</v>
          </cell>
          <cell r="BG732">
            <v>0</v>
          </cell>
        </row>
        <row r="733">
          <cell r="AZ733">
            <v>0</v>
          </cell>
          <cell r="BG733">
            <v>0</v>
          </cell>
        </row>
        <row r="734">
          <cell r="AZ734">
            <v>0</v>
          </cell>
          <cell r="BG734">
            <v>0</v>
          </cell>
        </row>
        <row r="735">
          <cell r="AZ735">
            <v>0</v>
          </cell>
          <cell r="BG735">
            <v>0</v>
          </cell>
        </row>
        <row r="736">
          <cell r="AZ736">
            <v>0</v>
          </cell>
          <cell r="BG736">
            <v>0</v>
          </cell>
        </row>
        <row r="737">
          <cell r="AZ737">
            <v>0</v>
          </cell>
          <cell r="BG737">
            <v>0</v>
          </cell>
        </row>
        <row r="738">
          <cell r="AZ738">
            <v>0</v>
          </cell>
          <cell r="BG738">
            <v>0</v>
          </cell>
        </row>
        <row r="739">
          <cell r="AZ739">
            <v>0</v>
          </cell>
          <cell r="BG739">
            <v>0</v>
          </cell>
        </row>
        <row r="740">
          <cell r="AZ740">
            <v>0</v>
          </cell>
          <cell r="BG740">
            <v>0</v>
          </cell>
        </row>
        <row r="741">
          <cell r="AZ741">
            <v>0</v>
          </cell>
          <cell r="BG741">
            <v>0</v>
          </cell>
        </row>
        <row r="742">
          <cell r="AZ742">
            <v>0</v>
          </cell>
          <cell r="BG742">
            <v>0</v>
          </cell>
        </row>
        <row r="743">
          <cell r="AZ743">
            <v>0</v>
          </cell>
          <cell r="BG743">
            <v>0</v>
          </cell>
        </row>
        <row r="744">
          <cell r="AZ744">
            <v>0</v>
          </cell>
          <cell r="BG744">
            <v>0</v>
          </cell>
        </row>
        <row r="745">
          <cell r="AZ745">
            <v>0</v>
          </cell>
          <cell r="BG745">
            <v>0</v>
          </cell>
        </row>
        <row r="746">
          <cell r="AZ746">
            <v>0</v>
          </cell>
          <cell r="BG746">
            <v>0</v>
          </cell>
        </row>
        <row r="747">
          <cell r="AZ747">
            <v>964.28571428615282</v>
          </cell>
          <cell r="BG747">
            <v>482.14285714307698</v>
          </cell>
        </row>
        <row r="748">
          <cell r="AZ748">
            <v>505.1021428573726</v>
          </cell>
          <cell r="BG748">
            <v>252.55107142868656</v>
          </cell>
        </row>
        <row r="749">
          <cell r="AZ749">
            <v>964.28571428615282</v>
          </cell>
          <cell r="BG749">
            <v>482.14285714307698</v>
          </cell>
        </row>
        <row r="750">
          <cell r="AZ750">
            <v>10232.361999999999</v>
          </cell>
          <cell r="BG750">
            <v>5116.1809999999969</v>
          </cell>
        </row>
        <row r="751">
          <cell r="AZ751">
            <v>464.92299999999989</v>
          </cell>
          <cell r="BG751">
            <v>2324.6150000000002</v>
          </cell>
        </row>
        <row r="752">
          <cell r="AZ752">
            <v>2112.4140000000002</v>
          </cell>
          <cell r="BG752">
            <v>10738.10450000032</v>
          </cell>
        </row>
        <row r="753">
          <cell r="AZ753">
            <v>406.55000000000007</v>
          </cell>
          <cell r="BG753">
            <v>2066.629166666728</v>
          </cell>
        </row>
        <row r="754">
          <cell r="AZ754">
            <v>1097.4560000000001</v>
          </cell>
          <cell r="BG754">
            <v>5578.7346666668327</v>
          </cell>
        </row>
        <row r="755">
          <cell r="AZ755">
            <v>203.31700000000001</v>
          </cell>
          <cell r="BG755">
            <v>1033.5280833333641</v>
          </cell>
        </row>
        <row r="756">
          <cell r="AZ756">
            <v>0</v>
          </cell>
          <cell r="BG756">
            <v>0</v>
          </cell>
        </row>
        <row r="757">
          <cell r="AZ757">
            <v>108.261</v>
          </cell>
          <cell r="BG757">
            <v>550.32675000001632</v>
          </cell>
        </row>
        <row r="758">
          <cell r="AZ758">
            <v>3.0369999999999999</v>
          </cell>
          <cell r="BG758">
            <v>1.5184999999999995</v>
          </cell>
        </row>
        <row r="759">
          <cell r="AZ759">
            <v>8.4280000000000008</v>
          </cell>
          <cell r="BG759">
            <v>4.2139999999999986</v>
          </cell>
        </row>
        <row r="760">
          <cell r="AZ760">
            <v>5.9979999999999993</v>
          </cell>
          <cell r="BG760">
            <v>2.9989999999999988</v>
          </cell>
        </row>
        <row r="761">
          <cell r="AZ761">
            <v>3716.4399999999996</v>
          </cell>
          <cell r="BG761">
            <v>20130.716666666951</v>
          </cell>
        </row>
        <row r="762">
          <cell r="AZ762">
            <v>696.02600000000007</v>
          </cell>
          <cell r="BG762">
            <v>3770.1408333333861</v>
          </cell>
        </row>
        <row r="763">
          <cell r="AZ763">
            <v>2118.34</v>
          </cell>
          <cell r="BG763">
            <v>11827.398333333656</v>
          </cell>
        </row>
        <row r="764">
          <cell r="AZ764">
            <v>275.70100000000002</v>
          </cell>
          <cell r="BG764">
            <v>1539.3305833333752</v>
          </cell>
        </row>
        <row r="765">
          <cell r="AZ765">
            <v>63.078000000000003</v>
          </cell>
          <cell r="BG765">
            <v>352.18550000000948</v>
          </cell>
        </row>
        <row r="766">
          <cell r="AZ766">
            <v>571.76</v>
          </cell>
          <cell r="BG766">
            <v>3192.3266666667541</v>
          </cell>
        </row>
        <row r="767">
          <cell r="AZ767">
            <v>743.28800000000001</v>
          </cell>
          <cell r="BG767">
            <v>4150.024666666779</v>
          </cell>
        </row>
        <row r="768">
          <cell r="AZ768">
            <v>367.56</v>
          </cell>
          <cell r="BG768">
            <v>1990.9500000000278</v>
          </cell>
        </row>
        <row r="769">
          <cell r="AZ769">
            <v>2330.174</v>
          </cell>
          <cell r="BG769">
            <v>12621.775833333511</v>
          </cell>
        </row>
        <row r="770">
          <cell r="AZ770">
            <v>907.86</v>
          </cell>
          <cell r="BG770">
            <v>5068.8850000001385</v>
          </cell>
        </row>
        <row r="771">
          <cell r="AZ771">
            <v>922.99900000000002</v>
          </cell>
          <cell r="BG771">
            <v>5153.4110833334726</v>
          </cell>
        </row>
        <row r="772">
          <cell r="AZ772">
            <v>211.17199999999997</v>
          </cell>
          <cell r="BG772">
            <v>1179.0436666666985</v>
          </cell>
        </row>
        <row r="773">
          <cell r="AZ773">
            <v>245.04000000000002</v>
          </cell>
          <cell r="BG773">
            <v>1368.1400000000372</v>
          </cell>
        </row>
        <row r="774">
          <cell r="AZ774">
            <v>73.512</v>
          </cell>
          <cell r="BG774">
            <v>410.44200000001115</v>
          </cell>
        </row>
        <row r="775">
          <cell r="AZ775">
            <v>1028</v>
          </cell>
          <cell r="BG775">
            <v>5739.6666666668225</v>
          </cell>
        </row>
        <row r="776">
          <cell r="AZ776">
            <v>696.02600000000007</v>
          </cell>
          <cell r="BG776">
            <v>3886.1451666667726</v>
          </cell>
        </row>
        <row r="777">
          <cell r="AZ777">
            <v>696.02600000000007</v>
          </cell>
          <cell r="BG777">
            <v>3886.1451666667726</v>
          </cell>
        </row>
        <row r="778">
          <cell r="AZ778">
            <v>757.31299999999999</v>
          </cell>
          <cell r="BG778">
            <v>4291.4403333333912</v>
          </cell>
        </row>
        <row r="779">
          <cell r="AZ779">
            <v>360.22600000000006</v>
          </cell>
          <cell r="BG779">
            <v>2041.2806666666941</v>
          </cell>
        </row>
        <row r="780">
          <cell r="AZ780">
            <v>696.02600000000007</v>
          </cell>
          <cell r="BG780">
            <v>3944.1473333333861</v>
          </cell>
        </row>
        <row r="781">
          <cell r="AZ781">
            <v>2118.34</v>
          </cell>
          <cell r="BG781">
            <v>12003.926666666828</v>
          </cell>
        </row>
        <row r="782">
          <cell r="AZ782">
            <v>696.02600000000007</v>
          </cell>
          <cell r="BG782">
            <v>3944.1473333333861</v>
          </cell>
        </row>
        <row r="783">
          <cell r="AZ783">
            <v>696.02600000000007</v>
          </cell>
          <cell r="BG783">
            <v>3944.1473333333861</v>
          </cell>
        </row>
        <row r="784">
          <cell r="AZ784">
            <v>2330.174</v>
          </cell>
          <cell r="BG784">
            <v>13010.13816666702</v>
          </cell>
        </row>
        <row r="785">
          <cell r="AZ785">
            <v>2330.174</v>
          </cell>
          <cell r="BG785">
            <v>13010.13816666702</v>
          </cell>
        </row>
        <row r="786">
          <cell r="AZ786">
            <v>324.56200000000001</v>
          </cell>
          <cell r="BG786">
            <v>1839.1846666666911</v>
          </cell>
        </row>
        <row r="787">
          <cell r="AZ787">
            <v>1205.9739999999999</v>
          </cell>
          <cell r="BG787">
            <v>6833.8526666667576</v>
          </cell>
        </row>
        <row r="788">
          <cell r="AZ788">
            <v>2330.174</v>
          </cell>
          <cell r="BG788">
            <v>13204.319333333511</v>
          </cell>
        </row>
        <row r="789">
          <cell r="AZ789">
            <v>907.86</v>
          </cell>
          <cell r="BG789">
            <v>5144.5400000000682</v>
          </cell>
        </row>
        <row r="790">
          <cell r="AZ790">
            <v>2330.174</v>
          </cell>
          <cell r="BG790">
            <v>13204.319333333511</v>
          </cell>
        </row>
        <row r="791">
          <cell r="AZ791">
            <v>2330.174</v>
          </cell>
          <cell r="BG791">
            <v>13204.319333333511</v>
          </cell>
        </row>
        <row r="809">
          <cell r="AZ809">
            <v>0</v>
          </cell>
          <cell r="BG809">
            <v>0</v>
          </cell>
        </row>
        <row r="835">
          <cell r="AZ835">
            <v>128090.72833881163</v>
          </cell>
          <cell r="BG835">
            <v>904336.83168564865</v>
          </cell>
        </row>
        <row r="839">
          <cell r="AZ839">
            <v>0</v>
          </cell>
          <cell r="BG839">
            <v>0</v>
          </cell>
        </row>
        <row r="855">
          <cell r="AZ855">
            <v>3647.8500000000004</v>
          </cell>
          <cell r="BG855">
            <v>37257.837500000503</v>
          </cell>
        </row>
        <row r="869">
          <cell r="AZ869">
            <v>72559.752952387993</v>
          </cell>
          <cell r="BG869">
            <v>42414.429219556914</v>
          </cell>
        </row>
        <row r="905">
          <cell r="AZ905">
            <v>16693.235338345865</v>
          </cell>
          <cell r="BG905">
            <v>113888.49933584186</v>
          </cell>
        </row>
        <row r="906">
          <cell r="BG906">
            <v>14231.192500000563</v>
          </cell>
        </row>
        <row r="907">
          <cell r="BG907">
            <v>25449.858645833829</v>
          </cell>
        </row>
        <row r="908">
          <cell r="BG908">
            <v>169260.24125000002</v>
          </cell>
        </row>
        <row r="909">
          <cell r="BG909">
            <v>169260.29468749999</v>
          </cell>
        </row>
        <row r="910">
          <cell r="BG910">
            <v>169260.29468749999</v>
          </cell>
        </row>
        <row r="911">
          <cell r="BG911">
            <v>169260.29468749999</v>
          </cell>
        </row>
        <row r="912">
          <cell r="BG912">
            <v>169260.24125000002</v>
          </cell>
        </row>
        <row r="913">
          <cell r="BG913">
            <v>169303.88187500002</v>
          </cell>
        </row>
        <row r="914">
          <cell r="BG914">
            <v>203177.03385416951</v>
          </cell>
        </row>
        <row r="915">
          <cell r="BG915">
            <v>203177.03385416951</v>
          </cell>
        </row>
        <row r="916">
          <cell r="BG916">
            <v>226921.08999999997</v>
          </cell>
        </row>
        <row r="917">
          <cell r="BG917">
            <v>226921.08999999997</v>
          </cell>
        </row>
        <row r="918">
          <cell r="BG918">
            <v>226921.08999999997</v>
          </cell>
        </row>
        <row r="919">
          <cell r="BG919">
            <v>226921.08999999997</v>
          </cell>
        </row>
        <row r="920">
          <cell r="BG920">
            <v>226921.08999999997</v>
          </cell>
        </row>
        <row r="921">
          <cell r="BG921">
            <v>207539.87375</v>
          </cell>
        </row>
        <row r="922">
          <cell r="BG922">
            <v>226921.08999999997</v>
          </cell>
        </row>
        <row r="923">
          <cell r="BG923">
            <v>226921.08999999997</v>
          </cell>
        </row>
        <row r="924">
          <cell r="BG924">
            <v>209153.828125</v>
          </cell>
        </row>
        <row r="925">
          <cell r="BG925">
            <v>206359.484375</v>
          </cell>
        </row>
        <row r="926">
          <cell r="BG926">
            <v>206317.61562499998</v>
          </cell>
        </row>
        <row r="927">
          <cell r="BG927">
            <v>209153.828125</v>
          </cell>
        </row>
        <row r="928">
          <cell r="BG928">
            <v>14117.647058823524</v>
          </cell>
        </row>
        <row r="929">
          <cell r="BG929">
            <v>14117.647058823524</v>
          </cell>
        </row>
        <row r="930">
          <cell r="BG930">
            <v>14117.647058823524</v>
          </cell>
        </row>
        <row r="931">
          <cell r="BG931">
            <v>14117.647058823524</v>
          </cell>
        </row>
        <row r="932">
          <cell r="BG932">
            <v>14117.647058823524</v>
          </cell>
        </row>
        <row r="933">
          <cell r="BG933">
            <v>14117.647058823524</v>
          </cell>
        </row>
        <row r="934">
          <cell r="BG934">
            <v>15294.117647058818</v>
          </cell>
        </row>
        <row r="935">
          <cell r="BG935">
            <v>14117.647058823524</v>
          </cell>
        </row>
        <row r="936">
          <cell r="BG936">
            <v>14117.647058823524</v>
          </cell>
        </row>
        <row r="937">
          <cell r="BG937">
            <v>14117.647058823524</v>
          </cell>
        </row>
        <row r="938">
          <cell r="BG938">
            <v>14117.647058823524</v>
          </cell>
        </row>
        <row r="939">
          <cell r="BG939">
            <v>56666.666666666664</v>
          </cell>
        </row>
        <row r="940">
          <cell r="BG940">
            <v>56666.666666666664</v>
          </cell>
        </row>
        <row r="941">
          <cell r="BG941">
            <v>56666.666666666664</v>
          </cell>
        </row>
        <row r="942">
          <cell r="BG942">
            <v>56666.666666666664</v>
          </cell>
        </row>
        <row r="943">
          <cell r="BG943">
            <v>56666.666666666664</v>
          </cell>
        </row>
        <row r="944">
          <cell r="BG944">
            <v>56666.666666666664</v>
          </cell>
        </row>
        <row r="945">
          <cell r="BG945">
            <v>110000</v>
          </cell>
        </row>
        <row r="946">
          <cell r="BG946">
            <v>29582.499000000367</v>
          </cell>
        </row>
        <row r="947">
          <cell r="BG947">
            <v>29582.499000000367</v>
          </cell>
        </row>
        <row r="948">
          <cell r="BG948">
            <v>0</v>
          </cell>
        </row>
        <row r="949">
          <cell r="BG949">
            <v>0</v>
          </cell>
        </row>
        <row r="950">
          <cell r="BG950">
            <v>5098.3800000003312</v>
          </cell>
        </row>
        <row r="951">
          <cell r="BG951">
            <v>5098.3800000003312</v>
          </cell>
        </row>
        <row r="952">
          <cell r="BG952">
            <v>5098.3800000003312</v>
          </cell>
        </row>
        <row r="953">
          <cell r="BG953">
            <v>4963.4186666668083</v>
          </cell>
        </row>
        <row r="954">
          <cell r="BG954">
            <v>9658.7400000003381</v>
          </cell>
        </row>
        <row r="955">
          <cell r="BG955">
            <v>0</v>
          </cell>
        </row>
        <row r="956">
          <cell r="BG956">
            <v>0</v>
          </cell>
        </row>
        <row r="957">
          <cell r="BG957">
            <v>0</v>
          </cell>
        </row>
        <row r="958">
          <cell r="BG958">
            <v>1636.390000000185</v>
          </cell>
        </row>
        <row r="959">
          <cell r="BG959">
            <v>152850.3345</v>
          </cell>
        </row>
        <row r="960">
          <cell r="BG960">
            <v>152240.45850000001</v>
          </cell>
        </row>
        <row r="961">
          <cell r="BG961">
            <v>154171.05333333506</v>
          </cell>
        </row>
        <row r="962">
          <cell r="BG962">
            <v>151012.29333333505</v>
          </cell>
        </row>
        <row r="963">
          <cell r="BG963">
            <v>18729.729729729719</v>
          </cell>
        </row>
        <row r="964">
          <cell r="BG964">
            <v>18540.540540540533</v>
          </cell>
        </row>
        <row r="965">
          <cell r="BG965">
            <v>86896.551724137942</v>
          </cell>
        </row>
        <row r="966">
          <cell r="BG966">
            <v>98305.08474576271</v>
          </cell>
        </row>
        <row r="967">
          <cell r="BG967">
            <v>4489.6551724137935</v>
          </cell>
        </row>
        <row r="968">
          <cell r="BG968">
            <v>4505.62</v>
          </cell>
        </row>
        <row r="969">
          <cell r="BG969">
            <v>219110.75770833663</v>
          </cell>
        </row>
        <row r="970">
          <cell r="BG970">
            <v>219110.75770833663</v>
          </cell>
        </row>
        <row r="971">
          <cell r="BG971">
            <v>219110.75770833663</v>
          </cell>
        </row>
        <row r="972">
          <cell r="BG972">
            <v>219110.75770833663</v>
          </cell>
        </row>
        <row r="973">
          <cell r="BG973">
            <v>244538.41805555893</v>
          </cell>
        </row>
        <row r="974">
          <cell r="BG974">
            <v>108660.65118055629</v>
          </cell>
        </row>
        <row r="975">
          <cell r="BG975">
            <v>108660.65118055629</v>
          </cell>
        </row>
        <row r="976">
          <cell r="BG976">
            <v>0</v>
          </cell>
        </row>
        <row r="977">
          <cell r="BG977">
            <v>0</v>
          </cell>
        </row>
        <row r="978">
          <cell r="BG978">
            <v>67586.206896551725</v>
          </cell>
        </row>
        <row r="979">
          <cell r="BG979">
            <v>55666.312500000815</v>
          </cell>
        </row>
        <row r="980">
          <cell r="BG980">
            <v>0</v>
          </cell>
        </row>
        <row r="981">
          <cell r="BG981">
            <v>0</v>
          </cell>
        </row>
        <row r="982">
          <cell r="BG982">
            <v>92834.570416668648</v>
          </cell>
        </row>
        <row r="983">
          <cell r="BG983">
            <v>92834.570416668648</v>
          </cell>
        </row>
        <row r="984">
          <cell r="BG984">
            <v>36836.734693877544</v>
          </cell>
        </row>
        <row r="985">
          <cell r="BG985">
            <v>97435.897435897437</v>
          </cell>
        </row>
        <row r="986">
          <cell r="BG986">
            <v>4725.6410256410254</v>
          </cell>
        </row>
        <row r="987">
          <cell r="BG987">
            <v>165832.35052083881</v>
          </cell>
        </row>
        <row r="988">
          <cell r="BG988">
            <v>165790.24114583881</v>
          </cell>
        </row>
        <row r="989">
          <cell r="BG989">
            <v>165832.35052083881</v>
          </cell>
        </row>
        <row r="990">
          <cell r="BG990">
            <v>165832.35052083881</v>
          </cell>
        </row>
        <row r="991">
          <cell r="BG991">
            <v>172304.46281249999</v>
          </cell>
        </row>
        <row r="992">
          <cell r="BG992">
            <v>172304.46281249999</v>
          </cell>
        </row>
        <row r="993">
          <cell r="BG993">
            <v>172348.10343749999</v>
          </cell>
        </row>
        <row r="994">
          <cell r="BG994">
            <v>168847.48416666943</v>
          </cell>
        </row>
        <row r="995">
          <cell r="BG995">
            <v>168847.48416666943</v>
          </cell>
        </row>
        <row r="996">
          <cell r="BG996">
            <v>168847.48416666943</v>
          </cell>
        </row>
        <row r="997">
          <cell r="BG997">
            <v>168847.48416666943</v>
          </cell>
        </row>
        <row r="998">
          <cell r="BG998">
            <v>168847.49000000278</v>
          </cell>
        </row>
        <row r="999">
          <cell r="BG999">
            <v>168804.61500000273</v>
          </cell>
        </row>
        <row r="1000">
          <cell r="BG1000">
            <v>168847.48416666943</v>
          </cell>
        </row>
        <row r="1001">
          <cell r="BG1001">
            <v>168804.60916666943</v>
          </cell>
        </row>
        <row r="1002">
          <cell r="BG1002">
            <v>168847.49000000278</v>
          </cell>
        </row>
        <row r="1003">
          <cell r="BG1003">
            <v>168847.49000000278</v>
          </cell>
        </row>
        <row r="1004">
          <cell r="BG1004">
            <v>168847.48416666943</v>
          </cell>
        </row>
        <row r="1005">
          <cell r="BG1005">
            <v>168804.60916666943</v>
          </cell>
        </row>
        <row r="1006">
          <cell r="BG1006">
            <v>37560.975609756104</v>
          </cell>
        </row>
        <row r="1007">
          <cell r="BG1007">
            <v>45348.837209302321</v>
          </cell>
        </row>
        <row r="1008">
          <cell r="BG1008">
            <v>0</v>
          </cell>
        </row>
        <row r="1009">
          <cell r="BG1009">
            <v>1582.9268292682925</v>
          </cell>
        </row>
        <row r="1010">
          <cell r="BG1010">
            <v>55263.157894736847</v>
          </cell>
        </row>
        <row r="1011">
          <cell r="BG1011">
            <v>55263.157894736847</v>
          </cell>
        </row>
        <row r="1012">
          <cell r="BG1012">
            <v>2173.1707317073169</v>
          </cell>
        </row>
        <row r="1013">
          <cell r="BG1013">
            <v>0</v>
          </cell>
        </row>
        <row r="1014">
          <cell r="BG1014">
            <v>468548.28020834329</v>
          </cell>
        </row>
        <row r="1015">
          <cell r="BG1015">
            <v>0</v>
          </cell>
        </row>
        <row r="1016">
          <cell r="BG1016">
            <v>84.705882352941217</v>
          </cell>
        </row>
        <row r="1017">
          <cell r="BG1017">
            <v>1551.0204081632653</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si WUTC Calc"/>
      <sheetName val="Comm WUTC Calc"/>
      <sheetName val="Route Breakdown"/>
      <sheetName val="Drive-by Calc"/>
      <sheetName val="Comm Route Breakdown"/>
      <sheetName val="Annual Resi Hrs"/>
      <sheetName val="Annual Comm Hrs"/>
      <sheetName val="Route Detail (Sum)"/>
      <sheetName val="Roll-off Hours (Sum)"/>
      <sheetName val="Route Detail"/>
      <sheetName val="Roll-off Hours"/>
    </sheetNames>
    <sheetDataSet>
      <sheetData sheetId="0">
        <row r="5">
          <cell r="D5">
            <v>2767.912462981621</v>
          </cell>
          <cell r="E5">
            <v>16841.939971551154</v>
          </cell>
        </row>
        <row r="6">
          <cell r="D6">
            <v>0</v>
          </cell>
          <cell r="E6">
            <v>9681.564931661791</v>
          </cell>
        </row>
        <row r="8">
          <cell r="D8">
            <v>1166.5297279124616</v>
          </cell>
          <cell r="E8">
            <v>4391.4524967805228</v>
          </cell>
        </row>
        <row r="17">
          <cell r="D17">
            <v>11515.373304465236</v>
          </cell>
        </row>
        <row r="18">
          <cell r="D18">
            <v>5276.8363147552082</v>
          </cell>
        </row>
        <row r="19">
          <cell r="D19">
            <v>6587.9376520929654</v>
          </cell>
        </row>
        <row r="20">
          <cell r="D20">
            <v>1166.5297279124616</v>
          </cell>
        </row>
        <row r="21">
          <cell r="D21">
            <v>634.75000000000011</v>
          </cell>
          <cell r="E21">
            <v>23963.166666666668</v>
          </cell>
          <cell r="F21">
            <v>2.6488569262548778E-2</v>
          </cell>
        </row>
        <row r="22">
          <cell r="D22">
            <v>25181.426999225871</v>
          </cell>
          <cell r="E22">
            <v>175542.85126048932</v>
          </cell>
          <cell r="F22">
            <v>0.14344888907984618</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G-12 Financial"/>
      <sheetName val="Cap Struct."/>
      <sheetName val="Combined LG"/>
      <sheetName val="LG Garbage"/>
      <sheetName val=" LG recycle"/>
      <sheetName val="LG Yardwaste"/>
      <sheetName val="LG MF Recycle"/>
      <sheetName val="Summary"/>
      <sheetName val="Income Statement"/>
      <sheetName val="Proforma"/>
      <sheetName val="Adj - Restating"/>
      <sheetName val="Adj - Proforma"/>
      <sheetName val="Matrix"/>
      <sheetName val="COS"/>
      <sheetName val="Meeks"/>
      <sheetName val="Matrix (Rec)"/>
      <sheetName val="COS (Rec)"/>
      <sheetName val="Matrix (YW)"/>
      <sheetName val="COS (YW)"/>
      <sheetName val="Price Out Summary"/>
      <sheetName val="Resi Price Out"/>
      <sheetName val="Comm Price Out"/>
      <sheetName val="MF Recy Price Out"/>
      <sheetName val="Drop Box Price Out"/>
      <sheetName val="WUTC Revenue"/>
      <sheetName val="Disposal"/>
      <sheetName val="Yardwaste Analysis"/>
      <sheetName val="Roll Off Average Cost"/>
      <sheetName val="Fuel PF Adj"/>
      <sheetName val="Fuel Detail"/>
      <sheetName val="CNG Detail"/>
      <sheetName val="Cont Summ"/>
      <sheetName val="Cont Regulated Acct (Non-MF)"/>
      <sheetName val="Cont Regulated Accounts (MF)."/>
      <sheetName val="Cont All Regulated Accounts"/>
      <sheetName val="Cont Unregulated Acct (non-MF)."/>
      <sheetName val="Cont Unregulated Accounts (MF)."/>
      <sheetName val="Cont All Unregulated Accounts"/>
      <sheetName val="Cont Detail"/>
      <sheetName val="Roll-off Stats"/>
      <sheetName val="Comm Stats"/>
      <sheetName val="Resi Sta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86">
          <cell r="C186">
            <v>2440334</v>
          </cell>
        </row>
        <row r="187">
          <cell r="C187">
            <v>385468</v>
          </cell>
        </row>
        <row r="188">
          <cell r="C188">
            <v>130068</v>
          </cell>
        </row>
        <row r="189">
          <cell r="C189">
            <v>17036</v>
          </cell>
        </row>
        <row r="190">
          <cell r="C190">
            <v>96664</v>
          </cell>
        </row>
        <row r="191">
          <cell r="C191">
            <v>2874</v>
          </cell>
        </row>
        <row r="192">
          <cell r="C192">
            <v>395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8">
          <cell r="J18">
            <v>0.37234617985125085</v>
          </cell>
          <cell r="K18">
            <v>0.81587301587301586</v>
          </cell>
        </row>
        <row r="20">
          <cell r="J20">
            <v>0.36355645706558487</v>
          </cell>
        </row>
        <row r="21">
          <cell r="J21">
            <v>0.24989858012170385</v>
          </cell>
        </row>
        <row r="22">
          <cell r="J22">
            <v>1.4198782961460446E-2</v>
          </cell>
          <cell r="K22">
            <v>0.18412698412698414</v>
          </cell>
        </row>
        <row r="29">
          <cell r="L29">
            <v>9.3471810089020765E-2</v>
          </cell>
        </row>
        <row r="30">
          <cell r="L30">
            <v>8.9201877934272297E-2</v>
          </cell>
        </row>
        <row r="31">
          <cell r="L31">
            <v>0.15638464913903855</v>
          </cell>
        </row>
        <row r="32">
          <cell r="L32">
            <v>0.15013072111725187</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tFee"/>
      <sheetName val="Essbase Mgmt Fee"/>
    </sheetNames>
    <sheetDataSet>
      <sheetData sheetId="0">
        <row r="34">
          <cell r="L34">
            <v>124680.18694336538</v>
          </cell>
        </row>
      </sheetData>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Vander Zalm, Connor" refreshedDate="41971.429241087964" createdVersion="1" refreshedVersion="4" recordCount="2952" upgradeOnRefresh="1">
  <cacheSource type="worksheet">
    <worksheetSource ref="A1:O2953" sheet="Cont Detail"/>
  </cacheSource>
  <cacheFields count="15">
    <cacheField name="Category" numFmtId="0">
      <sharedItems/>
    </cacheField>
    <cacheField name="Container'Type" numFmtId="0">
      <sharedItems count="13">
        <s v="BB"/>
        <s v="CA"/>
        <s v="CN"/>
        <s v="FL"/>
        <s v="FR"/>
        <s v="IR"/>
        <s v="RC"/>
        <s v="RO"/>
        <s v="RR"/>
        <s v="SC"/>
        <s v="UN"/>
        <s v="YC"/>
        <s v="YW"/>
      </sharedItems>
    </cacheField>
    <cacheField name="Container Size" numFmtId="0">
      <sharedItems containsSemiMixedTypes="0" containsString="0" containsNumber="1" minValue="0" maxValue="40" count="31">
        <n v="0.08"/>
        <n v="0.09"/>
        <n v="0.15"/>
        <n v="0.16"/>
        <n v="0.24"/>
        <n v="0.3"/>
        <n v="0.32"/>
        <n v="0.45"/>
        <n v="0.05"/>
        <n v="0.1"/>
        <n v="0.23"/>
        <n v="1"/>
        <n v="1.25"/>
        <n v="1.5"/>
        <n v="2"/>
        <n v="3"/>
        <n v="4"/>
        <n v="6"/>
        <n v="8"/>
        <n v="10"/>
        <n v="12"/>
        <n v="15"/>
        <n v="20"/>
        <n v="25"/>
        <n v="30"/>
        <n v="40"/>
        <n v="0.5"/>
        <n v="35"/>
        <n v="0"/>
        <n v="7.0000000000000007E-2"/>
        <n v="0.48"/>
      </sharedItems>
    </cacheField>
    <cacheField name="Compactor Y/N" numFmtId="0">
      <sharedItems containsBlank="1" count="2">
        <m/>
        <s v="C"/>
      </sharedItems>
    </cacheField>
    <cacheField name="Special Handling Flag" numFmtId="0">
      <sharedItems containsBlank="1" count="19">
        <m/>
        <s v="7"/>
        <s v="U"/>
        <s v="N"/>
        <s v="Y"/>
        <s v="X"/>
        <s v="Q"/>
        <s v="C"/>
        <s v="R"/>
        <s v="5"/>
        <s v="@"/>
        <s v="2"/>
        <s v="V"/>
        <s v="8"/>
        <s v="%"/>
        <s v="K"/>
        <s v="*"/>
        <s v="G"/>
        <s v="S"/>
      </sharedItems>
    </cacheField>
    <cacheField name="Container Qty Order" numFmtId="0">
      <sharedItems containsSemiMixedTypes="0" containsString="0" containsNumber="1" containsInteger="1" minValue="1" maxValue="645"/>
    </cacheField>
    <cacheField name="Total Lifts" numFmtId="0">
      <sharedItems containsSemiMixedTypes="0" containsString="0" containsNumber="1" containsInteger="1" minValue="0" maxValue="285"/>
    </cacheField>
    <cacheField name="Period Length" numFmtId="0">
      <sharedItems containsSemiMixedTypes="0" containsString="0" containsNumber="1" containsInteger="1" minValue="0" maxValue="16"/>
    </cacheField>
    <cacheField name="Period Unit" numFmtId="0">
      <sharedItems containsBlank="1"/>
    </cacheField>
    <cacheField name="Rev/Dist Code 2" numFmtId="0">
      <sharedItems/>
    </cacheField>
    <cacheField name="Rev.'Dist'Code" numFmtId="0">
      <sharedItems containsMixedTypes="1" containsNumber="1" containsInteger="1" minValue="70" maxValue="70" count="36">
        <s v="3A"/>
        <s v="71"/>
        <s v="30"/>
        <s v="31"/>
        <s v="35"/>
        <s v="3C"/>
        <s v="1C"/>
        <s v="32"/>
        <s v="36"/>
        <s v="33"/>
        <s v="12"/>
        <s v="11"/>
        <s v="15"/>
        <s v="1A"/>
        <s v="10"/>
        <s v="13"/>
        <s v="16"/>
        <s v="70"/>
        <s v="73"/>
        <s v="7C"/>
        <n v="70"/>
        <s v="72"/>
        <s v="75"/>
        <s v="74"/>
        <s v="7A"/>
        <s v="76"/>
        <s v="21"/>
        <s v="20"/>
        <s v="24"/>
        <s v="2D"/>
        <s v="2A"/>
        <s v="25"/>
        <s v="23"/>
        <s v="26"/>
        <s v="22"/>
        <s v="2C"/>
      </sharedItems>
    </cacheField>
    <cacheField name="Municpl/Franch Contract" numFmtId="0">
      <sharedItems containsBlank="1"/>
    </cacheField>
    <cacheField name="Contract Group Number" numFmtId="0">
      <sharedItems containsSemiMixedTypes="0" containsString="0" containsNumber="1" containsInteger="1" minValue="0" maxValue="9"/>
    </cacheField>
    <cacheField name="# of Containers" numFmtId="0">
      <sharedItems containsSemiMixedTypes="0" containsString="0" containsNumber="1" containsInteger="1" minValue="1" maxValue="6416"/>
    </cacheField>
    <cacheField name="# of Customers" numFmtId="0">
      <sharedItems containsSemiMixedTypes="0" containsString="0" containsNumber="1" containsInteger="1" minValue="1" maxValue="641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952">
  <r>
    <s v="RESI"/>
    <x v="0"/>
    <x v="0"/>
    <x v="0"/>
    <x v="0"/>
    <n v="1"/>
    <n v="1"/>
    <n v="1"/>
    <s v="W"/>
    <s v="3A"/>
    <x v="0"/>
    <s v="6130022"/>
    <n v="3"/>
    <n v="1"/>
    <n v="1"/>
  </r>
  <r>
    <s v="COMM"/>
    <x v="0"/>
    <x v="0"/>
    <x v="0"/>
    <x v="1"/>
    <n v="1"/>
    <n v="1"/>
    <n v="1"/>
    <s v="W"/>
    <s v="71"/>
    <x v="1"/>
    <s v="6170005"/>
    <n v="9"/>
    <n v="5"/>
    <n v="5"/>
  </r>
  <r>
    <s v="COMM"/>
    <x v="0"/>
    <x v="0"/>
    <x v="0"/>
    <x v="2"/>
    <n v="2"/>
    <n v="2"/>
    <n v="1"/>
    <s v="W"/>
    <s v="71"/>
    <x v="1"/>
    <s v="6170055"/>
    <n v="9"/>
    <n v="2"/>
    <n v="1"/>
  </r>
  <r>
    <s v="COMM"/>
    <x v="0"/>
    <x v="0"/>
    <x v="0"/>
    <x v="2"/>
    <n v="30"/>
    <n v="30"/>
    <n v="1"/>
    <s v="W"/>
    <s v="71"/>
    <x v="1"/>
    <s v="6170055"/>
    <n v="9"/>
    <n v="30"/>
    <n v="1"/>
  </r>
  <r>
    <s v="COMM"/>
    <x v="0"/>
    <x v="0"/>
    <x v="0"/>
    <x v="2"/>
    <n v="33"/>
    <n v="33"/>
    <n v="1"/>
    <s v="W"/>
    <s v="71"/>
    <x v="1"/>
    <s v="6170055"/>
    <n v="9"/>
    <n v="33"/>
    <n v="1"/>
  </r>
  <r>
    <s v="COMM"/>
    <x v="0"/>
    <x v="0"/>
    <x v="0"/>
    <x v="2"/>
    <n v="36"/>
    <n v="36"/>
    <n v="1"/>
    <s v="W"/>
    <s v="71"/>
    <x v="1"/>
    <s v="6170055"/>
    <n v="9"/>
    <n v="36"/>
    <n v="1"/>
  </r>
  <r>
    <s v="RESI"/>
    <x v="0"/>
    <x v="1"/>
    <x v="0"/>
    <x v="0"/>
    <n v="1"/>
    <n v="1"/>
    <n v="1"/>
    <s v="W"/>
    <s v="3B"/>
    <x v="2"/>
    <s v="6080001"/>
    <n v="1"/>
    <n v="2"/>
    <n v="2"/>
  </r>
  <r>
    <s v="RESI"/>
    <x v="0"/>
    <x v="1"/>
    <x v="0"/>
    <x v="0"/>
    <n v="1"/>
    <n v="1"/>
    <n v="1"/>
    <s v="W"/>
    <s v="3B"/>
    <x v="2"/>
    <s v="6080020"/>
    <n v="2"/>
    <n v="3"/>
    <n v="3"/>
  </r>
  <r>
    <s v="RESI"/>
    <x v="0"/>
    <x v="1"/>
    <x v="0"/>
    <x v="0"/>
    <n v="1"/>
    <n v="1"/>
    <n v="1"/>
    <s v="W"/>
    <s v="3B"/>
    <x v="2"/>
    <s v="6080050"/>
    <n v="5"/>
    <n v="1"/>
    <n v="1"/>
  </r>
  <r>
    <s v="RESI"/>
    <x v="0"/>
    <x v="1"/>
    <x v="0"/>
    <x v="0"/>
    <n v="1"/>
    <n v="1"/>
    <n v="1"/>
    <s v="W"/>
    <s v="31"/>
    <x v="3"/>
    <s v="6120005"/>
    <n v="2"/>
    <n v="1"/>
    <n v="1"/>
  </r>
  <r>
    <s v="COMM"/>
    <x v="0"/>
    <x v="1"/>
    <x v="0"/>
    <x v="1"/>
    <n v="1"/>
    <n v="1"/>
    <n v="1"/>
    <s v="W"/>
    <s v="71"/>
    <x v="1"/>
    <s v="6170005"/>
    <n v="9"/>
    <n v="1"/>
    <n v="1"/>
  </r>
  <r>
    <s v="RESI"/>
    <x v="1"/>
    <x v="2"/>
    <x v="0"/>
    <x v="0"/>
    <n v="1"/>
    <n v="1"/>
    <n v="1"/>
    <s v="W"/>
    <s v="35"/>
    <x v="4"/>
    <s v="6110015"/>
    <n v="1"/>
    <n v="1"/>
    <n v="1"/>
  </r>
  <r>
    <s v="RESI"/>
    <x v="1"/>
    <x v="3"/>
    <x v="0"/>
    <x v="0"/>
    <n v="1"/>
    <n v="1"/>
    <n v="1"/>
    <s v="W"/>
    <s v="3B"/>
    <x v="2"/>
    <s v="6080001"/>
    <n v="1"/>
    <n v="7"/>
    <n v="7"/>
  </r>
  <r>
    <s v="RESI"/>
    <x v="1"/>
    <x v="3"/>
    <x v="0"/>
    <x v="0"/>
    <n v="1"/>
    <n v="1"/>
    <n v="1"/>
    <s v="W"/>
    <s v="3C"/>
    <x v="5"/>
    <s v="6080004"/>
    <n v="1"/>
    <n v="18"/>
    <n v="18"/>
  </r>
  <r>
    <s v="RESI"/>
    <x v="1"/>
    <x v="3"/>
    <x v="0"/>
    <x v="0"/>
    <n v="1"/>
    <n v="1"/>
    <n v="1"/>
    <s v="W"/>
    <s v="3C"/>
    <x v="5"/>
    <s v="6080004"/>
    <n v="3"/>
    <n v="435"/>
    <n v="435"/>
  </r>
  <r>
    <s v="COMM"/>
    <x v="1"/>
    <x v="3"/>
    <x v="0"/>
    <x v="3"/>
    <n v="1"/>
    <n v="1"/>
    <n v="1"/>
    <s v="W"/>
    <s v="1C"/>
    <x v="6"/>
    <s v="6080004"/>
    <n v="4"/>
    <n v="3"/>
    <n v="3"/>
  </r>
  <r>
    <s v="RESI"/>
    <x v="1"/>
    <x v="3"/>
    <x v="0"/>
    <x v="0"/>
    <n v="1"/>
    <n v="1"/>
    <n v="1"/>
    <s v="W"/>
    <s v="3B"/>
    <x v="2"/>
    <s v="6080020"/>
    <n v="2"/>
    <n v="12"/>
    <n v="12"/>
  </r>
  <r>
    <s v="RESI"/>
    <x v="1"/>
    <x v="3"/>
    <x v="0"/>
    <x v="0"/>
    <n v="1"/>
    <n v="1"/>
    <n v="1"/>
    <s v="W"/>
    <s v="3B"/>
    <x v="2"/>
    <s v="6080050"/>
    <n v="5"/>
    <n v="14"/>
    <n v="14"/>
  </r>
  <r>
    <s v="RESI"/>
    <x v="1"/>
    <x v="3"/>
    <x v="0"/>
    <x v="0"/>
    <n v="1"/>
    <n v="1"/>
    <n v="1"/>
    <s v="W"/>
    <s v="30"/>
    <x v="2"/>
    <s v="6110002"/>
    <n v="1"/>
    <n v="2"/>
    <n v="2"/>
  </r>
  <r>
    <s v="RESI"/>
    <x v="1"/>
    <x v="3"/>
    <x v="0"/>
    <x v="0"/>
    <n v="1"/>
    <n v="1"/>
    <n v="1"/>
    <s v="W"/>
    <s v="30"/>
    <x v="2"/>
    <s v="6110003"/>
    <n v="1"/>
    <n v="4"/>
    <n v="4"/>
  </r>
  <r>
    <s v="RESI"/>
    <x v="1"/>
    <x v="3"/>
    <x v="0"/>
    <x v="0"/>
    <n v="1"/>
    <n v="1"/>
    <n v="1"/>
    <s v="W"/>
    <s v="32"/>
    <x v="7"/>
    <s v="6110004"/>
    <n v="1"/>
    <n v="348"/>
    <n v="348"/>
  </r>
  <r>
    <s v="RESI"/>
    <x v="1"/>
    <x v="3"/>
    <x v="0"/>
    <x v="3"/>
    <n v="1"/>
    <n v="1"/>
    <n v="1"/>
    <s v="W"/>
    <s v="32"/>
    <x v="7"/>
    <s v="6110004"/>
    <n v="1"/>
    <n v="6"/>
    <n v="6"/>
  </r>
  <r>
    <s v="RESI"/>
    <x v="1"/>
    <x v="3"/>
    <x v="0"/>
    <x v="3"/>
    <n v="1"/>
    <n v="1"/>
    <n v="1"/>
    <s v="W"/>
    <s v="31"/>
    <x v="3"/>
    <s v="6110005"/>
    <n v="1"/>
    <n v="69"/>
    <n v="69"/>
  </r>
  <r>
    <s v="RESI"/>
    <x v="1"/>
    <x v="3"/>
    <x v="0"/>
    <x v="0"/>
    <n v="1"/>
    <n v="1"/>
    <n v="1"/>
    <s v="W"/>
    <s v="31"/>
    <x v="3"/>
    <s v="6110005"/>
    <n v="1"/>
    <n v="3742"/>
    <n v="3742"/>
  </r>
  <r>
    <s v="RESI"/>
    <x v="1"/>
    <x v="3"/>
    <x v="0"/>
    <x v="0"/>
    <n v="1"/>
    <n v="1"/>
    <n v="1"/>
    <s v="W"/>
    <s v="36"/>
    <x v="8"/>
    <s v="6110006"/>
    <n v="1"/>
    <n v="9"/>
    <n v="9"/>
  </r>
  <r>
    <s v="RESI"/>
    <x v="1"/>
    <x v="3"/>
    <x v="0"/>
    <x v="3"/>
    <n v="1"/>
    <n v="1"/>
    <n v="1"/>
    <s v="W"/>
    <s v="36"/>
    <x v="8"/>
    <s v="6110006"/>
    <n v="1"/>
    <n v="1"/>
    <n v="1"/>
  </r>
  <r>
    <s v="RESI"/>
    <x v="1"/>
    <x v="3"/>
    <x v="0"/>
    <x v="0"/>
    <n v="1"/>
    <n v="1"/>
    <n v="1"/>
    <s v="W"/>
    <s v="30"/>
    <x v="2"/>
    <s v="6110008"/>
    <n v="1"/>
    <n v="9"/>
    <n v="9"/>
  </r>
  <r>
    <s v="RESI"/>
    <x v="1"/>
    <x v="3"/>
    <x v="0"/>
    <x v="0"/>
    <n v="1"/>
    <n v="1"/>
    <n v="1"/>
    <s v="W"/>
    <s v="30"/>
    <x v="2"/>
    <s v="6110009"/>
    <n v="1"/>
    <n v="1"/>
    <n v="1"/>
  </r>
  <r>
    <s v="RESI"/>
    <x v="1"/>
    <x v="3"/>
    <x v="0"/>
    <x v="3"/>
    <n v="1"/>
    <n v="1"/>
    <n v="1"/>
    <s v="W"/>
    <s v="30"/>
    <x v="2"/>
    <s v="6110009"/>
    <n v="1"/>
    <n v="1"/>
    <n v="1"/>
  </r>
  <r>
    <s v="RESI"/>
    <x v="1"/>
    <x v="3"/>
    <x v="0"/>
    <x v="3"/>
    <n v="1"/>
    <n v="1"/>
    <n v="1"/>
    <s v="W"/>
    <s v="35"/>
    <x v="4"/>
    <s v="6110015"/>
    <n v="1"/>
    <n v="1"/>
    <n v="1"/>
  </r>
  <r>
    <s v="RESI"/>
    <x v="1"/>
    <x v="3"/>
    <x v="0"/>
    <x v="0"/>
    <n v="1"/>
    <n v="1"/>
    <n v="1"/>
    <s v="W"/>
    <s v="35"/>
    <x v="4"/>
    <s v="6110015"/>
    <n v="1"/>
    <n v="89"/>
    <n v="89"/>
  </r>
  <r>
    <s v="RESI"/>
    <x v="1"/>
    <x v="3"/>
    <x v="0"/>
    <x v="0"/>
    <n v="1"/>
    <n v="1"/>
    <n v="1"/>
    <s v="W"/>
    <s v="30"/>
    <x v="2"/>
    <s v="6110028"/>
    <n v="1"/>
    <n v="31"/>
    <n v="31"/>
  </r>
  <r>
    <s v="RESI"/>
    <x v="1"/>
    <x v="3"/>
    <x v="0"/>
    <x v="3"/>
    <n v="1"/>
    <n v="1"/>
    <n v="1"/>
    <s v="W"/>
    <s v="30"/>
    <x v="2"/>
    <s v="6110028"/>
    <n v="1"/>
    <n v="10"/>
    <n v="10"/>
  </r>
  <r>
    <s v="RESI"/>
    <x v="1"/>
    <x v="3"/>
    <x v="0"/>
    <x v="0"/>
    <n v="1"/>
    <n v="1"/>
    <n v="1"/>
    <s v="W"/>
    <s v="30"/>
    <x v="2"/>
    <s v="6120002"/>
    <n v="2"/>
    <n v="1"/>
    <n v="1"/>
  </r>
  <r>
    <s v="RESI"/>
    <x v="1"/>
    <x v="3"/>
    <x v="0"/>
    <x v="0"/>
    <n v="1"/>
    <n v="1"/>
    <n v="1"/>
    <s v="W"/>
    <s v="30"/>
    <x v="2"/>
    <s v="6120003"/>
    <n v="2"/>
    <n v="1"/>
    <n v="1"/>
  </r>
  <r>
    <s v="RESI"/>
    <x v="1"/>
    <x v="3"/>
    <x v="0"/>
    <x v="0"/>
    <n v="1"/>
    <n v="1"/>
    <n v="1"/>
    <s v="W"/>
    <s v="32"/>
    <x v="7"/>
    <s v="6120004"/>
    <n v="2"/>
    <n v="377"/>
    <n v="377"/>
  </r>
  <r>
    <s v="RESI"/>
    <x v="1"/>
    <x v="3"/>
    <x v="0"/>
    <x v="3"/>
    <n v="1"/>
    <n v="1"/>
    <n v="1"/>
    <s v="W"/>
    <s v="32"/>
    <x v="7"/>
    <s v="6120004"/>
    <n v="2"/>
    <n v="3"/>
    <n v="3"/>
  </r>
  <r>
    <s v="RESI"/>
    <x v="1"/>
    <x v="3"/>
    <x v="0"/>
    <x v="0"/>
    <n v="1"/>
    <n v="1"/>
    <n v="1"/>
    <s v="W"/>
    <s v="31"/>
    <x v="3"/>
    <s v="6120005"/>
    <n v="2"/>
    <n v="3633"/>
    <n v="3633"/>
  </r>
  <r>
    <s v="RESI"/>
    <x v="1"/>
    <x v="3"/>
    <x v="0"/>
    <x v="3"/>
    <n v="1"/>
    <n v="1"/>
    <n v="1"/>
    <s v="W"/>
    <s v="31"/>
    <x v="3"/>
    <s v="6120005"/>
    <n v="2"/>
    <n v="40"/>
    <n v="40"/>
  </r>
  <r>
    <s v="RESI"/>
    <x v="1"/>
    <x v="3"/>
    <x v="0"/>
    <x v="0"/>
    <n v="1"/>
    <n v="1"/>
    <n v="1"/>
    <s v="W"/>
    <s v="36"/>
    <x v="8"/>
    <s v="6120006"/>
    <n v="2"/>
    <n v="16"/>
    <n v="16"/>
  </r>
  <r>
    <s v="RESI"/>
    <x v="1"/>
    <x v="3"/>
    <x v="0"/>
    <x v="0"/>
    <n v="1"/>
    <n v="1"/>
    <n v="1"/>
    <s v="W"/>
    <s v="30"/>
    <x v="2"/>
    <s v="6120008"/>
    <n v="2"/>
    <n v="14"/>
    <n v="14"/>
  </r>
  <r>
    <s v="RESI"/>
    <x v="1"/>
    <x v="3"/>
    <x v="0"/>
    <x v="3"/>
    <n v="1"/>
    <n v="1"/>
    <n v="1"/>
    <s v="W"/>
    <s v="30"/>
    <x v="2"/>
    <s v="6120008"/>
    <n v="2"/>
    <n v="1"/>
    <n v="1"/>
  </r>
  <r>
    <s v="RESI"/>
    <x v="1"/>
    <x v="3"/>
    <x v="0"/>
    <x v="3"/>
    <n v="1"/>
    <n v="1"/>
    <n v="1"/>
    <s v="W"/>
    <s v="30"/>
    <x v="2"/>
    <s v="6120009"/>
    <n v="2"/>
    <n v="1"/>
    <n v="1"/>
  </r>
  <r>
    <s v="RESI"/>
    <x v="1"/>
    <x v="3"/>
    <x v="0"/>
    <x v="0"/>
    <n v="1"/>
    <n v="1"/>
    <n v="1"/>
    <s v="W"/>
    <s v="30"/>
    <x v="2"/>
    <s v="6120009"/>
    <n v="2"/>
    <n v="6"/>
    <n v="6"/>
  </r>
  <r>
    <s v="RESI"/>
    <x v="1"/>
    <x v="3"/>
    <x v="0"/>
    <x v="0"/>
    <n v="1"/>
    <n v="1"/>
    <n v="1"/>
    <s v="W"/>
    <s v="35"/>
    <x v="4"/>
    <s v="6120015"/>
    <n v="2"/>
    <n v="75"/>
    <n v="75"/>
  </r>
  <r>
    <s v="RESI"/>
    <x v="1"/>
    <x v="3"/>
    <x v="0"/>
    <x v="0"/>
    <n v="1"/>
    <n v="1"/>
    <n v="1"/>
    <s v="W"/>
    <s v="30"/>
    <x v="2"/>
    <s v="6120028"/>
    <n v="2"/>
    <n v="53"/>
    <n v="53"/>
  </r>
  <r>
    <s v="RESI"/>
    <x v="1"/>
    <x v="3"/>
    <x v="0"/>
    <x v="3"/>
    <n v="1"/>
    <n v="1"/>
    <n v="1"/>
    <s v="W"/>
    <s v="30"/>
    <x v="2"/>
    <s v="6120028"/>
    <n v="2"/>
    <n v="4"/>
    <n v="4"/>
  </r>
  <r>
    <s v="RESI"/>
    <x v="1"/>
    <x v="3"/>
    <x v="0"/>
    <x v="0"/>
    <n v="1"/>
    <n v="1"/>
    <n v="1"/>
    <s v="W"/>
    <s v="33"/>
    <x v="9"/>
    <s v="6120040"/>
    <n v="2"/>
    <n v="1735"/>
    <n v="1735"/>
  </r>
  <r>
    <s v="RESI"/>
    <x v="1"/>
    <x v="3"/>
    <x v="0"/>
    <x v="3"/>
    <n v="1"/>
    <n v="1"/>
    <n v="1"/>
    <s v="W"/>
    <s v="33"/>
    <x v="9"/>
    <s v="6120040"/>
    <n v="2"/>
    <n v="29"/>
    <n v="29"/>
  </r>
  <r>
    <s v="RESI"/>
    <x v="1"/>
    <x v="3"/>
    <x v="0"/>
    <x v="0"/>
    <n v="1"/>
    <n v="1"/>
    <n v="1"/>
    <s v="W"/>
    <s v="30"/>
    <x v="2"/>
    <s v="6130002"/>
    <n v="3"/>
    <n v="1"/>
    <n v="1"/>
  </r>
  <r>
    <s v="RESI"/>
    <x v="1"/>
    <x v="3"/>
    <x v="0"/>
    <x v="0"/>
    <n v="1"/>
    <n v="1"/>
    <n v="1"/>
    <s v="W"/>
    <s v="30"/>
    <x v="2"/>
    <s v="6130003"/>
    <n v="3"/>
    <n v="4"/>
    <n v="4"/>
  </r>
  <r>
    <s v="RESI"/>
    <x v="1"/>
    <x v="3"/>
    <x v="0"/>
    <x v="0"/>
    <n v="1"/>
    <n v="1"/>
    <n v="1"/>
    <s v="W"/>
    <s v="32"/>
    <x v="7"/>
    <s v="6130004"/>
    <n v="3"/>
    <n v="469"/>
    <n v="469"/>
  </r>
  <r>
    <s v="RESI"/>
    <x v="1"/>
    <x v="3"/>
    <x v="0"/>
    <x v="3"/>
    <n v="1"/>
    <n v="1"/>
    <n v="1"/>
    <s v="W"/>
    <s v="32"/>
    <x v="7"/>
    <s v="6130004"/>
    <n v="3"/>
    <n v="11"/>
    <n v="11"/>
  </r>
  <r>
    <s v="RESI"/>
    <x v="1"/>
    <x v="3"/>
    <x v="0"/>
    <x v="3"/>
    <n v="1"/>
    <n v="1"/>
    <n v="1"/>
    <s v="W"/>
    <s v="31"/>
    <x v="3"/>
    <s v="6130005"/>
    <n v="3"/>
    <n v="41"/>
    <n v="41"/>
  </r>
  <r>
    <s v="RESI"/>
    <x v="1"/>
    <x v="3"/>
    <x v="0"/>
    <x v="0"/>
    <n v="1"/>
    <n v="1"/>
    <n v="1"/>
    <s v="W"/>
    <s v="31"/>
    <x v="3"/>
    <s v="6130005"/>
    <n v="3"/>
    <n v="3312"/>
    <n v="3312"/>
  </r>
  <r>
    <s v="RESI"/>
    <x v="1"/>
    <x v="3"/>
    <x v="0"/>
    <x v="0"/>
    <n v="1"/>
    <n v="1"/>
    <n v="1"/>
    <s v="W"/>
    <s v="36"/>
    <x v="8"/>
    <s v="6130006"/>
    <n v="3"/>
    <n v="5"/>
    <n v="5"/>
  </r>
  <r>
    <s v="RESI"/>
    <x v="1"/>
    <x v="3"/>
    <x v="0"/>
    <x v="0"/>
    <n v="1"/>
    <n v="1"/>
    <n v="1"/>
    <s v="W"/>
    <s v="30"/>
    <x v="2"/>
    <s v="6130008"/>
    <n v="3"/>
    <n v="8"/>
    <n v="8"/>
  </r>
  <r>
    <s v="RESI"/>
    <x v="1"/>
    <x v="3"/>
    <x v="0"/>
    <x v="3"/>
    <n v="1"/>
    <n v="1"/>
    <n v="1"/>
    <s v="W"/>
    <s v="30"/>
    <x v="2"/>
    <s v="6130008"/>
    <n v="3"/>
    <n v="1"/>
    <n v="1"/>
  </r>
  <r>
    <s v="RESI"/>
    <x v="1"/>
    <x v="3"/>
    <x v="0"/>
    <x v="0"/>
    <n v="1"/>
    <n v="1"/>
    <n v="1"/>
    <s v="W"/>
    <s v="30"/>
    <x v="2"/>
    <s v="6130009"/>
    <n v="3"/>
    <n v="3"/>
    <n v="3"/>
  </r>
  <r>
    <s v="RESI"/>
    <x v="1"/>
    <x v="3"/>
    <x v="0"/>
    <x v="0"/>
    <n v="1"/>
    <n v="1"/>
    <n v="1"/>
    <s v="W"/>
    <s v="35"/>
    <x v="4"/>
    <s v="6130015"/>
    <n v="3"/>
    <n v="82"/>
    <n v="82"/>
  </r>
  <r>
    <s v="RESI"/>
    <x v="1"/>
    <x v="3"/>
    <x v="0"/>
    <x v="0"/>
    <n v="1"/>
    <n v="1"/>
    <n v="1"/>
    <s v="W"/>
    <s v="3A"/>
    <x v="0"/>
    <s v="6130022"/>
    <n v="3"/>
    <n v="493"/>
    <n v="493"/>
  </r>
  <r>
    <s v="RESI"/>
    <x v="1"/>
    <x v="3"/>
    <x v="0"/>
    <x v="0"/>
    <n v="1"/>
    <n v="1"/>
    <n v="1"/>
    <s v="W"/>
    <s v="30"/>
    <x v="2"/>
    <s v="6130028"/>
    <n v="3"/>
    <n v="53"/>
    <n v="53"/>
  </r>
  <r>
    <s v="RESI"/>
    <x v="1"/>
    <x v="3"/>
    <x v="0"/>
    <x v="3"/>
    <n v="1"/>
    <n v="1"/>
    <n v="1"/>
    <s v="W"/>
    <s v="30"/>
    <x v="2"/>
    <s v="6130028"/>
    <n v="3"/>
    <n v="3"/>
    <n v="3"/>
  </r>
  <r>
    <s v="COMM"/>
    <x v="1"/>
    <x v="3"/>
    <x v="0"/>
    <x v="3"/>
    <n v="1"/>
    <n v="1"/>
    <n v="1"/>
    <s v="W"/>
    <s v="12"/>
    <x v="10"/>
    <s v="6170004"/>
    <n v="9"/>
    <n v="2"/>
    <n v="2"/>
  </r>
  <r>
    <s v="COMM"/>
    <x v="1"/>
    <x v="3"/>
    <x v="0"/>
    <x v="3"/>
    <n v="1"/>
    <n v="1"/>
    <n v="1"/>
    <s v="W"/>
    <s v="11"/>
    <x v="11"/>
    <s v="6170005"/>
    <n v="9"/>
    <n v="8"/>
    <n v="8"/>
  </r>
  <r>
    <s v="COMM"/>
    <x v="1"/>
    <x v="3"/>
    <x v="0"/>
    <x v="3"/>
    <n v="1"/>
    <n v="1"/>
    <n v="1"/>
    <s v="W"/>
    <s v="15"/>
    <x v="12"/>
    <s v="6170015"/>
    <n v="9"/>
    <n v="1"/>
    <n v="1"/>
  </r>
  <r>
    <s v="COMM"/>
    <x v="1"/>
    <x v="3"/>
    <x v="0"/>
    <x v="3"/>
    <n v="1"/>
    <n v="1"/>
    <n v="1"/>
    <s v="W"/>
    <s v="1A"/>
    <x v="13"/>
    <s v="6170022"/>
    <n v="9"/>
    <n v="1"/>
    <n v="1"/>
  </r>
  <r>
    <s v="COMM"/>
    <x v="1"/>
    <x v="3"/>
    <x v="0"/>
    <x v="3"/>
    <n v="1"/>
    <n v="1"/>
    <n v="1"/>
    <s v="W"/>
    <s v="10"/>
    <x v="14"/>
    <s v="6170028"/>
    <n v="9"/>
    <n v="2"/>
    <n v="2"/>
  </r>
  <r>
    <s v="COMM"/>
    <x v="1"/>
    <x v="3"/>
    <x v="0"/>
    <x v="3"/>
    <n v="1"/>
    <n v="1"/>
    <n v="1"/>
    <s v="W"/>
    <s v="13"/>
    <x v="15"/>
    <s v="6170040"/>
    <n v="9"/>
    <n v="2"/>
    <n v="2"/>
  </r>
  <r>
    <s v="COMM"/>
    <x v="1"/>
    <x v="3"/>
    <x v="0"/>
    <x v="2"/>
    <n v="1"/>
    <n v="1"/>
    <n v="1"/>
    <s v="W"/>
    <s v="11"/>
    <x v="11"/>
    <s v="6170055"/>
    <n v="9"/>
    <n v="2"/>
    <n v="2"/>
  </r>
  <r>
    <s v="RESI"/>
    <x v="1"/>
    <x v="3"/>
    <x v="0"/>
    <x v="0"/>
    <n v="1"/>
    <n v="1"/>
    <n v="4"/>
    <s v="W"/>
    <s v="32"/>
    <x v="7"/>
    <s v="6110004"/>
    <n v="1"/>
    <n v="1"/>
    <n v="1"/>
  </r>
  <r>
    <s v="RESI"/>
    <x v="1"/>
    <x v="3"/>
    <x v="0"/>
    <x v="0"/>
    <n v="1"/>
    <n v="1"/>
    <n v="4"/>
    <s v="W"/>
    <s v="32"/>
    <x v="7"/>
    <s v="6120004"/>
    <n v="2"/>
    <n v="1"/>
    <n v="1"/>
  </r>
  <r>
    <s v="RESI"/>
    <x v="1"/>
    <x v="3"/>
    <x v="0"/>
    <x v="0"/>
    <n v="1"/>
    <n v="1"/>
    <n v="4"/>
    <s v="W"/>
    <s v="32"/>
    <x v="7"/>
    <s v="6130004"/>
    <n v="3"/>
    <n v="2"/>
    <n v="2"/>
  </r>
  <r>
    <s v="RESI"/>
    <x v="1"/>
    <x v="3"/>
    <x v="0"/>
    <x v="0"/>
    <n v="1"/>
    <n v="1"/>
    <n v="14"/>
    <s v="W"/>
    <s v="31"/>
    <x v="3"/>
    <s v="6110005"/>
    <n v="1"/>
    <n v="1"/>
    <n v="1"/>
  </r>
  <r>
    <s v="RESI"/>
    <x v="1"/>
    <x v="3"/>
    <x v="0"/>
    <x v="0"/>
    <n v="1"/>
    <n v="2"/>
    <n v="1"/>
    <s v="W"/>
    <s v="35"/>
    <x v="4"/>
    <s v="6130015"/>
    <n v="3"/>
    <n v="1"/>
    <n v="1"/>
  </r>
  <r>
    <s v="RESI"/>
    <x v="1"/>
    <x v="3"/>
    <x v="0"/>
    <x v="0"/>
    <n v="2"/>
    <n v="2"/>
    <n v="1"/>
    <s v="W"/>
    <s v="3B"/>
    <x v="2"/>
    <s v="6080050"/>
    <n v="5"/>
    <n v="2"/>
    <n v="1"/>
  </r>
  <r>
    <s v="RESI"/>
    <x v="1"/>
    <x v="3"/>
    <x v="0"/>
    <x v="0"/>
    <n v="2"/>
    <n v="2"/>
    <n v="1"/>
    <s v="W"/>
    <s v="31"/>
    <x v="3"/>
    <s v="6110005"/>
    <n v="1"/>
    <n v="8"/>
    <n v="4"/>
  </r>
  <r>
    <s v="RESI"/>
    <x v="1"/>
    <x v="3"/>
    <x v="0"/>
    <x v="0"/>
    <n v="2"/>
    <n v="2"/>
    <n v="1"/>
    <s v="W"/>
    <s v="35"/>
    <x v="4"/>
    <s v="6110015"/>
    <n v="1"/>
    <n v="4"/>
    <n v="2"/>
  </r>
  <r>
    <s v="RESI"/>
    <x v="1"/>
    <x v="3"/>
    <x v="0"/>
    <x v="0"/>
    <n v="2"/>
    <n v="2"/>
    <n v="1"/>
    <s v="W"/>
    <s v="30"/>
    <x v="2"/>
    <s v="6120003"/>
    <n v="2"/>
    <n v="2"/>
    <n v="1"/>
  </r>
  <r>
    <s v="RESI"/>
    <x v="1"/>
    <x v="3"/>
    <x v="0"/>
    <x v="0"/>
    <n v="2"/>
    <n v="2"/>
    <n v="1"/>
    <s v="W"/>
    <s v="31"/>
    <x v="3"/>
    <s v="6120005"/>
    <n v="2"/>
    <n v="4"/>
    <n v="2"/>
  </r>
  <r>
    <s v="RESI"/>
    <x v="1"/>
    <x v="3"/>
    <x v="0"/>
    <x v="0"/>
    <n v="2"/>
    <n v="2"/>
    <n v="1"/>
    <s v="W"/>
    <s v="33"/>
    <x v="9"/>
    <s v="6120040"/>
    <n v="2"/>
    <n v="6"/>
    <n v="3"/>
  </r>
  <r>
    <s v="RESI"/>
    <x v="1"/>
    <x v="3"/>
    <x v="0"/>
    <x v="0"/>
    <n v="2"/>
    <n v="2"/>
    <n v="1"/>
    <s v="W"/>
    <s v="31"/>
    <x v="3"/>
    <s v="6130005"/>
    <n v="3"/>
    <n v="6"/>
    <n v="3"/>
  </r>
  <r>
    <s v="RESI"/>
    <x v="1"/>
    <x v="3"/>
    <x v="0"/>
    <x v="0"/>
    <n v="2"/>
    <n v="2"/>
    <n v="1"/>
    <s v="W"/>
    <s v="3A"/>
    <x v="0"/>
    <s v="6130022"/>
    <n v="3"/>
    <n v="2"/>
    <n v="1"/>
  </r>
  <r>
    <s v="COMM"/>
    <x v="1"/>
    <x v="3"/>
    <x v="0"/>
    <x v="2"/>
    <n v="2"/>
    <n v="2"/>
    <n v="1"/>
    <s v="W"/>
    <s v="11"/>
    <x v="11"/>
    <s v="6170055"/>
    <n v="9"/>
    <n v="6"/>
    <n v="3"/>
  </r>
  <r>
    <s v="COMM"/>
    <x v="1"/>
    <x v="3"/>
    <x v="0"/>
    <x v="2"/>
    <n v="4"/>
    <n v="4"/>
    <n v="1"/>
    <s v="W"/>
    <s v="11"/>
    <x v="11"/>
    <s v="6170055"/>
    <n v="9"/>
    <n v="4"/>
    <n v="1"/>
  </r>
  <r>
    <s v="COMM"/>
    <x v="1"/>
    <x v="3"/>
    <x v="0"/>
    <x v="2"/>
    <n v="6"/>
    <n v="6"/>
    <n v="1"/>
    <s v="W"/>
    <s v="11"/>
    <x v="11"/>
    <s v="6170055"/>
    <n v="9"/>
    <n v="6"/>
    <n v="1"/>
  </r>
  <r>
    <s v="COMM"/>
    <x v="1"/>
    <x v="3"/>
    <x v="0"/>
    <x v="3"/>
    <n v="8"/>
    <n v="0"/>
    <n v="0"/>
    <m/>
    <s v="15"/>
    <x v="12"/>
    <s v="6170015"/>
    <n v="9"/>
    <n v="8"/>
    <n v="1"/>
  </r>
  <r>
    <s v="COMM"/>
    <x v="1"/>
    <x v="3"/>
    <x v="0"/>
    <x v="2"/>
    <n v="13"/>
    <n v="13"/>
    <n v="1"/>
    <s v="W"/>
    <s v="11"/>
    <x v="11"/>
    <s v="6170055"/>
    <n v="9"/>
    <n v="13"/>
    <n v="1"/>
  </r>
  <r>
    <s v="COMM"/>
    <x v="1"/>
    <x v="3"/>
    <x v="0"/>
    <x v="2"/>
    <n v="17"/>
    <n v="17"/>
    <n v="1"/>
    <s v="W"/>
    <s v="11"/>
    <x v="11"/>
    <s v="6170055"/>
    <n v="9"/>
    <n v="17"/>
    <n v="1"/>
  </r>
  <r>
    <s v="COMM"/>
    <x v="1"/>
    <x v="3"/>
    <x v="0"/>
    <x v="3"/>
    <n v="18"/>
    <n v="0"/>
    <n v="0"/>
    <m/>
    <s v="11"/>
    <x v="11"/>
    <s v="6170005"/>
    <n v="9"/>
    <n v="18"/>
    <n v="1"/>
  </r>
  <r>
    <s v="COMM"/>
    <x v="1"/>
    <x v="3"/>
    <x v="0"/>
    <x v="2"/>
    <n v="28"/>
    <n v="28"/>
    <n v="1"/>
    <s v="W"/>
    <s v="11"/>
    <x v="11"/>
    <s v="6170055"/>
    <n v="9"/>
    <n v="28"/>
    <n v="1"/>
  </r>
  <r>
    <s v="COMM"/>
    <x v="1"/>
    <x v="3"/>
    <x v="0"/>
    <x v="2"/>
    <n v="32"/>
    <n v="32"/>
    <n v="1"/>
    <s v="W"/>
    <s v="11"/>
    <x v="11"/>
    <s v="6170055"/>
    <n v="9"/>
    <n v="32"/>
    <n v="1"/>
  </r>
  <r>
    <s v="COMM"/>
    <x v="1"/>
    <x v="3"/>
    <x v="0"/>
    <x v="2"/>
    <n v="38"/>
    <n v="38"/>
    <n v="1"/>
    <s v="W"/>
    <s v="11"/>
    <x v="11"/>
    <s v="6170055"/>
    <n v="9"/>
    <n v="38"/>
    <n v="1"/>
  </r>
  <r>
    <s v="COMM"/>
    <x v="1"/>
    <x v="3"/>
    <x v="0"/>
    <x v="2"/>
    <n v="40"/>
    <n v="40"/>
    <n v="1"/>
    <s v="W"/>
    <s v="11"/>
    <x v="11"/>
    <s v="6170055"/>
    <n v="9"/>
    <n v="40"/>
    <n v="1"/>
  </r>
  <r>
    <s v="COMM"/>
    <x v="1"/>
    <x v="3"/>
    <x v="0"/>
    <x v="2"/>
    <n v="74"/>
    <n v="74"/>
    <n v="1"/>
    <s v="W"/>
    <s v="10"/>
    <x v="14"/>
    <s v="6170028"/>
    <n v="9"/>
    <n v="74"/>
    <n v="1"/>
  </r>
  <r>
    <s v="RESI"/>
    <x v="1"/>
    <x v="4"/>
    <x v="0"/>
    <x v="0"/>
    <n v="1"/>
    <n v="1"/>
    <n v="1"/>
    <s v="W"/>
    <s v="3C"/>
    <x v="5"/>
    <s v="6080004"/>
    <n v="3"/>
    <n v="17"/>
    <n v="17"/>
  </r>
  <r>
    <s v="COMM"/>
    <x v="1"/>
    <x v="4"/>
    <x v="0"/>
    <x v="3"/>
    <n v="1"/>
    <n v="1"/>
    <n v="1"/>
    <s v="W"/>
    <s v="1C"/>
    <x v="6"/>
    <s v="6080004"/>
    <n v="4"/>
    <n v="1"/>
    <n v="1"/>
  </r>
  <r>
    <s v="RESI"/>
    <x v="1"/>
    <x v="4"/>
    <x v="0"/>
    <x v="0"/>
    <n v="1"/>
    <n v="1"/>
    <n v="1"/>
    <s v="W"/>
    <s v="31"/>
    <x v="3"/>
    <s v="6110005"/>
    <n v="1"/>
    <n v="1"/>
    <n v="1"/>
  </r>
  <r>
    <s v="RESI"/>
    <x v="1"/>
    <x v="4"/>
    <x v="0"/>
    <x v="0"/>
    <n v="1"/>
    <n v="1"/>
    <n v="1"/>
    <s v="W"/>
    <s v="31"/>
    <x v="3"/>
    <s v="6130005"/>
    <n v="3"/>
    <n v="1"/>
    <n v="1"/>
  </r>
  <r>
    <s v="RESI"/>
    <x v="1"/>
    <x v="5"/>
    <x v="0"/>
    <x v="0"/>
    <n v="1"/>
    <n v="1"/>
    <n v="1"/>
    <s v="W"/>
    <s v="3B"/>
    <x v="2"/>
    <s v="6080001"/>
    <n v="1"/>
    <n v="233"/>
    <n v="233"/>
  </r>
  <r>
    <s v="RESI"/>
    <x v="1"/>
    <x v="5"/>
    <x v="0"/>
    <x v="0"/>
    <n v="1"/>
    <n v="1"/>
    <n v="1"/>
    <s v="W"/>
    <s v="3C"/>
    <x v="5"/>
    <s v="6080004"/>
    <n v="1"/>
    <n v="212"/>
    <n v="212"/>
  </r>
  <r>
    <s v="RESI"/>
    <x v="1"/>
    <x v="5"/>
    <x v="0"/>
    <x v="3"/>
    <n v="1"/>
    <n v="1"/>
    <n v="1"/>
    <s v="W"/>
    <s v="3C"/>
    <x v="5"/>
    <s v="6080004"/>
    <n v="1"/>
    <n v="52"/>
    <n v="52"/>
  </r>
  <r>
    <s v="RESI"/>
    <x v="1"/>
    <x v="5"/>
    <x v="0"/>
    <x v="0"/>
    <n v="1"/>
    <n v="1"/>
    <n v="1"/>
    <s v="W"/>
    <s v="3C"/>
    <x v="5"/>
    <s v="6080004"/>
    <n v="3"/>
    <n v="222"/>
    <n v="222"/>
  </r>
  <r>
    <s v="COMM"/>
    <x v="1"/>
    <x v="5"/>
    <x v="0"/>
    <x v="3"/>
    <n v="1"/>
    <n v="1"/>
    <n v="1"/>
    <s v="W"/>
    <s v="1C"/>
    <x v="6"/>
    <s v="6080004"/>
    <n v="4"/>
    <n v="16"/>
    <n v="16"/>
  </r>
  <r>
    <s v="RESI"/>
    <x v="1"/>
    <x v="5"/>
    <x v="0"/>
    <x v="0"/>
    <n v="1"/>
    <n v="1"/>
    <n v="1"/>
    <s v="W"/>
    <s v="3B"/>
    <x v="2"/>
    <s v="6080020"/>
    <n v="2"/>
    <n v="205"/>
    <n v="205"/>
  </r>
  <r>
    <s v="COMM"/>
    <x v="1"/>
    <x v="5"/>
    <x v="0"/>
    <x v="3"/>
    <n v="1"/>
    <n v="1"/>
    <n v="1"/>
    <s v="W"/>
    <s v="1B"/>
    <x v="14"/>
    <s v="6080040"/>
    <n v="4"/>
    <n v="1"/>
    <n v="1"/>
  </r>
  <r>
    <s v="RESI"/>
    <x v="1"/>
    <x v="5"/>
    <x v="0"/>
    <x v="0"/>
    <n v="1"/>
    <n v="1"/>
    <n v="1"/>
    <s v="W"/>
    <s v="3B"/>
    <x v="2"/>
    <s v="6080050"/>
    <n v="5"/>
    <n v="245"/>
    <n v="245"/>
  </r>
  <r>
    <s v="RESI"/>
    <x v="1"/>
    <x v="5"/>
    <x v="0"/>
    <x v="3"/>
    <n v="1"/>
    <n v="1"/>
    <n v="1"/>
    <s v="W"/>
    <s v="30"/>
    <x v="2"/>
    <s v="6110002"/>
    <n v="1"/>
    <n v="5"/>
    <n v="5"/>
  </r>
  <r>
    <s v="RESI"/>
    <x v="1"/>
    <x v="5"/>
    <x v="0"/>
    <x v="0"/>
    <n v="1"/>
    <n v="1"/>
    <n v="1"/>
    <s v="W"/>
    <s v="30"/>
    <x v="2"/>
    <s v="6110002"/>
    <n v="1"/>
    <n v="15"/>
    <n v="15"/>
  </r>
  <r>
    <s v="RESI"/>
    <x v="1"/>
    <x v="5"/>
    <x v="0"/>
    <x v="0"/>
    <n v="1"/>
    <n v="1"/>
    <n v="1"/>
    <s v="W"/>
    <s v="30"/>
    <x v="2"/>
    <s v="6110003"/>
    <n v="1"/>
    <n v="7"/>
    <n v="7"/>
  </r>
  <r>
    <s v="RESI"/>
    <x v="1"/>
    <x v="5"/>
    <x v="0"/>
    <x v="3"/>
    <n v="1"/>
    <n v="1"/>
    <n v="1"/>
    <s v="W"/>
    <s v="30"/>
    <x v="2"/>
    <s v="6110003"/>
    <n v="1"/>
    <n v="3"/>
    <n v="3"/>
  </r>
  <r>
    <s v="RESI"/>
    <x v="1"/>
    <x v="5"/>
    <x v="0"/>
    <x v="3"/>
    <n v="1"/>
    <n v="1"/>
    <n v="1"/>
    <s v="W"/>
    <s v="32"/>
    <x v="7"/>
    <s v="6110004"/>
    <n v="1"/>
    <n v="52"/>
    <n v="52"/>
  </r>
  <r>
    <s v="RESI"/>
    <x v="1"/>
    <x v="5"/>
    <x v="0"/>
    <x v="0"/>
    <n v="1"/>
    <n v="1"/>
    <n v="1"/>
    <s v="W"/>
    <s v="32"/>
    <x v="7"/>
    <s v="6110004"/>
    <n v="1"/>
    <n v="214"/>
    <n v="214"/>
  </r>
  <r>
    <s v="RESI"/>
    <x v="1"/>
    <x v="5"/>
    <x v="0"/>
    <x v="0"/>
    <n v="1"/>
    <n v="1"/>
    <n v="1"/>
    <s v="W"/>
    <s v="31"/>
    <x v="3"/>
    <s v="6110005"/>
    <n v="1"/>
    <n v="1868"/>
    <n v="1868"/>
  </r>
  <r>
    <s v="RESI"/>
    <x v="1"/>
    <x v="5"/>
    <x v="0"/>
    <x v="3"/>
    <n v="1"/>
    <n v="1"/>
    <n v="1"/>
    <s v="W"/>
    <s v="31"/>
    <x v="3"/>
    <s v="6110005"/>
    <n v="1"/>
    <n v="322"/>
    <n v="322"/>
  </r>
  <r>
    <s v="RESI"/>
    <x v="1"/>
    <x v="5"/>
    <x v="0"/>
    <x v="0"/>
    <n v="1"/>
    <n v="1"/>
    <n v="1"/>
    <s v="W"/>
    <s v="36"/>
    <x v="8"/>
    <s v="6110006"/>
    <n v="1"/>
    <n v="101"/>
    <n v="101"/>
  </r>
  <r>
    <s v="RESI"/>
    <x v="1"/>
    <x v="5"/>
    <x v="0"/>
    <x v="3"/>
    <n v="1"/>
    <n v="1"/>
    <n v="1"/>
    <s v="W"/>
    <s v="36"/>
    <x v="8"/>
    <s v="6110006"/>
    <n v="1"/>
    <n v="17"/>
    <n v="17"/>
  </r>
  <r>
    <s v="RESI"/>
    <x v="1"/>
    <x v="5"/>
    <x v="0"/>
    <x v="0"/>
    <n v="1"/>
    <n v="1"/>
    <n v="1"/>
    <s v="W"/>
    <s v="30"/>
    <x v="2"/>
    <s v="6110008"/>
    <n v="1"/>
    <n v="93"/>
    <n v="93"/>
  </r>
  <r>
    <s v="RESI"/>
    <x v="1"/>
    <x v="5"/>
    <x v="0"/>
    <x v="3"/>
    <n v="1"/>
    <n v="1"/>
    <n v="1"/>
    <s v="W"/>
    <s v="30"/>
    <x v="2"/>
    <s v="6110008"/>
    <n v="1"/>
    <n v="16"/>
    <n v="16"/>
  </r>
  <r>
    <s v="RESI"/>
    <x v="1"/>
    <x v="5"/>
    <x v="0"/>
    <x v="0"/>
    <n v="1"/>
    <n v="1"/>
    <n v="1"/>
    <s v="W"/>
    <s v="30"/>
    <x v="2"/>
    <s v="6110009"/>
    <n v="1"/>
    <n v="38"/>
    <n v="38"/>
  </r>
  <r>
    <s v="RESI"/>
    <x v="1"/>
    <x v="5"/>
    <x v="0"/>
    <x v="3"/>
    <n v="1"/>
    <n v="1"/>
    <n v="1"/>
    <s v="W"/>
    <s v="30"/>
    <x v="2"/>
    <s v="6110009"/>
    <n v="1"/>
    <n v="5"/>
    <n v="5"/>
  </r>
  <r>
    <s v="RESI"/>
    <x v="1"/>
    <x v="5"/>
    <x v="0"/>
    <x v="0"/>
    <n v="1"/>
    <n v="1"/>
    <n v="1"/>
    <s v="W"/>
    <s v="35"/>
    <x v="4"/>
    <s v="6110015"/>
    <n v="1"/>
    <n v="782"/>
    <n v="782"/>
  </r>
  <r>
    <s v="RESI"/>
    <x v="1"/>
    <x v="5"/>
    <x v="0"/>
    <x v="0"/>
    <n v="1"/>
    <n v="1"/>
    <n v="1"/>
    <s v="W"/>
    <s v="30"/>
    <x v="2"/>
    <s v="6110028"/>
    <n v="1"/>
    <n v="520"/>
    <n v="520"/>
  </r>
  <r>
    <s v="RESI"/>
    <x v="1"/>
    <x v="5"/>
    <x v="0"/>
    <x v="3"/>
    <n v="1"/>
    <n v="1"/>
    <n v="1"/>
    <s v="W"/>
    <s v="30"/>
    <x v="2"/>
    <s v="6110028"/>
    <n v="1"/>
    <n v="93"/>
    <n v="93"/>
  </r>
  <r>
    <s v="RESI"/>
    <x v="1"/>
    <x v="5"/>
    <x v="0"/>
    <x v="0"/>
    <n v="1"/>
    <n v="1"/>
    <n v="1"/>
    <s v="W"/>
    <s v="30"/>
    <x v="2"/>
    <s v="6120002"/>
    <n v="2"/>
    <n v="9"/>
    <n v="9"/>
  </r>
  <r>
    <s v="RESI"/>
    <x v="1"/>
    <x v="5"/>
    <x v="0"/>
    <x v="3"/>
    <n v="1"/>
    <n v="1"/>
    <n v="1"/>
    <s v="W"/>
    <s v="30"/>
    <x v="2"/>
    <s v="6120002"/>
    <n v="2"/>
    <n v="3"/>
    <n v="3"/>
  </r>
  <r>
    <s v="RESI"/>
    <x v="1"/>
    <x v="5"/>
    <x v="0"/>
    <x v="0"/>
    <n v="1"/>
    <n v="1"/>
    <n v="1"/>
    <s v="W"/>
    <s v="30"/>
    <x v="2"/>
    <s v="6120003"/>
    <n v="2"/>
    <n v="9"/>
    <n v="9"/>
  </r>
  <r>
    <s v="RESI"/>
    <x v="1"/>
    <x v="5"/>
    <x v="0"/>
    <x v="0"/>
    <n v="1"/>
    <n v="1"/>
    <n v="1"/>
    <s v="W"/>
    <s v="32"/>
    <x v="7"/>
    <s v="6120004"/>
    <n v="2"/>
    <n v="208"/>
    <n v="208"/>
  </r>
  <r>
    <s v="RESI"/>
    <x v="1"/>
    <x v="5"/>
    <x v="0"/>
    <x v="3"/>
    <n v="1"/>
    <n v="1"/>
    <n v="1"/>
    <s v="W"/>
    <s v="32"/>
    <x v="7"/>
    <s v="6120004"/>
    <n v="2"/>
    <n v="44"/>
    <n v="44"/>
  </r>
  <r>
    <s v="RESI"/>
    <x v="1"/>
    <x v="5"/>
    <x v="0"/>
    <x v="0"/>
    <n v="1"/>
    <n v="1"/>
    <n v="1"/>
    <s v="W"/>
    <s v="31"/>
    <x v="3"/>
    <s v="6120005"/>
    <n v="2"/>
    <n v="1913"/>
    <n v="1913"/>
  </r>
  <r>
    <s v="RESI"/>
    <x v="1"/>
    <x v="5"/>
    <x v="0"/>
    <x v="3"/>
    <n v="1"/>
    <n v="1"/>
    <n v="1"/>
    <s v="W"/>
    <s v="31"/>
    <x v="3"/>
    <s v="6120005"/>
    <n v="2"/>
    <n v="234"/>
    <n v="234"/>
  </r>
  <r>
    <s v="RESI"/>
    <x v="1"/>
    <x v="5"/>
    <x v="0"/>
    <x v="0"/>
    <n v="1"/>
    <n v="1"/>
    <n v="1"/>
    <s v="W"/>
    <s v="36"/>
    <x v="8"/>
    <s v="6120006"/>
    <n v="2"/>
    <n v="115"/>
    <n v="115"/>
  </r>
  <r>
    <s v="RESI"/>
    <x v="1"/>
    <x v="5"/>
    <x v="0"/>
    <x v="3"/>
    <n v="1"/>
    <n v="1"/>
    <n v="1"/>
    <s v="W"/>
    <s v="36"/>
    <x v="8"/>
    <s v="6120006"/>
    <n v="2"/>
    <n v="21"/>
    <n v="21"/>
  </r>
  <r>
    <s v="RESI"/>
    <x v="1"/>
    <x v="5"/>
    <x v="0"/>
    <x v="0"/>
    <n v="1"/>
    <n v="1"/>
    <n v="1"/>
    <s v="W"/>
    <s v="30"/>
    <x v="2"/>
    <s v="6120008"/>
    <n v="2"/>
    <n v="108"/>
    <n v="108"/>
  </r>
  <r>
    <s v="RESI"/>
    <x v="1"/>
    <x v="5"/>
    <x v="0"/>
    <x v="3"/>
    <n v="1"/>
    <n v="1"/>
    <n v="1"/>
    <s v="W"/>
    <s v="30"/>
    <x v="2"/>
    <s v="6120008"/>
    <n v="2"/>
    <n v="32"/>
    <n v="32"/>
  </r>
  <r>
    <s v="RESI"/>
    <x v="1"/>
    <x v="5"/>
    <x v="0"/>
    <x v="0"/>
    <n v="1"/>
    <n v="1"/>
    <n v="1"/>
    <s v="W"/>
    <s v="30"/>
    <x v="2"/>
    <s v="6120009"/>
    <n v="2"/>
    <n v="41"/>
    <n v="41"/>
  </r>
  <r>
    <s v="RESI"/>
    <x v="1"/>
    <x v="5"/>
    <x v="0"/>
    <x v="3"/>
    <n v="1"/>
    <n v="1"/>
    <n v="1"/>
    <s v="W"/>
    <s v="30"/>
    <x v="2"/>
    <s v="6120009"/>
    <n v="2"/>
    <n v="7"/>
    <n v="7"/>
  </r>
  <r>
    <s v="RESI"/>
    <x v="1"/>
    <x v="5"/>
    <x v="0"/>
    <x v="0"/>
    <n v="1"/>
    <n v="1"/>
    <n v="1"/>
    <s v="W"/>
    <s v="35"/>
    <x v="4"/>
    <s v="6120015"/>
    <n v="2"/>
    <n v="778"/>
    <n v="778"/>
  </r>
  <r>
    <s v="RESI"/>
    <x v="1"/>
    <x v="5"/>
    <x v="0"/>
    <x v="0"/>
    <n v="1"/>
    <n v="1"/>
    <n v="1"/>
    <s v="W"/>
    <s v="30"/>
    <x v="2"/>
    <s v="6120028"/>
    <n v="2"/>
    <n v="438"/>
    <n v="438"/>
  </r>
  <r>
    <s v="RESI"/>
    <x v="1"/>
    <x v="5"/>
    <x v="0"/>
    <x v="3"/>
    <n v="1"/>
    <n v="1"/>
    <n v="1"/>
    <s v="W"/>
    <s v="30"/>
    <x v="2"/>
    <s v="6120028"/>
    <n v="2"/>
    <n v="88"/>
    <n v="88"/>
  </r>
  <r>
    <s v="RESI"/>
    <x v="1"/>
    <x v="5"/>
    <x v="0"/>
    <x v="0"/>
    <n v="1"/>
    <n v="1"/>
    <n v="1"/>
    <s v="W"/>
    <s v="33"/>
    <x v="9"/>
    <s v="6120040"/>
    <n v="2"/>
    <n v="1446"/>
    <n v="1446"/>
  </r>
  <r>
    <s v="RESI"/>
    <x v="1"/>
    <x v="5"/>
    <x v="0"/>
    <x v="3"/>
    <n v="1"/>
    <n v="1"/>
    <n v="1"/>
    <s v="W"/>
    <s v="33"/>
    <x v="9"/>
    <s v="6120040"/>
    <n v="2"/>
    <n v="267"/>
    <n v="267"/>
  </r>
  <r>
    <s v="RESI"/>
    <x v="1"/>
    <x v="5"/>
    <x v="0"/>
    <x v="0"/>
    <n v="1"/>
    <n v="1"/>
    <n v="1"/>
    <s v="W"/>
    <s v="30"/>
    <x v="2"/>
    <s v="6130002"/>
    <n v="3"/>
    <n v="12"/>
    <n v="12"/>
  </r>
  <r>
    <s v="RESI"/>
    <x v="1"/>
    <x v="5"/>
    <x v="0"/>
    <x v="3"/>
    <n v="1"/>
    <n v="1"/>
    <n v="1"/>
    <s v="W"/>
    <s v="30"/>
    <x v="2"/>
    <s v="6130002"/>
    <n v="3"/>
    <n v="1"/>
    <n v="1"/>
  </r>
  <r>
    <s v="RESI"/>
    <x v="1"/>
    <x v="5"/>
    <x v="0"/>
    <x v="3"/>
    <n v="1"/>
    <n v="1"/>
    <n v="1"/>
    <s v="W"/>
    <s v="30"/>
    <x v="2"/>
    <s v="6130003"/>
    <n v="3"/>
    <n v="1"/>
    <n v="1"/>
  </r>
  <r>
    <s v="RESI"/>
    <x v="1"/>
    <x v="5"/>
    <x v="0"/>
    <x v="0"/>
    <n v="1"/>
    <n v="1"/>
    <n v="1"/>
    <s v="W"/>
    <s v="30"/>
    <x v="2"/>
    <s v="6130003"/>
    <n v="3"/>
    <n v="9"/>
    <n v="9"/>
  </r>
  <r>
    <s v="RESI"/>
    <x v="1"/>
    <x v="5"/>
    <x v="0"/>
    <x v="0"/>
    <n v="1"/>
    <n v="1"/>
    <n v="1"/>
    <s v="W"/>
    <s v="32"/>
    <x v="7"/>
    <s v="6130004"/>
    <n v="3"/>
    <n v="241"/>
    <n v="241"/>
  </r>
  <r>
    <s v="RESI"/>
    <x v="1"/>
    <x v="5"/>
    <x v="0"/>
    <x v="3"/>
    <n v="1"/>
    <n v="1"/>
    <n v="1"/>
    <s v="W"/>
    <s v="32"/>
    <x v="7"/>
    <s v="6130004"/>
    <n v="3"/>
    <n v="71"/>
    <n v="71"/>
  </r>
  <r>
    <s v="RESI"/>
    <x v="1"/>
    <x v="5"/>
    <x v="0"/>
    <x v="3"/>
    <n v="1"/>
    <n v="1"/>
    <n v="1"/>
    <s v="W"/>
    <s v="31"/>
    <x v="3"/>
    <s v="6130005"/>
    <n v="3"/>
    <n v="306"/>
    <n v="306"/>
  </r>
  <r>
    <s v="RESI"/>
    <x v="1"/>
    <x v="5"/>
    <x v="0"/>
    <x v="0"/>
    <n v="1"/>
    <n v="1"/>
    <n v="1"/>
    <s v="W"/>
    <s v="31"/>
    <x v="3"/>
    <s v="6130005"/>
    <n v="3"/>
    <n v="1811"/>
    <n v="1811"/>
  </r>
  <r>
    <s v="RESI"/>
    <x v="1"/>
    <x v="5"/>
    <x v="0"/>
    <x v="0"/>
    <n v="1"/>
    <n v="1"/>
    <n v="1"/>
    <s v="W"/>
    <s v="36"/>
    <x v="8"/>
    <s v="6130006"/>
    <n v="3"/>
    <n v="128"/>
    <n v="128"/>
  </r>
  <r>
    <s v="RESI"/>
    <x v="1"/>
    <x v="5"/>
    <x v="0"/>
    <x v="3"/>
    <n v="1"/>
    <n v="1"/>
    <n v="1"/>
    <s v="W"/>
    <s v="36"/>
    <x v="8"/>
    <s v="6130006"/>
    <n v="3"/>
    <n v="25"/>
    <n v="25"/>
  </r>
  <r>
    <s v="RESI"/>
    <x v="1"/>
    <x v="5"/>
    <x v="0"/>
    <x v="0"/>
    <n v="1"/>
    <n v="1"/>
    <n v="1"/>
    <s v="W"/>
    <s v="30"/>
    <x v="2"/>
    <s v="6130008"/>
    <n v="3"/>
    <n v="118"/>
    <n v="118"/>
  </r>
  <r>
    <s v="RESI"/>
    <x v="1"/>
    <x v="5"/>
    <x v="0"/>
    <x v="3"/>
    <n v="1"/>
    <n v="1"/>
    <n v="1"/>
    <s v="W"/>
    <s v="30"/>
    <x v="2"/>
    <s v="6130008"/>
    <n v="3"/>
    <n v="19"/>
    <n v="19"/>
  </r>
  <r>
    <s v="RESI"/>
    <x v="1"/>
    <x v="5"/>
    <x v="0"/>
    <x v="3"/>
    <n v="1"/>
    <n v="1"/>
    <n v="1"/>
    <s v="W"/>
    <s v="30"/>
    <x v="2"/>
    <s v="6130009"/>
    <n v="3"/>
    <n v="10"/>
    <n v="10"/>
  </r>
  <r>
    <s v="RESI"/>
    <x v="1"/>
    <x v="5"/>
    <x v="0"/>
    <x v="0"/>
    <n v="1"/>
    <n v="1"/>
    <n v="1"/>
    <s v="W"/>
    <s v="30"/>
    <x v="2"/>
    <s v="6130009"/>
    <n v="3"/>
    <n v="50"/>
    <n v="50"/>
  </r>
  <r>
    <s v="RESI"/>
    <x v="1"/>
    <x v="5"/>
    <x v="0"/>
    <x v="0"/>
    <n v="1"/>
    <n v="1"/>
    <n v="1"/>
    <s v="W"/>
    <s v="35"/>
    <x v="4"/>
    <s v="6130015"/>
    <n v="3"/>
    <n v="790"/>
    <n v="790"/>
  </r>
  <r>
    <s v="RESI"/>
    <x v="1"/>
    <x v="5"/>
    <x v="0"/>
    <x v="0"/>
    <n v="1"/>
    <n v="1"/>
    <n v="1"/>
    <s v="W"/>
    <s v="3A"/>
    <x v="0"/>
    <s v="6130022"/>
    <n v="3"/>
    <n v="295"/>
    <n v="295"/>
  </r>
  <r>
    <s v="RESI"/>
    <x v="1"/>
    <x v="5"/>
    <x v="0"/>
    <x v="0"/>
    <n v="1"/>
    <n v="1"/>
    <n v="1"/>
    <s v="W"/>
    <s v="3B"/>
    <x v="2"/>
    <s v="6130022"/>
    <n v="3"/>
    <n v="1"/>
    <n v="1"/>
  </r>
  <r>
    <s v="RESI"/>
    <x v="1"/>
    <x v="5"/>
    <x v="0"/>
    <x v="0"/>
    <n v="1"/>
    <n v="1"/>
    <n v="1"/>
    <s v="W"/>
    <s v="30"/>
    <x v="2"/>
    <s v="6130028"/>
    <n v="3"/>
    <n v="551"/>
    <n v="551"/>
  </r>
  <r>
    <s v="RESI"/>
    <x v="1"/>
    <x v="5"/>
    <x v="0"/>
    <x v="0"/>
    <n v="1"/>
    <n v="1"/>
    <n v="1"/>
    <s v="W"/>
    <s v="31"/>
    <x v="3"/>
    <s v="6130028"/>
    <n v="3"/>
    <n v="1"/>
    <n v="1"/>
  </r>
  <r>
    <s v="RESI"/>
    <x v="1"/>
    <x v="5"/>
    <x v="0"/>
    <x v="3"/>
    <n v="1"/>
    <n v="1"/>
    <n v="1"/>
    <s v="W"/>
    <s v="30"/>
    <x v="2"/>
    <s v="6130028"/>
    <n v="3"/>
    <n v="145"/>
    <n v="145"/>
  </r>
  <r>
    <s v="COMM"/>
    <x v="1"/>
    <x v="5"/>
    <x v="0"/>
    <x v="3"/>
    <n v="1"/>
    <n v="1"/>
    <n v="1"/>
    <s v="W"/>
    <s v="12"/>
    <x v="10"/>
    <s v="6170004"/>
    <n v="9"/>
    <n v="1"/>
    <n v="1"/>
  </r>
  <r>
    <s v="COMM"/>
    <x v="1"/>
    <x v="5"/>
    <x v="0"/>
    <x v="3"/>
    <n v="1"/>
    <n v="1"/>
    <n v="1"/>
    <s v="W"/>
    <s v="11"/>
    <x v="11"/>
    <s v="6170005"/>
    <n v="9"/>
    <n v="47"/>
    <n v="47"/>
  </r>
  <r>
    <s v="COMM"/>
    <x v="1"/>
    <x v="5"/>
    <x v="0"/>
    <x v="4"/>
    <n v="1"/>
    <n v="1"/>
    <n v="1"/>
    <s v="W"/>
    <s v="11"/>
    <x v="11"/>
    <s v="6170005"/>
    <n v="9"/>
    <n v="1"/>
    <n v="1"/>
  </r>
  <r>
    <s v="COMM"/>
    <x v="1"/>
    <x v="5"/>
    <x v="0"/>
    <x v="3"/>
    <n v="1"/>
    <n v="1"/>
    <n v="1"/>
    <s v="W"/>
    <s v="10"/>
    <x v="14"/>
    <s v="6170008"/>
    <n v="9"/>
    <n v="1"/>
    <n v="1"/>
  </r>
  <r>
    <s v="COMM"/>
    <x v="1"/>
    <x v="5"/>
    <x v="0"/>
    <x v="3"/>
    <n v="1"/>
    <n v="1"/>
    <n v="1"/>
    <s v="W"/>
    <s v="15"/>
    <x v="12"/>
    <s v="6170015"/>
    <n v="9"/>
    <n v="2"/>
    <n v="2"/>
  </r>
  <r>
    <s v="COMM"/>
    <x v="1"/>
    <x v="5"/>
    <x v="0"/>
    <x v="3"/>
    <n v="1"/>
    <n v="1"/>
    <n v="1"/>
    <s v="W"/>
    <s v="1A"/>
    <x v="13"/>
    <s v="6170022"/>
    <n v="9"/>
    <n v="1"/>
    <n v="1"/>
  </r>
  <r>
    <s v="COMM"/>
    <x v="1"/>
    <x v="5"/>
    <x v="0"/>
    <x v="3"/>
    <n v="1"/>
    <n v="1"/>
    <n v="1"/>
    <s v="W"/>
    <s v="10"/>
    <x v="14"/>
    <s v="6170028"/>
    <n v="9"/>
    <n v="3"/>
    <n v="3"/>
  </r>
  <r>
    <s v="IND"/>
    <x v="1"/>
    <x v="5"/>
    <x v="0"/>
    <x v="3"/>
    <n v="1"/>
    <n v="1"/>
    <n v="1"/>
    <s v="W"/>
    <s v="10"/>
    <x v="14"/>
    <s v="6170028"/>
    <n v="9"/>
    <n v="1"/>
    <n v="1"/>
  </r>
  <r>
    <s v="COMM"/>
    <x v="1"/>
    <x v="5"/>
    <x v="0"/>
    <x v="3"/>
    <n v="1"/>
    <n v="1"/>
    <n v="1"/>
    <s v="W"/>
    <s v="13"/>
    <x v="15"/>
    <s v="6170040"/>
    <n v="9"/>
    <n v="2"/>
    <n v="2"/>
  </r>
  <r>
    <s v="COMM"/>
    <x v="1"/>
    <x v="5"/>
    <x v="0"/>
    <x v="2"/>
    <n v="1"/>
    <n v="1"/>
    <n v="1"/>
    <s v="W"/>
    <s v="11"/>
    <x v="11"/>
    <s v="6170055"/>
    <n v="9"/>
    <n v="2"/>
    <n v="2"/>
  </r>
  <r>
    <s v="RESI"/>
    <x v="1"/>
    <x v="5"/>
    <x v="0"/>
    <x v="0"/>
    <n v="2"/>
    <n v="1"/>
    <n v="1"/>
    <s v="W"/>
    <s v="33"/>
    <x v="9"/>
    <s v="6120040"/>
    <n v="2"/>
    <n v="2"/>
    <n v="1"/>
  </r>
  <r>
    <s v="RESI"/>
    <x v="1"/>
    <x v="5"/>
    <x v="0"/>
    <x v="0"/>
    <n v="2"/>
    <n v="2"/>
    <n v="1"/>
    <s v="W"/>
    <s v="3B"/>
    <x v="2"/>
    <s v="6080001"/>
    <n v="1"/>
    <n v="4"/>
    <n v="2"/>
  </r>
  <r>
    <s v="RESI"/>
    <x v="1"/>
    <x v="5"/>
    <x v="0"/>
    <x v="0"/>
    <n v="2"/>
    <n v="2"/>
    <n v="1"/>
    <s v="W"/>
    <s v="3C"/>
    <x v="5"/>
    <s v="6080004"/>
    <n v="1"/>
    <n v="2"/>
    <n v="1"/>
  </r>
  <r>
    <s v="COMM"/>
    <x v="1"/>
    <x v="5"/>
    <x v="0"/>
    <x v="3"/>
    <n v="2"/>
    <n v="2"/>
    <n v="1"/>
    <s v="W"/>
    <s v="1C"/>
    <x v="6"/>
    <s v="6080004"/>
    <n v="4"/>
    <n v="2"/>
    <n v="1"/>
  </r>
  <r>
    <s v="RESI"/>
    <x v="1"/>
    <x v="5"/>
    <x v="0"/>
    <x v="0"/>
    <n v="2"/>
    <n v="2"/>
    <n v="1"/>
    <s v="W"/>
    <s v="32"/>
    <x v="7"/>
    <s v="6110004"/>
    <n v="1"/>
    <n v="2"/>
    <n v="1"/>
  </r>
  <r>
    <s v="RESI"/>
    <x v="1"/>
    <x v="5"/>
    <x v="0"/>
    <x v="0"/>
    <n v="2"/>
    <n v="2"/>
    <n v="1"/>
    <s v="W"/>
    <s v="31"/>
    <x v="3"/>
    <s v="6110005"/>
    <n v="1"/>
    <n v="12"/>
    <n v="6"/>
  </r>
  <r>
    <s v="RESI"/>
    <x v="1"/>
    <x v="5"/>
    <x v="0"/>
    <x v="0"/>
    <n v="2"/>
    <n v="2"/>
    <n v="1"/>
    <s v="W"/>
    <s v="35"/>
    <x v="4"/>
    <s v="6110015"/>
    <n v="1"/>
    <n v="4"/>
    <n v="2"/>
  </r>
  <r>
    <s v="RESI"/>
    <x v="1"/>
    <x v="5"/>
    <x v="0"/>
    <x v="0"/>
    <n v="2"/>
    <n v="2"/>
    <n v="1"/>
    <s v="W"/>
    <s v="30"/>
    <x v="2"/>
    <s v="6110028"/>
    <n v="1"/>
    <n v="4"/>
    <n v="2"/>
  </r>
  <r>
    <s v="RESI"/>
    <x v="1"/>
    <x v="5"/>
    <x v="0"/>
    <x v="3"/>
    <n v="2"/>
    <n v="2"/>
    <n v="1"/>
    <s v="W"/>
    <s v="30"/>
    <x v="2"/>
    <s v="6110028"/>
    <n v="1"/>
    <n v="2"/>
    <n v="1"/>
  </r>
  <r>
    <s v="RESI"/>
    <x v="1"/>
    <x v="5"/>
    <x v="0"/>
    <x v="0"/>
    <n v="2"/>
    <n v="2"/>
    <n v="1"/>
    <s v="W"/>
    <s v="32"/>
    <x v="7"/>
    <s v="6120004"/>
    <n v="2"/>
    <n v="2"/>
    <n v="1"/>
  </r>
  <r>
    <s v="RESI"/>
    <x v="1"/>
    <x v="5"/>
    <x v="0"/>
    <x v="0"/>
    <n v="2"/>
    <n v="2"/>
    <n v="1"/>
    <s v="W"/>
    <s v="31"/>
    <x v="3"/>
    <s v="6120005"/>
    <n v="2"/>
    <n v="2"/>
    <n v="1"/>
  </r>
  <r>
    <s v="RESI"/>
    <x v="1"/>
    <x v="5"/>
    <x v="0"/>
    <x v="3"/>
    <n v="2"/>
    <n v="2"/>
    <n v="1"/>
    <s v="W"/>
    <s v="31"/>
    <x v="3"/>
    <s v="6120005"/>
    <n v="2"/>
    <n v="2"/>
    <n v="1"/>
  </r>
  <r>
    <s v="RESI"/>
    <x v="1"/>
    <x v="5"/>
    <x v="0"/>
    <x v="0"/>
    <n v="2"/>
    <n v="2"/>
    <n v="1"/>
    <s v="W"/>
    <s v="30"/>
    <x v="2"/>
    <s v="6120008"/>
    <n v="2"/>
    <n v="2"/>
    <n v="1"/>
  </r>
  <r>
    <s v="RESI"/>
    <x v="1"/>
    <x v="5"/>
    <x v="0"/>
    <x v="0"/>
    <n v="2"/>
    <n v="2"/>
    <n v="1"/>
    <s v="W"/>
    <s v="35"/>
    <x v="4"/>
    <s v="6120015"/>
    <n v="2"/>
    <n v="2"/>
    <n v="1"/>
  </r>
  <r>
    <s v="RESI"/>
    <x v="1"/>
    <x v="5"/>
    <x v="0"/>
    <x v="3"/>
    <n v="2"/>
    <n v="2"/>
    <n v="1"/>
    <s v="W"/>
    <s v="33"/>
    <x v="9"/>
    <s v="6120040"/>
    <n v="2"/>
    <n v="6"/>
    <n v="3"/>
  </r>
  <r>
    <s v="RESI"/>
    <x v="1"/>
    <x v="5"/>
    <x v="0"/>
    <x v="0"/>
    <n v="2"/>
    <n v="2"/>
    <n v="1"/>
    <s v="W"/>
    <s v="33"/>
    <x v="9"/>
    <s v="6120040"/>
    <n v="2"/>
    <n v="10"/>
    <n v="5"/>
  </r>
  <r>
    <s v="RESI"/>
    <x v="1"/>
    <x v="5"/>
    <x v="0"/>
    <x v="0"/>
    <n v="2"/>
    <n v="2"/>
    <n v="1"/>
    <s v="W"/>
    <s v="30"/>
    <x v="2"/>
    <s v="6130002"/>
    <n v="3"/>
    <n v="2"/>
    <n v="1"/>
  </r>
  <r>
    <s v="RESI"/>
    <x v="1"/>
    <x v="5"/>
    <x v="0"/>
    <x v="0"/>
    <n v="2"/>
    <n v="2"/>
    <n v="1"/>
    <s v="W"/>
    <s v="31"/>
    <x v="3"/>
    <s v="6130005"/>
    <n v="3"/>
    <n v="6"/>
    <n v="3"/>
  </r>
  <r>
    <s v="RESI"/>
    <x v="1"/>
    <x v="5"/>
    <x v="0"/>
    <x v="0"/>
    <n v="2"/>
    <n v="2"/>
    <n v="1"/>
    <s v="W"/>
    <s v="35"/>
    <x v="4"/>
    <s v="6130015"/>
    <n v="3"/>
    <n v="2"/>
    <n v="1"/>
  </r>
  <r>
    <s v="RESI"/>
    <x v="1"/>
    <x v="5"/>
    <x v="0"/>
    <x v="0"/>
    <n v="2"/>
    <n v="2"/>
    <n v="1"/>
    <s v="W"/>
    <s v="3A"/>
    <x v="0"/>
    <s v="6130022"/>
    <n v="3"/>
    <n v="2"/>
    <n v="1"/>
  </r>
  <r>
    <s v="RESI"/>
    <x v="1"/>
    <x v="5"/>
    <x v="0"/>
    <x v="0"/>
    <n v="2"/>
    <n v="2"/>
    <n v="1"/>
    <s v="W"/>
    <s v="30"/>
    <x v="2"/>
    <s v="6130028"/>
    <n v="3"/>
    <n v="10"/>
    <n v="5"/>
  </r>
  <r>
    <s v="COMM"/>
    <x v="1"/>
    <x v="5"/>
    <x v="0"/>
    <x v="3"/>
    <n v="2"/>
    <n v="2"/>
    <n v="1"/>
    <s v="W"/>
    <s v="12"/>
    <x v="10"/>
    <s v="6170004"/>
    <n v="9"/>
    <n v="4"/>
    <n v="2"/>
  </r>
  <r>
    <s v="COMM"/>
    <x v="1"/>
    <x v="5"/>
    <x v="0"/>
    <x v="3"/>
    <n v="2"/>
    <n v="2"/>
    <n v="1"/>
    <s v="W"/>
    <s v="11"/>
    <x v="11"/>
    <s v="6170005"/>
    <n v="9"/>
    <n v="4"/>
    <n v="2"/>
  </r>
  <r>
    <s v="COMM"/>
    <x v="1"/>
    <x v="5"/>
    <x v="0"/>
    <x v="3"/>
    <n v="2"/>
    <n v="2"/>
    <n v="1"/>
    <s v="W"/>
    <s v="10"/>
    <x v="14"/>
    <s v="6170028"/>
    <n v="9"/>
    <n v="2"/>
    <n v="1"/>
  </r>
  <r>
    <s v="RESI"/>
    <x v="1"/>
    <x v="5"/>
    <x v="0"/>
    <x v="0"/>
    <n v="3"/>
    <n v="3"/>
    <n v="1"/>
    <s v="W"/>
    <s v="31"/>
    <x v="3"/>
    <s v="6110005"/>
    <n v="1"/>
    <n v="3"/>
    <n v="1"/>
  </r>
  <r>
    <s v="COMM"/>
    <x v="1"/>
    <x v="5"/>
    <x v="0"/>
    <x v="3"/>
    <n v="3"/>
    <n v="3"/>
    <n v="1"/>
    <s v="W"/>
    <s v="11"/>
    <x v="11"/>
    <s v="6170005"/>
    <n v="9"/>
    <n v="3"/>
    <n v="1"/>
  </r>
  <r>
    <s v="COMM"/>
    <x v="1"/>
    <x v="5"/>
    <x v="0"/>
    <x v="3"/>
    <n v="4"/>
    <n v="4"/>
    <n v="1"/>
    <s v="W"/>
    <s v="11"/>
    <x v="11"/>
    <s v="6170005"/>
    <n v="9"/>
    <n v="4"/>
    <n v="1"/>
  </r>
  <r>
    <s v="COMM"/>
    <x v="1"/>
    <x v="5"/>
    <x v="0"/>
    <x v="2"/>
    <n v="6"/>
    <n v="6"/>
    <n v="1"/>
    <s v="W"/>
    <s v="11"/>
    <x v="11"/>
    <s v="6170055"/>
    <n v="9"/>
    <n v="6"/>
    <n v="1"/>
  </r>
  <r>
    <s v="COMM"/>
    <x v="1"/>
    <x v="5"/>
    <x v="0"/>
    <x v="2"/>
    <n v="8"/>
    <n v="8"/>
    <n v="1"/>
    <s v="W"/>
    <s v="11"/>
    <x v="11"/>
    <s v="6170055"/>
    <n v="9"/>
    <n v="16"/>
    <n v="2"/>
  </r>
  <r>
    <s v="COMM"/>
    <x v="1"/>
    <x v="5"/>
    <x v="0"/>
    <x v="2"/>
    <n v="10"/>
    <n v="10"/>
    <n v="1"/>
    <s v="W"/>
    <s v="11"/>
    <x v="11"/>
    <s v="6170055"/>
    <n v="9"/>
    <n v="10"/>
    <n v="1"/>
  </r>
  <r>
    <s v="COMM"/>
    <x v="1"/>
    <x v="5"/>
    <x v="0"/>
    <x v="2"/>
    <n v="13"/>
    <n v="13"/>
    <n v="1"/>
    <s v="W"/>
    <s v="11"/>
    <x v="11"/>
    <s v="6170055"/>
    <n v="9"/>
    <n v="13"/>
    <n v="1"/>
  </r>
  <r>
    <s v="COMM"/>
    <x v="1"/>
    <x v="5"/>
    <x v="0"/>
    <x v="2"/>
    <n v="32"/>
    <n v="32"/>
    <n v="1"/>
    <s v="W"/>
    <s v="11"/>
    <x v="11"/>
    <s v="6170055"/>
    <n v="9"/>
    <n v="32"/>
    <n v="1"/>
  </r>
  <r>
    <s v="COMM"/>
    <x v="1"/>
    <x v="5"/>
    <x v="0"/>
    <x v="2"/>
    <n v="46"/>
    <n v="46"/>
    <n v="1"/>
    <s v="W"/>
    <s v="11"/>
    <x v="11"/>
    <s v="6170055"/>
    <n v="9"/>
    <n v="46"/>
    <n v="1"/>
  </r>
  <r>
    <s v="RESI"/>
    <x v="1"/>
    <x v="6"/>
    <x v="0"/>
    <x v="0"/>
    <n v="1"/>
    <n v="1"/>
    <n v="1"/>
    <s v="W"/>
    <s v="31"/>
    <x v="3"/>
    <s v="6110005"/>
    <n v="1"/>
    <n v="1"/>
    <n v="1"/>
  </r>
  <r>
    <s v="RESI"/>
    <x v="1"/>
    <x v="6"/>
    <x v="0"/>
    <x v="0"/>
    <n v="1"/>
    <n v="1"/>
    <n v="1"/>
    <s v="W"/>
    <s v="31"/>
    <x v="3"/>
    <s v="6120005"/>
    <n v="2"/>
    <n v="1"/>
    <n v="1"/>
  </r>
  <r>
    <s v="COMM"/>
    <x v="1"/>
    <x v="6"/>
    <x v="0"/>
    <x v="3"/>
    <n v="1"/>
    <n v="1"/>
    <n v="1"/>
    <s v="W"/>
    <s v="11"/>
    <x v="11"/>
    <s v="6170005"/>
    <n v="9"/>
    <n v="2"/>
    <n v="2"/>
  </r>
  <r>
    <s v="IND"/>
    <x v="1"/>
    <x v="7"/>
    <x v="0"/>
    <x v="3"/>
    <n v="1"/>
    <n v="1"/>
    <n v="1"/>
    <s v="W"/>
    <s v="15"/>
    <x v="12"/>
    <m/>
    <n v="0"/>
    <n v="1"/>
    <n v="1"/>
  </r>
  <r>
    <s v="RESI"/>
    <x v="1"/>
    <x v="7"/>
    <x v="0"/>
    <x v="0"/>
    <n v="1"/>
    <n v="1"/>
    <n v="1"/>
    <s v="W"/>
    <s v="3B"/>
    <x v="2"/>
    <s v="6080001"/>
    <n v="1"/>
    <n v="27"/>
    <n v="27"/>
  </r>
  <r>
    <s v="RESI"/>
    <x v="1"/>
    <x v="7"/>
    <x v="0"/>
    <x v="0"/>
    <n v="1"/>
    <n v="1"/>
    <n v="1"/>
    <s v="W"/>
    <s v="3C"/>
    <x v="5"/>
    <s v="6080004"/>
    <n v="1"/>
    <n v="27"/>
    <n v="27"/>
  </r>
  <r>
    <s v="RESI"/>
    <x v="1"/>
    <x v="7"/>
    <x v="0"/>
    <x v="3"/>
    <n v="1"/>
    <n v="1"/>
    <n v="1"/>
    <s v="W"/>
    <s v="3C"/>
    <x v="5"/>
    <s v="6080004"/>
    <n v="1"/>
    <n v="7"/>
    <n v="7"/>
  </r>
  <r>
    <s v="RESI"/>
    <x v="1"/>
    <x v="7"/>
    <x v="0"/>
    <x v="0"/>
    <n v="1"/>
    <n v="1"/>
    <n v="1"/>
    <s v="W"/>
    <s v="3C"/>
    <x v="5"/>
    <s v="6080004"/>
    <n v="3"/>
    <n v="50"/>
    <n v="50"/>
  </r>
  <r>
    <s v="COMM"/>
    <x v="1"/>
    <x v="7"/>
    <x v="0"/>
    <x v="3"/>
    <n v="1"/>
    <n v="1"/>
    <n v="1"/>
    <s v="W"/>
    <s v="1C"/>
    <x v="6"/>
    <s v="6080004"/>
    <n v="4"/>
    <n v="24"/>
    <n v="24"/>
  </r>
  <r>
    <s v="COMM"/>
    <x v="1"/>
    <x v="7"/>
    <x v="0"/>
    <x v="4"/>
    <n v="1"/>
    <n v="1"/>
    <n v="1"/>
    <s v="W"/>
    <s v="1C"/>
    <x v="6"/>
    <s v="6080004"/>
    <n v="4"/>
    <n v="1"/>
    <n v="1"/>
  </r>
  <r>
    <s v="RESI"/>
    <x v="1"/>
    <x v="7"/>
    <x v="0"/>
    <x v="0"/>
    <n v="1"/>
    <n v="1"/>
    <n v="1"/>
    <s v="W"/>
    <s v="3B"/>
    <x v="2"/>
    <s v="6080020"/>
    <n v="2"/>
    <n v="29"/>
    <n v="29"/>
  </r>
  <r>
    <s v="COMM"/>
    <x v="1"/>
    <x v="7"/>
    <x v="0"/>
    <x v="3"/>
    <n v="1"/>
    <n v="1"/>
    <n v="1"/>
    <s v="W"/>
    <s v="1B"/>
    <x v="14"/>
    <s v="6080040"/>
    <n v="4"/>
    <n v="2"/>
    <n v="2"/>
  </r>
  <r>
    <s v="RESI"/>
    <x v="1"/>
    <x v="7"/>
    <x v="0"/>
    <x v="0"/>
    <n v="1"/>
    <n v="1"/>
    <n v="1"/>
    <s v="W"/>
    <s v="3B"/>
    <x v="2"/>
    <s v="6080050"/>
    <n v="5"/>
    <n v="29"/>
    <n v="29"/>
  </r>
  <r>
    <s v="RESI"/>
    <x v="1"/>
    <x v="7"/>
    <x v="0"/>
    <x v="0"/>
    <n v="1"/>
    <n v="1"/>
    <n v="1"/>
    <s v="W"/>
    <s v="30"/>
    <x v="2"/>
    <s v="6110002"/>
    <n v="1"/>
    <n v="12"/>
    <n v="12"/>
  </r>
  <r>
    <s v="RESI"/>
    <x v="1"/>
    <x v="7"/>
    <x v="0"/>
    <x v="3"/>
    <n v="1"/>
    <n v="1"/>
    <n v="1"/>
    <s v="W"/>
    <s v="30"/>
    <x v="2"/>
    <s v="6110002"/>
    <n v="1"/>
    <n v="4"/>
    <n v="4"/>
  </r>
  <r>
    <s v="RESI"/>
    <x v="1"/>
    <x v="7"/>
    <x v="0"/>
    <x v="0"/>
    <n v="1"/>
    <n v="1"/>
    <n v="1"/>
    <s v="W"/>
    <s v="30"/>
    <x v="2"/>
    <s v="6110003"/>
    <n v="1"/>
    <n v="9"/>
    <n v="9"/>
  </r>
  <r>
    <s v="RESI"/>
    <x v="1"/>
    <x v="7"/>
    <x v="0"/>
    <x v="0"/>
    <n v="1"/>
    <n v="1"/>
    <n v="1"/>
    <s v="W"/>
    <s v="32"/>
    <x v="7"/>
    <s v="6110004"/>
    <n v="1"/>
    <n v="46"/>
    <n v="46"/>
  </r>
  <r>
    <s v="RESI"/>
    <x v="1"/>
    <x v="7"/>
    <x v="0"/>
    <x v="3"/>
    <n v="1"/>
    <n v="1"/>
    <n v="1"/>
    <s v="W"/>
    <s v="32"/>
    <x v="7"/>
    <s v="6110004"/>
    <n v="1"/>
    <n v="28"/>
    <n v="28"/>
  </r>
  <r>
    <s v="RESI"/>
    <x v="1"/>
    <x v="7"/>
    <x v="0"/>
    <x v="3"/>
    <n v="1"/>
    <n v="1"/>
    <n v="1"/>
    <s v="W"/>
    <s v="31"/>
    <x v="3"/>
    <s v="6110005"/>
    <n v="1"/>
    <n v="164"/>
    <n v="164"/>
  </r>
  <r>
    <s v="RESI"/>
    <x v="1"/>
    <x v="7"/>
    <x v="0"/>
    <x v="0"/>
    <n v="1"/>
    <n v="1"/>
    <n v="1"/>
    <s v="W"/>
    <s v="31"/>
    <x v="3"/>
    <s v="6110005"/>
    <n v="1"/>
    <n v="646"/>
    <n v="646"/>
  </r>
  <r>
    <s v="RESI"/>
    <x v="1"/>
    <x v="7"/>
    <x v="0"/>
    <x v="0"/>
    <n v="1"/>
    <n v="1"/>
    <n v="1"/>
    <s v="W"/>
    <s v="36"/>
    <x v="8"/>
    <s v="6110006"/>
    <n v="1"/>
    <n v="45"/>
    <n v="45"/>
  </r>
  <r>
    <s v="RESI"/>
    <x v="1"/>
    <x v="7"/>
    <x v="0"/>
    <x v="3"/>
    <n v="1"/>
    <n v="1"/>
    <n v="1"/>
    <s v="W"/>
    <s v="36"/>
    <x v="8"/>
    <s v="6110006"/>
    <n v="1"/>
    <n v="30"/>
    <n v="30"/>
  </r>
  <r>
    <s v="RESI"/>
    <x v="1"/>
    <x v="7"/>
    <x v="0"/>
    <x v="0"/>
    <n v="1"/>
    <n v="1"/>
    <n v="1"/>
    <s v="W"/>
    <s v="30"/>
    <x v="2"/>
    <s v="6110008"/>
    <n v="1"/>
    <n v="71"/>
    <n v="71"/>
  </r>
  <r>
    <s v="RESI"/>
    <x v="1"/>
    <x v="7"/>
    <x v="0"/>
    <x v="3"/>
    <n v="1"/>
    <n v="1"/>
    <n v="1"/>
    <s v="W"/>
    <s v="30"/>
    <x v="2"/>
    <s v="6110008"/>
    <n v="1"/>
    <n v="27"/>
    <n v="27"/>
  </r>
  <r>
    <s v="RESI"/>
    <x v="1"/>
    <x v="7"/>
    <x v="0"/>
    <x v="0"/>
    <n v="1"/>
    <n v="1"/>
    <n v="1"/>
    <s v="W"/>
    <s v="30"/>
    <x v="2"/>
    <s v="6110009"/>
    <n v="1"/>
    <n v="32"/>
    <n v="32"/>
  </r>
  <r>
    <s v="RESI"/>
    <x v="1"/>
    <x v="7"/>
    <x v="0"/>
    <x v="3"/>
    <n v="1"/>
    <n v="1"/>
    <n v="1"/>
    <s v="W"/>
    <s v="30"/>
    <x v="2"/>
    <s v="6110009"/>
    <n v="1"/>
    <n v="6"/>
    <n v="6"/>
  </r>
  <r>
    <s v="RESI"/>
    <x v="1"/>
    <x v="7"/>
    <x v="0"/>
    <x v="0"/>
    <n v="1"/>
    <n v="1"/>
    <n v="1"/>
    <s v="W"/>
    <s v="35"/>
    <x v="4"/>
    <s v="6110015"/>
    <n v="1"/>
    <n v="162"/>
    <n v="162"/>
  </r>
  <r>
    <s v="RESI"/>
    <x v="1"/>
    <x v="7"/>
    <x v="0"/>
    <x v="0"/>
    <n v="1"/>
    <n v="1"/>
    <n v="1"/>
    <s v="W"/>
    <s v="30"/>
    <x v="2"/>
    <s v="6110028"/>
    <n v="1"/>
    <n v="116"/>
    <n v="116"/>
  </r>
  <r>
    <s v="RESI"/>
    <x v="1"/>
    <x v="7"/>
    <x v="0"/>
    <x v="3"/>
    <n v="1"/>
    <n v="1"/>
    <n v="1"/>
    <s v="W"/>
    <s v="30"/>
    <x v="2"/>
    <s v="6110028"/>
    <n v="1"/>
    <n v="58"/>
    <n v="58"/>
  </r>
  <r>
    <s v="RESI"/>
    <x v="1"/>
    <x v="7"/>
    <x v="0"/>
    <x v="0"/>
    <n v="1"/>
    <n v="1"/>
    <n v="1"/>
    <s v="W"/>
    <s v="30"/>
    <x v="2"/>
    <s v="6120002"/>
    <n v="2"/>
    <n v="15"/>
    <n v="15"/>
  </r>
  <r>
    <s v="RESI"/>
    <x v="1"/>
    <x v="7"/>
    <x v="0"/>
    <x v="3"/>
    <n v="1"/>
    <n v="1"/>
    <n v="1"/>
    <s v="W"/>
    <s v="30"/>
    <x v="2"/>
    <s v="6120002"/>
    <n v="2"/>
    <n v="7"/>
    <n v="7"/>
  </r>
  <r>
    <s v="RESI"/>
    <x v="1"/>
    <x v="7"/>
    <x v="0"/>
    <x v="3"/>
    <n v="1"/>
    <n v="1"/>
    <n v="1"/>
    <s v="W"/>
    <s v="30"/>
    <x v="2"/>
    <s v="6120003"/>
    <n v="2"/>
    <n v="2"/>
    <n v="2"/>
  </r>
  <r>
    <s v="RESI"/>
    <x v="1"/>
    <x v="7"/>
    <x v="0"/>
    <x v="0"/>
    <n v="1"/>
    <n v="1"/>
    <n v="1"/>
    <s v="W"/>
    <s v="30"/>
    <x v="2"/>
    <s v="6120003"/>
    <n v="2"/>
    <n v="5"/>
    <n v="5"/>
  </r>
  <r>
    <s v="RESI"/>
    <x v="1"/>
    <x v="7"/>
    <x v="0"/>
    <x v="0"/>
    <n v="1"/>
    <n v="1"/>
    <n v="1"/>
    <s v="W"/>
    <s v="32"/>
    <x v="7"/>
    <s v="6120004"/>
    <n v="2"/>
    <n v="54"/>
    <n v="54"/>
  </r>
  <r>
    <s v="RESI"/>
    <x v="1"/>
    <x v="7"/>
    <x v="0"/>
    <x v="3"/>
    <n v="1"/>
    <n v="1"/>
    <n v="1"/>
    <s v="W"/>
    <s v="32"/>
    <x v="7"/>
    <s v="6120004"/>
    <n v="2"/>
    <n v="25"/>
    <n v="25"/>
  </r>
  <r>
    <s v="RESI"/>
    <x v="1"/>
    <x v="7"/>
    <x v="0"/>
    <x v="0"/>
    <n v="1"/>
    <n v="1"/>
    <n v="1"/>
    <s v="W"/>
    <s v="31"/>
    <x v="3"/>
    <s v="6120005"/>
    <n v="2"/>
    <n v="655"/>
    <n v="655"/>
  </r>
  <r>
    <s v="RESI"/>
    <x v="1"/>
    <x v="7"/>
    <x v="0"/>
    <x v="3"/>
    <n v="1"/>
    <n v="1"/>
    <n v="1"/>
    <s v="W"/>
    <s v="31"/>
    <x v="3"/>
    <s v="6120005"/>
    <n v="2"/>
    <n v="130"/>
    <n v="130"/>
  </r>
  <r>
    <s v="RESI"/>
    <x v="1"/>
    <x v="7"/>
    <x v="0"/>
    <x v="3"/>
    <n v="1"/>
    <n v="1"/>
    <n v="1"/>
    <s v="W"/>
    <s v="36"/>
    <x v="8"/>
    <s v="6120006"/>
    <n v="2"/>
    <n v="36"/>
    <n v="36"/>
  </r>
  <r>
    <s v="RESI"/>
    <x v="1"/>
    <x v="7"/>
    <x v="0"/>
    <x v="0"/>
    <n v="1"/>
    <n v="1"/>
    <n v="1"/>
    <s v="W"/>
    <s v="36"/>
    <x v="8"/>
    <s v="6120006"/>
    <n v="2"/>
    <n v="60"/>
    <n v="60"/>
  </r>
  <r>
    <s v="RESI"/>
    <x v="1"/>
    <x v="7"/>
    <x v="0"/>
    <x v="0"/>
    <n v="1"/>
    <n v="1"/>
    <n v="1"/>
    <s v="W"/>
    <s v="30"/>
    <x v="2"/>
    <s v="6120008"/>
    <n v="2"/>
    <n v="61"/>
    <n v="61"/>
  </r>
  <r>
    <s v="RESI"/>
    <x v="1"/>
    <x v="7"/>
    <x v="0"/>
    <x v="3"/>
    <n v="1"/>
    <n v="1"/>
    <n v="1"/>
    <s v="W"/>
    <s v="30"/>
    <x v="2"/>
    <s v="6120008"/>
    <n v="2"/>
    <n v="34"/>
    <n v="34"/>
  </r>
  <r>
    <s v="RESI"/>
    <x v="1"/>
    <x v="7"/>
    <x v="0"/>
    <x v="0"/>
    <n v="1"/>
    <n v="1"/>
    <n v="1"/>
    <s v="W"/>
    <s v="30"/>
    <x v="2"/>
    <s v="6120009"/>
    <n v="2"/>
    <n v="24"/>
    <n v="24"/>
  </r>
  <r>
    <s v="RESI"/>
    <x v="1"/>
    <x v="7"/>
    <x v="0"/>
    <x v="3"/>
    <n v="1"/>
    <n v="1"/>
    <n v="1"/>
    <s v="W"/>
    <s v="30"/>
    <x v="2"/>
    <s v="6120009"/>
    <n v="2"/>
    <n v="7"/>
    <n v="7"/>
  </r>
  <r>
    <s v="RESI"/>
    <x v="1"/>
    <x v="7"/>
    <x v="0"/>
    <x v="0"/>
    <n v="1"/>
    <n v="1"/>
    <n v="1"/>
    <s v="W"/>
    <s v="35"/>
    <x v="4"/>
    <s v="6120015"/>
    <n v="2"/>
    <n v="190"/>
    <n v="190"/>
  </r>
  <r>
    <s v="RESI"/>
    <x v="1"/>
    <x v="7"/>
    <x v="0"/>
    <x v="3"/>
    <n v="1"/>
    <n v="1"/>
    <n v="1"/>
    <s v="W"/>
    <s v="30"/>
    <x v="2"/>
    <s v="6120028"/>
    <n v="2"/>
    <n v="49"/>
    <n v="49"/>
  </r>
  <r>
    <s v="RESI"/>
    <x v="1"/>
    <x v="7"/>
    <x v="0"/>
    <x v="0"/>
    <n v="1"/>
    <n v="1"/>
    <n v="1"/>
    <s v="W"/>
    <s v="30"/>
    <x v="2"/>
    <s v="6120028"/>
    <n v="2"/>
    <n v="111"/>
    <n v="111"/>
  </r>
  <r>
    <s v="RESI"/>
    <x v="1"/>
    <x v="7"/>
    <x v="0"/>
    <x v="3"/>
    <n v="1"/>
    <n v="1"/>
    <n v="1"/>
    <s v="W"/>
    <s v="33"/>
    <x v="9"/>
    <s v="6120040"/>
    <n v="2"/>
    <n v="263"/>
    <n v="263"/>
  </r>
  <r>
    <s v="RESI"/>
    <x v="1"/>
    <x v="7"/>
    <x v="0"/>
    <x v="0"/>
    <n v="1"/>
    <n v="1"/>
    <n v="1"/>
    <s v="W"/>
    <s v="33"/>
    <x v="9"/>
    <s v="6120040"/>
    <n v="2"/>
    <n v="637"/>
    <n v="637"/>
  </r>
  <r>
    <s v="RESI"/>
    <x v="1"/>
    <x v="7"/>
    <x v="0"/>
    <x v="3"/>
    <n v="1"/>
    <n v="1"/>
    <n v="1"/>
    <s v="W"/>
    <s v="30"/>
    <x v="2"/>
    <s v="6130002"/>
    <n v="3"/>
    <n v="5"/>
    <n v="5"/>
  </r>
  <r>
    <s v="RESI"/>
    <x v="1"/>
    <x v="7"/>
    <x v="0"/>
    <x v="0"/>
    <n v="1"/>
    <n v="1"/>
    <n v="1"/>
    <s v="W"/>
    <s v="30"/>
    <x v="2"/>
    <s v="6130002"/>
    <n v="3"/>
    <n v="15"/>
    <n v="15"/>
  </r>
  <r>
    <s v="RESI"/>
    <x v="1"/>
    <x v="7"/>
    <x v="0"/>
    <x v="0"/>
    <n v="1"/>
    <n v="1"/>
    <n v="1"/>
    <s v="W"/>
    <s v="30"/>
    <x v="2"/>
    <s v="6130003"/>
    <n v="3"/>
    <n v="1"/>
    <n v="1"/>
  </r>
  <r>
    <s v="RESI"/>
    <x v="1"/>
    <x v="7"/>
    <x v="0"/>
    <x v="0"/>
    <n v="1"/>
    <n v="1"/>
    <n v="1"/>
    <s v="W"/>
    <s v="32"/>
    <x v="7"/>
    <s v="6130004"/>
    <n v="3"/>
    <n v="51"/>
    <n v="51"/>
  </r>
  <r>
    <s v="RESI"/>
    <x v="1"/>
    <x v="7"/>
    <x v="0"/>
    <x v="3"/>
    <n v="1"/>
    <n v="1"/>
    <n v="1"/>
    <s v="W"/>
    <s v="32"/>
    <x v="7"/>
    <s v="6130004"/>
    <n v="3"/>
    <n v="35"/>
    <n v="35"/>
  </r>
  <r>
    <s v="RESI"/>
    <x v="1"/>
    <x v="7"/>
    <x v="0"/>
    <x v="3"/>
    <n v="1"/>
    <n v="1"/>
    <n v="1"/>
    <s v="W"/>
    <s v="31"/>
    <x v="3"/>
    <s v="6130005"/>
    <n v="3"/>
    <n v="140"/>
    <n v="140"/>
  </r>
  <r>
    <s v="RESI"/>
    <x v="1"/>
    <x v="7"/>
    <x v="0"/>
    <x v="0"/>
    <n v="1"/>
    <n v="1"/>
    <n v="1"/>
    <s v="W"/>
    <s v="31"/>
    <x v="3"/>
    <s v="6130005"/>
    <n v="3"/>
    <n v="651"/>
    <n v="651"/>
  </r>
  <r>
    <s v="RESI"/>
    <x v="1"/>
    <x v="7"/>
    <x v="0"/>
    <x v="0"/>
    <n v="1"/>
    <n v="1"/>
    <n v="1"/>
    <s v="W"/>
    <s v="36"/>
    <x v="8"/>
    <s v="6130006"/>
    <n v="3"/>
    <n v="54"/>
    <n v="54"/>
  </r>
  <r>
    <s v="RESI"/>
    <x v="1"/>
    <x v="7"/>
    <x v="0"/>
    <x v="3"/>
    <n v="1"/>
    <n v="1"/>
    <n v="1"/>
    <s v="W"/>
    <s v="36"/>
    <x v="8"/>
    <s v="6130006"/>
    <n v="3"/>
    <n v="23"/>
    <n v="23"/>
  </r>
  <r>
    <s v="RESI"/>
    <x v="1"/>
    <x v="7"/>
    <x v="0"/>
    <x v="3"/>
    <n v="1"/>
    <n v="1"/>
    <n v="1"/>
    <s v="W"/>
    <s v="30"/>
    <x v="2"/>
    <s v="6130008"/>
    <n v="3"/>
    <n v="19"/>
    <n v="19"/>
  </r>
  <r>
    <s v="RESI"/>
    <x v="1"/>
    <x v="7"/>
    <x v="0"/>
    <x v="0"/>
    <n v="1"/>
    <n v="1"/>
    <n v="1"/>
    <s v="W"/>
    <s v="30"/>
    <x v="2"/>
    <s v="6130008"/>
    <n v="3"/>
    <n v="79"/>
    <n v="79"/>
  </r>
  <r>
    <s v="RESI"/>
    <x v="1"/>
    <x v="7"/>
    <x v="0"/>
    <x v="0"/>
    <n v="1"/>
    <n v="1"/>
    <n v="1"/>
    <s v="W"/>
    <s v="30"/>
    <x v="2"/>
    <s v="6130009"/>
    <n v="3"/>
    <n v="23"/>
    <n v="23"/>
  </r>
  <r>
    <s v="RESI"/>
    <x v="1"/>
    <x v="7"/>
    <x v="0"/>
    <x v="3"/>
    <n v="1"/>
    <n v="1"/>
    <n v="1"/>
    <s v="W"/>
    <s v="30"/>
    <x v="2"/>
    <s v="6130009"/>
    <n v="3"/>
    <n v="6"/>
    <n v="6"/>
  </r>
  <r>
    <s v="RESI"/>
    <x v="1"/>
    <x v="7"/>
    <x v="0"/>
    <x v="0"/>
    <n v="1"/>
    <n v="1"/>
    <n v="1"/>
    <s v="W"/>
    <s v="31"/>
    <x v="3"/>
    <s v="6130015"/>
    <n v="3"/>
    <n v="1"/>
    <n v="1"/>
  </r>
  <r>
    <s v="RESI"/>
    <x v="1"/>
    <x v="7"/>
    <x v="0"/>
    <x v="0"/>
    <n v="1"/>
    <n v="1"/>
    <n v="1"/>
    <s v="W"/>
    <s v="35"/>
    <x v="4"/>
    <s v="6130015"/>
    <n v="3"/>
    <n v="159"/>
    <n v="159"/>
  </r>
  <r>
    <s v="RESI"/>
    <x v="1"/>
    <x v="7"/>
    <x v="0"/>
    <x v="0"/>
    <n v="1"/>
    <n v="1"/>
    <n v="1"/>
    <s v="W"/>
    <s v="3A"/>
    <x v="0"/>
    <s v="6130022"/>
    <n v="3"/>
    <n v="50"/>
    <n v="50"/>
  </r>
  <r>
    <s v="RESI"/>
    <x v="1"/>
    <x v="7"/>
    <x v="0"/>
    <x v="0"/>
    <n v="1"/>
    <n v="1"/>
    <n v="1"/>
    <s v="W"/>
    <s v="30"/>
    <x v="2"/>
    <s v="6130028"/>
    <n v="3"/>
    <n v="148"/>
    <n v="148"/>
  </r>
  <r>
    <s v="RESI"/>
    <x v="1"/>
    <x v="7"/>
    <x v="0"/>
    <x v="3"/>
    <n v="1"/>
    <n v="1"/>
    <n v="1"/>
    <s v="W"/>
    <s v="30"/>
    <x v="2"/>
    <s v="6130028"/>
    <n v="3"/>
    <n v="97"/>
    <n v="97"/>
  </r>
  <r>
    <s v="COMM"/>
    <x v="1"/>
    <x v="7"/>
    <x v="0"/>
    <x v="3"/>
    <n v="1"/>
    <n v="1"/>
    <n v="1"/>
    <s v="W"/>
    <s v="10"/>
    <x v="14"/>
    <s v="6170003"/>
    <n v="9"/>
    <n v="2"/>
    <n v="2"/>
  </r>
  <r>
    <s v="COMM"/>
    <x v="1"/>
    <x v="7"/>
    <x v="0"/>
    <x v="3"/>
    <n v="1"/>
    <n v="1"/>
    <n v="1"/>
    <s v="W"/>
    <s v="12"/>
    <x v="10"/>
    <s v="6170004"/>
    <n v="9"/>
    <n v="10"/>
    <n v="10"/>
  </r>
  <r>
    <s v="COMM"/>
    <x v="1"/>
    <x v="7"/>
    <x v="0"/>
    <x v="3"/>
    <n v="1"/>
    <n v="1"/>
    <n v="1"/>
    <s v="W"/>
    <s v="11"/>
    <x v="11"/>
    <s v="6170005"/>
    <n v="9"/>
    <n v="126"/>
    <n v="126"/>
  </r>
  <r>
    <s v="COMM"/>
    <x v="1"/>
    <x v="7"/>
    <x v="0"/>
    <x v="3"/>
    <n v="1"/>
    <n v="1"/>
    <n v="1"/>
    <s v="W"/>
    <s v="10"/>
    <x v="14"/>
    <s v="6170008"/>
    <n v="9"/>
    <n v="1"/>
    <n v="1"/>
  </r>
  <r>
    <s v="COMM"/>
    <x v="1"/>
    <x v="7"/>
    <x v="0"/>
    <x v="3"/>
    <n v="1"/>
    <n v="1"/>
    <n v="1"/>
    <s v="W"/>
    <s v="15"/>
    <x v="12"/>
    <s v="6170015"/>
    <n v="9"/>
    <n v="1"/>
    <n v="1"/>
  </r>
  <r>
    <s v="COMM"/>
    <x v="1"/>
    <x v="7"/>
    <x v="0"/>
    <x v="3"/>
    <n v="1"/>
    <n v="1"/>
    <n v="1"/>
    <s v="W"/>
    <s v="10"/>
    <x v="14"/>
    <s v="6170028"/>
    <n v="9"/>
    <n v="24"/>
    <n v="24"/>
  </r>
  <r>
    <s v="COMM"/>
    <x v="1"/>
    <x v="7"/>
    <x v="0"/>
    <x v="2"/>
    <n v="1"/>
    <n v="1"/>
    <n v="1"/>
    <s v="W"/>
    <s v="10"/>
    <x v="14"/>
    <s v="6170028"/>
    <n v="9"/>
    <n v="2"/>
    <n v="2"/>
  </r>
  <r>
    <s v="COMM"/>
    <x v="1"/>
    <x v="7"/>
    <x v="0"/>
    <x v="3"/>
    <n v="1"/>
    <n v="1"/>
    <n v="1"/>
    <s v="W"/>
    <s v="13"/>
    <x v="15"/>
    <s v="6170040"/>
    <n v="9"/>
    <n v="9"/>
    <n v="9"/>
  </r>
  <r>
    <s v="COMM"/>
    <x v="1"/>
    <x v="7"/>
    <x v="0"/>
    <x v="2"/>
    <n v="1"/>
    <n v="1"/>
    <n v="1"/>
    <s v="W"/>
    <s v="13"/>
    <x v="15"/>
    <s v="6170040"/>
    <n v="9"/>
    <n v="2"/>
    <n v="2"/>
  </r>
  <r>
    <s v="COMM"/>
    <x v="1"/>
    <x v="7"/>
    <x v="0"/>
    <x v="2"/>
    <n v="1"/>
    <n v="1"/>
    <n v="1"/>
    <s v="W"/>
    <s v="11"/>
    <x v="11"/>
    <s v="6170055"/>
    <n v="9"/>
    <n v="4"/>
    <n v="4"/>
  </r>
  <r>
    <s v="COMM"/>
    <x v="1"/>
    <x v="7"/>
    <x v="0"/>
    <x v="3"/>
    <n v="1"/>
    <n v="5"/>
    <n v="1"/>
    <s v="W"/>
    <s v="11"/>
    <x v="11"/>
    <s v="6170005"/>
    <n v="9"/>
    <n v="1"/>
    <n v="1"/>
  </r>
  <r>
    <s v="COMM"/>
    <x v="1"/>
    <x v="7"/>
    <x v="0"/>
    <x v="3"/>
    <n v="2"/>
    <n v="1"/>
    <n v="1"/>
    <s v="W"/>
    <s v="11"/>
    <x v="11"/>
    <s v="6170005"/>
    <n v="9"/>
    <n v="2"/>
    <n v="1"/>
  </r>
  <r>
    <s v="RESI"/>
    <x v="1"/>
    <x v="7"/>
    <x v="0"/>
    <x v="0"/>
    <n v="2"/>
    <n v="2"/>
    <n v="1"/>
    <s v="W"/>
    <s v="3C"/>
    <x v="5"/>
    <s v="6080004"/>
    <n v="1"/>
    <n v="2"/>
    <n v="1"/>
  </r>
  <r>
    <s v="RESI"/>
    <x v="1"/>
    <x v="7"/>
    <x v="0"/>
    <x v="0"/>
    <n v="2"/>
    <n v="2"/>
    <n v="1"/>
    <s v="W"/>
    <s v="3C"/>
    <x v="5"/>
    <s v="6080004"/>
    <n v="3"/>
    <n v="2"/>
    <n v="1"/>
  </r>
  <r>
    <s v="COMM"/>
    <x v="1"/>
    <x v="7"/>
    <x v="0"/>
    <x v="3"/>
    <n v="2"/>
    <n v="2"/>
    <n v="1"/>
    <s v="W"/>
    <s v="1C"/>
    <x v="6"/>
    <s v="6080004"/>
    <n v="4"/>
    <n v="10"/>
    <n v="5"/>
  </r>
  <r>
    <s v="RESI"/>
    <x v="1"/>
    <x v="7"/>
    <x v="0"/>
    <x v="0"/>
    <n v="2"/>
    <n v="2"/>
    <n v="1"/>
    <s v="W"/>
    <s v="30"/>
    <x v="2"/>
    <s v="6110002"/>
    <n v="1"/>
    <n v="2"/>
    <n v="1"/>
  </r>
  <r>
    <s v="RESI"/>
    <x v="1"/>
    <x v="7"/>
    <x v="0"/>
    <x v="0"/>
    <n v="2"/>
    <n v="2"/>
    <n v="1"/>
    <s v="W"/>
    <s v="32"/>
    <x v="7"/>
    <s v="6110004"/>
    <n v="1"/>
    <n v="2"/>
    <n v="1"/>
  </r>
  <r>
    <s v="RESI"/>
    <x v="1"/>
    <x v="7"/>
    <x v="0"/>
    <x v="0"/>
    <n v="2"/>
    <n v="2"/>
    <n v="1"/>
    <s v="W"/>
    <s v="31"/>
    <x v="3"/>
    <s v="6110005"/>
    <n v="1"/>
    <n v="22"/>
    <n v="11"/>
  </r>
  <r>
    <s v="RESI"/>
    <x v="1"/>
    <x v="7"/>
    <x v="0"/>
    <x v="3"/>
    <n v="2"/>
    <n v="2"/>
    <n v="1"/>
    <s v="W"/>
    <s v="31"/>
    <x v="3"/>
    <s v="6110005"/>
    <n v="1"/>
    <n v="8"/>
    <n v="4"/>
  </r>
  <r>
    <s v="RESI"/>
    <x v="1"/>
    <x v="7"/>
    <x v="0"/>
    <x v="3"/>
    <n v="2"/>
    <n v="2"/>
    <n v="1"/>
    <s v="W"/>
    <s v="36"/>
    <x v="8"/>
    <s v="6110006"/>
    <n v="1"/>
    <n v="2"/>
    <n v="1"/>
  </r>
  <r>
    <s v="RESI"/>
    <x v="1"/>
    <x v="7"/>
    <x v="0"/>
    <x v="0"/>
    <n v="2"/>
    <n v="2"/>
    <n v="1"/>
    <s v="W"/>
    <s v="36"/>
    <x v="8"/>
    <s v="6110006"/>
    <n v="1"/>
    <n v="6"/>
    <n v="3"/>
  </r>
  <r>
    <s v="RESI"/>
    <x v="1"/>
    <x v="7"/>
    <x v="0"/>
    <x v="0"/>
    <n v="2"/>
    <n v="2"/>
    <n v="1"/>
    <s v="W"/>
    <s v="30"/>
    <x v="2"/>
    <s v="6110008"/>
    <n v="1"/>
    <n v="2"/>
    <n v="1"/>
  </r>
  <r>
    <s v="RESI"/>
    <x v="1"/>
    <x v="7"/>
    <x v="0"/>
    <x v="0"/>
    <n v="2"/>
    <n v="2"/>
    <n v="1"/>
    <s v="W"/>
    <s v="35"/>
    <x v="4"/>
    <s v="6110015"/>
    <n v="1"/>
    <n v="2"/>
    <n v="1"/>
  </r>
  <r>
    <s v="RESI"/>
    <x v="1"/>
    <x v="7"/>
    <x v="0"/>
    <x v="0"/>
    <n v="2"/>
    <n v="2"/>
    <n v="1"/>
    <s v="W"/>
    <s v="30"/>
    <x v="2"/>
    <s v="6110028"/>
    <n v="1"/>
    <n v="8"/>
    <n v="4"/>
  </r>
  <r>
    <s v="RESI"/>
    <x v="1"/>
    <x v="7"/>
    <x v="0"/>
    <x v="0"/>
    <n v="2"/>
    <n v="2"/>
    <n v="1"/>
    <s v="W"/>
    <s v="30"/>
    <x v="2"/>
    <s v="6120002"/>
    <n v="2"/>
    <n v="6"/>
    <n v="3"/>
  </r>
  <r>
    <s v="RESI"/>
    <x v="1"/>
    <x v="7"/>
    <x v="0"/>
    <x v="0"/>
    <n v="2"/>
    <n v="2"/>
    <n v="1"/>
    <s v="W"/>
    <s v="31"/>
    <x v="3"/>
    <s v="6120005"/>
    <n v="2"/>
    <n v="26"/>
    <n v="13"/>
  </r>
  <r>
    <s v="RESI"/>
    <x v="1"/>
    <x v="7"/>
    <x v="0"/>
    <x v="0"/>
    <n v="2"/>
    <n v="2"/>
    <n v="1"/>
    <s v="W"/>
    <s v="36"/>
    <x v="8"/>
    <s v="6120006"/>
    <n v="2"/>
    <n v="8"/>
    <n v="4"/>
  </r>
  <r>
    <s v="RESI"/>
    <x v="1"/>
    <x v="7"/>
    <x v="0"/>
    <x v="0"/>
    <n v="2"/>
    <n v="2"/>
    <n v="1"/>
    <s v="W"/>
    <s v="30"/>
    <x v="2"/>
    <s v="6120008"/>
    <n v="2"/>
    <n v="8"/>
    <n v="4"/>
  </r>
  <r>
    <s v="RESI"/>
    <x v="1"/>
    <x v="7"/>
    <x v="0"/>
    <x v="3"/>
    <n v="2"/>
    <n v="2"/>
    <n v="1"/>
    <s v="W"/>
    <s v="30"/>
    <x v="2"/>
    <s v="6120008"/>
    <n v="2"/>
    <n v="2"/>
    <n v="1"/>
  </r>
  <r>
    <s v="RESI"/>
    <x v="1"/>
    <x v="7"/>
    <x v="0"/>
    <x v="0"/>
    <n v="2"/>
    <n v="2"/>
    <n v="1"/>
    <s v="W"/>
    <s v="35"/>
    <x v="4"/>
    <s v="6120015"/>
    <n v="2"/>
    <n v="4"/>
    <n v="2"/>
  </r>
  <r>
    <s v="RESI"/>
    <x v="1"/>
    <x v="7"/>
    <x v="0"/>
    <x v="0"/>
    <n v="2"/>
    <n v="2"/>
    <n v="1"/>
    <s v="W"/>
    <s v="30"/>
    <x v="2"/>
    <s v="6120028"/>
    <n v="2"/>
    <n v="12"/>
    <n v="6"/>
  </r>
  <r>
    <s v="RESI"/>
    <x v="1"/>
    <x v="7"/>
    <x v="0"/>
    <x v="3"/>
    <n v="2"/>
    <n v="2"/>
    <n v="1"/>
    <s v="W"/>
    <s v="33"/>
    <x v="9"/>
    <s v="6120040"/>
    <n v="2"/>
    <n v="6"/>
    <n v="3"/>
  </r>
  <r>
    <s v="RESI"/>
    <x v="1"/>
    <x v="7"/>
    <x v="0"/>
    <x v="0"/>
    <n v="2"/>
    <n v="2"/>
    <n v="1"/>
    <s v="W"/>
    <s v="33"/>
    <x v="9"/>
    <s v="6120040"/>
    <n v="2"/>
    <n v="40"/>
    <n v="20"/>
  </r>
  <r>
    <s v="RESI"/>
    <x v="1"/>
    <x v="7"/>
    <x v="0"/>
    <x v="3"/>
    <n v="2"/>
    <n v="2"/>
    <n v="1"/>
    <s v="W"/>
    <s v="30"/>
    <x v="2"/>
    <s v="6130002"/>
    <n v="3"/>
    <n v="4"/>
    <n v="2"/>
  </r>
  <r>
    <s v="RESI"/>
    <x v="1"/>
    <x v="7"/>
    <x v="0"/>
    <x v="3"/>
    <n v="2"/>
    <n v="2"/>
    <n v="1"/>
    <s v="W"/>
    <s v="31"/>
    <x v="3"/>
    <s v="6130005"/>
    <n v="3"/>
    <n v="2"/>
    <n v="1"/>
  </r>
  <r>
    <s v="RESI"/>
    <x v="1"/>
    <x v="7"/>
    <x v="0"/>
    <x v="0"/>
    <n v="2"/>
    <n v="2"/>
    <n v="1"/>
    <s v="W"/>
    <s v="31"/>
    <x v="3"/>
    <s v="6130005"/>
    <n v="3"/>
    <n v="38"/>
    <n v="19"/>
  </r>
  <r>
    <s v="RESI"/>
    <x v="1"/>
    <x v="7"/>
    <x v="0"/>
    <x v="0"/>
    <n v="2"/>
    <n v="2"/>
    <n v="1"/>
    <s v="W"/>
    <s v="36"/>
    <x v="8"/>
    <s v="6130006"/>
    <n v="3"/>
    <n v="2"/>
    <n v="1"/>
  </r>
  <r>
    <s v="RESI"/>
    <x v="1"/>
    <x v="7"/>
    <x v="0"/>
    <x v="0"/>
    <n v="2"/>
    <n v="2"/>
    <n v="1"/>
    <s v="W"/>
    <s v="30"/>
    <x v="2"/>
    <s v="6130008"/>
    <n v="3"/>
    <n v="8"/>
    <n v="4"/>
  </r>
  <r>
    <s v="RESI"/>
    <x v="1"/>
    <x v="7"/>
    <x v="0"/>
    <x v="3"/>
    <n v="2"/>
    <n v="2"/>
    <n v="1"/>
    <s v="W"/>
    <s v="30"/>
    <x v="2"/>
    <s v="6130008"/>
    <n v="3"/>
    <n v="4"/>
    <n v="2"/>
  </r>
  <r>
    <s v="RESI"/>
    <x v="1"/>
    <x v="7"/>
    <x v="0"/>
    <x v="0"/>
    <n v="2"/>
    <n v="2"/>
    <n v="1"/>
    <s v="W"/>
    <s v="35"/>
    <x v="4"/>
    <s v="6130015"/>
    <n v="3"/>
    <n v="4"/>
    <n v="2"/>
  </r>
  <r>
    <s v="RESI"/>
    <x v="1"/>
    <x v="7"/>
    <x v="0"/>
    <x v="0"/>
    <n v="2"/>
    <n v="2"/>
    <n v="1"/>
    <s v="W"/>
    <s v="30"/>
    <x v="2"/>
    <s v="6130028"/>
    <n v="3"/>
    <n v="6"/>
    <n v="3"/>
  </r>
  <r>
    <s v="RESI"/>
    <x v="1"/>
    <x v="7"/>
    <x v="0"/>
    <x v="3"/>
    <n v="2"/>
    <n v="2"/>
    <n v="1"/>
    <s v="W"/>
    <s v="30"/>
    <x v="2"/>
    <s v="6130028"/>
    <n v="3"/>
    <n v="2"/>
    <n v="1"/>
  </r>
  <r>
    <s v="COMM"/>
    <x v="1"/>
    <x v="7"/>
    <x v="0"/>
    <x v="3"/>
    <n v="2"/>
    <n v="2"/>
    <n v="1"/>
    <s v="W"/>
    <s v="12"/>
    <x v="10"/>
    <s v="6170004"/>
    <n v="9"/>
    <n v="12"/>
    <n v="6"/>
  </r>
  <r>
    <s v="COMM"/>
    <x v="1"/>
    <x v="7"/>
    <x v="0"/>
    <x v="3"/>
    <n v="2"/>
    <n v="2"/>
    <n v="1"/>
    <s v="W"/>
    <s v="11"/>
    <x v="11"/>
    <s v="6170005"/>
    <n v="9"/>
    <n v="112"/>
    <n v="56"/>
  </r>
  <r>
    <s v="COMM"/>
    <x v="1"/>
    <x v="7"/>
    <x v="0"/>
    <x v="3"/>
    <n v="2"/>
    <n v="2"/>
    <n v="1"/>
    <s v="W"/>
    <s v="16"/>
    <x v="16"/>
    <s v="6170006"/>
    <n v="9"/>
    <n v="2"/>
    <n v="1"/>
  </r>
  <r>
    <s v="COMM"/>
    <x v="1"/>
    <x v="7"/>
    <x v="0"/>
    <x v="3"/>
    <n v="2"/>
    <n v="2"/>
    <n v="1"/>
    <s v="W"/>
    <s v="15"/>
    <x v="12"/>
    <s v="6170015"/>
    <n v="9"/>
    <n v="4"/>
    <n v="2"/>
  </r>
  <r>
    <s v="COMM"/>
    <x v="1"/>
    <x v="7"/>
    <x v="0"/>
    <x v="3"/>
    <n v="2"/>
    <n v="2"/>
    <n v="1"/>
    <s v="W"/>
    <s v="10"/>
    <x v="14"/>
    <s v="6170028"/>
    <n v="9"/>
    <n v="14"/>
    <n v="7"/>
  </r>
  <r>
    <s v="COMM"/>
    <x v="1"/>
    <x v="7"/>
    <x v="0"/>
    <x v="2"/>
    <n v="2"/>
    <n v="2"/>
    <n v="1"/>
    <s v="W"/>
    <s v="10"/>
    <x v="14"/>
    <s v="6170028"/>
    <n v="9"/>
    <n v="4"/>
    <n v="2"/>
  </r>
  <r>
    <s v="COMM"/>
    <x v="1"/>
    <x v="7"/>
    <x v="0"/>
    <x v="3"/>
    <n v="2"/>
    <n v="2"/>
    <n v="1"/>
    <s v="W"/>
    <s v="13"/>
    <x v="15"/>
    <s v="6170040"/>
    <n v="9"/>
    <n v="10"/>
    <n v="5"/>
  </r>
  <r>
    <s v="COMM"/>
    <x v="1"/>
    <x v="7"/>
    <x v="0"/>
    <x v="2"/>
    <n v="2"/>
    <n v="2"/>
    <n v="1"/>
    <s v="W"/>
    <s v="13"/>
    <x v="15"/>
    <s v="6170040"/>
    <n v="9"/>
    <n v="4"/>
    <n v="2"/>
  </r>
  <r>
    <s v="COMM"/>
    <x v="1"/>
    <x v="7"/>
    <x v="0"/>
    <x v="2"/>
    <n v="2"/>
    <n v="2"/>
    <n v="1"/>
    <s v="W"/>
    <s v="11"/>
    <x v="11"/>
    <s v="6170055"/>
    <n v="9"/>
    <n v="28"/>
    <n v="14"/>
  </r>
  <r>
    <s v="RESI"/>
    <x v="1"/>
    <x v="7"/>
    <x v="0"/>
    <x v="0"/>
    <n v="2"/>
    <n v="4"/>
    <n v="1"/>
    <s v="W"/>
    <s v="31"/>
    <x v="3"/>
    <s v="6130005"/>
    <n v="3"/>
    <n v="2"/>
    <n v="1"/>
  </r>
  <r>
    <s v="COMM"/>
    <x v="1"/>
    <x v="7"/>
    <x v="0"/>
    <x v="3"/>
    <n v="3"/>
    <n v="3"/>
    <n v="1"/>
    <s v="W"/>
    <s v="1C"/>
    <x v="6"/>
    <s v="6080004"/>
    <n v="4"/>
    <n v="3"/>
    <n v="1"/>
  </r>
  <r>
    <s v="RESI"/>
    <x v="1"/>
    <x v="7"/>
    <x v="0"/>
    <x v="0"/>
    <n v="3"/>
    <n v="3"/>
    <n v="1"/>
    <s v="W"/>
    <s v="31"/>
    <x v="3"/>
    <s v="6110005"/>
    <n v="1"/>
    <n v="3"/>
    <n v="1"/>
  </r>
  <r>
    <s v="RESI"/>
    <x v="1"/>
    <x v="7"/>
    <x v="0"/>
    <x v="3"/>
    <n v="3"/>
    <n v="3"/>
    <n v="1"/>
    <s v="W"/>
    <s v="30"/>
    <x v="2"/>
    <s v="6110008"/>
    <n v="1"/>
    <n v="3"/>
    <n v="1"/>
  </r>
  <r>
    <s v="RESI"/>
    <x v="1"/>
    <x v="7"/>
    <x v="0"/>
    <x v="3"/>
    <n v="3"/>
    <n v="3"/>
    <n v="1"/>
    <s v="W"/>
    <s v="30"/>
    <x v="2"/>
    <s v="6120002"/>
    <n v="2"/>
    <n v="3"/>
    <n v="1"/>
  </r>
  <r>
    <s v="RESI"/>
    <x v="1"/>
    <x v="7"/>
    <x v="0"/>
    <x v="3"/>
    <n v="3"/>
    <n v="3"/>
    <n v="1"/>
    <s v="W"/>
    <s v="30"/>
    <x v="2"/>
    <s v="6120028"/>
    <n v="2"/>
    <n v="3"/>
    <n v="1"/>
  </r>
  <r>
    <s v="RESI"/>
    <x v="1"/>
    <x v="7"/>
    <x v="0"/>
    <x v="0"/>
    <n v="3"/>
    <n v="3"/>
    <n v="1"/>
    <s v="W"/>
    <s v="33"/>
    <x v="9"/>
    <s v="6120040"/>
    <n v="2"/>
    <n v="6"/>
    <n v="2"/>
  </r>
  <r>
    <s v="RESI"/>
    <x v="1"/>
    <x v="7"/>
    <x v="0"/>
    <x v="0"/>
    <n v="3"/>
    <n v="3"/>
    <n v="1"/>
    <s v="W"/>
    <s v="30"/>
    <x v="2"/>
    <s v="6130002"/>
    <n v="3"/>
    <n v="3"/>
    <n v="1"/>
  </r>
  <r>
    <s v="RESI"/>
    <x v="1"/>
    <x v="7"/>
    <x v="0"/>
    <x v="0"/>
    <n v="3"/>
    <n v="3"/>
    <n v="1"/>
    <s v="W"/>
    <s v="31"/>
    <x v="3"/>
    <s v="6130005"/>
    <n v="3"/>
    <n v="3"/>
    <n v="1"/>
  </r>
  <r>
    <s v="RESI"/>
    <x v="1"/>
    <x v="7"/>
    <x v="0"/>
    <x v="0"/>
    <n v="3"/>
    <n v="3"/>
    <n v="1"/>
    <s v="W"/>
    <s v="30"/>
    <x v="2"/>
    <s v="6130008"/>
    <n v="3"/>
    <n v="3"/>
    <n v="1"/>
  </r>
  <r>
    <s v="RESI"/>
    <x v="1"/>
    <x v="7"/>
    <x v="0"/>
    <x v="0"/>
    <n v="3"/>
    <n v="3"/>
    <n v="1"/>
    <s v="W"/>
    <s v="30"/>
    <x v="2"/>
    <s v="6130028"/>
    <n v="3"/>
    <n v="3"/>
    <n v="1"/>
  </r>
  <r>
    <s v="COMM"/>
    <x v="1"/>
    <x v="7"/>
    <x v="0"/>
    <x v="3"/>
    <n v="3"/>
    <n v="3"/>
    <n v="1"/>
    <s v="W"/>
    <s v="12"/>
    <x v="10"/>
    <s v="6170004"/>
    <n v="9"/>
    <n v="3"/>
    <n v="1"/>
  </r>
  <r>
    <s v="COMM"/>
    <x v="1"/>
    <x v="7"/>
    <x v="0"/>
    <x v="3"/>
    <n v="3"/>
    <n v="3"/>
    <n v="1"/>
    <s v="W"/>
    <s v="11"/>
    <x v="11"/>
    <s v="6170005"/>
    <n v="9"/>
    <n v="51"/>
    <n v="17"/>
  </r>
  <r>
    <s v="COMM"/>
    <x v="1"/>
    <x v="7"/>
    <x v="0"/>
    <x v="3"/>
    <n v="3"/>
    <n v="3"/>
    <n v="1"/>
    <s v="W"/>
    <s v="16"/>
    <x v="16"/>
    <s v="6170006"/>
    <n v="9"/>
    <n v="3"/>
    <n v="1"/>
  </r>
  <r>
    <s v="COMM"/>
    <x v="1"/>
    <x v="7"/>
    <x v="0"/>
    <x v="3"/>
    <n v="3"/>
    <n v="3"/>
    <n v="1"/>
    <s v="W"/>
    <s v="10"/>
    <x v="14"/>
    <s v="6170008"/>
    <n v="9"/>
    <n v="3"/>
    <n v="1"/>
  </r>
  <r>
    <s v="COMM"/>
    <x v="1"/>
    <x v="7"/>
    <x v="0"/>
    <x v="3"/>
    <n v="3"/>
    <n v="3"/>
    <n v="1"/>
    <s v="W"/>
    <s v="10"/>
    <x v="14"/>
    <s v="6170028"/>
    <n v="9"/>
    <n v="6"/>
    <n v="2"/>
  </r>
  <r>
    <s v="COMM"/>
    <x v="1"/>
    <x v="7"/>
    <x v="0"/>
    <x v="2"/>
    <n v="3"/>
    <n v="3"/>
    <n v="1"/>
    <s v="W"/>
    <s v="10"/>
    <x v="14"/>
    <s v="6170028"/>
    <n v="9"/>
    <n v="3"/>
    <n v="1"/>
  </r>
  <r>
    <s v="COMM"/>
    <x v="1"/>
    <x v="7"/>
    <x v="0"/>
    <x v="2"/>
    <n v="3"/>
    <n v="3"/>
    <n v="1"/>
    <s v="W"/>
    <s v="13"/>
    <x v="15"/>
    <s v="6170040"/>
    <n v="9"/>
    <n v="6"/>
    <n v="2"/>
  </r>
  <r>
    <s v="COMM"/>
    <x v="1"/>
    <x v="7"/>
    <x v="0"/>
    <x v="2"/>
    <n v="3"/>
    <n v="3"/>
    <n v="1"/>
    <s v="W"/>
    <s v="11"/>
    <x v="11"/>
    <s v="6170055"/>
    <n v="9"/>
    <n v="24"/>
    <n v="8"/>
  </r>
  <r>
    <s v="COMM"/>
    <x v="1"/>
    <x v="7"/>
    <x v="0"/>
    <x v="2"/>
    <n v="3"/>
    <n v="4"/>
    <n v="1"/>
    <s v="W"/>
    <s v="11"/>
    <x v="11"/>
    <s v="6170055"/>
    <n v="9"/>
    <n v="3"/>
    <n v="1"/>
  </r>
  <r>
    <s v="COMM"/>
    <x v="1"/>
    <x v="7"/>
    <x v="0"/>
    <x v="3"/>
    <n v="3"/>
    <n v="6"/>
    <n v="1"/>
    <s v="W"/>
    <s v="11"/>
    <x v="11"/>
    <s v="6170005"/>
    <n v="9"/>
    <n v="3"/>
    <n v="1"/>
  </r>
  <r>
    <s v="COMM"/>
    <x v="1"/>
    <x v="7"/>
    <x v="0"/>
    <x v="2"/>
    <n v="3"/>
    <n v="6"/>
    <n v="1"/>
    <s v="W"/>
    <s v="11"/>
    <x v="11"/>
    <s v="6170055"/>
    <n v="9"/>
    <n v="3"/>
    <n v="1"/>
  </r>
  <r>
    <s v="COMM"/>
    <x v="1"/>
    <x v="7"/>
    <x v="0"/>
    <x v="3"/>
    <n v="4"/>
    <n v="4"/>
    <n v="1"/>
    <s v="W"/>
    <s v="1C"/>
    <x v="6"/>
    <s v="6080004"/>
    <n v="4"/>
    <n v="4"/>
    <n v="1"/>
  </r>
  <r>
    <s v="RESI"/>
    <x v="1"/>
    <x v="7"/>
    <x v="0"/>
    <x v="0"/>
    <n v="4"/>
    <n v="4"/>
    <n v="1"/>
    <s v="W"/>
    <s v="30"/>
    <x v="2"/>
    <s v="6110002"/>
    <n v="1"/>
    <n v="4"/>
    <n v="1"/>
  </r>
  <r>
    <s v="COMM"/>
    <x v="1"/>
    <x v="7"/>
    <x v="0"/>
    <x v="2"/>
    <n v="4"/>
    <n v="4"/>
    <n v="1"/>
    <s v="W"/>
    <s v="10"/>
    <x v="14"/>
    <s v="6170028"/>
    <n v="9"/>
    <n v="4"/>
    <n v="1"/>
  </r>
  <r>
    <s v="COMM"/>
    <x v="1"/>
    <x v="7"/>
    <x v="0"/>
    <x v="2"/>
    <n v="4"/>
    <n v="4"/>
    <n v="1"/>
    <s v="W"/>
    <s v="13"/>
    <x v="15"/>
    <s v="6170040"/>
    <n v="9"/>
    <n v="12"/>
    <n v="3"/>
  </r>
  <r>
    <s v="COMM"/>
    <x v="1"/>
    <x v="7"/>
    <x v="0"/>
    <x v="2"/>
    <n v="4"/>
    <n v="4"/>
    <n v="1"/>
    <s v="W"/>
    <s v="11"/>
    <x v="11"/>
    <s v="6170055"/>
    <n v="9"/>
    <n v="4"/>
    <n v="1"/>
  </r>
  <r>
    <s v="COMM"/>
    <x v="1"/>
    <x v="7"/>
    <x v="0"/>
    <x v="3"/>
    <n v="5"/>
    <n v="5"/>
    <n v="1"/>
    <s v="W"/>
    <s v="13"/>
    <x v="15"/>
    <s v="6170040"/>
    <n v="9"/>
    <n v="5"/>
    <n v="1"/>
  </r>
  <r>
    <s v="COMM"/>
    <x v="1"/>
    <x v="7"/>
    <x v="0"/>
    <x v="2"/>
    <n v="5"/>
    <n v="5"/>
    <n v="1"/>
    <s v="W"/>
    <s v="13"/>
    <x v="15"/>
    <s v="6170040"/>
    <n v="9"/>
    <n v="5"/>
    <n v="1"/>
  </r>
  <r>
    <s v="COMM"/>
    <x v="1"/>
    <x v="7"/>
    <x v="0"/>
    <x v="2"/>
    <n v="5"/>
    <n v="5"/>
    <n v="1"/>
    <s v="W"/>
    <s v="11"/>
    <x v="11"/>
    <s v="6170055"/>
    <n v="9"/>
    <n v="5"/>
    <n v="1"/>
  </r>
  <r>
    <s v="COMM"/>
    <x v="1"/>
    <x v="7"/>
    <x v="0"/>
    <x v="3"/>
    <n v="6"/>
    <n v="6"/>
    <n v="1"/>
    <s v="W"/>
    <s v="11"/>
    <x v="11"/>
    <s v="6170005"/>
    <n v="9"/>
    <n v="6"/>
    <n v="1"/>
  </r>
  <r>
    <s v="COMM"/>
    <x v="1"/>
    <x v="7"/>
    <x v="0"/>
    <x v="2"/>
    <n v="6"/>
    <n v="6"/>
    <n v="1"/>
    <s v="W"/>
    <s v="11"/>
    <x v="11"/>
    <s v="6170055"/>
    <n v="9"/>
    <n v="12"/>
    <n v="2"/>
  </r>
  <r>
    <s v="COMM"/>
    <x v="1"/>
    <x v="7"/>
    <x v="0"/>
    <x v="2"/>
    <n v="6"/>
    <n v="12"/>
    <n v="1"/>
    <s v="W"/>
    <s v="11"/>
    <x v="11"/>
    <s v="6170055"/>
    <n v="9"/>
    <n v="6"/>
    <n v="1"/>
  </r>
  <r>
    <s v="COMM"/>
    <x v="1"/>
    <x v="7"/>
    <x v="0"/>
    <x v="3"/>
    <n v="7"/>
    <n v="7"/>
    <n v="1"/>
    <s v="W"/>
    <s v="11"/>
    <x v="11"/>
    <s v="6170005"/>
    <n v="9"/>
    <n v="14"/>
    <n v="2"/>
  </r>
  <r>
    <s v="COMM"/>
    <x v="1"/>
    <x v="7"/>
    <x v="0"/>
    <x v="2"/>
    <n v="7"/>
    <n v="7"/>
    <n v="1"/>
    <s v="W"/>
    <s v="13"/>
    <x v="15"/>
    <s v="6170040"/>
    <n v="9"/>
    <n v="7"/>
    <n v="1"/>
  </r>
  <r>
    <s v="COMM"/>
    <x v="1"/>
    <x v="7"/>
    <x v="0"/>
    <x v="2"/>
    <n v="7"/>
    <n v="7"/>
    <n v="1"/>
    <s v="W"/>
    <s v="11"/>
    <x v="11"/>
    <s v="6170055"/>
    <n v="9"/>
    <n v="7"/>
    <n v="1"/>
  </r>
  <r>
    <s v="COMM"/>
    <x v="1"/>
    <x v="7"/>
    <x v="0"/>
    <x v="3"/>
    <n v="8"/>
    <n v="8"/>
    <n v="1"/>
    <s v="W"/>
    <s v="11"/>
    <x v="11"/>
    <s v="6170005"/>
    <n v="9"/>
    <n v="8"/>
    <n v="1"/>
  </r>
  <r>
    <s v="COMM"/>
    <x v="1"/>
    <x v="7"/>
    <x v="0"/>
    <x v="3"/>
    <n v="9"/>
    <n v="9"/>
    <n v="1"/>
    <s v="W"/>
    <s v="13"/>
    <x v="15"/>
    <s v="6170040"/>
    <n v="9"/>
    <n v="9"/>
    <n v="1"/>
  </r>
  <r>
    <s v="COMM"/>
    <x v="1"/>
    <x v="7"/>
    <x v="0"/>
    <x v="2"/>
    <n v="9"/>
    <n v="9"/>
    <n v="1"/>
    <s v="W"/>
    <s v="13"/>
    <x v="15"/>
    <s v="6170040"/>
    <n v="9"/>
    <n v="9"/>
    <n v="1"/>
  </r>
  <r>
    <s v="COMM"/>
    <x v="1"/>
    <x v="7"/>
    <x v="0"/>
    <x v="2"/>
    <n v="9"/>
    <n v="9"/>
    <n v="1"/>
    <s v="W"/>
    <s v="11"/>
    <x v="11"/>
    <s v="6170055"/>
    <n v="9"/>
    <n v="9"/>
    <n v="1"/>
  </r>
  <r>
    <s v="COMM"/>
    <x v="1"/>
    <x v="7"/>
    <x v="0"/>
    <x v="2"/>
    <n v="12"/>
    <n v="12"/>
    <n v="1"/>
    <s v="W"/>
    <s v="12"/>
    <x v="10"/>
    <s v="6170004"/>
    <n v="9"/>
    <n v="12"/>
    <n v="1"/>
  </r>
  <r>
    <s v="COMM"/>
    <x v="1"/>
    <x v="7"/>
    <x v="0"/>
    <x v="2"/>
    <n v="12"/>
    <n v="12"/>
    <n v="1"/>
    <s v="W"/>
    <s v="13"/>
    <x v="15"/>
    <s v="6170040"/>
    <n v="9"/>
    <n v="12"/>
    <n v="1"/>
  </r>
  <r>
    <s v="COMM"/>
    <x v="1"/>
    <x v="7"/>
    <x v="0"/>
    <x v="2"/>
    <n v="12"/>
    <n v="12"/>
    <n v="1"/>
    <s v="W"/>
    <s v="11"/>
    <x v="11"/>
    <s v="6170055"/>
    <n v="9"/>
    <n v="12"/>
    <n v="1"/>
  </r>
  <r>
    <s v="COMM"/>
    <x v="1"/>
    <x v="7"/>
    <x v="0"/>
    <x v="2"/>
    <n v="13"/>
    <n v="13"/>
    <n v="1"/>
    <s v="W"/>
    <s v="13"/>
    <x v="15"/>
    <s v="6170040"/>
    <n v="9"/>
    <n v="13"/>
    <n v="1"/>
  </r>
  <r>
    <s v="COMM"/>
    <x v="1"/>
    <x v="7"/>
    <x v="0"/>
    <x v="2"/>
    <n v="14"/>
    <n v="14"/>
    <n v="1"/>
    <s v="W"/>
    <s v="11"/>
    <x v="11"/>
    <s v="6170055"/>
    <n v="9"/>
    <n v="14"/>
    <n v="1"/>
  </r>
  <r>
    <s v="COMM"/>
    <x v="1"/>
    <x v="7"/>
    <x v="0"/>
    <x v="3"/>
    <n v="16"/>
    <n v="32"/>
    <n v="1"/>
    <s v="W"/>
    <s v="11"/>
    <x v="11"/>
    <s v="6170005"/>
    <n v="9"/>
    <n v="16"/>
    <n v="1"/>
  </r>
  <r>
    <s v="COMM"/>
    <x v="1"/>
    <x v="7"/>
    <x v="0"/>
    <x v="2"/>
    <n v="18"/>
    <n v="18"/>
    <n v="1"/>
    <s v="W"/>
    <s v="10"/>
    <x v="14"/>
    <s v="6170028"/>
    <n v="9"/>
    <n v="18"/>
    <n v="1"/>
  </r>
  <r>
    <s v="COMM"/>
    <x v="1"/>
    <x v="7"/>
    <x v="0"/>
    <x v="2"/>
    <n v="42"/>
    <n v="42"/>
    <n v="1"/>
    <s v="W"/>
    <s v="11"/>
    <x v="11"/>
    <s v="6170055"/>
    <n v="9"/>
    <n v="42"/>
    <n v="1"/>
  </r>
  <r>
    <s v="RESI"/>
    <x v="2"/>
    <x v="8"/>
    <x v="0"/>
    <x v="0"/>
    <n v="1"/>
    <n v="1"/>
    <n v="1"/>
    <s v="W"/>
    <s v="31"/>
    <x v="3"/>
    <s v="6120005"/>
    <n v="2"/>
    <n v="2"/>
    <n v="2"/>
  </r>
  <r>
    <s v="RESI"/>
    <x v="2"/>
    <x v="9"/>
    <x v="0"/>
    <x v="0"/>
    <n v="1"/>
    <n v="1"/>
    <n v="1"/>
    <s v="W"/>
    <s v="3B"/>
    <x v="2"/>
    <s v="6080001"/>
    <n v="1"/>
    <n v="92"/>
    <n v="92"/>
  </r>
  <r>
    <s v="RESI"/>
    <x v="2"/>
    <x v="9"/>
    <x v="0"/>
    <x v="3"/>
    <n v="1"/>
    <n v="1"/>
    <n v="1"/>
    <s v="W"/>
    <s v="3B"/>
    <x v="2"/>
    <s v="6080001"/>
    <n v="1"/>
    <n v="11"/>
    <n v="11"/>
  </r>
  <r>
    <s v="RESI"/>
    <x v="2"/>
    <x v="9"/>
    <x v="0"/>
    <x v="0"/>
    <n v="1"/>
    <n v="1"/>
    <n v="1"/>
    <s v="W"/>
    <s v="3C"/>
    <x v="5"/>
    <s v="6080004"/>
    <n v="1"/>
    <n v="68"/>
    <n v="68"/>
  </r>
  <r>
    <s v="RESI"/>
    <x v="2"/>
    <x v="9"/>
    <x v="0"/>
    <x v="0"/>
    <n v="1"/>
    <n v="1"/>
    <n v="1"/>
    <s v="W"/>
    <s v="3C"/>
    <x v="5"/>
    <s v="6080004"/>
    <n v="3"/>
    <n v="112"/>
    <n v="112"/>
  </r>
  <r>
    <s v="COMM"/>
    <x v="2"/>
    <x v="9"/>
    <x v="0"/>
    <x v="3"/>
    <n v="1"/>
    <n v="1"/>
    <n v="1"/>
    <s v="W"/>
    <s v="1C"/>
    <x v="6"/>
    <s v="6080004"/>
    <n v="4"/>
    <n v="2"/>
    <n v="2"/>
  </r>
  <r>
    <s v="RESI"/>
    <x v="2"/>
    <x v="9"/>
    <x v="0"/>
    <x v="3"/>
    <n v="1"/>
    <n v="1"/>
    <n v="1"/>
    <s v="W"/>
    <s v="3B"/>
    <x v="2"/>
    <s v="6080020"/>
    <n v="2"/>
    <n v="7"/>
    <n v="7"/>
  </r>
  <r>
    <s v="RESI"/>
    <x v="2"/>
    <x v="9"/>
    <x v="0"/>
    <x v="0"/>
    <n v="1"/>
    <n v="1"/>
    <n v="1"/>
    <s v="W"/>
    <s v="3B"/>
    <x v="2"/>
    <s v="6080020"/>
    <n v="2"/>
    <n v="96"/>
    <n v="96"/>
  </r>
  <r>
    <s v="RESI"/>
    <x v="2"/>
    <x v="9"/>
    <x v="0"/>
    <x v="0"/>
    <n v="1"/>
    <n v="1"/>
    <n v="1"/>
    <s v="W"/>
    <s v="3B"/>
    <x v="2"/>
    <s v="6080050"/>
    <n v="5"/>
    <n v="104"/>
    <n v="104"/>
  </r>
  <r>
    <s v="RESI"/>
    <x v="2"/>
    <x v="9"/>
    <x v="0"/>
    <x v="3"/>
    <n v="1"/>
    <n v="1"/>
    <n v="1"/>
    <s v="W"/>
    <s v="3B"/>
    <x v="2"/>
    <s v="6080050"/>
    <n v="5"/>
    <n v="13"/>
    <n v="13"/>
  </r>
  <r>
    <s v="RESI"/>
    <x v="2"/>
    <x v="9"/>
    <x v="0"/>
    <x v="0"/>
    <n v="1"/>
    <n v="1"/>
    <n v="1"/>
    <s v="W"/>
    <s v="30"/>
    <x v="2"/>
    <s v="6110003"/>
    <n v="1"/>
    <n v="1"/>
    <n v="1"/>
  </r>
  <r>
    <s v="RESI"/>
    <x v="2"/>
    <x v="9"/>
    <x v="0"/>
    <x v="0"/>
    <n v="1"/>
    <n v="1"/>
    <n v="1"/>
    <s v="W"/>
    <s v="30"/>
    <x v="2"/>
    <s v="6110004"/>
    <n v="1"/>
    <n v="1"/>
    <n v="1"/>
  </r>
  <r>
    <s v="RESI"/>
    <x v="2"/>
    <x v="9"/>
    <x v="0"/>
    <x v="0"/>
    <n v="1"/>
    <n v="1"/>
    <n v="1"/>
    <s v="W"/>
    <s v="32"/>
    <x v="7"/>
    <s v="6110004"/>
    <n v="1"/>
    <n v="221"/>
    <n v="221"/>
  </r>
  <r>
    <s v="RESI"/>
    <x v="2"/>
    <x v="9"/>
    <x v="0"/>
    <x v="3"/>
    <n v="1"/>
    <n v="1"/>
    <n v="1"/>
    <s v="W"/>
    <s v="32"/>
    <x v="7"/>
    <s v="6110004"/>
    <n v="1"/>
    <n v="27"/>
    <n v="27"/>
  </r>
  <r>
    <s v="RESI"/>
    <x v="2"/>
    <x v="9"/>
    <x v="0"/>
    <x v="3"/>
    <n v="1"/>
    <n v="1"/>
    <n v="1"/>
    <s v="W"/>
    <s v="31"/>
    <x v="3"/>
    <s v="6110005"/>
    <n v="1"/>
    <n v="472"/>
    <n v="472"/>
  </r>
  <r>
    <s v="RESI"/>
    <x v="2"/>
    <x v="9"/>
    <x v="0"/>
    <x v="0"/>
    <n v="1"/>
    <n v="1"/>
    <n v="1"/>
    <s v="W"/>
    <s v="31"/>
    <x v="3"/>
    <s v="6110005"/>
    <n v="1"/>
    <n v="1961"/>
    <n v="1961"/>
  </r>
  <r>
    <s v="RESI"/>
    <x v="2"/>
    <x v="9"/>
    <x v="0"/>
    <x v="0"/>
    <n v="1"/>
    <n v="1"/>
    <n v="1"/>
    <s v="W"/>
    <s v="36"/>
    <x v="8"/>
    <s v="6110006"/>
    <n v="1"/>
    <n v="14"/>
    <n v="14"/>
  </r>
  <r>
    <s v="RESI"/>
    <x v="2"/>
    <x v="9"/>
    <x v="0"/>
    <x v="3"/>
    <n v="1"/>
    <n v="1"/>
    <n v="1"/>
    <s v="W"/>
    <s v="36"/>
    <x v="8"/>
    <s v="6110006"/>
    <n v="1"/>
    <n v="1"/>
    <n v="1"/>
  </r>
  <r>
    <s v="RESI"/>
    <x v="2"/>
    <x v="9"/>
    <x v="0"/>
    <x v="0"/>
    <n v="1"/>
    <n v="1"/>
    <n v="1"/>
    <s v="W"/>
    <s v="30"/>
    <x v="2"/>
    <s v="6110008"/>
    <n v="1"/>
    <n v="8"/>
    <n v="8"/>
  </r>
  <r>
    <s v="RESI"/>
    <x v="2"/>
    <x v="9"/>
    <x v="0"/>
    <x v="0"/>
    <n v="1"/>
    <n v="1"/>
    <n v="1"/>
    <s v="W"/>
    <s v="30"/>
    <x v="2"/>
    <s v="6110009"/>
    <n v="1"/>
    <n v="1"/>
    <n v="1"/>
  </r>
  <r>
    <s v="RESI"/>
    <x v="2"/>
    <x v="9"/>
    <x v="0"/>
    <x v="3"/>
    <n v="1"/>
    <n v="1"/>
    <n v="1"/>
    <s v="W"/>
    <s v="35"/>
    <x v="4"/>
    <s v="6110015"/>
    <n v="1"/>
    <n v="20"/>
    <n v="20"/>
  </r>
  <r>
    <s v="RESI"/>
    <x v="2"/>
    <x v="9"/>
    <x v="0"/>
    <x v="0"/>
    <n v="1"/>
    <n v="1"/>
    <n v="1"/>
    <s v="W"/>
    <s v="35"/>
    <x v="4"/>
    <s v="6110015"/>
    <n v="1"/>
    <n v="230"/>
    <n v="230"/>
  </r>
  <r>
    <s v="RESI"/>
    <x v="2"/>
    <x v="9"/>
    <x v="0"/>
    <x v="0"/>
    <n v="1"/>
    <n v="1"/>
    <n v="1"/>
    <s v="W"/>
    <s v="30"/>
    <x v="2"/>
    <s v="6110028"/>
    <n v="1"/>
    <n v="148"/>
    <n v="148"/>
  </r>
  <r>
    <s v="RESI"/>
    <x v="2"/>
    <x v="9"/>
    <x v="0"/>
    <x v="3"/>
    <n v="1"/>
    <n v="1"/>
    <n v="1"/>
    <s v="W"/>
    <s v="30"/>
    <x v="2"/>
    <s v="6110028"/>
    <n v="1"/>
    <n v="6"/>
    <n v="6"/>
  </r>
  <r>
    <s v="RESI"/>
    <x v="2"/>
    <x v="9"/>
    <x v="0"/>
    <x v="0"/>
    <n v="1"/>
    <n v="1"/>
    <n v="1"/>
    <s v="W"/>
    <s v="30"/>
    <x v="2"/>
    <s v="6120002"/>
    <n v="2"/>
    <n v="1"/>
    <n v="1"/>
  </r>
  <r>
    <s v="RESI"/>
    <x v="2"/>
    <x v="9"/>
    <x v="0"/>
    <x v="0"/>
    <n v="1"/>
    <n v="1"/>
    <n v="1"/>
    <s v="W"/>
    <s v="30"/>
    <x v="2"/>
    <s v="6120003"/>
    <n v="2"/>
    <n v="3"/>
    <n v="3"/>
  </r>
  <r>
    <s v="RESI"/>
    <x v="2"/>
    <x v="9"/>
    <x v="0"/>
    <x v="3"/>
    <n v="1"/>
    <n v="1"/>
    <n v="1"/>
    <s v="W"/>
    <s v="30"/>
    <x v="2"/>
    <s v="6120003"/>
    <n v="2"/>
    <n v="1"/>
    <n v="1"/>
  </r>
  <r>
    <s v="RESI"/>
    <x v="2"/>
    <x v="9"/>
    <x v="0"/>
    <x v="3"/>
    <n v="1"/>
    <n v="1"/>
    <n v="1"/>
    <s v="W"/>
    <s v="32"/>
    <x v="7"/>
    <s v="6120004"/>
    <n v="2"/>
    <n v="13"/>
    <n v="13"/>
  </r>
  <r>
    <s v="RESI"/>
    <x v="2"/>
    <x v="9"/>
    <x v="0"/>
    <x v="0"/>
    <n v="1"/>
    <n v="1"/>
    <n v="1"/>
    <s v="W"/>
    <s v="32"/>
    <x v="7"/>
    <s v="6120004"/>
    <n v="2"/>
    <n v="230"/>
    <n v="230"/>
  </r>
  <r>
    <s v="RESI"/>
    <x v="2"/>
    <x v="9"/>
    <x v="0"/>
    <x v="0"/>
    <n v="1"/>
    <n v="1"/>
    <n v="1"/>
    <s v="W"/>
    <s v="31"/>
    <x v="3"/>
    <s v="6120005"/>
    <n v="2"/>
    <n v="1894"/>
    <n v="1894"/>
  </r>
  <r>
    <s v="RESI"/>
    <x v="2"/>
    <x v="9"/>
    <x v="0"/>
    <x v="3"/>
    <n v="1"/>
    <n v="1"/>
    <n v="1"/>
    <s v="W"/>
    <s v="31"/>
    <x v="3"/>
    <s v="6120005"/>
    <n v="2"/>
    <n v="233"/>
    <n v="233"/>
  </r>
  <r>
    <s v="RESI"/>
    <x v="2"/>
    <x v="9"/>
    <x v="0"/>
    <x v="0"/>
    <n v="1"/>
    <n v="1"/>
    <n v="1"/>
    <s v="W"/>
    <s v="36"/>
    <x v="8"/>
    <s v="6120006"/>
    <n v="2"/>
    <n v="15"/>
    <n v="15"/>
  </r>
  <r>
    <s v="RESI"/>
    <x v="2"/>
    <x v="9"/>
    <x v="0"/>
    <x v="3"/>
    <n v="1"/>
    <n v="1"/>
    <n v="1"/>
    <s v="W"/>
    <s v="36"/>
    <x v="8"/>
    <s v="6120006"/>
    <n v="2"/>
    <n v="5"/>
    <n v="5"/>
  </r>
  <r>
    <s v="RESI"/>
    <x v="2"/>
    <x v="9"/>
    <x v="0"/>
    <x v="0"/>
    <n v="1"/>
    <n v="1"/>
    <n v="1"/>
    <s v="W"/>
    <s v="30"/>
    <x v="2"/>
    <s v="6120008"/>
    <n v="2"/>
    <n v="17"/>
    <n v="17"/>
  </r>
  <r>
    <s v="RESI"/>
    <x v="2"/>
    <x v="9"/>
    <x v="0"/>
    <x v="3"/>
    <n v="1"/>
    <n v="1"/>
    <n v="1"/>
    <s v="W"/>
    <s v="30"/>
    <x v="2"/>
    <s v="6120008"/>
    <n v="2"/>
    <n v="4"/>
    <n v="4"/>
  </r>
  <r>
    <s v="RESI"/>
    <x v="2"/>
    <x v="9"/>
    <x v="0"/>
    <x v="0"/>
    <n v="1"/>
    <n v="1"/>
    <n v="1"/>
    <s v="W"/>
    <s v="30"/>
    <x v="2"/>
    <s v="6120009"/>
    <n v="2"/>
    <n v="9"/>
    <n v="9"/>
  </r>
  <r>
    <s v="RESI"/>
    <x v="2"/>
    <x v="9"/>
    <x v="0"/>
    <x v="3"/>
    <n v="1"/>
    <n v="1"/>
    <n v="1"/>
    <s v="W"/>
    <s v="35"/>
    <x v="4"/>
    <s v="6120015"/>
    <n v="2"/>
    <n v="24"/>
    <n v="24"/>
  </r>
  <r>
    <s v="RESI"/>
    <x v="2"/>
    <x v="9"/>
    <x v="0"/>
    <x v="0"/>
    <n v="1"/>
    <n v="1"/>
    <n v="1"/>
    <s v="W"/>
    <s v="35"/>
    <x v="4"/>
    <s v="6120015"/>
    <n v="2"/>
    <n v="201"/>
    <n v="201"/>
  </r>
  <r>
    <s v="RESI"/>
    <x v="2"/>
    <x v="9"/>
    <x v="0"/>
    <x v="0"/>
    <n v="1"/>
    <n v="1"/>
    <n v="1"/>
    <s v="W"/>
    <s v="30"/>
    <x v="2"/>
    <s v="6120028"/>
    <n v="2"/>
    <n v="143"/>
    <n v="143"/>
  </r>
  <r>
    <s v="RESI"/>
    <x v="2"/>
    <x v="9"/>
    <x v="0"/>
    <x v="3"/>
    <n v="1"/>
    <n v="1"/>
    <n v="1"/>
    <s v="W"/>
    <s v="30"/>
    <x v="2"/>
    <s v="6120028"/>
    <n v="2"/>
    <n v="17"/>
    <n v="17"/>
  </r>
  <r>
    <s v="RESI"/>
    <x v="2"/>
    <x v="9"/>
    <x v="0"/>
    <x v="0"/>
    <n v="1"/>
    <n v="1"/>
    <n v="1"/>
    <s v="W"/>
    <s v="33"/>
    <x v="9"/>
    <s v="6120040"/>
    <n v="2"/>
    <n v="1074"/>
    <n v="1074"/>
  </r>
  <r>
    <s v="RESI"/>
    <x v="2"/>
    <x v="9"/>
    <x v="0"/>
    <x v="3"/>
    <n v="1"/>
    <n v="1"/>
    <n v="1"/>
    <s v="W"/>
    <s v="33"/>
    <x v="9"/>
    <s v="6120040"/>
    <n v="2"/>
    <n v="186"/>
    <n v="186"/>
  </r>
  <r>
    <s v="RESI"/>
    <x v="2"/>
    <x v="9"/>
    <x v="0"/>
    <x v="0"/>
    <n v="1"/>
    <n v="1"/>
    <n v="1"/>
    <s v="W"/>
    <s v="30"/>
    <x v="2"/>
    <s v="6130002"/>
    <n v="3"/>
    <n v="1"/>
    <n v="1"/>
  </r>
  <r>
    <s v="RESI"/>
    <x v="2"/>
    <x v="9"/>
    <x v="0"/>
    <x v="0"/>
    <n v="1"/>
    <n v="1"/>
    <n v="1"/>
    <s v="W"/>
    <s v="30"/>
    <x v="2"/>
    <s v="6130003"/>
    <n v="3"/>
    <n v="3"/>
    <n v="3"/>
  </r>
  <r>
    <s v="RESI"/>
    <x v="2"/>
    <x v="9"/>
    <x v="0"/>
    <x v="0"/>
    <n v="1"/>
    <n v="1"/>
    <n v="1"/>
    <s v="W"/>
    <s v="32"/>
    <x v="7"/>
    <s v="6130004"/>
    <n v="3"/>
    <n v="293"/>
    <n v="293"/>
  </r>
  <r>
    <s v="RESI"/>
    <x v="2"/>
    <x v="9"/>
    <x v="0"/>
    <x v="3"/>
    <n v="1"/>
    <n v="1"/>
    <n v="1"/>
    <s v="W"/>
    <s v="32"/>
    <x v="7"/>
    <s v="6130004"/>
    <n v="3"/>
    <n v="21"/>
    <n v="21"/>
  </r>
  <r>
    <s v="RESI"/>
    <x v="2"/>
    <x v="9"/>
    <x v="0"/>
    <x v="3"/>
    <n v="1"/>
    <n v="1"/>
    <n v="1"/>
    <s v="W"/>
    <s v="31"/>
    <x v="3"/>
    <s v="6130005"/>
    <n v="3"/>
    <n v="223"/>
    <n v="223"/>
  </r>
  <r>
    <s v="RESI"/>
    <x v="2"/>
    <x v="9"/>
    <x v="0"/>
    <x v="0"/>
    <n v="1"/>
    <n v="1"/>
    <n v="1"/>
    <s v="W"/>
    <s v="31"/>
    <x v="3"/>
    <s v="6130005"/>
    <n v="3"/>
    <n v="1694"/>
    <n v="1694"/>
  </r>
  <r>
    <s v="RESI"/>
    <x v="2"/>
    <x v="9"/>
    <x v="0"/>
    <x v="0"/>
    <n v="1"/>
    <n v="1"/>
    <n v="1"/>
    <s v="W"/>
    <s v="36"/>
    <x v="8"/>
    <s v="6130006"/>
    <n v="3"/>
    <n v="16"/>
    <n v="16"/>
  </r>
  <r>
    <s v="RESI"/>
    <x v="2"/>
    <x v="9"/>
    <x v="0"/>
    <x v="3"/>
    <n v="1"/>
    <n v="1"/>
    <n v="1"/>
    <s v="W"/>
    <s v="36"/>
    <x v="8"/>
    <s v="6130006"/>
    <n v="3"/>
    <n v="2"/>
    <n v="2"/>
  </r>
  <r>
    <s v="RESI"/>
    <x v="2"/>
    <x v="9"/>
    <x v="0"/>
    <x v="0"/>
    <n v="1"/>
    <n v="1"/>
    <n v="1"/>
    <s v="W"/>
    <s v="30"/>
    <x v="2"/>
    <s v="6130008"/>
    <n v="3"/>
    <n v="19"/>
    <n v="19"/>
  </r>
  <r>
    <s v="RESI"/>
    <x v="2"/>
    <x v="9"/>
    <x v="0"/>
    <x v="3"/>
    <n v="1"/>
    <n v="1"/>
    <n v="1"/>
    <s v="W"/>
    <s v="30"/>
    <x v="2"/>
    <s v="6130008"/>
    <n v="3"/>
    <n v="3"/>
    <n v="3"/>
  </r>
  <r>
    <s v="RESI"/>
    <x v="2"/>
    <x v="9"/>
    <x v="0"/>
    <x v="0"/>
    <n v="1"/>
    <n v="1"/>
    <n v="1"/>
    <s v="W"/>
    <s v="30"/>
    <x v="2"/>
    <s v="6130009"/>
    <n v="3"/>
    <n v="3"/>
    <n v="3"/>
  </r>
  <r>
    <s v="RESI"/>
    <x v="2"/>
    <x v="9"/>
    <x v="0"/>
    <x v="3"/>
    <n v="1"/>
    <n v="1"/>
    <n v="1"/>
    <s v="W"/>
    <s v="35"/>
    <x v="4"/>
    <s v="6130015"/>
    <n v="3"/>
    <n v="20"/>
    <n v="20"/>
  </r>
  <r>
    <s v="RESI"/>
    <x v="2"/>
    <x v="9"/>
    <x v="0"/>
    <x v="0"/>
    <n v="1"/>
    <n v="1"/>
    <n v="1"/>
    <s v="W"/>
    <s v="35"/>
    <x v="4"/>
    <s v="6130015"/>
    <n v="3"/>
    <n v="221"/>
    <n v="221"/>
  </r>
  <r>
    <s v="RESI"/>
    <x v="2"/>
    <x v="9"/>
    <x v="0"/>
    <x v="0"/>
    <n v="1"/>
    <n v="1"/>
    <n v="1"/>
    <s v="W"/>
    <s v="3A"/>
    <x v="0"/>
    <s v="6130022"/>
    <n v="3"/>
    <n v="78"/>
    <n v="78"/>
  </r>
  <r>
    <s v="RESI"/>
    <x v="2"/>
    <x v="9"/>
    <x v="0"/>
    <x v="0"/>
    <n v="1"/>
    <n v="1"/>
    <n v="1"/>
    <s v="W"/>
    <s v="30"/>
    <x v="2"/>
    <s v="6130028"/>
    <n v="3"/>
    <n v="171"/>
    <n v="171"/>
  </r>
  <r>
    <s v="RESI"/>
    <x v="2"/>
    <x v="9"/>
    <x v="0"/>
    <x v="3"/>
    <n v="1"/>
    <n v="1"/>
    <n v="1"/>
    <s v="W"/>
    <s v="30"/>
    <x v="2"/>
    <s v="6130028"/>
    <n v="3"/>
    <n v="14"/>
    <n v="14"/>
  </r>
  <r>
    <s v="RESI"/>
    <x v="2"/>
    <x v="9"/>
    <x v="0"/>
    <x v="0"/>
    <n v="2"/>
    <n v="2"/>
    <n v="1"/>
    <s v="W"/>
    <s v="31"/>
    <x v="3"/>
    <s v="6110005"/>
    <n v="1"/>
    <n v="4"/>
    <n v="2"/>
  </r>
  <r>
    <s v="RESI"/>
    <x v="2"/>
    <x v="9"/>
    <x v="0"/>
    <x v="0"/>
    <n v="2"/>
    <n v="2"/>
    <n v="1"/>
    <s v="W"/>
    <s v="30"/>
    <x v="2"/>
    <s v="6120028"/>
    <n v="2"/>
    <n v="2"/>
    <n v="1"/>
  </r>
  <r>
    <s v="RESI"/>
    <x v="2"/>
    <x v="9"/>
    <x v="0"/>
    <x v="0"/>
    <n v="2"/>
    <n v="2"/>
    <n v="1"/>
    <s v="W"/>
    <s v="33"/>
    <x v="9"/>
    <s v="6120040"/>
    <n v="2"/>
    <n v="2"/>
    <n v="1"/>
  </r>
  <r>
    <s v="RESI"/>
    <x v="2"/>
    <x v="3"/>
    <x v="0"/>
    <x v="0"/>
    <n v="1"/>
    <n v="1"/>
    <n v="1"/>
    <s v="W"/>
    <s v="3B"/>
    <x v="2"/>
    <s v="6080001"/>
    <n v="1"/>
    <n v="532"/>
    <n v="532"/>
  </r>
  <r>
    <s v="RESI"/>
    <x v="2"/>
    <x v="3"/>
    <x v="0"/>
    <x v="3"/>
    <n v="1"/>
    <n v="1"/>
    <n v="1"/>
    <s v="W"/>
    <s v="3B"/>
    <x v="2"/>
    <s v="6080001"/>
    <n v="1"/>
    <n v="109"/>
    <n v="109"/>
  </r>
  <r>
    <s v="RESI"/>
    <x v="2"/>
    <x v="3"/>
    <x v="0"/>
    <x v="0"/>
    <n v="1"/>
    <n v="1"/>
    <n v="1"/>
    <s v="W"/>
    <s v="3C"/>
    <x v="5"/>
    <s v="6080004"/>
    <n v="1"/>
    <n v="238"/>
    <n v="238"/>
  </r>
  <r>
    <s v="RESI"/>
    <x v="2"/>
    <x v="3"/>
    <x v="0"/>
    <x v="3"/>
    <n v="1"/>
    <n v="1"/>
    <n v="1"/>
    <s v="W"/>
    <s v="3C"/>
    <x v="5"/>
    <s v="6080004"/>
    <n v="1"/>
    <n v="63"/>
    <n v="63"/>
  </r>
  <r>
    <s v="RESI"/>
    <x v="2"/>
    <x v="3"/>
    <x v="0"/>
    <x v="0"/>
    <n v="1"/>
    <n v="1"/>
    <n v="1"/>
    <s v="W"/>
    <s v="3C"/>
    <x v="5"/>
    <s v="6080004"/>
    <n v="3"/>
    <n v="93"/>
    <n v="93"/>
  </r>
  <r>
    <s v="COMM"/>
    <x v="2"/>
    <x v="3"/>
    <x v="0"/>
    <x v="3"/>
    <n v="1"/>
    <n v="1"/>
    <n v="1"/>
    <s v="W"/>
    <s v="1C"/>
    <x v="6"/>
    <s v="6080004"/>
    <n v="4"/>
    <n v="4"/>
    <n v="4"/>
  </r>
  <r>
    <s v="RESI"/>
    <x v="2"/>
    <x v="3"/>
    <x v="0"/>
    <x v="3"/>
    <n v="1"/>
    <n v="1"/>
    <n v="1"/>
    <s v="W"/>
    <s v="3B"/>
    <x v="2"/>
    <s v="6080020"/>
    <n v="2"/>
    <n v="149"/>
    <n v="149"/>
  </r>
  <r>
    <s v="RESI"/>
    <x v="2"/>
    <x v="3"/>
    <x v="0"/>
    <x v="0"/>
    <n v="1"/>
    <n v="1"/>
    <n v="1"/>
    <s v="W"/>
    <s v="3B"/>
    <x v="2"/>
    <s v="6080020"/>
    <n v="2"/>
    <n v="508"/>
    <n v="508"/>
  </r>
  <r>
    <s v="RESI"/>
    <x v="2"/>
    <x v="3"/>
    <x v="0"/>
    <x v="0"/>
    <n v="1"/>
    <n v="1"/>
    <n v="1"/>
    <s v="W"/>
    <s v="3B"/>
    <x v="2"/>
    <s v="6080050"/>
    <n v="5"/>
    <n v="507"/>
    <n v="507"/>
  </r>
  <r>
    <s v="RESI"/>
    <x v="2"/>
    <x v="3"/>
    <x v="0"/>
    <x v="3"/>
    <n v="1"/>
    <n v="1"/>
    <n v="1"/>
    <s v="W"/>
    <s v="3B"/>
    <x v="2"/>
    <s v="6080050"/>
    <n v="5"/>
    <n v="131"/>
    <n v="131"/>
  </r>
  <r>
    <s v="RESI"/>
    <x v="2"/>
    <x v="3"/>
    <x v="0"/>
    <x v="0"/>
    <n v="1"/>
    <n v="1"/>
    <n v="1"/>
    <s v="W"/>
    <s v="30"/>
    <x v="2"/>
    <s v="6110002"/>
    <n v="1"/>
    <n v="10"/>
    <n v="10"/>
  </r>
  <r>
    <s v="RESI"/>
    <x v="2"/>
    <x v="3"/>
    <x v="0"/>
    <x v="3"/>
    <n v="1"/>
    <n v="1"/>
    <n v="1"/>
    <s v="W"/>
    <s v="30"/>
    <x v="2"/>
    <s v="6110002"/>
    <n v="1"/>
    <n v="3"/>
    <n v="3"/>
  </r>
  <r>
    <s v="RESI"/>
    <x v="2"/>
    <x v="3"/>
    <x v="0"/>
    <x v="3"/>
    <n v="1"/>
    <n v="1"/>
    <n v="1"/>
    <s v="W"/>
    <s v="30"/>
    <x v="2"/>
    <s v="6110003"/>
    <n v="1"/>
    <n v="2"/>
    <n v="2"/>
  </r>
  <r>
    <s v="RESI"/>
    <x v="2"/>
    <x v="3"/>
    <x v="0"/>
    <x v="0"/>
    <n v="1"/>
    <n v="1"/>
    <n v="1"/>
    <s v="W"/>
    <s v="30"/>
    <x v="2"/>
    <s v="6110003"/>
    <n v="1"/>
    <n v="12"/>
    <n v="12"/>
  </r>
  <r>
    <s v="RESI"/>
    <x v="2"/>
    <x v="3"/>
    <x v="0"/>
    <x v="0"/>
    <n v="1"/>
    <n v="1"/>
    <n v="1"/>
    <s v="W"/>
    <s v="32"/>
    <x v="7"/>
    <s v="6110004"/>
    <n v="1"/>
    <n v="151"/>
    <n v="151"/>
  </r>
  <r>
    <s v="RESI"/>
    <x v="2"/>
    <x v="3"/>
    <x v="0"/>
    <x v="3"/>
    <n v="1"/>
    <n v="1"/>
    <n v="1"/>
    <s v="W"/>
    <s v="32"/>
    <x v="7"/>
    <s v="6110004"/>
    <n v="1"/>
    <n v="113"/>
    <n v="113"/>
  </r>
  <r>
    <s v="RESI"/>
    <x v="2"/>
    <x v="3"/>
    <x v="0"/>
    <x v="3"/>
    <n v="1"/>
    <n v="1"/>
    <n v="1"/>
    <s v="W"/>
    <s v="31"/>
    <x v="3"/>
    <s v="6110005"/>
    <n v="1"/>
    <n v="773"/>
    <n v="773"/>
  </r>
  <r>
    <s v="RESI"/>
    <x v="2"/>
    <x v="3"/>
    <x v="0"/>
    <x v="0"/>
    <n v="1"/>
    <n v="1"/>
    <n v="1"/>
    <s v="W"/>
    <s v="31"/>
    <x v="3"/>
    <s v="6110005"/>
    <n v="1"/>
    <n v="446"/>
    <n v="446"/>
  </r>
  <r>
    <s v="RESI"/>
    <x v="2"/>
    <x v="3"/>
    <x v="0"/>
    <x v="0"/>
    <n v="1"/>
    <n v="1"/>
    <n v="1"/>
    <s v="W"/>
    <s v="36"/>
    <x v="8"/>
    <s v="6110006"/>
    <n v="1"/>
    <n v="67"/>
    <n v="67"/>
  </r>
  <r>
    <s v="RESI"/>
    <x v="2"/>
    <x v="3"/>
    <x v="0"/>
    <x v="3"/>
    <n v="1"/>
    <n v="1"/>
    <n v="1"/>
    <s v="W"/>
    <s v="36"/>
    <x v="8"/>
    <s v="6110006"/>
    <n v="1"/>
    <n v="16"/>
    <n v="16"/>
  </r>
  <r>
    <s v="RESI"/>
    <x v="2"/>
    <x v="3"/>
    <x v="0"/>
    <x v="3"/>
    <n v="1"/>
    <n v="1"/>
    <n v="1"/>
    <s v="W"/>
    <s v="30"/>
    <x v="2"/>
    <s v="6110008"/>
    <n v="1"/>
    <n v="17"/>
    <n v="17"/>
  </r>
  <r>
    <s v="RESI"/>
    <x v="2"/>
    <x v="3"/>
    <x v="0"/>
    <x v="0"/>
    <n v="1"/>
    <n v="1"/>
    <n v="1"/>
    <s v="W"/>
    <s v="30"/>
    <x v="2"/>
    <s v="6110008"/>
    <n v="1"/>
    <n v="53"/>
    <n v="53"/>
  </r>
  <r>
    <s v="RESI"/>
    <x v="2"/>
    <x v="3"/>
    <x v="0"/>
    <x v="0"/>
    <n v="1"/>
    <n v="1"/>
    <n v="1"/>
    <s v="W"/>
    <s v="30"/>
    <x v="2"/>
    <s v="6110009"/>
    <n v="1"/>
    <n v="15"/>
    <n v="15"/>
  </r>
  <r>
    <s v="RESI"/>
    <x v="2"/>
    <x v="3"/>
    <x v="0"/>
    <x v="3"/>
    <n v="1"/>
    <n v="1"/>
    <n v="1"/>
    <s v="W"/>
    <s v="30"/>
    <x v="2"/>
    <s v="6110009"/>
    <n v="1"/>
    <n v="9"/>
    <n v="9"/>
  </r>
  <r>
    <s v="RESI"/>
    <x v="2"/>
    <x v="3"/>
    <x v="0"/>
    <x v="0"/>
    <n v="1"/>
    <n v="1"/>
    <n v="1"/>
    <s v="W"/>
    <s v="35"/>
    <x v="4"/>
    <s v="6110015"/>
    <n v="1"/>
    <n v="1248"/>
    <n v="1248"/>
  </r>
  <r>
    <s v="RESI"/>
    <x v="2"/>
    <x v="3"/>
    <x v="0"/>
    <x v="3"/>
    <n v="1"/>
    <n v="1"/>
    <n v="1"/>
    <s v="W"/>
    <s v="35"/>
    <x v="4"/>
    <s v="6110015"/>
    <n v="1"/>
    <n v="295"/>
    <n v="295"/>
  </r>
  <r>
    <s v="RESI"/>
    <x v="2"/>
    <x v="3"/>
    <x v="0"/>
    <x v="0"/>
    <n v="1"/>
    <n v="1"/>
    <n v="1"/>
    <s v="W"/>
    <s v="30"/>
    <x v="2"/>
    <s v="6110028"/>
    <n v="1"/>
    <n v="644"/>
    <n v="644"/>
  </r>
  <r>
    <s v="RESI"/>
    <x v="2"/>
    <x v="3"/>
    <x v="0"/>
    <x v="3"/>
    <n v="1"/>
    <n v="1"/>
    <n v="1"/>
    <s v="W"/>
    <s v="30"/>
    <x v="2"/>
    <s v="6110028"/>
    <n v="1"/>
    <n v="163"/>
    <n v="163"/>
  </r>
  <r>
    <s v="RESI"/>
    <x v="2"/>
    <x v="3"/>
    <x v="0"/>
    <x v="0"/>
    <n v="1"/>
    <n v="1"/>
    <n v="1"/>
    <s v="W"/>
    <s v="30"/>
    <x v="2"/>
    <s v="6120002"/>
    <n v="2"/>
    <n v="13"/>
    <n v="13"/>
  </r>
  <r>
    <s v="RESI"/>
    <x v="2"/>
    <x v="3"/>
    <x v="0"/>
    <x v="3"/>
    <n v="1"/>
    <n v="1"/>
    <n v="1"/>
    <s v="W"/>
    <s v="30"/>
    <x v="2"/>
    <s v="6120002"/>
    <n v="2"/>
    <n v="1"/>
    <n v="1"/>
  </r>
  <r>
    <s v="RESI"/>
    <x v="2"/>
    <x v="3"/>
    <x v="0"/>
    <x v="3"/>
    <n v="1"/>
    <n v="1"/>
    <n v="1"/>
    <s v="W"/>
    <s v="30"/>
    <x v="2"/>
    <s v="6120003"/>
    <n v="2"/>
    <n v="5"/>
    <n v="5"/>
  </r>
  <r>
    <s v="RESI"/>
    <x v="2"/>
    <x v="3"/>
    <x v="0"/>
    <x v="0"/>
    <n v="1"/>
    <n v="1"/>
    <n v="1"/>
    <s v="W"/>
    <s v="30"/>
    <x v="2"/>
    <s v="6120003"/>
    <n v="2"/>
    <n v="5"/>
    <n v="5"/>
  </r>
  <r>
    <s v="RESI"/>
    <x v="2"/>
    <x v="3"/>
    <x v="0"/>
    <x v="0"/>
    <n v="1"/>
    <n v="1"/>
    <n v="1"/>
    <s v="W"/>
    <s v="32"/>
    <x v="7"/>
    <s v="6120004"/>
    <n v="2"/>
    <n v="138"/>
    <n v="138"/>
  </r>
  <r>
    <s v="RESI"/>
    <x v="2"/>
    <x v="3"/>
    <x v="0"/>
    <x v="3"/>
    <n v="1"/>
    <n v="1"/>
    <n v="1"/>
    <s v="W"/>
    <s v="32"/>
    <x v="7"/>
    <s v="6120004"/>
    <n v="2"/>
    <n v="79"/>
    <n v="79"/>
  </r>
  <r>
    <s v="RESI"/>
    <x v="2"/>
    <x v="3"/>
    <x v="0"/>
    <x v="3"/>
    <n v="1"/>
    <n v="1"/>
    <n v="1"/>
    <s v="W"/>
    <s v="31"/>
    <x v="3"/>
    <s v="6120005"/>
    <n v="2"/>
    <n v="442"/>
    <n v="442"/>
  </r>
  <r>
    <s v="RESI"/>
    <x v="2"/>
    <x v="3"/>
    <x v="0"/>
    <x v="0"/>
    <n v="1"/>
    <n v="1"/>
    <n v="1"/>
    <s v="W"/>
    <s v="31"/>
    <x v="3"/>
    <s v="6120005"/>
    <n v="2"/>
    <n v="508"/>
    <n v="508"/>
  </r>
  <r>
    <s v="RESI"/>
    <x v="2"/>
    <x v="3"/>
    <x v="0"/>
    <x v="0"/>
    <n v="1"/>
    <n v="1"/>
    <n v="1"/>
    <s v="W"/>
    <s v="36"/>
    <x v="8"/>
    <s v="6120006"/>
    <n v="2"/>
    <n v="67"/>
    <n v="67"/>
  </r>
  <r>
    <s v="RESI"/>
    <x v="2"/>
    <x v="3"/>
    <x v="0"/>
    <x v="3"/>
    <n v="1"/>
    <n v="1"/>
    <n v="1"/>
    <s v="W"/>
    <s v="36"/>
    <x v="8"/>
    <s v="6120006"/>
    <n v="2"/>
    <n v="30"/>
    <n v="30"/>
  </r>
  <r>
    <s v="RESI"/>
    <x v="2"/>
    <x v="3"/>
    <x v="0"/>
    <x v="3"/>
    <n v="1"/>
    <n v="1"/>
    <n v="1"/>
    <s v="W"/>
    <s v="30"/>
    <x v="2"/>
    <s v="6120008"/>
    <n v="2"/>
    <n v="37"/>
    <n v="37"/>
  </r>
  <r>
    <s v="RESI"/>
    <x v="2"/>
    <x v="3"/>
    <x v="0"/>
    <x v="0"/>
    <n v="1"/>
    <n v="1"/>
    <n v="1"/>
    <s v="W"/>
    <s v="30"/>
    <x v="2"/>
    <s v="6120008"/>
    <n v="2"/>
    <n v="62"/>
    <n v="62"/>
  </r>
  <r>
    <s v="RESI"/>
    <x v="2"/>
    <x v="3"/>
    <x v="0"/>
    <x v="0"/>
    <n v="1"/>
    <n v="1"/>
    <n v="1"/>
    <s v="W"/>
    <s v="30"/>
    <x v="2"/>
    <s v="6120009"/>
    <n v="2"/>
    <n v="20"/>
    <n v="20"/>
  </r>
  <r>
    <s v="RESI"/>
    <x v="2"/>
    <x v="3"/>
    <x v="0"/>
    <x v="3"/>
    <n v="1"/>
    <n v="1"/>
    <n v="1"/>
    <s v="W"/>
    <s v="30"/>
    <x v="2"/>
    <s v="6120009"/>
    <n v="2"/>
    <n v="14"/>
    <n v="14"/>
  </r>
  <r>
    <s v="RESI"/>
    <x v="2"/>
    <x v="3"/>
    <x v="0"/>
    <x v="0"/>
    <n v="1"/>
    <n v="1"/>
    <n v="1"/>
    <s v="W"/>
    <s v="35"/>
    <x v="4"/>
    <s v="6120015"/>
    <n v="2"/>
    <n v="1147"/>
    <n v="1147"/>
  </r>
  <r>
    <s v="RESI"/>
    <x v="2"/>
    <x v="3"/>
    <x v="0"/>
    <x v="3"/>
    <n v="1"/>
    <n v="1"/>
    <n v="1"/>
    <s v="W"/>
    <s v="35"/>
    <x v="4"/>
    <s v="6120015"/>
    <n v="2"/>
    <n v="238"/>
    <n v="238"/>
  </r>
  <r>
    <s v="RESI"/>
    <x v="2"/>
    <x v="3"/>
    <x v="0"/>
    <x v="0"/>
    <n v="1"/>
    <n v="1"/>
    <n v="1"/>
    <s v="W"/>
    <s v="30"/>
    <x v="2"/>
    <s v="6120028"/>
    <n v="2"/>
    <n v="579"/>
    <n v="579"/>
  </r>
  <r>
    <s v="RESI"/>
    <x v="2"/>
    <x v="3"/>
    <x v="0"/>
    <x v="0"/>
    <n v="1"/>
    <n v="1"/>
    <n v="1"/>
    <s v="W"/>
    <s v="31"/>
    <x v="3"/>
    <s v="6120028"/>
    <n v="2"/>
    <n v="1"/>
    <n v="1"/>
  </r>
  <r>
    <s v="RESI"/>
    <x v="2"/>
    <x v="3"/>
    <x v="0"/>
    <x v="3"/>
    <n v="1"/>
    <n v="1"/>
    <n v="1"/>
    <s v="W"/>
    <s v="30"/>
    <x v="2"/>
    <s v="6120028"/>
    <n v="2"/>
    <n v="145"/>
    <n v="145"/>
  </r>
  <r>
    <s v="RESI"/>
    <x v="2"/>
    <x v="3"/>
    <x v="0"/>
    <x v="3"/>
    <n v="1"/>
    <n v="1"/>
    <n v="1"/>
    <s v="W"/>
    <s v="33"/>
    <x v="9"/>
    <s v="6120040"/>
    <n v="2"/>
    <n v="403"/>
    <n v="403"/>
  </r>
  <r>
    <s v="RESI"/>
    <x v="2"/>
    <x v="3"/>
    <x v="0"/>
    <x v="0"/>
    <n v="1"/>
    <n v="1"/>
    <n v="1"/>
    <s v="W"/>
    <s v="33"/>
    <x v="9"/>
    <s v="6120040"/>
    <n v="2"/>
    <n v="476"/>
    <n v="476"/>
  </r>
  <r>
    <s v="RESI"/>
    <x v="2"/>
    <x v="3"/>
    <x v="0"/>
    <x v="3"/>
    <n v="1"/>
    <n v="1"/>
    <n v="1"/>
    <s v="W"/>
    <s v="30"/>
    <x v="2"/>
    <s v="6130002"/>
    <n v="3"/>
    <n v="1"/>
    <n v="1"/>
  </r>
  <r>
    <s v="RESI"/>
    <x v="2"/>
    <x v="3"/>
    <x v="0"/>
    <x v="0"/>
    <n v="1"/>
    <n v="1"/>
    <n v="1"/>
    <s v="W"/>
    <s v="30"/>
    <x v="2"/>
    <s v="6130002"/>
    <n v="3"/>
    <n v="4"/>
    <n v="4"/>
  </r>
  <r>
    <s v="RESI"/>
    <x v="2"/>
    <x v="3"/>
    <x v="0"/>
    <x v="0"/>
    <n v="1"/>
    <n v="1"/>
    <n v="1"/>
    <s v="W"/>
    <s v="30"/>
    <x v="2"/>
    <s v="6130003"/>
    <n v="3"/>
    <n v="16"/>
    <n v="16"/>
  </r>
  <r>
    <s v="RESI"/>
    <x v="2"/>
    <x v="3"/>
    <x v="0"/>
    <x v="3"/>
    <n v="1"/>
    <n v="1"/>
    <n v="1"/>
    <s v="W"/>
    <s v="30"/>
    <x v="2"/>
    <s v="6130003"/>
    <n v="3"/>
    <n v="3"/>
    <n v="3"/>
  </r>
  <r>
    <s v="RESI"/>
    <x v="2"/>
    <x v="3"/>
    <x v="0"/>
    <x v="0"/>
    <n v="1"/>
    <n v="1"/>
    <n v="1"/>
    <s v="W"/>
    <s v="32"/>
    <x v="7"/>
    <s v="6130004"/>
    <n v="3"/>
    <n v="215"/>
    <n v="215"/>
  </r>
  <r>
    <s v="RESI"/>
    <x v="2"/>
    <x v="3"/>
    <x v="0"/>
    <x v="3"/>
    <n v="1"/>
    <n v="1"/>
    <n v="1"/>
    <s v="W"/>
    <s v="32"/>
    <x v="7"/>
    <s v="6130004"/>
    <n v="3"/>
    <n v="195"/>
    <n v="195"/>
  </r>
  <r>
    <s v="RESI"/>
    <x v="2"/>
    <x v="3"/>
    <x v="0"/>
    <x v="0"/>
    <n v="1"/>
    <n v="1"/>
    <n v="1"/>
    <s v="W"/>
    <s v="31"/>
    <x v="3"/>
    <s v="6130005"/>
    <n v="3"/>
    <n v="425"/>
    <n v="425"/>
  </r>
  <r>
    <s v="RESI"/>
    <x v="2"/>
    <x v="3"/>
    <x v="0"/>
    <x v="0"/>
    <n v="1"/>
    <n v="1"/>
    <n v="1"/>
    <s v="W"/>
    <s v="32"/>
    <x v="7"/>
    <s v="6130005"/>
    <n v="3"/>
    <n v="1"/>
    <n v="1"/>
  </r>
  <r>
    <s v="RESI"/>
    <x v="2"/>
    <x v="3"/>
    <x v="0"/>
    <x v="3"/>
    <n v="1"/>
    <n v="1"/>
    <n v="1"/>
    <s v="W"/>
    <s v="31"/>
    <x v="3"/>
    <s v="6130005"/>
    <n v="3"/>
    <n v="534"/>
    <n v="534"/>
  </r>
  <r>
    <s v="RESI"/>
    <x v="2"/>
    <x v="3"/>
    <x v="0"/>
    <x v="0"/>
    <n v="1"/>
    <n v="1"/>
    <n v="1"/>
    <s v="W"/>
    <s v="36"/>
    <x v="8"/>
    <s v="6130006"/>
    <n v="3"/>
    <n v="62"/>
    <n v="62"/>
  </r>
  <r>
    <s v="RESI"/>
    <x v="2"/>
    <x v="3"/>
    <x v="0"/>
    <x v="3"/>
    <n v="1"/>
    <n v="1"/>
    <n v="1"/>
    <s v="W"/>
    <s v="36"/>
    <x v="8"/>
    <s v="6130006"/>
    <n v="3"/>
    <n v="19"/>
    <n v="19"/>
  </r>
  <r>
    <s v="RESI"/>
    <x v="2"/>
    <x v="3"/>
    <x v="0"/>
    <x v="3"/>
    <n v="1"/>
    <n v="1"/>
    <n v="1"/>
    <s v="W"/>
    <s v="30"/>
    <x v="2"/>
    <s v="6130008"/>
    <n v="3"/>
    <n v="13"/>
    <n v="13"/>
  </r>
  <r>
    <s v="RESI"/>
    <x v="2"/>
    <x v="3"/>
    <x v="0"/>
    <x v="0"/>
    <n v="1"/>
    <n v="1"/>
    <n v="1"/>
    <s v="W"/>
    <s v="30"/>
    <x v="2"/>
    <s v="6130008"/>
    <n v="3"/>
    <n v="56"/>
    <n v="56"/>
  </r>
  <r>
    <s v="RESI"/>
    <x v="2"/>
    <x v="3"/>
    <x v="0"/>
    <x v="0"/>
    <n v="1"/>
    <n v="1"/>
    <n v="1"/>
    <s v="W"/>
    <s v="30"/>
    <x v="2"/>
    <s v="6130009"/>
    <n v="3"/>
    <n v="24"/>
    <n v="24"/>
  </r>
  <r>
    <s v="RESI"/>
    <x v="2"/>
    <x v="3"/>
    <x v="0"/>
    <x v="3"/>
    <n v="1"/>
    <n v="1"/>
    <n v="1"/>
    <s v="W"/>
    <s v="30"/>
    <x v="2"/>
    <s v="6130009"/>
    <n v="3"/>
    <n v="8"/>
    <n v="8"/>
  </r>
  <r>
    <s v="RESI"/>
    <x v="2"/>
    <x v="3"/>
    <x v="0"/>
    <x v="0"/>
    <n v="1"/>
    <n v="1"/>
    <n v="1"/>
    <s v="W"/>
    <s v="35"/>
    <x v="4"/>
    <s v="6130015"/>
    <n v="3"/>
    <n v="1193"/>
    <n v="1193"/>
  </r>
  <r>
    <s v="RESI"/>
    <x v="2"/>
    <x v="3"/>
    <x v="0"/>
    <x v="3"/>
    <n v="1"/>
    <n v="1"/>
    <n v="1"/>
    <s v="W"/>
    <s v="35"/>
    <x v="4"/>
    <s v="6130015"/>
    <n v="3"/>
    <n v="245"/>
    <n v="245"/>
  </r>
  <r>
    <s v="RESI"/>
    <x v="2"/>
    <x v="3"/>
    <x v="0"/>
    <x v="0"/>
    <n v="1"/>
    <n v="1"/>
    <n v="1"/>
    <s v="W"/>
    <s v="3A"/>
    <x v="0"/>
    <s v="6130022"/>
    <n v="3"/>
    <n v="15"/>
    <n v="15"/>
  </r>
  <r>
    <s v="RESI"/>
    <x v="2"/>
    <x v="3"/>
    <x v="0"/>
    <x v="0"/>
    <n v="1"/>
    <n v="1"/>
    <n v="1"/>
    <s v="W"/>
    <s v="30"/>
    <x v="2"/>
    <s v="6130028"/>
    <n v="3"/>
    <n v="684"/>
    <n v="684"/>
  </r>
  <r>
    <s v="RESI"/>
    <x v="2"/>
    <x v="3"/>
    <x v="0"/>
    <x v="3"/>
    <n v="1"/>
    <n v="1"/>
    <n v="1"/>
    <s v="W"/>
    <s v="30"/>
    <x v="2"/>
    <s v="6130028"/>
    <n v="3"/>
    <n v="238"/>
    <n v="238"/>
  </r>
  <r>
    <s v="COMM"/>
    <x v="2"/>
    <x v="3"/>
    <x v="0"/>
    <x v="3"/>
    <n v="1"/>
    <n v="1"/>
    <n v="1"/>
    <s v="W"/>
    <s v="10"/>
    <x v="14"/>
    <s v="6170002"/>
    <n v="9"/>
    <n v="2"/>
    <n v="2"/>
  </r>
  <r>
    <s v="COMM"/>
    <x v="2"/>
    <x v="3"/>
    <x v="0"/>
    <x v="3"/>
    <n v="1"/>
    <n v="1"/>
    <n v="1"/>
    <s v="W"/>
    <s v="12"/>
    <x v="10"/>
    <s v="6170004"/>
    <n v="9"/>
    <n v="2"/>
    <n v="2"/>
  </r>
  <r>
    <s v="COMM"/>
    <x v="2"/>
    <x v="3"/>
    <x v="0"/>
    <x v="3"/>
    <n v="1"/>
    <n v="1"/>
    <n v="1"/>
    <s v="W"/>
    <s v="11"/>
    <x v="11"/>
    <s v="6170005"/>
    <n v="9"/>
    <n v="6"/>
    <n v="6"/>
  </r>
  <r>
    <s v="COMM"/>
    <x v="2"/>
    <x v="3"/>
    <x v="0"/>
    <x v="3"/>
    <n v="1"/>
    <n v="1"/>
    <n v="1"/>
    <s v="W"/>
    <s v="16"/>
    <x v="16"/>
    <s v="6170006"/>
    <n v="9"/>
    <n v="2"/>
    <n v="2"/>
  </r>
  <r>
    <s v="COMM"/>
    <x v="2"/>
    <x v="3"/>
    <x v="0"/>
    <x v="3"/>
    <n v="1"/>
    <n v="1"/>
    <n v="1"/>
    <s v="W"/>
    <s v="10"/>
    <x v="14"/>
    <s v="6170009"/>
    <n v="9"/>
    <n v="1"/>
    <n v="1"/>
  </r>
  <r>
    <s v="COMM"/>
    <x v="2"/>
    <x v="3"/>
    <x v="0"/>
    <x v="3"/>
    <n v="1"/>
    <n v="1"/>
    <n v="1"/>
    <s v="W"/>
    <s v="15"/>
    <x v="12"/>
    <s v="6170015"/>
    <n v="9"/>
    <n v="1"/>
    <n v="1"/>
  </r>
  <r>
    <s v="COMM"/>
    <x v="2"/>
    <x v="3"/>
    <x v="0"/>
    <x v="2"/>
    <n v="1"/>
    <n v="1"/>
    <n v="1"/>
    <s v="W"/>
    <s v="11"/>
    <x v="11"/>
    <s v="6170055"/>
    <n v="9"/>
    <n v="1"/>
    <n v="1"/>
  </r>
  <r>
    <s v="RESI"/>
    <x v="2"/>
    <x v="3"/>
    <x v="0"/>
    <x v="0"/>
    <n v="1"/>
    <n v="1"/>
    <n v="4"/>
    <s v="W"/>
    <s v="3B"/>
    <x v="2"/>
    <s v="6080001"/>
    <n v="1"/>
    <n v="1"/>
    <n v="1"/>
  </r>
  <r>
    <s v="RESI"/>
    <x v="2"/>
    <x v="3"/>
    <x v="0"/>
    <x v="0"/>
    <n v="1"/>
    <n v="1"/>
    <n v="4"/>
    <s v="W"/>
    <s v="3B"/>
    <x v="2"/>
    <s v="6080020"/>
    <n v="2"/>
    <n v="1"/>
    <n v="1"/>
  </r>
  <r>
    <s v="RESI"/>
    <x v="2"/>
    <x v="3"/>
    <x v="0"/>
    <x v="0"/>
    <n v="1"/>
    <n v="1"/>
    <n v="4"/>
    <s v="W"/>
    <s v="32"/>
    <x v="7"/>
    <s v="6110004"/>
    <n v="1"/>
    <n v="4"/>
    <n v="4"/>
  </r>
  <r>
    <s v="RESI"/>
    <x v="2"/>
    <x v="3"/>
    <x v="0"/>
    <x v="3"/>
    <n v="1"/>
    <n v="1"/>
    <n v="4"/>
    <s v="W"/>
    <s v="35"/>
    <x v="4"/>
    <s v="6110015"/>
    <n v="1"/>
    <n v="1"/>
    <n v="1"/>
  </r>
  <r>
    <s v="RESI"/>
    <x v="2"/>
    <x v="3"/>
    <x v="0"/>
    <x v="0"/>
    <n v="1"/>
    <n v="1"/>
    <n v="4"/>
    <s v="W"/>
    <s v="30"/>
    <x v="2"/>
    <s v="6110028"/>
    <n v="1"/>
    <n v="3"/>
    <n v="3"/>
  </r>
  <r>
    <s v="RESI"/>
    <x v="2"/>
    <x v="3"/>
    <x v="0"/>
    <x v="0"/>
    <n v="1"/>
    <n v="1"/>
    <n v="4"/>
    <s v="W"/>
    <s v="32"/>
    <x v="7"/>
    <s v="6120004"/>
    <n v="2"/>
    <n v="1"/>
    <n v="1"/>
  </r>
  <r>
    <s v="RESI"/>
    <x v="2"/>
    <x v="3"/>
    <x v="0"/>
    <x v="0"/>
    <n v="1"/>
    <n v="1"/>
    <n v="4"/>
    <s v="W"/>
    <s v="32"/>
    <x v="7"/>
    <s v="6130004"/>
    <n v="3"/>
    <n v="2"/>
    <n v="2"/>
  </r>
  <r>
    <s v="RESI"/>
    <x v="2"/>
    <x v="3"/>
    <x v="0"/>
    <x v="0"/>
    <n v="1"/>
    <n v="1"/>
    <n v="4"/>
    <s v="W"/>
    <s v="35"/>
    <x v="4"/>
    <s v="6130015"/>
    <n v="3"/>
    <n v="1"/>
    <n v="1"/>
  </r>
  <r>
    <s v="RESI"/>
    <x v="2"/>
    <x v="3"/>
    <x v="0"/>
    <x v="0"/>
    <n v="1"/>
    <n v="1"/>
    <n v="4"/>
    <s v="W"/>
    <s v="30"/>
    <x v="2"/>
    <s v="6130028"/>
    <n v="3"/>
    <n v="1"/>
    <n v="1"/>
  </r>
  <r>
    <s v="RESI"/>
    <x v="2"/>
    <x v="3"/>
    <x v="0"/>
    <x v="0"/>
    <n v="1"/>
    <n v="2"/>
    <n v="1"/>
    <s v="W"/>
    <s v="31"/>
    <x v="3"/>
    <s v="6120005"/>
    <n v="2"/>
    <n v="1"/>
    <n v="1"/>
  </r>
  <r>
    <s v="RESI"/>
    <x v="2"/>
    <x v="3"/>
    <x v="0"/>
    <x v="0"/>
    <n v="1"/>
    <n v="2"/>
    <n v="1"/>
    <s v="W"/>
    <s v="32"/>
    <x v="7"/>
    <s v="6130004"/>
    <n v="3"/>
    <n v="1"/>
    <n v="1"/>
  </r>
  <r>
    <s v="RESI"/>
    <x v="2"/>
    <x v="3"/>
    <x v="0"/>
    <x v="3"/>
    <n v="1"/>
    <n v="2"/>
    <n v="1"/>
    <s v="W"/>
    <s v="30"/>
    <x v="2"/>
    <s v="6130028"/>
    <n v="3"/>
    <n v="1"/>
    <n v="1"/>
  </r>
  <r>
    <s v="RESI"/>
    <x v="2"/>
    <x v="3"/>
    <x v="0"/>
    <x v="0"/>
    <n v="2"/>
    <n v="1"/>
    <n v="1"/>
    <s v="W"/>
    <s v="3B"/>
    <x v="2"/>
    <s v="6080001"/>
    <n v="1"/>
    <n v="2"/>
    <n v="1"/>
  </r>
  <r>
    <s v="RESI"/>
    <x v="2"/>
    <x v="3"/>
    <x v="0"/>
    <x v="0"/>
    <n v="2"/>
    <n v="1"/>
    <n v="1"/>
    <s v="W"/>
    <s v="35"/>
    <x v="4"/>
    <s v="6110015"/>
    <n v="1"/>
    <n v="2"/>
    <n v="1"/>
  </r>
  <r>
    <s v="RESI"/>
    <x v="2"/>
    <x v="3"/>
    <x v="0"/>
    <x v="0"/>
    <n v="2"/>
    <n v="1"/>
    <n v="1"/>
    <s v="W"/>
    <s v="35"/>
    <x v="4"/>
    <s v="6130015"/>
    <n v="3"/>
    <n v="2"/>
    <n v="1"/>
  </r>
  <r>
    <s v="RESI"/>
    <x v="2"/>
    <x v="3"/>
    <x v="0"/>
    <x v="0"/>
    <n v="2"/>
    <n v="2"/>
    <n v="1"/>
    <s v="W"/>
    <s v="3B"/>
    <x v="2"/>
    <s v="6080001"/>
    <n v="1"/>
    <n v="80"/>
    <n v="40"/>
  </r>
  <r>
    <s v="RESI"/>
    <x v="2"/>
    <x v="3"/>
    <x v="0"/>
    <x v="3"/>
    <n v="2"/>
    <n v="2"/>
    <n v="1"/>
    <s v="W"/>
    <s v="3B"/>
    <x v="2"/>
    <s v="6080001"/>
    <n v="1"/>
    <n v="18"/>
    <n v="9"/>
  </r>
  <r>
    <s v="RESI"/>
    <x v="2"/>
    <x v="3"/>
    <x v="0"/>
    <x v="0"/>
    <n v="2"/>
    <n v="2"/>
    <n v="1"/>
    <s v="W"/>
    <s v="3C"/>
    <x v="5"/>
    <s v="6080004"/>
    <n v="1"/>
    <n v="2"/>
    <n v="1"/>
  </r>
  <r>
    <s v="COMM"/>
    <x v="2"/>
    <x v="3"/>
    <x v="0"/>
    <x v="3"/>
    <n v="2"/>
    <n v="2"/>
    <n v="1"/>
    <s v="W"/>
    <s v="1C"/>
    <x v="6"/>
    <s v="6080004"/>
    <n v="4"/>
    <n v="6"/>
    <n v="3"/>
  </r>
  <r>
    <s v="RESI"/>
    <x v="2"/>
    <x v="3"/>
    <x v="0"/>
    <x v="3"/>
    <n v="2"/>
    <n v="2"/>
    <n v="1"/>
    <s v="W"/>
    <s v="3B"/>
    <x v="2"/>
    <s v="6080020"/>
    <n v="2"/>
    <n v="28"/>
    <n v="14"/>
  </r>
  <r>
    <s v="RESI"/>
    <x v="2"/>
    <x v="3"/>
    <x v="0"/>
    <x v="0"/>
    <n v="2"/>
    <n v="2"/>
    <n v="1"/>
    <s v="W"/>
    <s v="3B"/>
    <x v="2"/>
    <s v="6080020"/>
    <n v="2"/>
    <n v="76"/>
    <n v="38"/>
  </r>
  <r>
    <s v="COMM"/>
    <x v="2"/>
    <x v="3"/>
    <x v="0"/>
    <x v="3"/>
    <n v="2"/>
    <n v="2"/>
    <n v="1"/>
    <s v="W"/>
    <s v="1B"/>
    <x v="14"/>
    <s v="6080040"/>
    <n v="4"/>
    <n v="2"/>
    <n v="1"/>
  </r>
  <r>
    <s v="RESI"/>
    <x v="2"/>
    <x v="3"/>
    <x v="0"/>
    <x v="3"/>
    <n v="2"/>
    <n v="2"/>
    <n v="1"/>
    <s v="W"/>
    <s v="3B"/>
    <x v="2"/>
    <s v="6080050"/>
    <n v="5"/>
    <n v="26"/>
    <n v="13"/>
  </r>
  <r>
    <s v="RESI"/>
    <x v="2"/>
    <x v="3"/>
    <x v="0"/>
    <x v="0"/>
    <n v="2"/>
    <n v="2"/>
    <n v="1"/>
    <s v="W"/>
    <s v="3B"/>
    <x v="2"/>
    <s v="6080050"/>
    <n v="5"/>
    <n v="76"/>
    <n v="38"/>
  </r>
  <r>
    <s v="RESI"/>
    <x v="2"/>
    <x v="3"/>
    <x v="0"/>
    <x v="0"/>
    <n v="2"/>
    <n v="2"/>
    <n v="1"/>
    <s v="W"/>
    <s v="32"/>
    <x v="7"/>
    <s v="6110004"/>
    <n v="1"/>
    <n v="6"/>
    <n v="3"/>
  </r>
  <r>
    <s v="RESI"/>
    <x v="2"/>
    <x v="3"/>
    <x v="0"/>
    <x v="3"/>
    <n v="2"/>
    <n v="2"/>
    <n v="1"/>
    <s v="W"/>
    <s v="32"/>
    <x v="7"/>
    <s v="6110004"/>
    <n v="1"/>
    <n v="2"/>
    <n v="1"/>
  </r>
  <r>
    <s v="RESI"/>
    <x v="2"/>
    <x v="3"/>
    <x v="0"/>
    <x v="0"/>
    <n v="2"/>
    <n v="2"/>
    <n v="1"/>
    <s v="W"/>
    <s v="31"/>
    <x v="3"/>
    <s v="6110005"/>
    <n v="1"/>
    <n v="34"/>
    <n v="17"/>
  </r>
  <r>
    <s v="RESI"/>
    <x v="2"/>
    <x v="3"/>
    <x v="0"/>
    <x v="3"/>
    <n v="2"/>
    <n v="2"/>
    <n v="1"/>
    <s v="W"/>
    <s v="31"/>
    <x v="3"/>
    <s v="6110005"/>
    <n v="1"/>
    <n v="84"/>
    <n v="42"/>
  </r>
  <r>
    <s v="RESI"/>
    <x v="2"/>
    <x v="3"/>
    <x v="0"/>
    <x v="0"/>
    <n v="2"/>
    <n v="2"/>
    <n v="1"/>
    <s v="W"/>
    <s v="36"/>
    <x v="8"/>
    <s v="6110006"/>
    <n v="1"/>
    <n v="2"/>
    <n v="1"/>
  </r>
  <r>
    <s v="RESI"/>
    <x v="2"/>
    <x v="3"/>
    <x v="0"/>
    <x v="0"/>
    <n v="2"/>
    <n v="2"/>
    <n v="1"/>
    <s v="W"/>
    <s v="30"/>
    <x v="2"/>
    <s v="6110008"/>
    <n v="1"/>
    <n v="2"/>
    <n v="1"/>
  </r>
  <r>
    <s v="RESI"/>
    <x v="2"/>
    <x v="3"/>
    <x v="0"/>
    <x v="0"/>
    <n v="2"/>
    <n v="2"/>
    <n v="1"/>
    <s v="W"/>
    <s v="35"/>
    <x v="4"/>
    <s v="6110015"/>
    <n v="1"/>
    <n v="174"/>
    <n v="87"/>
  </r>
  <r>
    <s v="RESI"/>
    <x v="2"/>
    <x v="3"/>
    <x v="0"/>
    <x v="3"/>
    <n v="2"/>
    <n v="2"/>
    <n v="1"/>
    <s v="W"/>
    <s v="35"/>
    <x v="4"/>
    <s v="6110015"/>
    <n v="1"/>
    <n v="86"/>
    <n v="43"/>
  </r>
  <r>
    <s v="RESI"/>
    <x v="2"/>
    <x v="3"/>
    <x v="0"/>
    <x v="3"/>
    <n v="2"/>
    <n v="2"/>
    <n v="1"/>
    <s v="W"/>
    <s v="30"/>
    <x v="2"/>
    <s v="6110028"/>
    <n v="1"/>
    <n v="2"/>
    <n v="1"/>
  </r>
  <r>
    <s v="RESI"/>
    <x v="2"/>
    <x v="3"/>
    <x v="0"/>
    <x v="0"/>
    <n v="2"/>
    <n v="2"/>
    <n v="1"/>
    <s v="W"/>
    <s v="30"/>
    <x v="2"/>
    <s v="6110028"/>
    <n v="1"/>
    <n v="14"/>
    <n v="7"/>
  </r>
  <r>
    <s v="RESI"/>
    <x v="2"/>
    <x v="3"/>
    <x v="0"/>
    <x v="3"/>
    <n v="2"/>
    <n v="2"/>
    <n v="1"/>
    <s v="W"/>
    <s v="30"/>
    <x v="2"/>
    <s v="6120002"/>
    <n v="2"/>
    <n v="2"/>
    <n v="1"/>
  </r>
  <r>
    <s v="RESI"/>
    <x v="2"/>
    <x v="3"/>
    <x v="0"/>
    <x v="0"/>
    <n v="2"/>
    <n v="2"/>
    <n v="1"/>
    <s v="W"/>
    <s v="30"/>
    <x v="2"/>
    <s v="6120002"/>
    <n v="2"/>
    <n v="2"/>
    <n v="1"/>
  </r>
  <r>
    <s v="RESI"/>
    <x v="2"/>
    <x v="3"/>
    <x v="0"/>
    <x v="0"/>
    <n v="2"/>
    <n v="2"/>
    <n v="1"/>
    <s v="W"/>
    <s v="32"/>
    <x v="7"/>
    <s v="6120004"/>
    <n v="2"/>
    <n v="6"/>
    <n v="3"/>
  </r>
  <r>
    <s v="RESI"/>
    <x v="2"/>
    <x v="3"/>
    <x v="0"/>
    <x v="3"/>
    <n v="2"/>
    <n v="2"/>
    <n v="1"/>
    <s v="W"/>
    <s v="32"/>
    <x v="7"/>
    <s v="6120004"/>
    <n v="2"/>
    <n v="2"/>
    <n v="1"/>
  </r>
  <r>
    <s v="RESI"/>
    <x v="2"/>
    <x v="3"/>
    <x v="0"/>
    <x v="0"/>
    <n v="2"/>
    <n v="2"/>
    <n v="1"/>
    <s v="W"/>
    <s v="31"/>
    <x v="3"/>
    <s v="6120005"/>
    <n v="2"/>
    <n v="38"/>
    <n v="19"/>
  </r>
  <r>
    <s v="RESI"/>
    <x v="2"/>
    <x v="3"/>
    <x v="0"/>
    <x v="3"/>
    <n v="2"/>
    <n v="2"/>
    <n v="1"/>
    <s v="W"/>
    <s v="31"/>
    <x v="3"/>
    <s v="6120005"/>
    <n v="2"/>
    <n v="28"/>
    <n v="14"/>
  </r>
  <r>
    <s v="RESI"/>
    <x v="2"/>
    <x v="3"/>
    <x v="0"/>
    <x v="0"/>
    <n v="2"/>
    <n v="2"/>
    <n v="1"/>
    <s v="W"/>
    <s v="36"/>
    <x v="8"/>
    <s v="6120006"/>
    <n v="2"/>
    <n v="2"/>
    <n v="1"/>
  </r>
  <r>
    <s v="RESI"/>
    <x v="2"/>
    <x v="3"/>
    <x v="0"/>
    <x v="0"/>
    <n v="2"/>
    <n v="2"/>
    <n v="1"/>
    <s v="W"/>
    <s v="30"/>
    <x v="2"/>
    <s v="6120008"/>
    <n v="2"/>
    <n v="4"/>
    <n v="2"/>
  </r>
  <r>
    <s v="RESI"/>
    <x v="2"/>
    <x v="3"/>
    <x v="0"/>
    <x v="3"/>
    <n v="2"/>
    <n v="2"/>
    <n v="1"/>
    <s v="W"/>
    <s v="30"/>
    <x v="2"/>
    <s v="6120008"/>
    <n v="2"/>
    <n v="6"/>
    <n v="3"/>
  </r>
  <r>
    <s v="RESI"/>
    <x v="2"/>
    <x v="3"/>
    <x v="0"/>
    <x v="3"/>
    <n v="2"/>
    <n v="2"/>
    <n v="1"/>
    <s v="W"/>
    <s v="30"/>
    <x v="2"/>
    <s v="6120009"/>
    <n v="2"/>
    <n v="2"/>
    <n v="1"/>
  </r>
  <r>
    <s v="RESI"/>
    <x v="2"/>
    <x v="3"/>
    <x v="0"/>
    <x v="0"/>
    <n v="2"/>
    <n v="2"/>
    <n v="1"/>
    <s v="W"/>
    <s v="35"/>
    <x v="4"/>
    <s v="6120015"/>
    <n v="2"/>
    <n v="140"/>
    <n v="70"/>
  </r>
  <r>
    <s v="RESI"/>
    <x v="2"/>
    <x v="3"/>
    <x v="0"/>
    <x v="3"/>
    <n v="2"/>
    <n v="2"/>
    <n v="1"/>
    <s v="W"/>
    <s v="35"/>
    <x v="4"/>
    <s v="6120015"/>
    <n v="2"/>
    <n v="80"/>
    <n v="40"/>
  </r>
  <r>
    <s v="RESI"/>
    <x v="2"/>
    <x v="3"/>
    <x v="0"/>
    <x v="0"/>
    <n v="2"/>
    <n v="2"/>
    <n v="1"/>
    <s v="W"/>
    <s v="30"/>
    <x v="2"/>
    <s v="6120028"/>
    <n v="2"/>
    <n v="12"/>
    <n v="6"/>
  </r>
  <r>
    <s v="RESI"/>
    <x v="2"/>
    <x v="3"/>
    <x v="0"/>
    <x v="3"/>
    <n v="2"/>
    <n v="2"/>
    <n v="1"/>
    <s v="W"/>
    <s v="30"/>
    <x v="2"/>
    <s v="6120028"/>
    <n v="2"/>
    <n v="6"/>
    <n v="3"/>
  </r>
  <r>
    <s v="RESI"/>
    <x v="2"/>
    <x v="3"/>
    <x v="0"/>
    <x v="0"/>
    <n v="2"/>
    <n v="2"/>
    <n v="1"/>
    <s v="W"/>
    <s v="33"/>
    <x v="9"/>
    <s v="6120040"/>
    <n v="2"/>
    <n v="24"/>
    <n v="12"/>
  </r>
  <r>
    <s v="RESI"/>
    <x v="2"/>
    <x v="3"/>
    <x v="0"/>
    <x v="3"/>
    <n v="2"/>
    <n v="2"/>
    <n v="1"/>
    <s v="W"/>
    <s v="33"/>
    <x v="9"/>
    <s v="6120040"/>
    <n v="2"/>
    <n v="26"/>
    <n v="13"/>
  </r>
  <r>
    <s v="RESI"/>
    <x v="2"/>
    <x v="3"/>
    <x v="0"/>
    <x v="0"/>
    <n v="2"/>
    <n v="2"/>
    <n v="1"/>
    <s v="W"/>
    <s v="32"/>
    <x v="7"/>
    <s v="6130004"/>
    <n v="3"/>
    <n v="8"/>
    <n v="4"/>
  </r>
  <r>
    <s v="RESI"/>
    <x v="2"/>
    <x v="3"/>
    <x v="0"/>
    <x v="3"/>
    <n v="2"/>
    <n v="2"/>
    <n v="1"/>
    <s v="W"/>
    <s v="32"/>
    <x v="7"/>
    <s v="6130004"/>
    <n v="3"/>
    <n v="8"/>
    <n v="4"/>
  </r>
  <r>
    <s v="RESI"/>
    <x v="2"/>
    <x v="3"/>
    <x v="0"/>
    <x v="0"/>
    <n v="2"/>
    <n v="2"/>
    <n v="1"/>
    <s v="W"/>
    <s v="31"/>
    <x v="3"/>
    <s v="6130005"/>
    <n v="3"/>
    <n v="26"/>
    <n v="13"/>
  </r>
  <r>
    <s v="RESI"/>
    <x v="2"/>
    <x v="3"/>
    <x v="0"/>
    <x v="3"/>
    <n v="2"/>
    <n v="2"/>
    <n v="1"/>
    <s v="W"/>
    <s v="31"/>
    <x v="3"/>
    <s v="6130005"/>
    <n v="3"/>
    <n v="26"/>
    <n v="13"/>
  </r>
  <r>
    <s v="RESI"/>
    <x v="2"/>
    <x v="3"/>
    <x v="0"/>
    <x v="0"/>
    <n v="2"/>
    <n v="2"/>
    <n v="1"/>
    <s v="W"/>
    <s v="36"/>
    <x v="8"/>
    <s v="6130006"/>
    <n v="3"/>
    <n v="4"/>
    <n v="2"/>
  </r>
  <r>
    <s v="RESI"/>
    <x v="2"/>
    <x v="3"/>
    <x v="0"/>
    <x v="0"/>
    <n v="2"/>
    <n v="2"/>
    <n v="1"/>
    <s v="W"/>
    <s v="30"/>
    <x v="2"/>
    <s v="6130008"/>
    <n v="3"/>
    <n v="2"/>
    <n v="1"/>
  </r>
  <r>
    <s v="RESI"/>
    <x v="2"/>
    <x v="3"/>
    <x v="0"/>
    <x v="3"/>
    <n v="2"/>
    <n v="2"/>
    <n v="1"/>
    <s v="W"/>
    <s v="35"/>
    <x v="4"/>
    <s v="6130015"/>
    <n v="3"/>
    <n v="72"/>
    <n v="36"/>
  </r>
  <r>
    <s v="RESI"/>
    <x v="2"/>
    <x v="3"/>
    <x v="0"/>
    <x v="0"/>
    <n v="2"/>
    <n v="2"/>
    <n v="1"/>
    <s v="W"/>
    <s v="35"/>
    <x v="4"/>
    <s v="6130015"/>
    <n v="3"/>
    <n v="232"/>
    <n v="116"/>
  </r>
  <r>
    <s v="RESI"/>
    <x v="2"/>
    <x v="3"/>
    <x v="0"/>
    <x v="0"/>
    <n v="2"/>
    <n v="2"/>
    <n v="1"/>
    <s v="W"/>
    <s v="3A"/>
    <x v="0"/>
    <s v="6130022"/>
    <n v="3"/>
    <n v="2"/>
    <n v="1"/>
  </r>
  <r>
    <s v="RESI"/>
    <x v="2"/>
    <x v="3"/>
    <x v="0"/>
    <x v="0"/>
    <n v="2"/>
    <n v="2"/>
    <n v="1"/>
    <s v="W"/>
    <s v="30"/>
    <x v="2"/>
    <s v="6130028"/>
    <n v="3"/>
    <n v="16"/>
    <n v="8"/>
  </r>
  <r>
    <s v="RESI"/>
    <x v="2"/>
    <x v="3"/>
    <x v="0"/>
    <x v="3"/>
    <n v="2"/>
    <n v="2"/>
    <n v="1"/>
    <s v="W"/>
    <s v="30"/>
    <x v="2"/>
    <s v="6130028"/>
    <n v="3"/>
    <n v="18"/>
    <n v="9"/>
  </r>
  <r>
    <s v="COMM"/>
    <x v="2"/>
    <x v="3"/>
    <x v="0"/>
    <x v="3"/>
    <n v="2"/>
    <n v="2"/>
    <n v="1"/>
    <s v="W"/>
    <s v="10"/>
    <x v="14"/>
    <s v="6170028"/>
    <n v="9"/>
    <n v="2"/>
    <n v="1"/>
  </r>
  <r>
    <s v="COMM"/>
    <x v="2"/>
    <x v="3"/>
    <x v="0"/>
    <x v="2"/>
    <n v="2"/>
    <n v="2"/>
    <n v="1"/>
    <s v="W"/>
    <s v="11"/>
    <x v="11"/>
    <s v="6170055"/>
    <n v="9"/>
    <n v="2"/>
    <n v="1"/>
  </r>
  <r>
    <s v="RESI"/>
    <x v="2"/>
    <x v="3"/>
    <x v="0"/>
    <x v="0"/>
    <n v="2"/>
    <n v="3"/>
    <n v="1"/>
    <s v="W"/>
    <s v="31"/>
    <x v="3"/>
    <s v="6130005"/>
    <n v="3"/>
    <n v="2"/>
    <n v="1"/>
  </r>
  <r>
    <s v="RESI"/>
    <x v="2"/>
    <x v="3"/>
    <x v="0"/>
    <x v="0"/>
    <n v="3"/>
    <n v="3"/>
    <n v="1"/>
    <s v="W"/>
    <s v="3B"/>
    <x v="2"/>
    <s v="6080001"/>
    <n v="1"/>
    <n v="3"/>
    <n v="1"/>
  </r>
  <r>
    <s v="COMM"/>
    <x v="2"/>
    <x v="3"/>
    <x v="0"/>
    <x v="3"/>
    <n v="3"/>
    <n v="3"/>
    <n v="1"/>
    <s v="W"/>
    <s v="1C"/>
    <x v="6"/>
    <s v="6080004"/>
    <n v="4"/>
    <n v="3"/>
    <n v="1"/>
  </r>
  <r>
    <s v="RESI"/>
    <x v="2"/>
    <x v="3"/>
    <x v="0"/>
    <x v="0"/>
    <n v="3"/>
    <n v="3"/>
    <n v="1"/>
    <s v="W"/>
    <s v="3B"/>
    <x v="2"/>
    <s v="6080020"/>
    <n v="2"/>
    <n v="3"/>
    <n v="1"/>
  </r>
  <r>
    <s v="RESI"/>
    <x v="2"/>
    <x v="3"/>
    <x v="0"/>
    <x v="0"/>
    <n v="3"/>
    <n v="3"/>
    <n v="1"/>
    <s v="W"/>
    <s v="3B"/>
    <x v="2"/>
    <s v="6080050"/>
    <n v="5"/>
    <n v="3"/>
    <n v="1"/>
  </r>
  <r>
    <s v="RESI"/>
    <x v="2"/>
    <x v="3"/>
    <x v="0"/>
    <x v="0"/>
    <n v="3"/>
    <n v="3"/>
    <n v="1"/>
    <s v="W"/>
    <s v="35"/>
    <x v="4"/>
    <s v="6110015"/>
    <n v="1"/>
    <n v="6"/>
    <n v="2"/>
  </r>
  <r>
    <s v="RESI"/>
    <x v="2"/>
    <x v="3"/>
    <x v="0"/>
    <x v="0"/>
    <n v="3"/>
    <n v="3"/>
    <n v="1"/>
    <s v="W"/>
    <s v="30"/>
    <x v="2"/>
    <s v="6110028"/>
    <n v="1"/>
    <n v="6"/>
    <n v="2"/>
  </r>
  <r>
    <s v="RESI"/>
    <x v="2"/>
    <x v="3"/>
    <x v="0"/>
    <x v="0"/>
    <n v="3"/>
    <n v="3"/>
    <n v="1"/>
    <s v="W"/>
    <s v="31"/>
    <x v="3"/>
    <s v="6120005"/>
    <n v="2"/>
    <n v="9"/>
    <n v="3"/>
  </r>
  <r>
    <s v="RESI"/>
    <x v="2"/>
    <x v="3"/>
    <x v="0"/>
    <x v="0"/>
    <n v="3"/>
    <n v="3"/>
    <n v="1"/>
    <s v="W"/>
    <s v="30"/>
    <x v="2"/>
    <s v="6120008"/>
    <n v="2"/>
    <n v="3"/>
    <n v="1"/>
  </r>
  <r>
    <s v="RESI"/>
    <x v="2"/>
    <x v="3"/>
    <x v="0"/>
    <x v="3"/>
    <n v="3"/>
    <n v="3"/>
    <n v="1"/>
    <s v="W"/>
    <s v="35"/>
    <x v="4"/>
    <s v="6120015"/>
    <n v="2"/>
    <n v="6"/>
    <n v="2"/>
  </r>
  <r>
    <s v="RESI"/>
    <x v="2"/>
    <x v="3"/>
    <x v="0"/>
    <x v="0"/>
    <n v="3"/>
    <n v="3"/>
    <n v="1"/>
    <s v="W"/>
    <s v="35"/>
    <x v="4"/>
    <s v="6120015"/>
    <n v="2"/>
    <n v="15"/>
    <n v="5"/>
  </r>
  <r>
    <s v="RESI"/>
    <x v="2"/>
    <x v="3"/>
    <x v="0"/>
    <x v="3"/>
    <n v="3"/>
    <n v="3"/>
    <n v="1"/>
    <s v="W"/>
    <s v="33"/>
    <x v="9"/>
    <s v="6120040"/>
    <n v="2"/>
    <n v="3"/>
    <n v="1"/>
  </r>
  <r>
    <s v="RESI"/>
    <x v="2"/>
    <x v="3"/>
    <x v="0"/>
    <x v="3"/>
    <n v="3"/>
    <n v="3"/>
    <n v="1"/>
    <s v="W"/>
    <s v="35"/>
    <x v="4"/>
    <s v="6130015"/>
    <n v="3"/>
    <n v="3"/>
    <n v="1"/>
  </r>
  <r>
    <s v="RESI"/>
    <x v="2"/>
    <x v="3"/>
    <x v="0"/>
    <x v="0"/>
    <n v="3"/>
    <n v="3"/>
    <n v="1"/>
    <s v="W"/>
    <s v="35"/>
    <x v="4"/>
    <s v="6130015"/>
    <n v="3"/>
    <n v="15"/>
    <n v="5"/>
  </r>
  <r>
    <s v="RESI"/>
    <x v="2"/>
    <x v="3"/>
    <x v="0"/>
    <x v="0"/>
    <n v="3"/>
    <n v="3"/>
    <n v="1"/>
    <s v="W"/>
    <s v="30"/>
    <x v="2"/>
    <s v="6130028"/>
    <n v="3"/>
    <n v="6"/>
    <n v="2"/>
  </r>
  <r>
    <s v="COMM"/>
    <x v="2"/>
    <x v="3"/>
    <x v="0"/>
    <x v="2"/>
    <n v="3"/>
    <n v="6"/>
    <n v="1"/>
    <s v="W"/>
    <s v="13"/>
    <x v="15"/>
    <s v="6170040"/>
    <n v="9"/>
    <n v="3"/>
    <n v="1"/>
  </r>
  <r>
    <s v="RESI"/>
    <x v="2"/>
    <x v="3"/>
    <x v="0"/>
    <x v="0"/>
    <n v="4"/>
    <n v="4"/>
    <n v="1"/>
    <s v="W"/>
    <s v="3B"/>
    <x v="2"/>
    <s v="6080050"/>
    <n v="5"/>
    <n v="4"/>
    <n v="1"/>
  </r>
  <r>
    <s v="RESI"/>
    <x v="2"/>
    <x v="3"/>
    <x v="0"/>
    <x v="3"/>
    <n v="4"/>
    <n v="4"/>
    <n v="1"/>
    <s v="W"/>
    <s v="35"/>
    <x v="4"/>
    <s v="6120015"/>
    <n v="2"/>
    <n v="4"/>
    <n v="1"/>
  </r>
  <r>
    <s v="COMM"/>
    <x v="2"/>
    <x v="3"/>
    <x v="0"/>
    <x v="3"/>
    <n v="4"/>
    <n v="4"/>
    <n v="1"/>
    <s v="W"/>
    <s v="11"/>
    <x v="11"/>
    <s v="6170005"/>
    <n v="9"/>
    <n v="4"/>
    <n v="1"/>
  </r>
  <r>
    <s v="RESI"/>
    <x v="2"/>
    <x v="3"/>
    <x v="0"/>
    <x v="3"/>
    <n v="5"/>
    <n v="5"/>
    <n v="1"/>
    <s v="W"/>
    <s v="32"/>
    <x v="7"/>
    <s v="6130004"/>
    <n v="3"/>
    <n v="5"/>
    <n v="1"/>
  </r>
  <r>
    <s v="COMM"/>
    <x v="2"/>
    <x v="3"/>
    <x v="0"/>
    <x v="2"/>
    <n v="6"/>
    <n v="6"/>
    <n v="1"/>
    <s v="W"/>
    <s v="11"/>
    <x v="11"/>
    <s v="6170055"/>
    <n v="9"/>
    <n v="12"/>
    <n v="2"/>
  </r>
  <r>
    <s v="COMM"/>
    <x v="2"/>
    <x v="3"/>
    <x v="0"/>
    <x v="2"/>
    <n v="7"/>
    <n v="7"/>
    <n v="1"/>
    <s v="W"/>
    <s v="11"/>
    <x v="11"/>
    <s v="6170055"/>
    <n v="9"/>
    <n v="7"/>
    <n v="1"/>
  </r>
  <r>
    <s v="COMM"/>
    <x v="2"/>
    <x v="3"/>
    <x v="0"/>
    <x v="2"/>
    <n v="9"/>
    <n v="9"/>
    <n v="1"/>
    <s v="W"/>
    <s v="10"/>
    <x v="14"/>
    <s v="6170028"/>
    <n v="9"/>
    <n v="9"/>
    <n v="1"/>
  </r>
  <r>
    <s v="COMM"/>
    <x v="2"/>
    <x v="3"/>
    <x v="0"/>
    <x v="2"/>
    <n v="9"/>
    <n v="9"/>
    <n v="1"/>
    <s v="W"/>
    <s v="11"/>
    <x v="11"/>
    <s v="6170055"/>
    <n v="9"/>
    <n v="9"/>
    <n v="1"/>
  </r>
  <r>
    <s v="COMM"/>
    <x v="2"/>
    <x v="3"/>
    <x v="0"/>
    <x v="2"/>
    <n v="10"/>
    <n v="10"/>
    <n v="1"/>
    <s v="W"/>
    <s v="11"/>
    <x v="11"/>
    <s v="6170055"/>
    <n v="9"/>
    <n v="20"/>
    <n v="2"/>
  </r>
  <r>
    <s v="COMM"/>
    <x v="2"/>
    <x v="3"/>
    <x v="0"/>
    <x v="2"/>
    <n v="11"/>
    <n v="11"/>
    <n v="1"/>
    <s v="W"/>
    <s v="11"/>
    <x v="11"/>
    <s v="6170055"/>
    <n v="9"/>
    <n v="11"/>
    <n v="1"/>
  </r>
  <r>
    <s v="COMM"/>
    <x v="2"/>
    <x v="3"/>
    <x v="0"/>
    <x v="2"/>
    <n v="12"/>
    <n v="12"/>
    <n v="1"/>
    <s v="W"/>
    <s v="11"/>
    <x v="11"/>
    <s v="6170055"/>
    <n v="9"/>
    <n v="12"/>
    <n v="1"/>
  </r>
  <r>
    <s v="COMM"/>
    <x v="2"/>
    <x v="3"/>
    <x v="0"/>
    <x v="2"/>
    <n v="17"/>
    <n v="17"/>
    <n v="1"/>
    <s v="W"/>
    <s v="11"/>
    <x v="11"/>
    <s v="6170055"/>
    <n v="9"/>
    <n v="17"/>
    <n v="1"/>
  </r>
  <r>
    <s v="COMM"/>
    <x v="2"/>
    <x v="3"/>
    <x v="0"/>
    <x v="2"/>
    <n v="18"/>
    <n v="18"/>
    <n v="1"/>
    <s v="W"/>
    <s v="11"/>
    <x v="11"/>
    <s v="6170055"/>
    <n v="9"/>
    <n v="18"/>
    <n v="1"/>
  </r>
  <r>
    <s v="COMM"/>
    <x v="2"/>
    <x v="3"/>
    <x v="0"/>
    <x v="2"/>
    <n v="20"/>
    <n v="20"/>
    <n v="1"/>
    <s v="W"/>
    <s v="11"/>
    <x v="11"/>
    <s v="6170055"/>
    <n v="9"/>
    <n v="20"/>
    <n v="1"/>
  </r>
  <r>
    <s v="COMM"/>
    <x v="2"/>
    <x v="3"/>
    <x v="0"/>
    <x v="2"/>
    <n v="28"/>
    <n v="28"/>
    <n v="1"/>
    <s v="W"/>
    <s v="10"/>
    <x v="14"/>
    <s v="6170028"/>
    <n v="9"/>
    <n v="28"/>
    <n v="1"/>
  </r>
  <r>
    <s v="COMM"/>
    <x v="2"/>
    <x v="3"/>
    <x v="0"/>
    <x v="2"/>
    <n v="40"/>
    <n v="40"/>
    <n v="1"/>
    <s v="W"/>
    <s v="11"/>
    <x v="11"/>
    <s v="6170055"/>
    <n v="9"/>
    <n v="40"/>
    <n v="1"/>
  </r>
  <r>
    <s v="COMM"/>
    <x v="2"/>
    <x v="3"/>
    <x v="0"/>
    <x v="2"/>
    <n v="40"/>
    <n v="80"/>
    <n v="1"/>
    <s v="W"/>
    <s v="11"/>
    <x v="11"/>
    <s v="6170055"/>
    <n v="9"/>
    <n v="40"/>
    <n v="1"/>
  </r>
  <r>
    <s v="COMM"/>
    <x v="2"/>
    <x v="3"/>
    <x v="0"/>
    <x v="2"/>
    <n v="51"/>
    <n v="51"/>
    <n v="1"/>
    <s v="W"/>
    <s v="11"/>
    <x v="11"/>
    <s v="6170055"/>
    <n v="9"/>
    <n v="51"/>
    <n v="1"/>
  </r>
  <r>
    <s v="COMM"/>
    <x v="2"/>
    <x v="3"/>
    <x v="0"/>
    <x v="2"/>
    <n v="54"/>
    <n v="54"/>
    <n v="1"/>
    <s v="W"/>
    <s v="11"/>
    <x v="11"/>
    <s v="6170055"/>
    <n v="9"/>
    <n v="54"/>
    <n v="1"/>
  </r>
  <r>
    <s v="COMM"/>
    <x v="2"/>
    <x v="3"/>
    <x v="0"/>
    <x v="2"/>
    <n v="57"/>
    <n v="57"/>
    <n v="1"/>
    <s v="W"/>
    <s v="11"/>
    <x v="11"/>
    <s v="6170055"/>
    <n v="9"/>
    <n v="57"/>
    <n v="1"/>
  </r>
  <r>
    <s v="COMM"/>
    <x v="2"/>
    <x v="3"/>
    <x v="0"/>
    <x v="2"/>
    <n v="61"/>
    <n v="61"/>
    <n v="1"/>
    <s v="W"/>
    <s v="11"/>
    <x v="11"/>
    <s v="6170055"/>
    <n v="9"/>
    <n v="61"/>
    <n v="1"/>
  </r>
  <r>
    <s v="COMM"/>
    <x v="2"/>
    <x v="3"/>
    <x v="0"/>
    <x v="2"/>
    <n v="66"/>
    <n v="66"/>
    <n v="1"/>
    <s v="W"/>
    <s v="10"/>
    <x v="14"/>
    <s v="6170028"/>
    <n v="9"/>
    <n v="66"/>
    <n v="1"/>
  </r>
  <r>
    <s v="RESI"/>
    <x v="2"/>
    <x v="10"/>
    <x v="0"/>
    <x v="0"/>
    <n v="1"/>
    <n v="1"/>
    <n v="1"/>
    <s v="W"/>
    <s v="3C"/>
    <x v="5"/>
    <s v="6080004"/>
    <n v="3"/>
    <n v="1"/>
    <n v="1"/>
  </r>
  <r>
    <s v="COMM"/>
    <x v="3"/>
    <x v="11"/>
    <x v="0"/>
    <x v="3"/>
    <n v="1"/>
    <n v="0"/>
    <n v="0"/>
    <m/>
    <s v="11"/>
    <x v="11"/>
    <s v="6170005"/>
    <n v="9"/>
    <n v="3"/>
    <n v="3"/>
  </r>
  <r>
    <s v="COMM"/>
    <x v="3"/>
    <x v="11"/>
    <x v="0"/>
    <x v="5"/>
    <n v="1"/>
    <n v="0"/>
    <n v="0"/>
    <m/>
    <s v="11"/>
    <x v="11"/>
    <s v="6170005"/>
    <n v="9"/>
    <n v="1"/>
    <n v="1"/>
  </r>
  <r>
    <s v="IND"/>
    <x v="3"/>
    <x v="11"/>
    <x v="0"/>
    <x v="3"/>
    <n v="1"/>
    <n v="0"/>
    <n v="0"/>
    <m/>
    <s v="11"/>
    <x v="11"/>
    <s v="6170005"/>
    <n v="9"/>
    <n v="1"/>
    <n v="1"/>
  </r>
  <r>
    <s v="COMM"/>
    <x v="3"/>
    <x v="11"/>
    <x v="0"/>
    <x v="3"/>
    <n v="1"/>
    <n v="1"/>
    <n v="1"/>
    <s v="W"/>
    <s v="1C"/>
    <x v="6"/>
    <m/>
    <n v="0"/>
    <n v="1"/>
    <n v="1"/>
  </r>
  <r>
    <s v="COMM"/>
    <x v="3"/>
    <x v="11"/>
    <x v="0"/>
    <x v="3"/>
    <n v="1"/>
    <n v="1"/>
    <n v="1"/>
    <s v="W"/>
    <s v="15"/>
    <x v="12"/>
    <m/>
    <n v="0"/>
    <n v="2"/>
    <n v="2"/>
  </r>
  <r>
    <s v="COMM"/>
    <x v="3"/>
    <x v="11"/>
    <x v="0"/>
    <x v="3"/>
    <n v="1"/>
    <n v="1"/>
    <n v="1"/>
    <s v="W"/>
    <s v="1C"/>
    <x v="6"/>
    <s v="6080004"/>
    <n v="4"/>
    <n v="43"/>
    <n v="43"/>
  </r>
  <r>
    <s v="COMM"/>
    <x v="3"/>
    <x v="11"/>
    <x v="0"/>
    <x v="2"/>
    <n v="1"/>
    <n v="1"/>
    <n v="1"/>
    <s v="W"/>
    <s v="1C"/>
    <x v="6"/>
    <s v="6080004"/>
    <n v="4"/>
    <n v="8"/>
    <n v="8"/>
  </r>
  <r>
    <s v="COMM"/>
    <x v="3"/>
    <x v="11"/>
    <x v="0"/>
    <x v="3"/>
    <n v="1"/>
    <n v="1"/>
    <n v="1"/>
    <s v="W"/>
    <s v="1B"/>
    <x v="14"/>
    <s v="6080040"/>
    <n v="4"/>
    <n v="9"/>
    <n v="9"/>
  </r>
  <r>
    <s v="COMM"/>
    <x v="3"/>
    <x v="11"/>
    <x v="0"/>
    <x v="3"/>
    <n v="1"/>
    <n v="1"/>
    <n v="1"/>
    <s v="W"/>
    <s v="12"/>
    <x v="10"/>
    <s v="6170004"/>
    <n v="9"/>
    <n v="2"/>
    <n v="2"/>
  </r>
  <r>
    <s v="COMM"/>
    <x v="3"/>
    <x v="11"/>
    <x v="0"/>
    <x v="3"/>
    <n v="1"/>
    <n v="1"/>
    <n v="1"/>
    <s v="W"/>
    <s v="11"/>
    <x v="11"/>
    <s v="6170005"/>
    <n v="9"/>
    <n v="55"/>
    <n v="55"/>
  </r>
  <r>
    <s v="COMM"/>
    <x v="3"/>
    <x v="11"/>
    <x v="0"/>
    <x v="6"/>
    <n v="1"/>
    <n v="1"/>
    <n v="1"/>
    <s v="W"/>
    <s v="11"/>
    <x v="11"/>
    <s v="6170005"/>
    <n v="9"/>
    <n v="1"/>
    <n v="1"/>
  </r>
  <r>
    <s v="COMM"/>
    <x v="3"/>
    <x v="11"/>
    <x v="0"/>
    <x v="3"/>
    <n v="1"/>
    <n v="1"/>
    <n v="1"/>
    <s v="W"/>
    <s v="15"/>
    <x v="12"/>
    <s v="6170015"/>
    <n v="9"/>
    <n v="8"/>
    <n v="8"/>
  </r>
  <r>
    <s v="COMM"/>
    <x v="3"/>
    <x v="11"/>
    <x v="0"/>
    <x v="3"/>
    <n v="1"/>
    <n v="1"/>
    <n v="1"/>
    <s v="W"/>
    <s v="10"/>
    <x v="14"/>
    <s v="6170028"/>
    <n v="9"/>
    <n v="7"/>
    <n v="7"/>
  </r>
  <r>
    <s v="COMM"/>
    <x v="3"/>
    <x v="11"/>
    <x v="0"/>
    <x v="2"/>
    <n v="1"/>
    <n v="1"/>
    <n v="1"/>
    <s v="W"/>
    <s v="10"/>
    <x v="14"/>
    <s v="6170028"/>
    <n v="9"/>
    <n v="4"/>
    <n v="4"/>
  </r>
  <r>
    <s v="COMM"/>
    <x v="3"/>
    <x v="11"/>
    <x v="0"/>
    <x v="3"/>
    <n v="1"/>
    <n v="1"/>
    <n v="1"/>
    <s v="W"/>
    <s v="13"/>
    <x v="15"/>
    <s v="6170040"/>
    <n v="9"/>
    <n v="2"/>
    <n v="2"/>
  </r>
  <r>
    <s v="COMM"/>
    <x v="3"/>
    <x v="11"/>
    <x v="0"/>
    <x v="2"/>
    <n v="1"/>
    <n v="1"/>
    <n v="1"/>
    <s v="W"/>
    <s v="11"/>
    <x v="11"/>
    <s v="6170055"/>
    <n v="9"/>
    <n v="2"/>
    <n v="2"/>
  </r>
  <r>
    <s v="COMM"/>
    <x v="3"/>
    <x v="11"/>
    <x v="0"/>
    <x v="3"/>
    <n v="1"/>
    <n v="2"/>
    <n v="1"/>
    <s v="W"/>
    <s v="15"/>
    <x v="12"/>
    <s v="6170015"/>
    <n v="9"/>
    <n v="1"/>
    <n v="1"/>
  </r>
  <r>
    <s v="COMM"/>
    <x v="3"/>
    <x v="11"/>
    <x v="0"/>
    <x v="3"/>
    <n v="1"/>
    <n v="2"/>
    <n v="1"/>
    <s v="W"/>
    <s v="10"/>
    <x v="14"/>
    <s v="6170028"/>
    <n v="9"/>
    <n v="1"/>
    <n v="1"/>
  </r>
  <r>
    <s v="COMM"/>
    <x v="3"/>
    <x v="11"/>
    <x v="0"/>
    <x v="3"/>
    <n v="1"/>
    <n v="2"/>
    <n v="1"/>
    <s v="W"/>
    <s v="13"/>
    <x v="15"/>
    <s v="6170040"/>
    <n v="9"/>
    <n v="2"/>
    <n v="2"/>
  </r>
  <r>
    <s v="COMM"/>
    <x v="3"/>
    <x v="11"/>
    <x v="0"/>
    <x v="2"/>
    <n v="2"/>
    <n v="4"/>
    <n v="1"/>
    <s v="W"/>
    <s v="11"/>
    <x v="11"/>
    <s v="6170055"/>
    <n v="9"/>
    <n v="2"/>
    <n v="1"/>
  </r>
  <r>
    <s v="COMM"/>
    <x v="3"/>
    <x v="11"/>
    <x v="0"/>
    <x v="2"/>
    <n v="6"/>
    <n v="12"/>
    <n v="1"/>
    <s v="W"/>
    <s v="13"/>
    <x v="15"/>
    <s v="6170040"/>
    <n v="9"/>
    <n v="6"/>
    <n v="1"/>
  </r>
  <r>
    <s v="COMM"/>
    <x v="3"/>
    <x v="12"/>
    <x v="0"/>
    <x v="3"/>
    <n v="1"/>
    <n v="0"/>
    <n v="0"/>
    <m/>
    <s v="11"/>
    <x v="11"/>
    <s v="6170005"/>
    <n v="9"/>
    <n v="5"/>
    <n v="5"/>
  </r>
  <r>
    <s v="COMM"/>
    <x v="3"/>
    <x v="12"/>
    <x v="0"/>
    <x v="3"/>
    <n v="1"/>
    <n v="0"/>
    <n v="0"/>
    <m/>
    <s v="10"/>
    <x v="14"/>
    <s v="6170028"/>
    <n v="9"/>
    <n v="2"/>
    <n v="2"/>
  </r>
  <r>
    <s v="COMM"/>
    <x v="3"/>
    <x v="12"/>
    <x v="0"/>
    <x v="3"/>
    <n v="1"/>
    <n v="1"/>
    <n v="1"/>
    <s v="W"/>
    <s v="10"/>
    <x v="14"/>
    <m/>
    <n v="0"/>
    <n v="1"/>
    <n v="1"/>
  </r>
  <r>
    <s v="COMM"/>
    <x v="3"/>
    <x v="12"/>
    <x v="0"/>
    <x v="4"/>
    <n v="1"/>
    <n v="1"/>
    <n v="1"/>
    <s v="W"/>
    <s v="1B"/>
    <x v="14"/>
    <s v="6080040"/>
    <n v="4"/>
    <n v="1"/>
    <n v="1"/>
  </r>
  <r>
    <s v="COMM"/>
    <x v="3"/>
    <x v="12"/>
    <x v="0"/>
    <x v="3"/>
    <n v="1"/>
    <n v="1"/>
    <n v="1"/>
    <s v="W"/>
    <s v="12"/>
    <x v="10"/>
    <s v="6170004"/>
    <n v="9"/>
    <n v="4"/>
    <n v="4"/>
  </r>
  <r>
    <s v="COMM"/>
    <x v="3"/>
    <x v="12"/>
    <x v="0"/>
    <x v="3"/>
    <n v="1"/>
    <n v="1"/>
    <n v="1"/>
    <s v="W"/>
    <s v="11"/>
    <x v="11"/>
    <s v="6170005"/>
    <n v="9"/>
    <n v="51"/>
    <n v="51"/>
  </r>
  <r>
    <s v="COMM"/>
    <x v="3"/>
    <x v="12"/>
    <x v="0"/>
    <x v="6"/>
    <n v="1"/>
    <n v="1"/>
    <n v="1"/>
    <s v="W"/>
    <s v="11"/>
    <x v="11"/>
    <s v="6170005"/>
    <n v="9"/>
    <n v="4"/>
    <n v="4"/>
  </r>
  <r>
    <s v="COMM"/>
    <x v="3"/>
    <x v="12"/>
    <x v="0"/>
    <x v="3"/>
    <n v="1"/>
    <n v="1"/>
    <n v="1"/>
    <s v="W"/>
    <s v="10"/>
    <x v="14"/>
    <s v="6170028"/>
    <n v="9"/>
    <n v="12"/>
    <n v="12"/>
  </r>
  <r>
    <s v="COMM"/>
    <x v="3"/>
    <x v="12"/>
    <x v="0"/>
    <x v="2"/>
    <n v="1"/>
    <n v="1"/>
    <n v="1"/>
    <s v="W"/>
    <s v="10"/>
    <x v="14"/>
    <s v="6170028"/>
    <n v="9"/>
    <n v="4"/>
    <n v="4"/>
  </r>
  <r>
    <s v="COMM"/>
    <x v="3"/>
    <x v="12"/>
    <x v="0"/>
    <x v="3"/>
    <n v="1"/>
    <n v="1"/>
    <n v="1"/>
    <s v="W"/>
    <s v="13"/>
    <x v="15"/>
    <s v="6170040"/>
    <n v="9"/>
    <n v="5"/>
    <n v="5"/>
  </r>
  <r>
    <s v="COMM"/>
    <x v="3"/>
    <x v="12"/>
    <x v="0"/>
    <x v="2"/>
    <n v="1"/>
    <n v="1"/>
    <n v="1"/>
    <s v="W"/>
    <s v="13"/>
    <x v="15"/>
    <s v="6170040"/>
    <n v="9"/>
    <n v="5"/>
    <n v="5"/>
  </r>
  <r>
    <s v="COMM"/>
    <x v="3"/>
    <x v="12"/>
    <x v="0"/>
    <x v="2"/>
    <n v="1"/>
    <n v="1"/>
    <n v="1"/>
    <s v="W"/>
    <s v="11"/>
    <x v="11"/>
    <s v="6170055"/>
    <n v="9"/>
    <n v="15"/>
    <n v="15"/>
  </r>
  <r>
    <s v="COMM"/>
    <x v="3"/>
    <x v="12"/>
    <x v="0"/>
    <x v="2"/>
    <n v="1"/>
    <n v="2"/>
    <n v="1"/>
    <s v="W"/>
    <s v="12"/>
    <x v="10"/>
    <s v="6170004"/>
    <n v="9"/>
    <n v="1"/>
    <n v="1"/>
  </r>
  <r>
    <s v="COMM"/>
    <x v="3"/>
    <x v="12"/>
    <x v="0"/>
    <x v="3"/>
    <n v="1"/>
    <n v="2"/>
    <n v="1"/>
    <s v="W"/>
    <s v="11"/>
    <x v="11"/>
    <s v="6170005"/>
    <n v="9"/>
    <n v="3"/>
    <n v="3"/>
  </r>
  <r>
    <s v="COMM"/>
    <x v="3"/>
    <x v="12"/>
    <x v="0"/>
    <x v="6"/>
    <n v="1"/>
    <n v="2"/>
    <n v="1"/>
    <s v="W"/>
    <s v="11"/>
    <x v="11"/>
    <s v="6170005"/>
    <n v="9"/>
    <n v="1"/>
    <n v="1"/>
  </r>
  <r>
    <s v="COMM"/>
    <x v="3"/>
    <x v="12"/>
    <x v="0"/>
    <x v="2"/>
    <n v="1"/>
    <n v="2"/>
    <n v="1"/>
    <s v="W"/>
    <s v="10"/>
    <x v="14"/>
    <s v="6170028"/>
    <n v="9"/>
    <n v="1"/>
    <n v="1"/>
  </r>
  <r>
    <s v="COMM"/>
    <x v="3"/>
    <x v="12"/>
    <x v="0"/>
    <x v="2"/>
    <n v="1"/>
    <n v="2"/>
    <n v="1"/>
    <s v="W"/>
    <s v="13"/>
    <x v="15"/>
    <s v="6170040"/>
    <n v="9"/>
    <n v="1"/>
    <n v="1"/>
  </r>
  <r>
    <s v="COMM"/>
    <x v="3"/>
    <x v="12"/>
    <x v="0"/>
    <x v="2"/>
    <n v="1"/>
    <n v="2"/>
    <n v="1"/>
    <s v="W"/>
    <s v="11"/>
    <x v="11"/>
    <s v="6170055"/>
    <n v="9"/>
    <n v="2"/>
    <n v="2"/>
  </r>
  <r>
    <s v="COMM"/>
    <x v="3"/>
    <x v="12"/>
    <x v="0"/>
    <x v="3"/>
    <n v="1"/>
    <n v="3"/>
    <n v="1"/>
    <s v="W"/>
    <s v="11"/>
    <x v="11"/>
    <s v="6170005"/>
    <n v="9"/>
    <n v="1"/>
    <n v="1"/>
  </r>
  <r>
    <s v="COMM"/>
    <x v="3"/>
    <x v="12"/>
    <x v="0"/>
    <x v="3"/>
    <n v="1"/>
    <n v="5"/>
    <n v="1"/>
    <s v="W"/>
    <s v="11"/>
    <x v="11"/>
    <s v="6170005"/>
    <n v="9"/>
    <n v="1"/>
    <n v="1"/>
  </r>
  <r>
    <s v="COMM"/>
    <x v="3"/>
    <x v="12"/>
    <x v="0"/>
    <x v="3"/>
    <n v="2"/>
    <n v="2"/>
    <n v="1"/>
    <s v="W"/>
    <s v="11"/>
    <x v="11"/>
    <s v="6170005"/>
    <n v="9"/>
    <n v="2"/>
    <n v="1"/>
  </r>
  <r>
    <s v="COMM"/>
    <x v="3"/>
    <x v="12"/>
    <x v="0"/>
    <x v="3"/>
    <n v="2"/>
    <n v="2"/>
    <n v="1"/>
    <s v="W"/>
    <s v="13"/>
    <x v="15"/>
    <s v="6170040"/>
    <n v="9"/>
    <n v="2"/>
    <n v="1"/>
  </r>
  <r>
    <s v="COMM"/>
    <x v="3"/>
    <x v="12"/>
    <x v="0"/>
    <x v="2"/>
    <n v="2"/>
    <n v="4"/>
    <n v="1"/>
    <s v="W"/>
    <s v="11"/>
    <x v="11"/>
    <s v="6170055"/>
    <n v="9"/>
    <n v="2"/>
    <n v="1"/>
  </r>
  <r>
    <s v="COMM"/>
    <x v="3"/>
    <x v="12"/>
    <x v="0"/>
    <x v="2"/>
    <n v="3"/>
    <n v="3"/>
    <n v="1"/>
    <s v="W"/>
    <s v="11"/>
    <x v="11"/>
    <s v="6170055"/>
    <n v="9"/>
    <n v="3"/>
    <n v="1"/>
  </r>
  <r>
    <s v="COMM"/>
    <x v="3"/>
    <x v="12"/>
    <x v="0"/>
    <x v="2"/>
    <n v="6"/>
    <n v="6"/>
    <n v="1"/>
    <s v="W"/>
    <s v="12"/>
    <x v="10"/>
    <s v="6170004"/>
    <n v="9"/>
    <n v="6"/>
    <n v="1"/>
  </r>
  <r>
    <s v="COMM"/>
    <x v="3"/>
    <x v="13"/>
    <x v="0"/>
    <x v="3"/>
    <n v="1"/>
    <n v="1"/>
    <n v="1"/>
    <s v="W"/>
    <s v="1C"/>
    <x v="6"/>
    <s v="6080004"/>
    <n v="4"/>
    <n v="3"/>
    <n v="3"/>
  </r>
  <r>
    <s v="COMM"/>
    <x v="3"/>
    <x v="14"/>
    <x v="0"/>
    <x v="3"/>
    <n v="1"/>
    <n v="0"/>
    <n v="0"/>
    <m/>
    <s v="11"/>
    <x v="11"/>
    <s v="6170005"/>
    <n v="9"/>
    <n v="4"/>
    <n v="4"/>
  </r>
  <r>
    <s v="IND"/>
    <x v="3"/>
    <x v="14"/>
    <x v="0"/>
    <x v="3"/>
    <n v="1"/>
    <n v="0"/>
    <n v="0"/>
    <m/>
    <s v="11"/>
    <x v="11"/>
    <s v="6170005"/>
    <n v="9"/>
    <n v="1"/>
    <n v="1"/>
  </r>
  <r>
    <s v="COMM"/>
    <x v="3"/>
    <x v="14"/>
    <x v="0"/>
    <x v="3"/>
    <n v="1"/>
    <n v="0"/>
    <n v="0"/>
    <m/>
    <s v="15"/>
    <x v="12"/>
    <s v="6170015"/>
    <n v="9"/>
    <n v="1"/>
    <n v="1"/>
  </r>
  <r>
    <s v="COMM"/>
    <x v="3"/>
    <x v="14"/>
    <x v="0"/>
    <x v="3"/>
    <n v="1"/>
    <n v="0"/>
    <n v="0"/>
    <m/>
    <s v="10"/>
    <x v="14"/>
    <s v="6170028"/>
    <n v="9"/>
    <n v="4"/>
    <n v="4"/>
  </r>
  <r>
    <s v="IND"/>
    <x v="3"/>
    <x v="14"/>
    <x v="0"/>
    <x v="3"/>
    <n v="1"/>
    <n v="0"/>
    <n v="0"/>
    <m/>
    <s v="10"/>
    <x v="14"/>
    <s v="6170028"/>
    <n v="9"/>
    <n v="1"/>
    <n v="1"/>
  </r>
  <r>
    <s v="COMM"/>
    <x v="3"/>
    <x v="14"/>
    <x v="0"/>
    <x v="3"/>
    <n v="1"/>
    <n v="0"/>
    <n v="0"/>
    <m/>
    <s v="13"/>
    <x v="15"/>
    <s v="6170040"/>
    <n v="9"/>
    <n v="1"/>
    <n v="1"/>
  </r>
  <r>
    <s v="COMM"/>
    <x v="3"/>
    <x v="14"/>
    <x v="0"/>
    <x v="3"/>
    <n v="1"/>
    <n v="1"/>
    <n v="1"/>
    <s v="W"/>
    <s v="1C"/>
    <x v="6"/>
    <s v="6080004"/>
    <n v="4"/>
    <n v="21"/>
    <n v="21"/>
  </r>
  <r>
    <s v="COMM"/>
    <x v="3"/>
    <x v="14"/>
    <x v="0"/>
    <x v="2"/>
    <n v="1"/>
    <n v="1"/>
    <n v="1"/>
    <s v="W"/>
    <s v="1C"/>
    <x v="6"/>
    <s v="6080004"/>
    <n v="4"/>
    <n v="6"/>
    <n v="6"/>
  </r>
  <r>
    <s v="COMM"/>
    <x v="3"/>
    <x v="14"/>
    <x v="0"/>
    <x v="3"/>
    <n v="1"/>
    <n v="1"/>
    <n v="1"/>
    <s v="W"/>
    <s v="1B"/>
    <x v="14"/>
    <s v="6080040"/>
    <n v="4"/>
    <n v="3"/>
    <n v="3"/>
  </r>
  <r>
    <s v="COMM"/>
    <x v="3"/>
    <x v="14"/>
    <x v="0"/>
    <x v="3"/>
    <n v="1"/>
    <n v="1"/>
    <n v="1"/>
    <s v="W"/>
    <s v="12"/>
    <x v="10"/>
    <s v="6170004"/>
    <n v="9"/>
    <n v="1"/>
    <n v="1"/>
  </r>
  <r>
    <s v="COMM"/>
    <x v="3"/>
    <x v="14"/>
    <x v="0"/>
    <x v="2"/>
    <n v="1"/>
    <n v="1"/>
    <n v="1"/>
    <s v="W"/>
    <s v="12"/>
    <x v="10"/>
    <s v="6170004"/>
    <n v="9"/>
    <n v="3"/>
    <n v="3"/>
  </r>
  <r>
    <s v="COMM"/>
    <x v="3"/>
    <x v="14"/>
    <x v="0"/>
    <x v="3"/>
    <n v="1"/>
    <n v="1"/>
    <n v="1"/>
    <s v="W"/>
    <s v="11"/>
    <x v="11"/>
    <s v="6170005"/>
    <n v="9"/>
    <n v="150"/>
    <n v="150"/>
  </r>
  <r>
    <s v="IND"/>
    <x v="3"/>
    <x v="14"/>
    <x v="0"/>
    <x v="3"/>
    <n v="1"/>
    <n v="1"/>
    <n v="1"/>
    <s v="W"/>
    <s v="11"/>
    <x v="11"/>
    <s v="6170005"/>
    <n v="9"/>
    <n v="2"/>
    <n v="2"/>
  </r>
  <r>
    <s v="COMM"/>
    <x v="3"/>
    <x v="14"/>
    <x v="0"/>
    <x v="6"/>
    <n v="1"/>
    <n v="1"/>
    <n v="1"/>
    <s v="W"/>
    <s v="11"/>
    <x v="11"/>
    <s v="6170005"/>
    <n v="9"/>
    <n v="3"/>
    <n v="3"/>
  </r>
  <r>
    <s v="COMM"/>
    <x v="3"/>
    <x v="14"/>
    <x v="0"/>
    <x v="3"/>
    <n v="1"/>
    <n v="1"/>
    <n v="1"/>
    <s v="W"/>
    <s v="10"/>
    <x v="14"/>
    <s v="6170008"/>
    <n v="9"/>
    <n v="2"/>
    <n v="2"/>
  </r>
  <r>
    <s v="COMM"/>
    <x v="3"/>
    <x v="14"/>
    <x v="0"/>
    <x v="3"/>
    <n v="1"/>
    <n v="1"/>
    <n v="1"/>
    <s v="W"/>
    <s v="15"/>
    <x v="12"/>
    <s v="6170015"/>
    <n v="9"/>
    <n v="11"/>
    <n v="11"/>
  </r>
  <r>
    <s v="COMM"/>
    <x v="3"/>
    <x v="14"/>
    <x v="0"/>
    <x v="2"/>
    <n v="1"/>
    <n v="1"/>
    <n v="1"/>
    <s v="W"/>
    <s v="10"/>
    <x v="14"/>
    <s v="6170028"/>
    <n v="9"/>
    <n v="10"/>
    <n v="10"/>
  </r>
  <r>
    <s v="COMM"/>
    <x v="3"/>
    <x v="14"/>
    <x v="0"/>
    <x v="3"/>
    <n v="1"/>
    <n v="1"/>
    <n v="1"/>
    <s v="W"/>
    <s v="10"/>
    <x v="14"/>
    <s v="6170028"/>
    <n v="9"/>
    <n v="16"/>
    <n v="16"/>
  </r>
  <r>
    <s v="COMM"/>
    <x v="3"/>
    <x v="14"/>
    <x v="0"/>
    <x v="3"/>
    <n v="1"/>
    <n v="1"/>
    <n v="1"/>
    <s v="W"/>
    <s v="13"/>
    <x v="15"/>
    <s v="6170040"/>
    <n v="9"/>
    <n v="14"/>
    <n v="14"/>
  </r>
  <r>
    <s v="COMM"/>
    <x v="3"/>
    <x v="14"/>
    <x v="0"/>
    <x v="2"/>
    <n v="1"/>
    <n v="1"/>
    <n v="1"/>
    <s v="W"/>
    <s v="13"/>
    <x v="15"/>
    <s v="6170040"/>
    <n v="9"/>
    <n v="2"/>
    <n v="2"/>
  </r>
  <r>
    <s v="COMM"/>
    <x v="3"/>
    <x v="14"/>
    <x v="1"/>
    <x v="2"/>
    <n v="1"/>
    <n v="1"/>
    <n v="1"/>
    <s v="W"/>
    <s v="11"/>
    <x v="11"/>
    <s v="6170055"/>
    <n v="9"/>
    <n v="2"/>
    <n v="2"/>
  </r>
  <r>
    <s v="COMM"/>
    <x v="3"/>
    <x v="14"/>
    <x v="0"/>
    <x v="2"/>
    <n v="1"/>
    <n v="1"/>
    <n v="1"/>
    <s v="W"/>
    <s v="11"/>
    <x v="11"/>
    <s v="6170055"/>
    <n v="9"/>
    <n v="25"/>
    <n v="25"/>
  </r>
  <r>
    <s v="COMM"/>
    <x v="3"/>
    <x v="14"/>
    <x v="1"/>
    <x v="2"/>
    <n v="1"/>
    <n v="1"/>
    <n v="2"/>
    <s v="W"/>
    <s v="11"/>
    <x v="11"/>
    <s v="6170055"/>
    <n v="9"/>
    <n v="1"/>
    <n v="1"/>
  </r>
  <r>
    <s v="COMM"/>
    <x v="3"/>
    <x v="14"/>
    <x v="0"/>
    <x v="3"/>
    <n v="1"/>
    <n v="2"/>
    <n v="1"/>
    <s v="W"/>
    <s v="1C"/>
    <x v="6"/>
    <s v="6080004"/>
    <n v="4"/>
    <n v="1"/>
    <n v="1"/>
  </r>
  <r>
    <s v="COMM"/>
    <x v="3"/>
    <x v="14"/>
    <x v="0"/>
    <x v="3"/>
    <n v="1"/>
    <n v="2"/>
    <n v="1"/>
    <s v="W"/>
    <s v="11"/>
    <x v="11"/>
    <s v="6170005"/>
    <n v="9"/>
    <n v="23"/>
    <n v="23"/>
  </r>
  <r>
    <s v="IND"/>
    <x v="3"/>
    <x v="14"/>
    <x v="0"/>
    <x v="3"/>
    <n v="1"/>
    <n v="2"/>
    <n v="1"/>
    <s v="W"/>
    <s v="11"/>
    <x v="11"/>
    <s v="6170005"/>
    <n v="9"/>
    <n v="2"/>
    <n v="2"/>
  </r>
  <r>
    <s v="COMM"/>
    <x v="3"/>
    <x v="14"/>
    <x v="0"/>
    <x v="6"/>
    <n v="1"/>
    <n v="2"/>
    <n v="1"/>
    <s v="W"/>
    <s v="11"/>
    <x v="11"/>
    <s v="6170005"/>
    <n v="9"/>
    <n v="1"/>
    <n v="1"/>
  </r>
  <r>
    <s v="COMM"/>
    <x v="3"/>
    <x v="14"/>
    <x v="0"/>
    <x v="3"/>
    <n v="1"/>
    <n v="2"/>
    <n v="1"/>
    <s v="W"/>
    <s v="15"/>
    <x v="12"/>
    <s v="6170015"/>
    <n v="9"/>
    <n v="1"/>
    <n v="1"/>
  </r>
  <r>
    <s v="COMM"/>
    <x v="3"/>
    <x v="14"/>
    <x v="0"/>
    <x v="3"/>
    <n v="1"/>
    <n v="2"/>
    <n v="1"/>
    <s v="W"/>
    <s v="10"/>
    <x v="14"/>
    <s v="6170028"/>
    <n v="9"/>
    <n v="1"/>
    <n v="1"/>
  </r>
  <r>
    <s v="COMM"/>
    <x v="3"/>
    <x v="14"/>
    <x v="0"/>
    <x v="2"/>
    <n v="1"/>
    <n v="2"/>
    <n v="1"/>
    <s v="W"/>
    <s v="10"/>
    <x v="14"/>
    <s v="6170028"/>
    <n v="9"/>
    <n v="1"/>
    <n v="1"/>
  </r>
  <r>
    <s v="COMM"/>
    <x v="3"/>
    <x v="14"/>
    <x v="0"/>
    <x v="3"/>
    <n v="1"/>
    <n v="2"/>
    <n v="1"/>
    <s v="W"/>
    <s v="13"/>
    <x v="15"/>
    <s v="6170040"/>
    <n v="9"/>
    <n v="3"/>
    <n v="3"/>
  </r>
  <r>
    <s v="COMM"/>
    <x v="3"/>
    <x v="14"/>
    <x v="0"/>
    <x v="2"/>
    <n v="1"/>
    <n v="2"/>
    <n v="1"/>
    <s v="W"/>
    <s v="13"/>
    <x v="15"/>
    <s v="6170040"/>
    <n v="9"/>
    <n v="3"/>
    <n v="3"/>
  </r>
  <r>
    <s v="COMM"/>
    <x v="3"/>
    <x v="14"/>
    <x v="1"/>
    <x v="2"/>
    <n v="1"/>
    <n v="2"/>
    <n v="1"/>
    <s v="W"/>
    <s v="11"/>
    <x v="11"/>
    <s v="6170055"/>
    <n v="9"/>
    <n v="6"/>
    <n v="6"/>
  </r>
  <r>
    <s v="COMM"/>
    <x v="3"/>
    <x v="14"/>
    <x v="0"/>
    <x v="2"/>
    <n v="1"/>
    <n v="2"/>
    <n v="1"/>
    <s v="W"/>
    <s v="11"/>
    <x v="11"/>
    <s v="6170055"/>
    <n v="9"/>
    <n v="13"/>
    <n v="13"/>
  </r>
  <r>
    <s v="IND"/>
    <x v="3"/>
    <x v="14"/>
    <x v="0"/>
    <x v="3"/>
    <n v="1"/>
    <n v="3"/>
    <n v="1"/>
    <s v="W"/>
    <s v="11"/>
    <x v="11"/>
    <s v="6170005"/>
    <n v="9"/>
    <n v="1"/>
    <n v="1"/>
  </r>
  <r>
    <s v="COMM"/>
    <x v="3"/>
    <x v="14"/>
    <x v="0"/>
    <x v="3"/>
    <n v="1"/>
    <n v="3"/>
    <n v="1"/>
    <s v="W"/>
    <s v="11"/>
    <x v="11"/>
    <s v="6170005"/>
    <n v="9"/>
    <n v="7"/>
    <n v="7"/>
  </r>
  <r>
    <s v="COMM"/>
    <x v="3"/>
    <x v="14"/>
    <x v="0"/>
    <x v="6"/>
    <n v="1"/>
    <n v="3"/>
    <n v="1"/>
    <s v="W"/>
    <s v="11"/>
    <x v="11"/>
    <s v="6170005"/>
    <n v="9"/>
    <n v="2"/>
    <n v="2"/>
  </r>
  <r>
    <s v="COMM"/>
    <x v="3"/>
    <x v="14"/>
    <x v="0"/>
    <x v="3"/>
    <n v="1"/>
    <n v="3"/>
    <n v="1"/>
    <s v="W"/>
    <s v="13"/>
    <x v="15"/>
    <s v="6170040"/>
    <n v="9"/>
    <n v="3"/>
    <n v="3"/>
  </r>
  <r>
    <s v="COMM"/>
    <x v="3"/>
    <x v="14"/>
    <x v="0"/>
    <x v="2"/>
    <n v="1"/>
    <n v="3"/>
    <n v="1"/>
    <s v="W"/>
    <s v="11"/>
    <x v="11"/>
    <s v="6170055"/>
    <n v="9"/>
    <n v="2"/>
    <n v="2"/>
  </r>
  <r>
    <s v="COMM"/>
    <x v="3"/>
    <x v="14"/>
    <x v="1"/>
    <x v="2"/>
    <n v="1"/>
    <n v="3"/>
    <n v="1"/>
    <s v="W"/>
    <s v="11"/>
    <x v="11"/>
    <s v="6170055"/>
    <n v="9"/>
    <n v="1"/>
    <n v="1"/>
  </r>
  <r>
    <s v="COMM"/>
    <x v="3"/>
    <x v="14"/>
    <x v="0"/>
    <x v="3"/>
    <n v="1"/>
    <n v="4"/>
    <n v="1"/>
    <s v="W"/>
    <s v="11"/>
    <x v="11"/>
    <s v="6170005"/>
    <n v="9"/>
    <n v="1"/>
    <n v="1"/>
  </r>
  <r>
    <s v="IND"/>
    <x v="3"/>
    <x v="14"/>
    <x v="1"/>
    <x v="3"/>
    <n v="2"/>
    <n v="0"/>
    <n v="0"/>
    <m/>
    <s v="13"/>
    <x v="15"/>
    <s v="6170040"/>
    <n v="9"/>
    <n v="2"/>
    <n v="1"/>
  </r>
  <r>
    <s v="COMM"/>
    <x v="3"/>
    <x v="14"/>
    <x v="0"/>
    <x v="3"/>
    <n v="2"/>
    <n v="2"/>
    <n v="1"/>
    <s v="W"/>
    <s v="1C"/>
    <x v="6"/>
    <s v="6080004"/>
    <n v="4"/>
    <n v="2"/>
    <n v="1"/>
  </r>
  <r>
    <s v="COMM"/>
    <x v="3"/>
    <x v="14"/>
    <x v="0"/>
    <x v="3"/>
    <n v="2"/>
    <n v="2"/>
    <n v="1"/>
    <s v="W"/>
    <s v="11"/>
    <x v="11"/>
    <s v="6170005"/>
    <n v="9"/>
    <n v="2"/>
    <n v="1"/>
  </r>
  <r>
    <s v="COMM"/>
    <x v="3"/>
    <x v="14"/>
    <x v="0"/>
    <x v="2"/>
    <n v="2"/>
    <n v="2"/>
    <n v="1"/>
    <s v="W"/>
    <s v="10"/>
    <x v="14"/>
    <s v="6170028"/>
    <n v="9"/>
    <n v="4"/>
    <n v="2"/>
  </r>
  <r>
    <s v="COMM"/>
    <x v="3"/>
    <x v="14"/>
    <x v="0"/>
    <x v="2"/>
    <n v="2"/>
    <n v="2"/>
    <n v="1"/>
    <s v="W"/>
    <s v="13"/>
    <x v="15"/>
    <s v="6170040"/>
    <n v="9"/>
    <n v="2"/>
    <n v="1"/>
  </r>
  <r>
    <s v="COMM"/>
    <x v="3"/>
    <x v="14"/>
    <x v="0"/>
    <x v="2"/>
    <n v="2"/>
    <n v="2"/>
    <n v="1"/>
    <s v="W"/>
    <s v="11"/>
    <x v="11"/>
    <s v="6170055"/>
    <n v="9"/>
    <n v="8"/>
    <n v="4"/>
  </r>
  <r>
    <s v="COMM"/>
    <x v="3"/>
    <x v="14"/>
    <x v="1"/>
    <x v="2"/>
    <n v="2"/>
    <n v="2"/>
    <n v="2"/>
    <s v="W"/>
    <s v="11"/>
    <x v="11"/>
    <s v="6170055"/>
    <n v="9"/>
    <n v="2"/>
    <n v="1"/>
  </r>
  <r>
    <s v="COMM"/>
    <x v="3"/>
    <x v="14"/>
    <x v="0"/>
    <x v="3"/>
    <n v="2"/>
    <n v="4"/>
    <n v="1"/>
    <s v="W"/>
    <s v="11"/>
    <x v="11"/>
    <s v="6170005"/>
    <n v="9"/>
    <n v="2"/>
    <n v="1"/>
  </r>
  <r>
    <s v="COMM"/>
    <x v="3"/>
    <x v="14"/>
    <x v="1"/>
    <x v="2"/>
    <n v="2"/>
    <n v="4"/>
    <n v="1"/>
    <s v="W"/>
    <s v="11"/>
    <x v="11"/>
    <s v="6170055"/>
    <n v="9"/>
    <n v="2"/>
    <n v="1"/>
  </r>
  <r>
    <s v="COMM"/>
    <x v="3"/>
    <x v="14"/>
    <x v="0"/>
    <x v="2"/>
    <n v="2"/>
    <n v="4"/>
    <n v="1"/>
    <s v="W"/>
    <s v="11"/>
    <x v="11"/>
    <s v="6170055"/>
    <n v="9"/>
    <n v="8"/>
    <n v="4"/>
  </r>
  <r>
    <s v="COMM"/>
    <x v="3"/>
    <x v="14"/>
    <x v="0"/>
    <x v="3"/>
    <n v="2"/>
    <n v="6"/>
    <n v="1"/>
    <s v="W"/>
    <s v="11"/>
    <x v="11"/>
    <s v="6170005"/>
    <n v="9"/>
    <n v="2"/>
    <n v="1"/>
  </r>
  <r>
    <s v="COMM"/>
    <x v="3"/>
    <x v="14"/>
    <x v="1"/>
    <x v="3"/>
    <n v="2"/>
    <n v="6"/>
    <n v="1"/>
    <s v="W"/>
    <s v="11"/>
    <x v="11"/>
    <s v="6170005"/>
    <n v="9"/>
    <n v="2"/>
    <n v="1"/>
  </r>
  <r>
    <s v="COMM"/>
    <x v="3"/>
    <x v="14"/>
    <x v="1"/>
    <x v="2"/>
    <n v="2"/>
    <n v="12"/>
    <n v="1"/>
    <s v="W"/>
    <s v="11"/>
    <x v="11"/>
    <s v="6170055"/>
    <n v="9"/>
    <n v="2"/>
    <n v="1"/>
  </r>
  <r>
    <s v="COMM"/>
    <x v="3"/>
    <x v="14"/>
    <x v="1"/>
    <x v="3"/>
    <n v="3"/>
    <n v="3"/>
    <n v="1"/>
    <s v="W"/>
    <s v="13"/>
    <x v="15"/>
    <s v="6170040"/>
    <n v="9"/>
    <n v="3"/>
    <n v="1"/>
  </r>
  <r>
    <s v="COMM"/>
    <x v="3"/>
    <x v="14"/>
    <x v="0"/>
    <x v="2"/>
    <n v="3"/>
    <n v="3"/>
    <n v="1"/>
    <s v="W"/>
    <s v="13"/>
    <x v="15"/>
    <s v="6170040"/>
    <n v="9"/>
    <n v="3"/>
    <n v="1"/>
  </r>
  <r>
    <s v="COMM"/>
    <x v="3"/>
    <x v="14"/>
    <x v="0"/>
    <x v="2"/>
    <n v="3"/>
    <n v="3"/>
    <n v="1"/>
    <s v="W"/>
    <s v="11"/>
    <x v="11"/>
    <s v="6170055"/>
    <n v="9"/>
    <n v="12"/>
    <n v="4"/>
  </r>
  <r>
    <s v="COMM"/>
    <x v="3"/>
    <x v="14"/>
    <x v="1"/>
    <x v="3"/>
    <n v="3"/>
    <n v="6"/>
    <n v="1"/>
    <s v="W"/>
    <s v="11"/>
    <x v="11"/>
    <s v="6170005"/>
    <n v="9"/>
    <n v="3"/>
    <n v="1"/>
  </r>
  <r>
    <s v="COMM"/>
    <x v="3"/>
    <x v="14"/>
    <x v="1"/>
    <x v="2"/>
    <n v="3"/>
    <n v="6"/>
    <n v="1"/>
    <s v="W"/>
    <s v="11"/>
    <x v="11"/>
    <s v="6170055"/>
    <n v="9"/>
    <n v="3"/>
    <n v="1"/>
  </r>
  <r>
    <s v="COMM"/>
    <x v="3"/>
    <x v="14"/>
    <x v="1"/>
    <x v="2"/>
    <n v="3"/>
    <n v="7"/>
    <n v="1"/>
    <s v="W"/>
    <s v="11"/>
    <x v="11"/>
    <s v="6170055"/>
    <n v="9"/>
    <n v="3"/>
    <n v="1"/>
  </r>
  <r>
    <s v="COMM"/>
    <x v="3"/>
    <x v="14"/>
    <x v="0"/>
    <x v="2"/>
    <n v="4"/>
    <n v="4"/>
    <n v="1"/>
    <s v="W"/>
    <s v="11"/>
    <x v="11"/>
    <s v="6170055"/>
    <n v="9"/>
    <n v="4"/>
    <n v="1"/>
  </r>
  <r>
    <s v="COMM"/>
    <x v="3"/>
    <x v="14"/>
    <x v="1"/>
    <x v="2"/>
    <n v="4"/>
    <n v="4"/>
    <n v="1"/>
    <s v="W"/>
    <s v="11"/>
    <x v="11"/>
    <s v="6170055"/>
    <n v="9"/>
    <n v="8"/>
    <n v="2"/>
  </r>
  <r>
    <s v="COMM"/>
    <x v="3"/>
    <x v="14"/>
    <x v="1"/>
    <x v="2"/>
    <n v="4"/>
    <n v="8"/>
    <n v="1"/>
    <s v="W"/>
    <s v="11"/>
    <x v="11"/>
    <s v="6170055"/>
    <n v="9"/>
    <n v="4"/>
    <n v="1"/>
  </r>
  <r>
    <s v="COMM"/>
    <x v="3"/>
    <x v="14"/>
    <x v="0"/>
    <x v="2"/>
    <n v="5"/>
    <n v="5"/>
    <n v="1"/>
    <s v="W"/>
    <s v="11"/>
    <x v="11"/>
    <s v="6170055"/>
    <n v="9"/>
    <n v="5"/>
    <n v="1"/>
  </r>
  <r>
    <s v="COMM"/>
    <x v="3"/>
    <x v="14"/>
    <x v="0"/>
    <x v="2"/>
    <n v="6"/>
    <n v="12"/>
    <n v="1"/>
    <s v="W"/>
    <s v="11"/>
    <x v="11"/>
    <s v="6170055"/>
    <n v="9"/>
    <n v="6"/>
    <n v="1"/>
  </r>
  <r>
    <s v="COMM"/>
    <x v="3"/>
    <x v="14"/>
    <x v="0"/>
    <x v="2"/>
    <n v="7"/>
    <n v="21"/>
    <n v="1"/>
    <s v="W"/>
    <s v="11"/>
    <x v="11"/>
    <s v="6170055"/>
    <n v="9"/>
    <n v="7"/>
    <n v="1"/>
  </r>
  <r>
    <s v="COMM"/>
    <x v="3"/>
    <x v="15"/>
    <x v="0"/>
    <x v="3"/>
    <n v="1"/>
    <n v="0"/>
    <n v="0"/>
    <m/>
    <s v="12"/>
    <x v="10"/>
    <s v="6170004"/>
    <n v="9"/>
    <n v="1"/>
    <n v="1"/>
  </r>
  <r>
    <s v="IND"/>
    <x v="3"/>
    <x v="15"/>
    <x v="0"/>
    <x v="3"/>
    <n v="1"/>
    <n v="0"/>
    <n v="0"/>
    <m/>
    <s v="11"/>
    <x v="11"/>
    <s v="6170005"/>
    <n v="9"/>
    <n v="1"/>
    <n v="1"/>
  </r>
  <r>
    <s v="COMM"/>
    <x v="3"/>
    <x v="15"/>
    <x v="0"/>
    <x v="3"/>
    <n v="1"/>
    <n v="0"/>
    <n v="0"/>
    <m/>
    <s v="10"/>
    <x v="14"/>
    <s v="6170009"/>
    <n v="9"/>
    <n v="1"/>
    <n v="1"/>
  </r>
  <r>
    <s v="COMM"/>
    <x v="3"/>
    <x v="15"/>
    <x v="0"/>
    <x v="3"/>
    <n v="1"/>
    <n v="0"/>
    <n v="0"/>
    <m/>
    <s v="15"/>
    <x v="12"/>
    <s v="6170015"/>
    <n v="9"/>
    <n v="1"/>
    <n v="1"/>
  </r>
  <r>
    <s v="COMM"/>
    <x v="3"/>
    <x v="15"/>
    <x v="0"/>
    <x v="3"/>
    <n v="1"/>
    <n v="0"/>
    <n v="0"/>
    <m/>
    <s v="10"/>
    <x v="14"/>
    <s v="6170028"/>
    <n v="9"/>
    <n v="1"/>
    <n v="1"/>
  </r>
  <r>
    <s v="COMM"/>
    <x v="3"/>
    <x v="15"/>
    <x v="0"/>
    <x v="3"/>
    <n v="1"/>
    <n v="0"/>
    <n v="0"/>
    <m/>
    <s v="13"/>
    <x v="15"/>
    <s v="6170040"/>
    <n v="9"/>
    <n v="1"/>
    <n v="1"/>
  </r>
  <r>
    <s v="COMM"/>
    <x v="3"/>
    <x v="15"/>
    <x v="0"/>
    <x v="3"/>
    <n v="1"/>
    <n v="1"/>
    <n v="1"/>
    <s v="W"/>
    <s v="1C"/>
    <x v="6"/>
    <s v="6080004"/>
    <n v="4"/>
    <n v="16"/>
    <n v="16"/>
  </r>
  <r>
    <s v="COMM"/>
    <x v="3"/>
    <x v="15"/>
    <x v="0"/>
    <x v="2"/>
    <n v="1"/>
    <n v="1"/>
    <n v="1"/>
    <s v="W"/>
    <s v="1C"/>
    <x v="6"/>
    <s v="6080004"/>
    <n v="4"/>
    <n v="3"/>
    <n v="3"/>
  </r>
  <r>
    <s v="COMM"/>
    <x v="3"/>
    <x v="15"/>
    <x v="0"/>
    <x v="2"/>
    <n v="1"/>
    <n v="1"/>
    <n v="1"/>
    <s v="W"/>
    <s v="1B"/>
    <x v="14"/>
    <s v="6080060"/>
    <n v="6"/>
    <n v="1"/>
    <n v="1"/>
  </r>
  <r>
    <s v="COMM"/>
    <x v="3"/>
    <x v="15"/>
    <x v="1"/>
    <x v="3"/>
    <n v="1"/>
    <n v="1"/>
    <n v="1"/>
    <s v="W"/>
    <s v="10"/>
    <x v="14"/>
    <s v="6170002"/>
    <n v="9"/>
    <n v="1"/>
    <n v="1"/>
  </r>
  <r>
    <s v="COMM"/>
    <x v="3"/>
    <x v="15"/>
    <x v="0"/>
    <x v="3"/>
    <n v="1"/>
    <n v="1"/>
    <n v="1"/>
    <s v="W"/>
    <s v="12"/>
    <x v="10"/>
    <s v="6170004"/>
    <n v="9"/>
    <n v="2"/>
    <n v="2"/>
  </r>
  <r>
    <s v="COMM"/>
    <x v="3"/>
    <x v="15"/>
    <x v="0"/>
    <x v="2"/>
    <n v="1"/>
    <n v="1"/>
    <n v="1"/>
    <s v="W"/>
    <s v="12"/>
    <x v="10"/>
    <s v="6170004"/>
    <n v="9"/>
    <n v="3"/>
    <n v="3"/>
  </r>
  <r>
    <s v="COMM"/>
    <x v="3"/>
    <x v="15"/>
    <x v="0"/>
    <x v="6"/>
    <n v="1"/>
    <n v="1"/>
    <n v="1"/>
    <s v="W"/>
    <s v="11"/>
    <x v="11"/>
    <s v="6170005"/>
    <n v="9"/>
    <n v="2"/>
    <n v="2"/>
  </r>
  <r>
    <s v="COMM"/>
    <x v="3"/>
    <x v="15"/>
    <x v="1"/>
    <x v="3"/>
    <n v="1"/>
    <n v="1"/>
    <n v="1"/>
    <s v="W"/>
    <s v="11"/>
    <x v="11"/>
    <s v="6170005"/>
    <n v="9"/>
    <n v="1"/>
    <n v="1"/>
  </r>
  <r>
    <s v="COMM"/>
    <x v="3"/>
    <x v="15"/>
    <x v="0"/>
    <x v="3"/>
    <n v="1"/>
    <n v="1"/>
    <n v="1"/>
    <s v="W"/>
    <s v="10"/>
    <x v="14"/>
    <s v="6170005"/>
    <n v="9"/>
    <n v="1"/>
    <n v="1"/>
  </r>
  <r>
    <s v="COMM"/>
    <x v="3"/>
    <x v="15"/>
    <x v="0"/>
    <x v="3"/>
    <n v="1"/>
    <n v="1"/>
    <n v="1"/>
    <s v="W"/>
    <s v="11"/>
    <x v="11"/>
    <s v="6170005"/>
    <n v="9"/>
    <n v="105"/>
    <n v="105"/>
  </r>
  <r>
    <s v="COMM"/>
    <x v="3"/>
    <x v="15"/>
    <x v="0"/>
    <x v="3"/>
    <n v="1"/>
    <n v="1"/>
    <n v="1"/>
    <s v="W"/>
    <s v="15"/>
    <x v="12"/>
    <s v="6170015"/>
    <n v="9"/>
    <n v="5"/>
    <n v="5"/>
  </r>
  <r>
    <s v="COMM"/>
    <x v="3"/>
    <x v="15"/>
    <x v="0"/>
    <x v="3"/>
    <n v="1"/>
    <n v="1"/>
    <n v="1"/>
    <s v="W"/>
    <s v="10"/>
    <x v="14"/>
    <s v="6170028"/>
    <n v="9"/>
    <n v="14"/>
    <n v="14"/>
  </r>
  <r>
    <s v="COMM"/>
    <x v="3"/>
    <x v="15"/>
    <x v="0"/>
    <x v="2"/>
    <n v="1"/>
    <n v="1"/>
    <n v="1"/>
    <s v="W"/>
    <s v="10"/>
    <x v="14"/>
    <s v="6170028"/>
    <n v="9"/>
    <n v="3"/>
    <n v="3"/>
  </r>
  <r>
    <s v="IND"/>
    <x v="3"/>
    <x v="15"/>
    <x v="0"/>
    <x v="3"/>
    <n v="1"/>
    <n v="1"/>
    <n v="1"/>
    <s v="W"/>
    <s v="10"/>
    <x v="14"/>
    <s v="6170028"/>
    <n v="9"/>
    <n v="2"/>
    <n v="2"/>
  </r>
  <r>
    <s v="COMM"/>
    <x v="3"/>
    <x v="15"/>
    <x v="0"/>
    <x v="3"/>
    <n v="1"/>
    <n v="1"/>
    <n v="1"/>
    <s v="W"/>
    <s v="13"/>
    <x v="15"/>
    <s v="6170040"/>
    <n v="9"/>
    <n v="11"/>
    <n v="11"/>
  </r>
  <r>
    <s v="COMM"/>
    <x v="3"/>
    <x v="15"/>
    <x v="1"/>
    <x v="2"/>
    <n v="1"/>
    <n v="1"/>
    <n v="1"/>
    <s v="W"/>
    <s v="11"/>
    <x v="11"/>
    <s v="6170055"/>
    <n v="9"/>
    <n v="4"/>
    <n v="4"/>
  </r>
  <r>
    <s v="COMM"/>
    <x v="3"/>
    <x v="15"/>
    <x v="0"/>
    <x v="2"/>
    <n v="1"/>
    <n v="1"/>
    <n v="1"/>
    <s v="W"/>
    <s v="11"/>
    <x v="11"/>
    <s v="6170055"/>
    <n v="9"/>
    <n v="35"/>
    <n v="35"/>
  </r>
  <r>
    <s v="COMM"/>
    <x v="3"/>
    <x v="15"/>
    <x v="0"/>
    <x v="2"/>
    <n v="1"/>
    <n v="2"/>
    <n v="1"/>
    <s v="W"/>
    <s v="1C"/>
    <x v="6"/>
    <s v="6080004"/>
    <n v="4"/>
    <n v="1"/>
    <n v="1"/>
  </r>
  <r>
    <s v="COMM"/>
    <x v="3"/>
    <x v="15"/>
    <x v="0"/>
    <x v="3"/>
    <n v="1"/>
    <n v="2"/>
    <n v="1"/>
    <s v="W"/>
    <s v="12"/>
    <x v="10"/>
    <s v="6170004"/>
    <n v="9"/>
    <n v="1"/>
    <n v="1"/>
  </r>
  <r>
    <s v="COMM"/>
    <x v="3"/>
    <x v="15"/>
    <x v="0"/>
    <x v="2"/>
    <n v="1"/>
    <n v="2"/>
    <n v="1"/>
    <s v="W"/>
    <s v="12"/>
    <x v="10"/>
    <s v="6170004"/>
    <n v="9"/>
    <n v="4"/>
    <n v="4"/>
  </r>
  <r>
    <s v="COMM"/>
    <x v="3"/>
    <x v="15"/>
    <x v="0"/>
    <x v="3"/>
    <n v="1"/>
    <n v="2"/>
    <n v="1"/>
    <s v="W"/>
    <s v="11"/>
    <x v="11"/>
    <s v="6170005"/>
    <n v="9"/>
    <n v="19"/>
    <n v="19"/>
  </r>
  <r>
    <s v="COMM"/>
    <x v="3"/>
    <x v="15"/>
    <x v="0"/>
    <x v="6"/>
    <n v="1"/>
    <n v="2"/>
    <n v="1"/>
    <s v="W"/>
    <s v="11"/>
    <x v="11"/>
    <s v="6170005"/>
    <n v="9"/>
    <n v="5"/>
    <n v="5"/>
  </r>
  <r>
    <s v="COMM"/>
    <x v="3"/>
    <x v="15"/>
    <x v="0"/>
    <x v="3"/>
    <n v="1"/>
    <n v="2"/>
    <n v="1"/>
    <s v="W"/>
    <s v="10"/>
    <x v="14"/>
    <s v="6170008"/>
    <n v="9"/>
    <n v="1"/>
    <n v="1"/>
  </r>
  <r>
    <s v="COMM"/>
    <x v="3"/>
    <x v="15"/>
    <x v="0"/>
    <x v="3"/>
    <n v="1"/>
    <n v="2"/>
    <n v="1"/>
    <s v="W"/>
    <s v="15"/>
    <x v="12"/>
    <s v="6170015"/>
    <n v="9"/>
    <n v="1"/>
    <n v="1"/>
  </r>
  <r>
    <s v="COMM"/>
    <x v="3"/>
    <x v="15"/>
    <x v="0"/>
    <x v="4"/>
    <n v="1"/>
    <n v="2"/>
    <n v="1"/>
    <s v="W"/>
    <s v="15"/>
    <x v="12"/>
    <s v="6170015"/>
    <n v="9"/>
    <n v="1"/>
    <n v="1"/>
  </r>
  <r>
    <s v="IND"/>
    <x v="3"/>
    <x v="15"/>
    <x v="0"/>
    <x v="3"/>
    <n v="1"/>
    <n v="2"/>
    <n v="1"/>
    <s v="W"/>
    <s v="15"/>
    <x v="12"/>
    <s v="6170015"/>
    <n v="9"/>
    <n v="1"/>
    <n v="1"/>
  </r>
  <r>
    <s v="COMM"/>
    <x v="3"/>
    <x v="15"/>
    <x v="0"/>
    <x v="3"/>
    <n v="1"/>
    <n v="2"/>
    <n v="1"/>
    <s v="W"/>
    <s v="10"/>
    <x v="14"/>
    <s v="6170028"/>
    <n v="9"/>
    <n v="1"/>
    <n v="1"/>
  </r>
  <r>
    <s v="COMM"/>
    <x v="3"/>
    <x v="15"/>
    <x v="0"/>
    <x v="2"/>
    <n v="1"/>
    <n v="2"/>
    <n v="1"/>
    <s v="W"/>
    <s v="10"/>
    <x v="14"/>
    <s v="6170028"/>
    <n v="9"/>
    <n v="5"/>
    <n v="5"/>
  </r>
  <r>
    <s v="COMM"/>
    <x v="3"/>
    <x v="15"/>
    <x v="0"/>
    <x v="3"/>
    <n v="1"/>
    <n v="2"/>
    <n v="1"/>
    <s v="W"/>
    <s v="13"/>
    <x v="15"/>
    <s v="6170040"/>
    <n v="9"/>
    <n v="1"/>
    <n v="1"/>
  </r>
  <r>
    <s v="COMM"/>
    <x v="3"/>
    <x v="15"/>
    <x v="0"/>
    <x v="2"/>
    <n v="1"/>
    <n v="2"/>
    <n v="1"/>
    <s v="W"/>
    <s v="13"/>
    <x v="15"/>
    <s v="6170040"/>
    <n v="9"/>
    <n v="5"/>
    <n v="5"/>
  </r>
  <r>
    <s v="COMM"/>
    <x v="3"/>
    <x v="15"/>
    <x v="1"/>
    <x v="2"/>
    <n v="1"/>
    <n v="2"/>
    <n v="1"/>
    <s v="W"/>
    <s v="11"/>
    <x v="11"/>
    <s v="6170055"/>
    <n v="9"/>
    <n v="1"/>
    <n v="1"/>
  </r>
  <r>
    <s v="COMM"/>
    <x v="3"/>
    <x v="15"/>
    <x v="0"/>
    <x v="2"/>
    <n v="1"/>
    <n v="2"/>
    <n v="1"/>
    <s v="W"/>
    <s v="11"/>
    <x v="11"/>
    <s v="6170055"/>
    <n v="9"/>
    <n v="23"/>
    <n v="23"/>
  </r>
  <r>
    <s v="COMM"/>
    <x v="3"/>
    <x v="15"/>
    <x v="0"/>
    <x v="3"/>
    <n v="1"/>
    <n v="3"/>
    <n v="1"/>
    <s v="W"/>
    <s v="11"/>
    <x v="11"/>
    <m/>
    <n v="0"/>
    <n v="1"/>
    <n v="1"/>
  </r>
  <r>
    <s v="COMM"/>
    <x v="3"/>
    <x v="15"/>
    <x v="0"/>
    <x v="3"/>
    <n v="1"/>
    <n v="3"/>
    <n v="1"/>
    <s v="W"/>
    <s v="11"/>
    <x v="11"/>
    <s v="6170005"/>
    <n v="9"/>
    <n v="6"/>
    <n v="6"/>
  </r>
  <r>
    <s v="COMM"/>
    <x v="3"/>
    <x v="15"/>
    <x v="0"/>
    <x v="6"/>
    <n v="1"/>
    <n v="3"/>
    <n v="1"/>
    <s v="W"/>
    <s v="11"/>
    <x v="11"/>
    <s v="6170005"/>
    <n v="9"/>
    <n v="2"/>
    <n v="2"/>
  </r>
  <r>
    <s v="COMM"/>
    <x v="3"/>
    <x v="15"/>
    <x v="0"/>
    <x v="3"/>
    <n v="1"/>
    <n v="3"/>
    <n v="1"/>
    <s v="W"/>
    <s v="13"/>
    <x v="15"/>
    <s v="6170040"/>
    <n v="9"/>
    <n v="1"/>
    <n v="1"/>
  </r>
  <r>
    <s v="COMM"/>
    <x v="3"/>
    <x v="15"/>
    <x v="0"/>
    <x v="2"/>
    <n v="1"/>
    <n v="3"/>
    <n v="1"/>
    <s v="W"/>
    <s v="13"/>
    <x v="15"/>
    <s v="6170040"/>
    <n v="9"/>
    <n v="1"/>
    <n v="1"/>
  </r>
  <r>
    <s v="COMM"/>
    <x v="3"/>
    <x v="15"/>
    <x v="0"/>
    <x v="2"/>
    <n v="1"/>
    <n v="3"/>
    <n v="1"/>
    <s v="W"/>
    <s v="11"/>
    <x v="11"/>
    <s v="6170055"/>
    <n v="9"/>
    <n v="1"/>
    <n v="1"/>
  </r>
  <r>
    <s v="COMM"/>
    <x v="3"/>
    <x v="15"/>
    <x v="0"/>
    <x v="3"/>
    <n v="1"/>
    <n v="4"/>
    <n v="1"/>
    <s v="W"/>
    <s v="11"/>
    <x v="11"/>
    <s v="6170005"/>
    <n v="9"/>
    <n v="2"/>
    <n v="2"/>
  </r>
  <r>
    <s v="COMM"/>
    <x v="3"/>
    <x v="15"/>
    <x v="0"/>
    <x v="6"/>
    <n v="1"/>
    <n v="5"/>
    <n v="1"/>
    <s v="W"/>
    <s v="11"/>
    <x v="11"/>
    <s v="6170005"/>
    <n v="9"/>
    <n v="1"/>
    <n v="1"/>
  </r>
  <r>
    <s v="COMM"/>
    <x v="3"/>
    <x v="15"/>
    <x v="0"/>
    <x v="3"/>
    <n v="1"/>
    <n v="6"/>
    <n v="1"/>
    <s v="W"/>
    <s v="11"/>
    <x v="11"/>
    <s v="6170005"/>
    <n v="9"/>
    <n v="1"/>
    <n v="1"/>
  </r>
  <r>
    <s v="COMM"/>
    <x v="3"/>
    <x v="15"/>
    <x v="0"/>
    <x v="3"/>
    <n v="1"/>
    <n v="6"/>
    <n v="1"/>
    <s v="W"/>
    <s v="13"/>
    <x v="15"/>
    <s v="6170040"/>
    <n v="9"/>
    <n v="2"/>
    <n v="2"/>
  </r>
  <r>
    <s v="COMM"/>
    <x v="3"/>
    <x v="15"/>
    <x v="0"/>
    <x v="3"/>
    <n v="2"/>
    <n v="2"/>
    <n v="1"/>
    <s v="W"/>
    <s v="11"/>
    <x v="11"/>
    <s v="6170005"/>
    <n v="9"/>
    <n v="2"/>
    <n v="1"/>
  </r>
  <r>
    <s v="COMM"/>
    <x v="3"/>
    <x v="15"/>
    <x v="0"/>
    <x v="2"/>
    <n v="2"/>
    <n v="2"/>
    <n v="1"/>
    <s v="W"/>
    <s v="10"/>
    <x v="14"/>
    <s v="6170028"/>
    <n v="9"/>
    <n v="2"/>
    <n v="1"/>
  </r>
  <r>
    <s v="COMM"/>
    <x v="3"/>
    <x v="15"/>
    <x v="0"/>
    <x v="2"/>
    <n v="2"/>
    <n v="2"/>
    <n v="1"/>
    <s v="W"/>
    <s v="11"/>
    <x v="11"/>
    <s v="6170055"/>
    <n v="9"/>
    <n v="18"/>
    <n v="9"/>
  </r>
  <r>
    <s v="COMM"/>
    <x v="3"/>
    <x v="15"/>
    <x v="1"/>
    <x v="2"/>
    <n v="2"/>
    <n v="2"/>
    <n v="1"/>
    <s v="W"/>
    <s v="11"/>
    <x v="11"/>
    <s v="6170055"/>
    <n v="9"/>
    <n v="2"/>
    <n v="1"/>
  </r>
  <r>
    <s v="COMM"/>
    <x v="3"/>
    <x v="15"/>
    <x v="0"/>
    <x v="2"/>
    <n v="2"/>
    <n v="4"/>
    <n v="1"/>
    <s v="W"/>
    <s v="12"/>
    <x v="10"/>
    <s v="6170004"/>
    <n v="9"/>
    <n v="2"/>
    <n v="1"/>
  </r>
  <r>
    <s v="COMM"/>
    <x v="3"/>
    <x v="15"/>
    <x v="0"/>
    <x v="2"/>
    <n v="2"/>
    <n v="4"/>
    <n v="1"/>
    <s v="W"/>
    <s v="1A"/>
    <x v="13"/>
    <s v="6170022"/>
    <n v="9"/>
    <n v="2"/>
    <n v="1"/>
  </r>
  <r>
    <s v="COMM"/>
    <x v="3"/>
    <x v="15"/>
    <x v="0"/>
    <x v="2"/>
    <n v="2"/>
    <n v="4"/>
    <n v="1"/>
    <s v="W"/>
    <s v="10"/>
    <x v="14"/>
    <s v="6170028"/>
    <n v="9"/>
    <n v="2"/>
    <n v="1"/>
  </r>
  <r>
    <s v="COMM"/>
    <x v="3"/>
    <x v="15"/>
    <x v="0"/>
    <x v="2"/>
    <n v="2"/>
    <n v="4"/>
    <n v="1"/>
    <s v="W"/>
    <s v="13"/>
    <x v="15"/>
    <s v="6170040"/>
    <n v="9"/>
    <n v="2"/>
    <n v="1"/>
  </r>
  <r>
    <s v="COMM"/>
    <x v="3"/>
    <x v="15"/>
    <x v="1"/>
    <x v="2"/>
    <n v="2"/>
    <n v="4"/>
    <n v="1"/>
    <s v="W"/>
    <s v="11"/>
    <x v="11"/>
    <s v="6170055"/>
    <n v="9"/>
    <n v="4"/>
    <n v="2"/>
  </r>
  <r>
    <s v="COMM"/>
    <x v="3"/>
    <x v="15"/>
    <x v="0"/>
    <x v="2"/>
    <n v="2"/>
    <n v="4"/>
    <n v="1"/>
    <s v="W"/>
    <s v="11"/>
    <x v="11"/>
    <s v="6170055"/>
    <n v="9"/>
    <n v="14"/>
    <n v="7"/>
  </r>
  <r>
    <s v="COMM"/>
    <x v="3"/>
    <x v="15"/>
    <x v="0"/>
    <x v="3"/>
    <n v="2"/>
    <n v="6"/>
    <n v="1"/>
    <s v="W"/>
    <s v="11"/>
    <x v="11"/>
    <s v="6170005"/>
    <n v="9"/>
    <n v="2"/>
    <n v="1"/>
  </r>
  <r>
    <s v="COMM"/>
    <x v="3"/>
    <x v="15"/>
    <x v="0"/>
    <x v="3"/>
    <n v="2"/>
    <n v="6"/>
    <n v="1"/>
    <s v="W"/>
    <s v="10"/>
    <x v="14"/>
    <s v="6170028"/>
    <n v="9"/>
    <n v="2"/>
    <n v="1"/>
  </r>
  <r>
    <s v="COMM"/>
    <x v="3"/>
    <x v="15"/>
    <x v="0"/>
    <x v="2"/>
    <n v="2"/>
    <n v="7"/>
    <n v="1"/>
    <s v="W"/>
    <s v="11"/>
    <x v="11"/>
    <s v="6170055"/>
    <n v="9"/>
    <n v="2"/>
    <n v="1"/>
  </r>
  <r>
    <s v="COMM"/>
    <x v="3"/>
    <x v="15"/>
    <x v="0"/>
    <x v="3"/>
    <n v="2"/>
    <n v="10"/>
    <n v="1"/>
    <s v="W"/>
    <s v="11"/>
    <x v="11"/>
    <s v="6170005"/>
    <n v="9"/>
    <n v="2"/>
    <n v="1"/>
  </r>
  <r>
    <s v="COMM"/>
    <x v="3"/>
    <x v="15"/>
    <x v="0"/>
    <x v="3"/>
    <n v="3"/>
    <n v="3"/>
    <n v="1"/>
    <s v="W"/>
    <s v="11"/>
    <x v="11"/>
    <s v="6170005"/>
    <n v="9"/>
    <n v="3"/>
    <n v="1"/>
  </r>
  <r>
    <s v="COMM"/>
    <x v="3"/>
    <x v="15"/>
    <x v="0"/>
    <x v="2"/>
    <n v="3"/>
    <n v="3"/>
    <n v="1"/>
    <s v="W"/>
    <s v="1A"/>
    <x v="13"/>
    <s v="6170022"/>
    <n v="9"/>
    <n v="3"/>
    <n v="1"/>
  </r>
  <r>
    <s v="COMM"/>
    <x v="3"/>
    <x v="15"/>
    <x v="0"/>
    <x v="2"/>
    <n v="3"/>
    <n v="3"/>
    <n v="1"/>
    <s v="W"/>
    <s v="13"/>
    <x v="15"/>
    <s v="6170040"/>
    <n v="9"/>
    <n v="3"/>
    <n v="1"/>
  </r>
  <r>
    <s v="COMM"/>
    <x v="3"/>
    <x v="15"/>
    <x v="0"/>
    <x v="2"/>
    <n v="3"/>
    <n v="3"/>
    <n v="1"/>
    <s v="W"/>
    <s v="11"/>
    <x v="11"/>
    <s v="6170055"/>
    <n v="9"/>
    <n v="12"/>
    <n v="4"/>
  </r>
  <r>
    <s v="COMM"/>
    <x v="3"/>
    <x v="15"/>
    <x v="0"/>
    <x v="2"/>
    <n v="3"/>
    <n v="6"/>
    <n v="1"/>
    <s v="W"/>
    <s v="11"/>
    <x v="11"/>
    <s v="6170055"/>
    <n v="9"/>
    <n v="6"/>
    <n v="2"/>
  </r>
  <r>
    <s v="COMM"/>
    <x v="3"/>
    <x v="15"/>
    <x v="0"/>
    <x v="2"/>
    <n v="4"/>
    <n v="4"/>
    <n v="1"/>
    <s v="W"/>
    <s v="11"/>
    <x v="11"/>
    <s v="6170055"/>
    <n v="9"/>
    <n v="12"/>
    <n v="3"/>
  </r>
  <r>
    <s v="COMM"/>
    <x v="3"/>
    <x v="15"/>
    <x v="0"/>
    <x v="2"/>
    <n v="4"/>
    <n v="8"/>
    <n v="1"/>
    <s v="W"/>
    <s v="1C"/>
    <x v="6"/>
    <s v="6080004"/>
    <n v="4"/>
    <n v="4"/>
    <n v="1"/>
  </r>
  <r>
    <s v="COMM"/>
    <x v="3"/>
    <x v="15"/>
    <x v="0"/>
    <x v="2"/>
    <n v="4"/>
    <n v="8"/>
    <n v="1"/>
    <s v="W"/>
    <s v="11"/>
    <x v="11"/>
    <s v="6170055"/>
    <n v="9"/>
    <n v="8"/>
    <n v="2"/>
  </r>
  <r>
    <s v="COMM"/>
    <x v="3"/>
    <x v="15"/>
    <x v="0"/>
    <x v="2"/>
    <n v="5"/>
    <n v="5"/>
    <n v="1"/>
    <s v="W"/>
    <s v="11"/>
    <x v="11"/>
    <s v="6170055"/>
    <n v="9"/>
    <n v="15"/>
    <n v="3"/>
  </r>
  <r>
    <s v="COMM"/>
    <x v="3"/>
    <x v="15"/>
    <x v="0"/>
    <x v="2"/>
    <n v="5"/>
    <n v="10"/>
    <n v="1"/>
    <s v="W"/>
    <s v="11"/>
    <x v="11"/>
    <s v="6170055"/>
    <n v="9"/>
    <n v="5"/>
    <n v="1"/>
  </r>
  <r>
    <s v="COMM"/>
    <x v="3"/>
    <x v="15"/>
    <x v="0"/>
    <x v="2"/>
    <n v="6"/>
    <n v="6"/>
    <n v="1"/>
    <s v="W"/>
    <s v="11"/>
    <x v="11"/>
    <s v="6170055"/>
    <n v="9"/>
    <n v="6"/>
    <n v="1"/>
  </r>
  <r>
    <s v="COMM"/>
    <x v="3"/>
    <x v="15"/>
    <x v="0"/>
    <x v="2"/>
    <n v="7"/>
    <n v="7"/>
    <n v="1"/>
    <s v="W"/>
    <s v="11"/>
    <x v="11"/>
    <s v="6170055"/>
    <n v="9"/>
    <n v="7"/>
    <n v="1"/>
  </r>
  <r>
    <s v="COMM"/>
    <x v="3"/>
    <x v="16"/>
    <x v="0"/>
    <x v="3"/>
    <n v="1"/>
    <n v="0"/>
    <n v="0"/>
    <m/>
    <s v="1B"/>
    <x v="14"/>
    <s v="6080040"/>
    <n v="4"/>
    <n v="2"/>
    <n v="2"/>
  </r>
  <r>
    <s v="COMM"/>
    <x v="3"/>
    <x v="16"/>
    <x v="0"/>
    <x v="3"/>
    <n v="1"/>
    <n v="0"/>
    <n v="0"/>
    <m/>
    <s v="10"/>
    <x v="14"/>
    <s v="6170002"/>
    <n v="9"/>
    <n v="1"/>
    <n v="1"/>
  </r>
  <r>
    <s v="COMM"/>
    <x v="3"/>
    <x v="16"/>
    <x v="0"/>
    <x v="3"/>
    <n v="1"/>
    <n v="0"/>
    <n v="0"/>
    <m/>
    <s v="11"/>
    <x v="11"/>
    <s v="6170005"/>
    <n v="9"/>
    <n v="7"/>
    <n v="7"/>
  </r>
  <r>
    <s v="IND"/>
    <x v="3"/>
    <x v="16"/>
    <x v="0"/>
    <x v="3"/>
    <n v="1"/>
    <n v="0"/>
    <n v="0"/>
    <m/>
    <s v="11"/>
    <x v="11"/>
    <s v="6170005"/>
    <n v="9"/>
    <n v="1"/>
    <n v="1"/>
  </r>
  <r>
    <s v="COMM"/>
    <x v="3"/>
    <x v="16"/>
    <x v="0"/>
    <x v="3"/>
    <n v="1"/>
    <n v="0"/>
    <n v="0"/>
    <m/>
    <s v="15"/>
    <x v="12"/>
    <s v="6170015"/>
    <n v="9"/>
    <n v="2"/>
    <n v="2"/>
  </r>
  <r>
    <s v="COMM"/>
    <x v="3"/>
    <x v="16"/>
    <x v="0"/>
    <x v="3"/>
    <n v="1"/>
    <n v="0"/>
    <n v="0"/>
    <m/>
    <s v="10"/>
    <x v="14"/>
    <s v="6170028"/>
    <n v="9"/>
    <n v="5"/>
    <n v="5"/>
  </r>
  <r>
    <s v="COMM"/>
    <x v="3"/>
    <x v="16"/>
    <x v="0"/>
    <x v="2"/>
    <n v="1"/>
    <n v="0"/>
    <n v="0"/>
    <m/>
    <s v="11"/>
    <x v="11"/>
    <s v="6170055"/>
    <n v="9"/>
    <n v="1"/>
    <n v="1"/>
  </r>
  <r>
    <s v="COMM"/>
    <x v="3"/>
    <x v="16"/>
    <x v="0"/>
    <x v="3"/>
    <n v="1"/>
    <n v="1"/>
    <n v="1"/>
    <s v="W"/>
    <s v="15"/>
    <x v="12"/>
    <m/>
    <n v="0"/>
    <n v="1"/>
    <n v="1"/>
  </r>
  <r>
    <s v="COMM"/>
    <x v="3"/>
    <x v="16"/>
    <x v="0"/>
    <x v="3"/>
    <n v="1"/>
    <n v="1"/>
    <n v="1"/>
    <s v="W"/>
    <s v="1C"/>
    <x v="6"/>
    <s v="6080004"/>
    <n v="4"/>
    <n v="15"/>
    <n v="15"/>
  </r>
  <r>
    <s v="COMM"/>
    <x v="3"/>
    <x v="16"/>
    <x v="0"/>
    <x v="2"/>
    <n v="1"/>
    <n v="1"/>
    <n v="1"/>
    <s v="W"/>
    <s v="1C"/>
    <x v="6"/>
    <s v="6080004"/>
    <n v="4"/>
    <n v="2"/>
    <n v="2"/>
  </r>
  <r>
    <s v="COMM"/>
    <x v="3"/>
    <x v="16"/>
    <x v="0"/>
    <x v="3"/>
    <n v="1"/>
    <n v="1"/>
    <n v="1"/>
    <s v="W"/>
    <s v="1B"/>
    <x v="14"/>
    <s v="6080040"/>
    <n v="4"/>
    <n v="4"/>
    <n v="4"/>
  </r>
  <r>
    <s v="COMM"/>
    <x v="3"/>
    <x v="16"/>
    <x v="0"/>
    <x v="3"/>
    <n v="1"/>
    <n v="1"/>
    <n v="1"/>
    <s v="W"/>
    <s v="12"/>
    <x v="10"/>
    <s v="6170004"/>
    <n v="9"/>
    <n v="4"/>
    <n v="4"/>
  </r>
  <r>
    <s v="COMM"/>
    <x v="3"/>
    <x v="16"/>
    <x v="0"/>
    <x v="2"/>
    <n v="1"/>
    <n v="1"/>
    <n v="1"/>
    <s v="W"/>
    <s v="12"/>
    <x v="10"/>
    <s v="6170004"/>
    <n v="9"/>
    <n v="3"/>
    <n v="3"/>
  </r>
  <r>
    <s v="COMM"/>
    <x v="3"/>
    <x v="16"/>
    <x v="1"/>
    <x v="2"/>
    <n v="1"/>
    <n v="1"/>
    <n v="1"/>
    <s v="W"/>
    <s v="12"/>
    <x v="10"/>
    <s v="6170004"/>
    <n v="9"/>
    <n v="1"/>
    <n v="1"/>
  </r>
  <r>
    <s v="COMM"/>
    <x v="3"/>
    <x v="16"/>
    <x v="0"/>
    <x v="6"/>
    <n v="1"/>
    <n v="1"/>
    <n v="1"/>
    <s v="W"/>
    <s v="11"/>
    <x v="11"/>
    <s v="6170005"/>
    <n v="9"/>
    <n v="5"/>
    <n v="5"/>
  </r>
  <r>
    <s v="COMM"/>
    <x v="3"/>
    <x v="16"/>
    <x v="0"/>
    <x v="3"/>
    <n v="1"/>
    <n v="1"/>
    <n v="1"/>
    <s v="W"/>
    <s v="11"/>
    <x v="11"/>
    <s v="6170005"/>
    <n v="9"/>
    <n v="149"/>
    <n v="149"/>
  </r>
  <r>
    <s v="IND"/>
    <x v="3"/>
    <x v="16"/>
    <x v="0"/>
    <x v="3"/>
    <n v="1"/>
    <n v="1"/>
    <n v="1"/>
    <s v="W"/>
    <s v="11"/>
    <x v="11"/>
    <s v="6170005"/>
    <n v="9"/>
    <n v="2"/>
    <n v="2"/>
  </r>
  <r>
    <s v="COMM"/>
    <x v="3"/>
    <x v="16"/>
    <x v="0"/>
    <x v="3"/>
    <n v="1"/>
    <n v="1"/>
    <n v="1"/>
    <s v="W"/>
    <s v="16"/>
    <x v="16"/>
    <s v="6170006"/>
    <n v="9"/>
    <n v="1"/>
    <n v="1"/>
  </r>
  <r>
    <s v="COMM"/>
    <x v="3"/>
    <x v="16"/>
    <x v="0"/>
    <x v="3"/>
    <n v="1"/>
    <n v="1"/>
    <n v="1"/>
    <s v="W"/>
    <s v="10"/>
    <x v="14"/>
    <s v="6170008"/>
    <n v="9"/>
    <n v="3"/>
    <n v="3"/>
  </r>
  <r>
    <s v="COMM"/>
    <x v="3"/>
    <x v="16"/>
    <x v="0"/>
    <x v="3"/>
    <n v="1"/>
    <n v="1"/>
    <n v="1"/>
    <s v="W"/>
    <s v="15"/>
    <x v="12"/>
    <s v="6170015"/>
    <n v="9"/>
    <n v="14"/>
    <n v="14"/>
  </r>
  <r>
    <s v="COMM"/>
    <x v="3"/>
    <x v="16"/>
    <x v="0"/>
    <x v="6"/>
    <n v="1"/>
    <n v="1"/>
    <n v="1"/>
    <s v="W"/>
    <s v="15"/>
    <x v="12"/>
    <s v="6170015"/>
    <n v="9"/>
    <n v="1"/>
    <n v="1"/>
  </r>
  <r>
    <s v="COMM"/>
    <x v="3"/>
    <x v="16"/>
    <x v="0"/>
    <x v="2"/>
    <n v="1"/>
    <n v="1"/>
    <n v="1"/>
    <s v="W"/>
    <s v="15"/>
    <x v="12"/>
    <s v="6170015"/>
    <n v="9"/>
    <n v="1"/>
    <n v="1"/>
  </r>
  <r>
    <s v="COMM"/>
    <x v="3"/>
    <x v="16"/>
    <x v="0"/>
    <x v="2"/>
    <n v="1"/>
    <n v="1"/>
    <n v="1"/>
    <s v="W"/>
    <s v="1A"/>
    <x v="13"/>
    <s v="6170022"/>
    <n v="9"/>
    <n v="1"/>
    <n v="1"/>
  </r>
  <r>
    <s v="COMM"/>
    <x v="3"/>
    <x v="16"/>
    <x v="0"/>
    <x v="3"/>
    <n v="1"/>
    <n v="1"/>
    <n v="1"/>
    <s v="W"/>
    <s v="10"/>
    <x v="14"/>
    <s v="6170028"/>
    <n v="9"/>
    <n v="20"/>
    <n v="20"/>
  </r>
  <r>
    <s v="COMM"/>
    <x v="3"/>
    <x v="16"/>
    <x v="0"/>
    <x v="2"/>
    <n v="1"/>
    <n v="1"/>
    <n v="1"/>
    <s v="W"/>
    <s v="10"/>
    <x v="14"/>
    <s v="6170028"/>
    <n v="9"/>
    <n v="14"/>
    <n v="14"/>
  </r>
  <r>
    <s v="COMM"/>
    <x v="3"/>
    <x v="16"/>
    <x v="0"/>
    <x v="3"/>
    <n v="1"/>
    <n v="1"/>
    <n v="1"/>
    <s v="W"/>
    <s v="13"/>
    <x v="15"/>
    <s v="6170040"/>
    <n v="9"/>
    <n v="9"/>
    <n v="9"/>
  </r>
  <r>
    <s v="COMM"/>
    <x v="3"/>
    <x v="16"/>
    <x v="0"/>
    <x v="2"/>
    <n v="1"/>
    <n v="1"/>
    <n v="1"/>
    <s v="W"/>
    <s v="13"/>
    <x v="15"/>
    <s v="6170040"/>
    <n v="9"/>
    <n v="5"/>
    <n v="5"/>
  </r>
  <r>
    <s v="COMM"/>
    <x v="3"/>
    <x v="16"/>
    <x v="1"/>
    <x v="2"/>
    <n v="1"/>
    <n v="1"/>
    <n v="1"/>
    <s v="W"/>
    <s v="11"/>
    <x v="11"/>
    <s v="6170055"/>
    <n v="9"/>
    <n v="2"/>
    <n v="2"/>
  </r>
  <r>
    <s v="COMM"/>
    <x v="3"/>
    <x v="16"/>
    <x v="0"/>
    <x v="2"/>
    <n v="1"/>
    <n v="1"/>
    <n v="1"/>
    <s v="W"/>
    <s v="11"/>
    <x v="11"/>
    <s v="6170055"/>
    <n v="9"/>
    <n v="27"/>
    <n v="27"/>
  </r>
  <r>
    <s v="COMM"/>
    <x v="3"/>
    <x v="16"/>
    <x v="0"/>
    <x v="2"/>
    <n v="1"/>
    <n v="2"/>
    <n v="1"/>
    <s v="W"/>
    <s v="1C"/>
    <x v="6"/>
    <s v="6080004"/>
    <n v="4"/>
    <n v="1"/>
    <n v="1"/>
  </r>
  <r>
    <s v="COMM"/>
    <x v="3"/>
    <x v="16"/>
    <x v="0"/>
    <x v="3"/>
    <n v="1"/>
    <n v="2"/>
    <n v="1"/>
    <s v="W"/>
    <s v="1B"/>
    <x v="14"/>
    <s v="6080040"/>
    <n v="4"/>
    <n v="3"/>
    <n v="3"/>
  </r>
  <r>
    <s v="COMM"/>
    <x v="3"/>
    <x v="16"/>
    <x v="0"/>
    <x v="2"/>
    <n v="1"/>
    <n v="2"/>
    <n v="1"/>
    <s v="W"/>
    <s v="1B"/>
    <x v="14"/>
    <s v="6080060"/>
    <n v="6"/>
    <n v="1"/>
    <n v="1"/>
  </r>
  <r>
    <s v="COMM"/>
    <x v="3"/>
    <x v="16"/>
    <x v="0"/>
    <x v="3"/>
    <n v="1"/>
    <n v="2"/>
    <n v="1"/>
    <s v="W"/>
    <s v="12"/>
    <x v="10"/>
    <s v="6170004"/>
    <n v="9"/>
    <n v="2"/>
    <n v="2"/>
  </r>
  <r>
    <s v="COMM"/>
    <x v="3"/>
    <x v="16"/>
    <x v="0"/>
    <x v="3"/>
    <n v="1"/>
    <n v="2"/>
    <n v="1"/>
    <s v="W"/>
    <s v="11"/>
    <x v="11"/>
    <s v="6170005"/>
    <n v="9"/>
    <n v="60"/>
    <n v="60"/>
  </r>
  <r>
    <s v="IND"/>
    <x v="3"/>
    <x v="16"/>
    <x v="0"/>
    <x v="3"/>
    <n v="1"/>
    <n v="2"/>
    <n v="1"/>
    <s v="W"/>
    <s v="11"/>
    <x v="11"/>
    <s v="6170005"/>
    <n v="9"/>
    <n v="1"/>
    <n v="1"/>
  </r>
  <r>
    <s v="COMM"/>
    <x v="3"/>
    <x v="16"/>
    <x v="0"/>
    <x v="6"/>
    <n v="1"/>
    <n v="2"/>
    <n v="1"/>
    <s v="W"/>
    <s v="11"/>
    <x v="11"/>
    <s v="6170005"/>
    <n v="9"/>
    <n v="7"/>
    <n v="7"/>
  </r>
  <r>
    <s v="COMM"/>
    <x v="3"/>
    <x v="16"/>
    <x v="0"/>
    <x v="3"/>
    <n v="1"/>
    <n v="2"/>
    <n v="1"/>
    <s v="W"/>
    <s v="10"/>
    <x v="14"/>
    <s v="6170008"/>
    <n v="9"/>
    <n v="1"/>
    <n v="1"/>
  </r>
  <r>
    <s v="COMM"/>
    <x v="3"/>
    <x v="16"/>
    <x v="0"/>
    <x v="3"/>
    <n v="1"/>
    <n v="2"/>
    <n v="1"/>
    <s v="W"/>
    <s v="15"/>
    <x v="12"/>
    <s v="6170015"/>
    <n v="9"/>
    <n v="4"/>
    <n v="4"/>
  </r>
  <r>
    <s v="COMM"/>
    <x v="3"/>
    <x v="16"/>
    <x v="0"/>
    <x v="2"/>
    <n v="1"/>
    <n v="2"/>
    <n v="1"/>
    <s v="W"/>
    <s v="15"/>
    <x v="12"/>
    <s v="6170015"/>
    <n v="9"/>
    <n v="6"/>
    <n v="6"/>
  </r>
  <r>
    <s v="COMM"/>
    <x v="3"/>
    <x v="16"/>
    <x v="0"/>
    <x v="3"/>
    <n v="1"/>
    <n v="2"/>
    <n v="1"/>
    <s v="W"/>
    <s v="10"/>
    <x v="14"/>
    <s v="6170028"/>
    <n v="9"/>
    <n v="5"/>
    <n v="5"/>
  </r>
  <r>
    <s v="COMM"/>
    <x v="3"/>
    <x v="16"/>
    <x v="0"/>
    <x v="2"/>
    <n v="1"/>
    <n v="2"/>
    <n v="1"/>
    <s v="W"/>
    <s v="10"/>
    <x v="14"/>
    <s v="6170028"/>
    <n v="9"/>
    <n v="4"/>
    <n v="4"/>
  </r>
  <r>
    <s v="COMM"/>
    <x v="3"/>
    <x v="16"/>
    <x v="0"/>
    <x v="3"/>
    <n v="1"/>
    <n v="2"/>
    <n v="1"/>
    <s v="W"/>
    <s v="13"/>
    <x v="15"/>
    <s v="6170040"/>
    <n v="9"/>
    <n v="3"/>
    <n v="3"/>
  </r>
  <r>
    <s v="COMM"/>
    <x v="3"/>
    <x v="16"/>
    <x v="0"/>
    <x v="2"/>
    <n v="1"/>
    <n v="2"/>
    <n v="1"/>
    <s v="W"/>
    <s v="13"/>
    <x v="15"/>
    <s v="6170040"/>
    <n v="9"/>
    <n v="2"/>
    <n v="2"/>
  </r>
  <r>
    <s v="COMM"/>
    <x v="3"/>
    <x v="16"/>
    <x v="1"/>
    <x v="2"/>
    <n v="1"/>
    <n v="2"/>
    <n v="1"/>
    <s v="W"/>
    <s v="11"/>
    <x v="11"/>
    <s v="6170055"/>
    <n v="9"/>
    <n v="3"/>
    <n v="3"/>
  </r>
  <r>
    <s v="COMM"/>
    <x v="3"/>
    <x v="16"/>
    <x v="0"/>
    <x v="2"/>
    <n v="1"/>
    <n v="2"/>
    <n v="1"/>
    <s v="W"/>
    <s v="11"/>
    <x v="11"/>
    <s v="6170055"/>
    <n v="9"/>
    <n v="22"/>
    <n v="22"/>
  </r>
  <r>
    <s v="COMM"/>
    <x v="3"/>
    <x v="16"/>
    <x v="0"/>
    <x v="2"/>
    <n v="1"/>
    <n v="3"/>
    <n v="1"/>
    <s v="W"/>
    <s v="1B"/>
    <x v="14"/>
    <s v="6080060"/>
    <n v="6"/>
    <n v="1"/>
    <n v="1"/>
  </r>
  <r>
    <s v="COMM"/>
    <x v="3"/>
    <x v="16"/>
    <x v="0"/>
    <x v="3"/>
    <n v="1"/>
    <n v="3"/>
    <n v="1"/>
    <s v="W"/>
    <s v="12"/>
    <x v="10"/>
    <s v="6170004"/>
    <n v="9"/>
    <n v="1"/>
    <n v="1"/>
  </r>
  <r>
    <s v="COMM"/>
    <x v="3"/>
    <x v="16"/>
    <x v="0"/>
    <x v="3"/>
    <n v="1"/>
    <n v="3"/>
    <n v="1"/>
    <s v="W"/>
    <s v="11"/>
    <x v="11"/>
    <s v="6170005"/>
    <n v="9"/>
    <n v="29"/>
    <n v="29"/>
  </r>
  <r>
    <s v="COMM"/>
    <x v="3"/>
    <x v="16"/>
    <x v="0"/>
    <x v="2"/>
    <n v="1"/>
    <n v="3"/>
    <n v="1"/>
    <s v="W"/>
    <s v="11"/>
    <x v="11"/>
    <s v="6170005"/>
    <n v="9"/>
    <n v="1"/>
    <n v="1"/>
  </r>
  <r>
    <s v="IND"/>
    <x v="3"/>
    <x v="16"/>
    <x v="0"/>
    <x v="3"/>
    <n v="1"/>
    <n v="3"/>
    <n v="1"/>
    <s v="W"/>
    <s v="11"/>
    <x v="11"/>
    <s v="6170005"/>
    <n v="9"/>
    <n v="1"/>
    <n v="1"/>
  </r>
  <r>
    <s v="COMM"/>
    <x v="3"/>
    <x v="16"/>
    <x v="0"/>
    <x v="6"/>
    <n v="1"/>
    <n v="3"/>
    <n v="1"/>
    <s v="W"/>
    <s v="11"/>
    <x v="11"/>
    <s v="6170005"/>
    <n v="9"/>
    <n v="2"/>
    <n v="2"/>
  </r>
  <r>
    <s v="COMM"/>
    <x v="3"/>
    <x v="16"/>
    <x v="0"/>
    <x v="3"/>
    <n v="1"/>
    <n v="3"/>
    <n v="1"/>
    <s v="W"/>
    <s v="10"/>
    <x v="14"/>
    <s v="6170008"/>
    <n v="9"/>
    <n v="1"/>
    <n v="1"/>
  </r>
  <r>
    <s v="COMM"/>
    <x v="3"/>
    <x v="16"/>
    <x v="0"/>
    <x v="3"/>
    <n v="1"/>
    <n v="3"/>
    <n v="1"/>
    <s v="W"/>
    <s v="15"/>
    <x v="12"/>
    <s v="6170015"/>
    <n v="9"/>
    <n v="1"/>
    <n v="1"/>
  </r>
  <r>
    <s v="COMM"/>
    <x v="3"/>
    <x v="16"/>
    <x v="0"/>
    <x v="3"/>
    <n v="1"/>
    <n v="3"/>
    <n v="1"/>
    <s v="W"/>
    <s v="10"/>
    <x v="14"/>
    <s v="6170028"/>
    <n v="9"/>
    <n v="2"/>
    <n v="2"/>
  </r>
  <r>
    <s v="COMM"/>
    <x v="3"/>
    <x v="16"/>
    <x v="0"/>
    <x v="2"/>
    <n v="1"/>
    <n v="3"/>
    <n v="1"/>
    <s v="W"/>
    <s v="10"/>
    <x v="14"/>
    <s v="6170028"/>
    <n v="9"/>
    <n v="1"/>
    <n v="1"/>
  </r>
  <r>
    <s v="COMM"/>
    <x v="3"/>
    <x v="16"/>
    <x v="0"/>
    <x v="3"/>
    <n v="1"/>
    <n v="3"/>
    <n v="1"/>
    <s v="W"/>
    <s v="13"/>
    <x v="15"/>
    <s v="6170040"/>
    <n v="9"/>
    <n v="3"/>
    <n v="3"/>
  </r>
  <r>
    <s v="COMM"/>
    <x v="3"/>
    <x v="16"/>
    <x v="0"/>
    <x v="2"/>
    <n v="1"/>
    <n v="3"/>
    <n v="1"/>
    <s v="W"/>
    <s v="11"/>
    <x v="11"/>
    <s v="6170055"/>
    <n v="9"/>
    <n v="6"/>
    <n v="6"/>
  </r>
  <r>
    <s v="COMM"/>
    <x v="3"/>
    <x v="16"/>
    <x v="0"/>
    <x v="3"/>
    <n v="1"/>
    <n v="4"/>
    <n v="1"/>
    <s v="W"/>
    <s v="12"/>
    <x v="10"/>
    <s v="6170004"/>
    <n v="9"/>
    <n v="1"/>
    <n v="1"/>
  </r>
  <r>
    <s v="COMM"/>
    <x v="3"/>
    <x v="16"/>
    <x v="0"/>
    <x v="3"/>
    <n v="1"/>
    <n v="4"/>
    <n v="1"/>
    <s v="W"/>
    <s v="11"/>
    <x v="11"/>
    <s v="6170005"/>
    <n v="9"/>
    <n v="7"/>
    <n v="7"/>
  </r>
  <r>
    <s v="COMM"/>
    <x v="3"/>
    <x v="16"/>
    <x v="0"/>
    <x v="3"/>
    <n v="1"/>
    <n v="4"/>
    <n v="1"/>
    <s v="W"/>
    <s v="13"/>
    <x v="15"/>
    <s v="6170040"/>
    <n v="9"/>
    <n v="1"/>
    <n v="1"/>
  </r>
  <r>
    <s v="COMM"/>
    <x v="3"/>
    <x v="16"/>
    <x v="0"/>
    <x v="2"/>
    <n v="1"/>
    <n v="4"/>
    <n v="1"/>
    <s v="W"/>
    <s v="11"/>
    <x v="11"/>
    <s v="6170055"/>
    <n v="9"/>
    <n v="1"/>
    <n v="1"/>
  </r>
  <r>
    <s v="COMM"/>
    <x v="3"/>
    <x v="16"/>
    <x v="0"/>
    <x v="3"/>
    <n v="1"/>
    <n v="5"/>
    <n v="1"/>
    <s v="W"/>
    <s v="11"/>
    <x v="11"/>
    <s v="6170005"/>
    <n v="9"/>
    <n v="5"/>
    <n v="5"/>
  </r>
  <r>
    <s v="COMM"/>
    <x v="3"/>
    <x v="16"/>
    <x v="0"/>
    <x v="3"/>
    <n v="1"/>
    <n v="6"/>
    <n v="1"/>
    <s v="W"/>
    <s v="11"/>
    <x v="11"/>
    <s v="6170005"/>
    <n v="9"/>
    <n v="2"/>
    <n v="2"/>
  </r>
  <r>
    <s v="IND"/>
    <x v="3"/>
    <x v="16"/>
    <x v="0"/>
    <x v="3"/>
    <n v="1"/>
    <n v="6"/>
    <n v="1"/>
    <s v="W"/>
    <s v="11"/>
    <x v="11"/>
    <s v="6170005"/>
    <n v="9"/>
    <n v="1"/>
    <n v="1"/>
  </r>
  <r>
    <s v="COMM"/>
    <x v="3"/>
    <x v="16"/>
    <x v="0"/>
    <x v="2"/>
    <n v="2"/>
    <n v="2"/>
    <n v="1"/>
    <s v="W"/>
    <s v="12"/>
    <x v="10"/>
    <s v="6170004"/>
    <n v="9"/>
    <n v="4"/>
    <n v="2"/>
  </r>
  <r>
    <s v="COMM"/>
    <x v="3"/>
    <x v="16"/>
    <x v="0"/>
    <x v="3"/>
    <n v="2"/>
    <n v="2"/>
    <n v="1"/>
    <s v="W"/>
    <s v="11"/>
    <x v="11"/>
    <s v="6170005"/>
    <n v="9"/>
    <n v="4"/>
    <n v="2"/>
  </r>
  <r>
    <s v="COMM"/>
    <x v="3"/>
    <x v="16"/>
    <x v="0"/>
    <x v="2"/>
    <n v="2"/>
    <n v="2"/>
    <n v="1"/>
    <s v="W"/>
    <s v="1A"/>
    <x v="13"/>
    <s v="6170022"/>
    <n v="9"/>
    <n v="2"/>
    <n v="1"/>
  </r>
  <r>
    <s v="COMM"/>
    <x v="3"/>
    <x v="16"/>
    <x v="0"/>
    <x v="3"/>
    <n v="2"/>
    <n v="2"/>
    <n v="1"/>
    <s v="W"/>
    <s v="10"/>
    <x v="14"/>
    <s v="6170028"/>
    <n v="9"/>
    <n v="4"/>
    <n v="2"/>
  </r>
  <r>
    <s v="COMM"/>
    <x v="3"/>
    <x v="16"/>
    <x v="0"/>
    <x v="2"/>
    <n v="2"/>
    <n v="2"/>
    <n v="1"/>
    <s v="W"/>
    <s v="10"/>
    <x v="14"/>
    <s v="6170028"/>
    <n v="9"/>
    <n v="2"/>
    <n v="1"/>
  </r>
  <r>
    <s v="COMM"/>
    <x v="3"/>
    <x v="16"/>
    <x v="0"/>
    <x v="3"/>
    <n v="2"/>
    <n v="2"/>
    <n v="1"/>
    <s v="W"/>
    <s v="13"/>
    <x v="15"/>
    <s v="6170040"/>
    <n v="9"/>
    <n v="2"/>
    <n v="1"/>
  </r>
  <r>
    <s v="COMM"/>
    <x v="3"/>
    <x v="16"/>
    <x v="0"/>
    <x v="2"/>
    <n v="2"/>
    <n v="2"/>
    <n v="1"/>
    <s v="W"/>
    <s v="11"/>
    <x v="11"/>
    <s v="6170055"/>
    <n v="9"/>
    <n v="18"/>
    <n v="9"/>
  </r>
  <r>
    <s v="COMM"/>
    <x v="3"/>
    <x v="16"/>
    <x v="0"/>
    <x v="2"/>
    <n v="2"/>
    <n v="3"/>
    <n v="1"/>
    <s v="W"/>
    <s v="11"/>
    <x v="11"/>
    <s v="6170055"/>
    <n v="9"/>
    <n v="2"/>
    <n v="1"/>
  </r>
  <r>
    <s v="COMM"/>
    <x v="3"/>
    <x v="16"/>
    <x v="0"/>
    <x v="2"/>
    <n v="2"/>
    <n v="4"/>
    <n v="1"/>
    <s v="W"/>
    <s v="1B"/>
    <x v="14"/>
    <s v="6080060"/>
    <n v="6"/>
    <n v="4"/>
    <n v="2"/>
  </r>
  <r>
    <s v="COMM"/>
    <x v="3"/>
    <x v="16"/>
    <x v="0"/>
    <x v="3"/>
    <n v="2"/>
    <n v="4"/>
    <n v="1"/>
    <s v="W"/>
    <s v="11"/>
    <x v="11"/>
    <s v="6170005"/>
    <n v="9"/>
    <n v="2"/>
    <n v="1"/>
  </r>
  <r>
    <s v="IND"/>
    <x v="3"/>
    <x v="16"/>
    <x v="0"/>
    <x v="3"/>
    <n v="2"/>
    <n v="4"/>
    <n v="1"/>
    <s v="W"/>
    <s v="11"/>
    <x v="11"/>
    <s v="6170005"/>
    <n v="9"/>
    <n v="2"/>
    <n v="1"/>
  </r>
  <r>
    <s v="COMM"/>
    <x v="3"/>
    <x v="16"/>
    <x v="0"/>
    <x v="3"/>
    <n v="2"/>
    <n v="4"/>
    <n v="1"/>
    <s v="W"/>
    <s v="11"/>
    <x v="11"/>
    <s v="6170055"/>
    <n v="9"/>
    <n v="2"/>
    <n v="1"/>
  </r>
  <r>
    <s v="COMM"/>
    <x v="3"/>
    <x v="16"/>
    <x v="0"/>
    <x v="2"/>
    <n v="2"/>
    <n v="4"/>
    <n v="1"/>
    <s v="W"/>
    <s v="11"/>
    <x v="11"/>
    <s v="6170055"/>
    <n v="9"/>
    <n v="14"/>
    <n v="7"/>
  </r>
  <r>
    <s v="COMM"/>
    <x v="3"/>
    <x v="16"/>
    <x v="0"/>
    <x v="3"/>
    <n v="2"/>
    <n v="6"/>
    <n v="1"/>
    <s v="W"/>
    <s v="11"/>
    <x v="11"/>
    <s v="6170005"/>
    <n v="9"/>
    <n v="6"/>
    <n v="3"/>
  </r>
  <r>
    <s v="COMM"/>
    <x v="3"/>
    <x v="16"/>
    <x v="0"/>
    <x v="2"/>
    <n v="2"/>
    <n v="6"/>
    <n v="1"/>
    <s v="W"/>
    <s v="11"/>
    <x v="11"/>
    <s v="6170055"/>
    <n v="9"/>
    <n v="4"/>
    <n v="2"/>
  </r>
  <r>
    <s v="COMM"/>
    <x v="3"/>
    <x v="16"/>
    <x v="0"/>
    <x v="2"/>
    <n v="3"/>
    <n v="3"/>
    <n v="1"/>
    <s v="W"/>
    <s v="12"/>
    <x v="10"/>
    <s v="6170004"/>
    <n v="9"/>
    <n v="3"/>
    <n v="1"/>
  </r>
  <r>
    <s v="COMM"/>
    <x v="3"/>
    <x v="16"/>
    <x v="1"/>
    <x v="2"/>
    <n v="3"/>
    <n v="3"/>
    <n v="1"/>
    <s v="W"/>
    <s v="11"/>
    <x v="11"/>
    <s v="6170055"/>
    <n v="9"/>
    <n v="3"/>
    <n v="1"/>
  </r>
  <r>
    <s v="COMM"/>
    <x v="3"/>
    <x v="16"/>
    <x v="0"/>
    <x v="2"/>
    <n v="3"/>
    <n v="3"/>
    <n v="1"/>
    <s v="W"/>
    <s v="11"/>
    <x v="11"/>
    <s v="6170055"/>
    <n v="9"/>
    <n v="15"/>
    <n v="5"/>
  </r>
  <r>
    <s v="COMM"/>
    <x v="3"/>
    <x v="16"/>
    <x v="0"/>
    <x v="2"/>
    <n v="3"/>
    <n v="6"/>
    <n v="1"/>
    <s v="W"/>
    <s v="11"/>
    <x v="11"/>
    <s v="6170055"/>
    <n v="9"/>
    <n v="6"/>
    <n v="2"/>
  </r>
  <r>
    <s v="IND"/>
    <x v="3"/>
    <x v="16"/>
    <x v="0"/>
    <x v="2"/>
    <n v="3"/>
    <n v="6"/>
    <n v="1"/>
    <s v="W"/>
    <s v="11"/>
    <x v="11"/>
    <s v="6170055"/>
    <n v="9"/>
    <n v="3"/>
    <n v="1"/>
  </r>
  <r>
    <s v="IND"/>
    <x v="3"/>
    <x v="16"/>
    <x v="0"/>
    <x v="3"/>
    <n v="3"/>
    <n v="9"/>
    <n v="1"/>
    <s v="W"/>
    <s v="11"/>
    <x v="11"/>
    <s v="6170005"/>
    <n v="9"/>
    <n v="3"/>
    <n v="1"/>
  </r>
  <r>
    <s v="COMM"/>
    <x v="3"/>
    <x v="16"/>
    <x v="0"/>
    <x v="2"/>
    <n v="3"/>
    <n v="9"/>
    <n v="1"/>
    <s v="W"/>
    <s v="11"/>
    <x v="11"/>
    <s v="6170055"/>
    <n v="9"/>
    <n v="3"/>
    <n v="1"/>
  </r>
  <r>
    <s v="COMM"/>
    <x v="3"/>
    <x v="16"/>
    <x v="1"/>
    <x v="3"/>
    <n v="4"/>
    <n v="0"/>
    <n v="0"/>
    <m/>
    <s v="11"/>
    <x v="11"/>
    <s v="6170005"/>
    <n v="9"/>
    <n v="4"/>
    <n v="1"/>
  </r>
  <r>
    <s v="COMM"/>
    <x v="3"/>
    <x v="16"/>
    <x v="0"/>
    <x v="2"/>
    <n v="4"/>
    <n v="4"/>
    <n v="1"/>
    <s v="W"/>
    <s v="11"/>
    <x v="11"/>
    <s v="6170055"/>
    <n v="9"/>
    <n v="12"/>
    <n v="3"/>
  </r>
  <r>
    <s v="COMM"/>
    <x v="3"/>
    <x v="16"/>
    <x v="0"/>
    <x v="3"/>
    <n v="4"/>
    <n v="8"/>
    <n v="1"/>
    <s v="W"/>
    <s v="11"/>
    <x v="11"/>
    <s v="6170005"/>
    <n v="9"/>
    <n v="4"/>
    <n v="1"/>
  </r>
  <r>
    <s v="COMM"/>
    <x v="3"/>
    <x v="16"/>
    <x v="0"/>
    <x v="2"/>
    <n v="4"/>
    <n v="8"/>
    <n v="1"/>
    <s v="W"/>
    <s v="11"/>
    <x v="11"/>
    <s v="6170055"/>
    <n v="9"/>
    <n v="4"/>
    <n v="1"/>
  </r>
  <r>
    <s v="COMM"/>
    <x v="3"/>
    <x v="16"/>
    <x v="0"/>
    <x v="2"/>
    <n v="5"/>
    <n v="5"/>
    <n v="1"/>
    <s v="W"/>
    <s v="11"/>
    <x v="11"/>
    <s v="6170055"/>
    <n v="9"/>
    <n v="20"/>
    <n v="4"/>
  </r>
  <r>
    <s v="COMM"/>
    <x v="3"/>
    <x v="16"/>
    <x v="0"/>
    <x v="2"/>
    <n v="5"/>
    <n v="10"/>
    <n v="1"/>
    <s v="W"/>
    <s v="11"/>
    <x v="11"/>
    <s v="6170055"/>
    <n v="9"/>
    <n v="10"/>
    <n v="2"/>
  </r>
  <r>
    <s v="COMM"/>
    <x v="3"/>
    <x v="16"/>
    <x v="0"/>
    <x v="3"/>
    <n v="6"/>
    <n v="6"/>
    <n v="1"/>
    <s v="W"/>
    <s v="11"/>
    <x v="11"/>
    <s v="6170005"/>
    <n v="9"/>
    <n v="6"/>
    <n v="1"/>
  </r>
  <r>
    <s v="COMM"/>
    <x v="3"/>
    <x v="16"/>
    <x v="0"/>
    <x v="2"/>
    <n v="7"/>
    <n v="7"/>
    <n v="1"/>
    <s v="W"/>
    <s v="11"/>
    <x v="11"/>
    <s v="6170055"/>
    <n v="9"/>
    <n v="14"/>
    <n v="2"/>
  </r>
  <r>
    <s v="COMM"/>
    <x v="3"/>
    <x v="16"/>
    <x v="0"/>
    <x v="2"/>
    <n v="9"/>
    <n v="9"/>
    <n v="1"/>
    <s v="W"/>
    <s v="11"/>
    <x v="11"/>
    <s v="6170055"/>
    <n v="9"/>
    <n v="9"/>
    <n v="1"/>
  </r>
  <r>
    <s v="COMM"/>
    <x v="3"/>
    <x v="16"/>
    <x v="0"/>
    <x v="2"/>
    <n v="9"/>
    <n v="10"/>
    <n v="1"/>
    <s v="W"/>
    <s v="11"/>
    <x v="11"/>
    <s v="6170055"/>
    <n v="9"/>
    <n v="9"/>
    <n v="1"/>
  </r>
  <r>
    <s v="COMM"/>
    <x v="3"/>
    <x v="17"/>
    <x v="0"/>
    <x v="3"/>
    <n v="1"/>
    <n v="0"/>
    <n v="0"/>
    <m/>
    <s v="1B"/>
    <x v="14"/>
    <s v="6080040"/>
    <n v="4"/>
    <n v="2"/>
    <n v="2"/>
  </r>
  <r>
    <s v="COMM"/>
    <x v="3"/>
    <x v="17"/>
    <x v="0"/>
    <x v="3"/>
    <n v="1"/>
    <n v="0"/>
    <n v="0"/>
    <m/>
    <s v="12"/>
    <x v="10"/>
    <s v="6170004"/>
    <n v="9"/>
    <n v="1"/>
    <n v="1"/>
  </r>
  <r>
    <s v="COMM"/>
    <x v="3"/>
    <x v="17"/>
    <x v="0"/>
    <x v="3"/>
    <n v="1"/>
    <n v="0"/>
    <n v="0"/>
    <m/>
    <s v="11"/>
    <x v="11"/>
    <s v="6170005"/>
    <n v="9"/>
    <n v="9"/>
    <n v="9"/>
  </r>
  <r>
    <s v="IND"/>
    <x v="3"/>
    <x v="17"/>
    <x v="0"/>
    <x v="3"/>
    <n v="1"/>
    <n v="0"/>
    <n v="0"/>
    <m/>
    <s v="11"/>
    <x v="11"/>
    <s v="6170005"/>
    <n v="9"/>
    <n v="1"/>
    <n v="1"/>
  </r>
  <r>
    <s v="COMM"/>
    <x v="3"/>
    <x v="17"/>
    <x v="1"/>
    <x v="3"/>
    <n v="1"/>
    <n v="0"/>
    <n v="0"/>
    <m/>
    <s v="11"/>
    <x v="11"/>
    <s v="6170005"/>
    <n v="9"/>
    <n v="1"/>
    <n v="1"/>
  </r>
  <r>
    <s v="IND"/>
    <x v="3"/>
    <x v="17"/>
    <x v="1"/>
    <x v="3"/>
    <n v="1"/>
    <n v="0"/>
    <n v="0"/>
    <m/>
    <s v="11"/>
    <x v="11"/>
    <s v="6170005"/>
    <n v="9"/>
    <n v="1"/>
    <n v="1"/>
  </r>
  <r>
    <s v="COMM"/>
    <x v="3"/>
    <x v="17"/>
    <x v="0"/>
    <x v="3"/>
    <n v="1"/>
    <n v="0"/>
    <n v="0"/>
    <m/>
    <s v="10"/>
    <x v="14"/>
    <s v="6170008"/>
    <n v="9"/>
    <n v="1"/>
    <n v="1"/>
  </r>
  <r>
    <s v="IND"/>
    <x v="3"/>
    <x v="17"/>
    <x v="0"/>
    <x v="3"/>
    <n v="1"/>
    <n v="0"/>
    <n v="0"/>
    <m/>
    <s v="10"/>
    <x v="14"/>
    <s v="6170008"/>
    <n v="9"/>
    <n v="1"/>
    <n v="1"/>
  </r>
  <r>
    <s v="COMM"/>
    <x v="3"/>
    <x v="17"/>
    <x v="0"/>
    <x v="3"/>
    <n v="1"/>
    <n v="0"/>
    <n v="0"/>
    <m/>
    <s v="15"/>
    <x v="12"/>
    <s v="6170015"/>
    <n v="9"/>
    <n v="4"/>
    <n v="4"/>
  </r>
  <r>
    <s v="COMM"/>
    <x v="3"/>
    <x v="17"/>
    <x v="0"/>
    <x v="3"/>
    <n v="1"/>
    <n v="0"/>
    <n v="0"/>
    <m/>
    <s v="10"/>
    <x v="14"/>
    <s v="6170028"/>
    <n v="9"/>
    <n v="2"/>
    <n v="2"/>
  </r>
  <r>
    <s v="IND"/>
    <x v="3"/>
    <x v="17"/>
    <x v="0"/>
    <x v="3"/>
    <n v="1"/>
    <n v="0"/>
    <n v="0"/>
    <m/>
    <s v="10"/>
    <x v="14"/>
    <s v="6170028"/>
    <n v="9"/>
    <n v="1"/>
    <n v="1"/>
  </r>
  <r>
    <s v="COMM"/>
    <x v="3"/>
    <x v="17"/>
    <x v="0"/>
    <x v="3"/>
    <n v="1"/>
    <n v="0"/>
    <n v="0"/>
    <m/>
    <s v="13"/>
    <x v="15"/>
    <s v="6170040"/>
    <n v="9"/>
    <n v="4"/>
    <n v="4"/>
  </r>
  <r>
    <s v="COMM"/>
    <x v="3"/>
    <x v="17"/>
    <x v="0"/>
    <x v="3"/>
    <n v="1"/>
    <n v="1"/>
    <n v="1"/>
    <s v="W"/>
    <s v="1C"/>
    <x v="6"/>
    <s v="6080004"/>
    <n v="4"/>
    <n v="11"/>
    <n v="11"/>
  </r>
  <r>
    <s v="COMM"/>
    <x v="3"/>
    <x v="17"/>
    <x v="0"/>
    <x v="2"/>
    <n v="1"/>
    <n v="1"/>
    <n v="1"/>
    <s v="W"/>
    <s v="1C"/>
    <x v="6"/>
    <s v="6080004"/>
    <n v="4"/>
    <n v="1"/>
    <n v="1"/>
  </r>
  <r>
    <s v="COMM"/>
    <x v="3"/>
    <x v="17"/>
    <x v="1"/>
    <x v="3"/>
    <n v="1"/>
    <n v="1"/>
    <n v="1"/>
    <s v="W"/>
    <s v="1C"/>
    <x v="6"/>
    <s v="6080004"/>
    <n v="4"/>
    <n v="1"/>
    <n v="1"/>
  </r>
  <r>
    <s v="COMM"/>
    <x v="3"/>
    <x v="17"/>
    <x v="0"/>
    <x v="3"/>
    <n v="1"/>
    <n v="1"/>
    <n v="1"/>
    <s v="W"/>
    <s v="1B"/>
    <x v="14"/>
    <s v="6080040"/>
    <n v="4"/>
    <n v="3"/>
    <n v="3"/>
  </r>
  <r>
    <s v="COMM"/>
    <x v="3"/>
    <x v="17"/>
    <x v="0"/>
    <x v="3"/>
    <n v="1"/>
    <n v="1"/>
    <n v="1"/>
    <s v="W"/>
    <s v="12"/>
    <x v="10"/>
    <s v="6170004"/>
    <n v="9"/>
    <n v="4"/>
    <n v="4"/>
  </r>
  <r>
    <s v="COMM"/>
    <x v="3"/>
    <x v="17"/>
    <x v="0"/>
    <x v="2"/>
    <n v="1"/>
    <n v="1"/>
    <n v="1"/>
    <s v="W"/>
    <s v="12"/>
    <x v="10"/>
    <s v="6170004"/>
    <n v="9"/>
    <n v="1"/>
    <n v="1"/>
  </r>
  <r>
    <s v="COMM"/>
    <x v="3"/>
    <x v="17"/>
    <x v="0"/>
    <x v="3"/>
    <n v="1"/>
    <n v="1"/>
    <n v="1"/>
    <s v="W"/>
    <s v="11"/>
    <x v="11"/>
    <s v="6170005"/>
    <n v="9"/>
    <n v="111"/>
    <n v="111"/>
  </r>
  <r>
    <s v="IND"/>
    <x v="3"/>
    <x v="17"/>
    <x v="0"/>
    <x v="3"/>
    <n v="1"/>
    <n v="1"/>
    <n v="1"/>
    <s v="W"/>
    <s v="11"/>
    <x v="11"/>
    <s v="6170005"/>
    <n v="9"/>
    <n v="2"/>
    <n v="2"/>
  </r>
  <r>
    <s v="COMM"/>
    <x v="3"/>
    <x v="17"/>
    <x v="0"/>
    <x v="6"/>
    <n v="1"/>
    <n v="1"/>
    <n v="1"/>
    <s v="W"/>
    <s v="11"/>
    <x v="11"/>
    <s v="6170005"/>
    <n v="9"/>
    <n v="7"/>
    <n v="7"/>
  </r>
  <r>
    <s v="COMM"/>
    <x v="3"/>
    <x v="17"/>
    <x v="1"/>
    <x v="3"/>
    <n v="1"/>
    <n v="1"/>
    <n v="1"/>
    <s v="W"/>
    <s v="11"/>
    <x v="11"/>
    <s v="6170005"/>
    <n v="9"/>
    <n v="5"/>
    <n v="5"/>
  </r>
  <r>
    <s v="COMM"/>
    <x v="3"/>
    <x v="17"/>
    <x v="1"/>
    <x v="3"/>
    <n v="1"/>
    <n v="1"/>
    <n v="1"/>
    <s v="W"/>
    <s v="10"/>
    <x v="14"/>
    <s v="6170008"/>
    <n v="9"/>
    <n v="1"/>
    <n v="1"/>
  </r>
  <r>
    <s v="COMM"/>
    <x v="3"/>
    <x v="17"/>
    <x v="0"/>
    <x v="3"/>
    <n v="1"/>
    <n v="1"/>
    <n v="1"/>
    <s v="W"/>
    <s v="10"/>
    <x v="14"/>
    <s v="6170008"/>
    <n v="9"/>
    <n v="2"/>
    <n v="2"/>
  </r>
  <r>
    <s v="COMM"/>
    <x v="3"/>
    <x v="17"/>
    <x v="1"/>
    <x v="3"/>
    <n v="1"/>
    <n v="1"/>
    <n v="1"/>
    <s v="W"/>
    <s v="15"/>
    <x v="12"/>
    <s v="6170015"/>
    <n v="9"/>
    <n v="1"/>
    <n v="1"/>
  </r>
  <r>
    <s v="COMM"/>
    <x v="3"/>
    <x v="17"/>
    <x v="0"/>
    <x v="3"/>
    <n v="1"/>
    <n v="1"/>
    <n v="1"/>
    <s v="W"/>
    <s v="15"/>
    <x v="12"/>
    <s v="6170015"/>
    <n v="9"/>
    <n v="4"/>
    <n v="4"/>
  </r>
  <r>
    <s v="COMM"/>
    <x v="3"/>
    <x v="17"/>
    <x v="0"/>
    <x v="2"/>
    <n v="1"/>
    <n v="1"/>
    <n v="1"/>
    <s v="W"/>
    <s v="1A"/>
    <x v="13"/>
    <s v="6170022"/>
    <n v="9"/>
    <n v="1"/>
    <n v="1"/>
  </r>
  <r>
    <s v="COMM"/>
    <x v="3"/>
    <x v="17"/>
    <x v="0"/>
    <x v="3"/>
    <n v="1"/>
    <n v="1"/>
    <n v="1"/>
    <s v="W"/>
    <s v="10"/>
    <x v="14"/>
    <s v="6170028"/>
    <n v="9"/>
    <n v="6"/>
    <n v="6"/>
  </r>
  <r>
    <s v="COMM"/>
    <x v="3"/>
    <x v="17"/>
    <x v="0"/>
    <x v="2"/>
    <n v="1"/>
    <n v="1"/>
    <n v="1"/>
    <s v="W"/>
    <s v="10"/>
    <x v="14"/>
    <s v="6170028"/>
    <n v="9"/>
    <n v="6"/>
    <n v="6"/>
  </r>
  <r>
    <s v="COMM"/>
    <x v="3"/>
    <x v="17"/>
    <x v="0"/>
    <x v="3"/>
    <n v="1"/>
    <n v="1"/>
    <n v="1"/>
    <s v="W"/>
    <s v="13"/>
    <x v="15"/>
    <s v="6170040"/>
    <n v="9"/>
    <n v="11"/>
    <n v="11"/>
  </r>
  <r>
    <s v="COMM"/>
    <x v="3"/>
    <x v="17"/>
    <x v="0"/>
    <x v="2"/>
    <n v="1"/>
    <n v="1"/>
    <n v="1"/>
    <s v="W"/>
    <s v="11"/>
    <x v="11"/>
    <s v="6170055"/>
    <n v="9"/>
    <n v="25"/>
    <n v="25"/>
  </r>
  <r>
    <s v="COMM"/>
    <x v="3"/>
    <x v="17"/>
    <x v="1"/>
    <x v="3"/>
    <n v="1"/>
    <n v="1"/>
    <n v="2"/>
    <s v="W"/>
    <s v="11"/>
    <x v="11"/>
    <s v="6170005"/>
    <n v="9"/>
    <n v="1"/>
    <n v="1"/>
  </r>
  <r>
    <s v="COMM"/>
    <x v="3"/>
    <x v="17"/>
    <x v="1"/>
    <x v="3"/>
    <n v="1"/>
    <n v="2"/>
    <n v="1"/>
    <s v="W"/>
    <s v="1C"/>
    <x v="6"/>
    <s v="6080004"/>
    <n v="4"/>
    <n v="1"/>
    <n v="1"/>
  </r>
  <r>
    <s v="COMM"/>
    <x v="3"/>
    <x v="17"/>
    <x v="0"/>
    <x v="3"/>
    <n v="1"/>
    <n v="2"/>
    <n v="1"/>
    <s v="W"/>
    <s v="1C"/>
    <x v="6"/>
    <s v="6080004"/>
    <n v="4"/>
    <n v="1"/>
    <n v="1"/>
  </r>
  <r>
    <s v="COMM"/>
    <x v="3"/>
    <x v="17"/>
    <x v="0"/>
    <x v="2"/>
    <n v="1"/>
    <n v="2"/>
    <n v="1"/>
    <s v="W"/>
    <s v="1C"/>
    <x v="6"/>
    <s v="6080004"/>
    <n v="4"/>
    <n v="3"/>
    <n v="3"/>
  </r>
  <r>
    <s v="COMM"/>
    <x v="3"/>
    <x v="17"/>
    <x v="0"/>
    <x v="2"/>
    <n v="1"/>
    <n v="2"/>
    <n v="1"/>
    <s v="W"/>
    <s v="1B"/>
    <x v="14"/>
    <s v="6080060"/>
    <n v="6"/>
    <n v="1"/>
    <n v="1"/>
  </r>
  <r>
    <s v="COMM"/>
    <x v="3"/>
    <x v="17"/>
    <x v="0"/>
    <x v="6"/>
    <n v="1"/>
    <n v="2"/>
    <n v="1"/>
    <s v="W"/>
    <s v="11"/>
    <x v="11"/>
    <s v="6170005"/>
    <n v="9"/>
    <n v="8"/>
    <n v="8"/>
  </r>
  <r>
    <s v="COMM"/>
    <x v="3"/>
    <x v="17"/>
    <x v="1"/>
    <x v="3"/>
    <n v="1"/>
    <n v="2"/>
    <n v="1"/>
    <s v="W"/>
    <s v="11"/>
    <x v="11"/>
    <s v="6170005"/>
    <n v="9"/>
    <n v="2"/>
    <n v="2"/>
  </r>
  <r>
    <s v="COMM"/>
    <x v="3"/>
    <x v="17"/>
    <x v="0"/>
    <x v="3"/>
    <n v="1"/>
    <n v="2"/>
    <n v="1"/>
    <s v="W"/>
    <s v="11"/>
    <x v="11"/>
    <s v="6170005"/>
    <n v="9"/>
    <n v="48"/>
    <n v="48"/>
  </r>
  <r>
    <s v="COMM"/>
    <x v="3"/>
    <x v="17"/>
    <x v="1"/>
    <x v="6"/>
    <n v="1"/>
    <n v="2"/>
    <n v="1"/>
    <s v="W"/>
    <s v="11"/>
    <x v="11"/>
    <s v="6170005"/>
    <n v="9"/>
    <n v="2"/>
    <n v="2"/>
  </r>
  <r>
    <s v="IND"/>
    <x v="3"/>
    <x v="17"/>
    <x v="0"/>
    <x v="3"/>
    <n v="1"/>
    <n v="2"/>
    <n v="1"/>
    <s v="W"/>
    <s v="11"/>
    <x v="11"/>
    <s v="6170005"/>
    <n v="9"/>
    <n v="1"/>
    <n v="1"/>
  </r>
  <r>
    <s v="COMM"/>
    <x v="3"/>
    <x v="17"/>
    <x v="0"/>
    <x v="3"/>
    <n v="1"/>
    <n v="2"/>
    <n v="1"/>
    <s v="W"/>
    <s v="16"/>
    <x v="16"/>
    <s v="6170006"/>
    <n v="9"/>
    <n v="2"/>
    <n v="2"/>
  </r>
  <r>
    <s v="COMM"/>
    <x v="3"/>
    <x v="17"/>
    <x v="0"/>
    <x v="6"/>
    <n v="1"/>
    <n v="2"/>
    <n v="1"/>
    <s v="W"/>
    <s v="15"/>
    <x v="12"/>
    <s v="6170015"/>
    <n v="9"/>
    <n v="1"/>
    <n v="1"/>
  </r>
  <r>
    <s v="COMM"/>
    <x v="3"/>
    <x v="17"/>
    <x v="0"/>
    <x v="3"/>
    <n v="1"/>
    <n v="2"/>
    <n v="1"/>
    <s v="W"/>
    <s v="15"/>
    <x v="12"/>
    <s v="6170015"/>
    <n v="9"/>
    <n v="4"/>
    <n v="4"/>
  </r>
  <r>
    <s v="COMM"/>
    <x v="3"/>
    <x v="17"/>
    <x v="0"/>
    <x v="3"/>
    <n v="1"/>
    <n v="2"/>
    <n v="1"/>
    <s v="W"/>
    <s v="10"/>
    <x v="14"/>
    <s v="6170028"/>
    <n v="9"/>
    <n v="2"/>
    <n v="2"/>
  </r>
  <r>
    <s v="COMM"/>
    <x v="3"/>
    <x v="17"/>
    <x v="0"/>
    <x v="2"/>
    <n v="1"/>
    <n v="2"/>
    <n v="1"/>
    <s v="W"/>
    <s v="10"/>
    <x v="14"/>
    <s v="6170028"/>
    <n v="9"/>
    <n v="1"/>
    <n v="1"/>
  </r>
  <r>
    <s v="COMM"/>
    <x v="3"/>
    <x v="17"/>
    <x v="0"/>
    <x v="6"/>
    <n v="1"/>
    <n v="2"/>
    <n v="1"/>
    <s v="W"/>
    <s v="13"/>
    <x v="15"/>
    <s v="6170040"/>
    <n v="9"/>
    <n v="1"/>
    <n v="1"/>
  </r>
  <r>
    <s v="COMM"/>
    <x v="3"/>
    <x v="17"/>
    <x v="0"/>
    <x v="3"/>
    <n v="1"/>
    <n v="2"/>
    <n v="1"/>
    <s v="W"/>
    <s v="13"/>
    <x v="15"/>
    <s v="6170040"/>
    <n v="9"/>
    <n v="6"/>
    <n v="6"/>
  </r>
  <r>
    <s v="COMM"/>
    <x v="3"/>
    <x v="17"/>
    <x v="0"/>
    <x v="2"/>
    <n v="1"/>
    <n v="2"/>
    <n v="1"/>
    <s v="W"/>
    <s v="11"/>
    <x v="11"/>
    <s v="6170055"/>
    <n v="9"/>
    <n v="11"/>
    <n v="11"/>
  </r>
  <r>
    <s v="COMM"/>
    <x v="3"/>
    <x v="17"/>
    <x v="0"/>
    <x v="3"/>
    <n v="1"/>
    <n v="3"/>
    <n v="1"/>
    <s v="W"/>
    <s v="1C"/>
    <x v="6"/>
    <s v="6080004"/>
    <n v="4"/>
    <n v="1"/>
    <n v="1"/>
  </r>
  <r>
    <s v="COMM"/>
    <x v="3"/>
    <x v="17"/>
    <x v="0"/>
    <x v="3"/>
    <n v="1"/>
    <n v="3"/>
    <n v="1"/>
    <s v="W"/>
    <s v="11"/>
    <x v="11"/>
    <s v="6170005"/>
    <n v="9"/>
    <n v="17"/>
    <n v="17"/>
  </r>
  <r>
    <s v="IND"/>
    <x v="3"/>
    <x v="17"/>
    <x v="0"/>
    <x v="3"/>
    <n v="1"/>
    <n v="3"/>
    <n v="1"/>
    <s v="W"/>
    <s v="11"/>
    <x v="11"/>
    <s v="6170005"/>
    <n v="9"/>
    <n v="1"/>
    <n v="1"/>
  </r>
  <r>
    <s v="COMM"/>
    <x v="3"/>
    <x v="17"/>
    <x v="0"/>
    <x v="3"/>
    <n v="1"/>
    <n v="3"/>
    <n v="1"/>
    <s v="W"/>
    <s v="13"/>
    <x v="15"/>
    <s v="6170040"/>
    <n v="9"/>
    <n v="2"/>
    <n v="2"/>
  </r>
  <r>
    <s v="COMM"/>
    <x v="3"/>
    <x v="17"/>
    <x v="0"/>
    <x v="2"/>
    <n v="1"/>
    <n v="3"/>
    <n v="1"/>
    <s v="W"/>
    <s v="11"/>
    <x v="11"/>
    <s v="6170055"/>
    <n v="9"/>
    <n v="2"/>
    <n v="2"/>
  </r>
  <r>
    <s v="COMM"/>
    <x v="3"/>
    <x v="17"/>
    <x v="0"/>
    <x v="3"/>
    <n v="1"/>
    <n v="4"/>
    <n v="1"/>
    <s v="W"/>
    <s v="12"/>
    <x v="10"/>
    <s v="6170004"/>
    <n v="9"/>
    <n v="1"/>
    <n v="1"/>
  </r>
  <r>
    <s v="COMM"/>
    <x v="3"/>
    <x v="17"/>
    <x v="0"/>
    <x v="3"/>
    <n v="1"/>
    <n v="4"/>
    <n v="1"/>
    <s v="W"/>
    <s v="11"/>
    <x v="11"/>
    <s v="6170005"/>
    <n v="9"/>
    <n v="1"/>
    <n v="1"/>
  </r>
  <r>
    <s v="COMM"/>
    <x v="3"/>
    <x v="17"/>
    <x v="0"/>
    <x v="6"/>
    <n v="1"/>
    <n v="4"/>
    <n v="1"/>
    <s v="W"/>
    <s v="11"/>
    <x v="11"/>
    <s v="6170005"/>
    <n v="9"/>
    <n v="1"/>
    <n v="1"/>
  </r>
  <r>
    <s v="COMM"/>
    <x v="3"/>
    <x v="17"/>
    <x v="0"/>
    <x v="3"/>
    <n v="1"/>
    <n v="6"/>
    <n v="1"/>
    <s v="W"/>
    <s v="13"/>
    <x v="15"/>
    <s v="6170040"/>
    <n v="9"/>
    <n v="1"/>
    <n v="1"/>
  </r>
  <r>
    <s v="COMM"/>
    <x v="3"/>
    <x v="17"/>
    <x v="0"/>
    <x v="3"/>
    <n v="2"/>
    <n v="2"/>
    <n v="1"/>
    <s v="W"/>
    <s v="11"/>
    <x v="11"/>
    <s v="6170005"/>
    <n v="9"/>
    <n v="8"/>
    <n v="4"/>
  </r>
  <r>
    <s v="COMM"/>
    <x v="3"/>
    <x v="17"/>
    <x v="0"/>
    <x v="2"/>
    <n v="2"/>
    <n v="2"/>
    <n v="1"/>
    <s v="W"/>
    <s v="10"/>
    <x v="14"/>
    <s v="6170028"/>
    <n v="9"/>
    <n v="2"/>
    <n v="1"/>
  </r>
  <r>
    <s v="COMM"/>
    <x v="3"/>
    <x v="17"/>
    <x v="0"/>
    <x v="2"/>
    <n v="2"/>
    <n v="2"/>
    <n v="1"/>
    <s v="W"/>
    <s v="11"/>
    <x v="11"/>
    <s v="6170055"/>
    <n v="9"/>
    <n v="18"/>
    <n v="9"/>
  </r>
  <r>
    <s v="COMM"/>
    <x v="3"/>
    <x v="17"/>
    <x v="0"/>
    <x v="3"/>
    <n v="2"/>
    <n v="4"/>
    <n v="1"/>
    <s v="W"/>
    <s v="1B"/>
    <x v="14"/>
    <s v="6080040"/>
    <n v="4"/>
    <n v="2"/>
    <n v="1"/>
  </r>
  <r>
    <s v="COMM"/>
    <x v="3"/>
    <x v="17"/>
    <x v="0"/>
    <x v="3"/>
    <n v="2"/>
    <n v="4"/>
    <n v="1"/>
    <s v="W"/>
    <s v="11"/>
    <x v="11"/>
    <s v="6170005"/>
    <n v="9"/>
    <n v="2"/>
    <n v="1"/>
  </r>
  <r>
    <s v="COMM"/>
    <x v="3"/>
    <x v="17"/>
    <x v="0"/>
    <x v="3"/>
    <n v="2"/>
    <n v="4"/>
    <n v="1"/>
    <s v="W"/>
    <s v="15"/>
    <x v="12"/>
    <s v="6170015"/>
    <n v="9"/>
    <n v="2"/>
    <n v="1"/>
  </r>
  <r>
    <s v="COMM"/>
    <x v="3"/>
    <x v="17"/>
    <x v="0"/>
    <x v="2"/>
    <n v="2"/>
    <n v="4"/>
    <n v="1"/>
    <s v="W"/>
    <s v="11"/>
    <x v="11"/>
    <s v="6170055"/>
    <n v="9"/>
    <n v="10"/>
    <n v="5"/>
  </r>
  <r>
    <s v="IND"/>
    <x v="3"/>
    <x v="17"/>
    <x v="0"/>
    <x v="3"/>
    <n v="2"/>
    <n v="6"/>
    <n v="1"/>
    <s v="W"/>
    <s v="11"/>
    <x v="11"/>
    <s v="6170005"/>
    <n v="9"/>
    <n v="2"/>
    <n v="1"/>
  </r>
  <r>
    <s v="COMM"/>
    <x v="3"/>
    <x v="17"/>
    <x v="0"/>
    <x v="2"/>
    <n v="2"/>
    <n v="6"/>
    <n v="1"/>
    <s v="W"/>
    <s v="11"/>
    <x v="11"/>
    <s v="6170055"/>
    <n v="9"/>
    <n v="2"/>
    <n v="1"/>
  </r>
  <r>
    <s v="COMM"/>
    <x v="3"/>
    <x v="17"/>
    <x v="0"/>
    <x v="6"/>
    <n v="2"/>
    <n v="8"/>
    <n v="1"/>
    <s v="W"/>
    <s v="11"/>
    <x v="11"/>
    <s v="6170005"/>
    <n v="9"/>
    <n v="2"/>
    <n v="1"/>
  </r>
  <r>
    <s v="COMM"/>
    <x v="3"/>
    <x v="17"/>
    <x v="0"/>
    <x v="2"/>
    <n v="3"/>
    <n v="3"/>
    <n v="1"/>
    <s v="W"/>
    <s v="11"/>
    <x v="11"/>
    <s v="6170055"/>
    <n v="9"/>
    <n v="3"/>
    <n v="1"/>
  </r>
  <r>
    <s v="COMM"/>
    <x v="3"/>
    <x v="17"/>
    <x v="0"/>
    <x v="2"/>
    <n v="3"/>
    <n v="6"/>
    <n v="1"/>
    <s v="W"/>
    <s v="11"/>
    <x v="11"/>
    <s v="6170055"/>
    <n v="9"/>
    <n v="6"/>
    <n v="2"/>
  </r>
  <r>
    <s v="COMM"/>
    <x v="3"/>
    <x v="17"/>
    <x v="0"/>
    <x v="2"/>
    <n v="3"/>
    <n v="9"/>
    <n v="1"/>
    <s v="W"/>
    <s v="11"/>
    <x v="11"/>
    <s v="6170055"/>
    <n v="9"/>
    <n v="3"/>
    <n v="1"/>
  </r>
  <r>
    <s v="COMM"/>
    <x v="3"/>
    <x v="17"/>
    <x v="0"/>
    <x v="2"/>
    <n v="4"/>
    <n v="4"/>
    <n v="1"/>
    <s v="W"/>
    <s v="11"/>
    <x v="11"/>
    <s v="6170055"/>
    <n v="9"/>
    <n v="8"/>
    <n v="2"/>
  </r>
  <r>
    <s v="COMM"/>
    <x v="3"/>
    <x v="17"/>
    <x v="0"/>
    <x v="2"/>
    <n v="4"/>
    <n v="5"/>
    <n v="1"/>
    <s v="W"/>
    <s v="1B"/>
    <x v="14"/>
    <s v="6080060"/>
    <n v="6"/>
    <n v="4"/>
    <n v="1"/>
  </r>
  <r>
    <s v="COMM"/>
    <x v="3"/>
    <x v="17"/>
    <x v="0"/>
    <x v="2"/>
    <n v="4"/>
    <n v="6"/>
    <n v="1"/>
    <s v="W"/>
    <s v="11"/>
    <x v="11"/>
    <s v="6170055"/>
    <n v="9"/>
    <n v="4"/>
    <n v="1"/>
  </r>
  <r>
    <s v="COMM"/>
    <x v="3"/>
    <x v="17"/>
    <x v="0"/>
    <x v="2"/>
    <n v="4"/>
    <n v="8"/>
    <n v="1"/>
    <s v="W"/>
    <s v="11"/>
    <x v="11"/>
    <s v="6170055"/>
    <n v="9"/>
    <n v="16"/>
    <n v="4"/>
  </r>
  <r>
    <s v="COMM"/>
    <x v="3"/>
    <x v="18"/>
    <x v="0"/>
    <x v="3"/>
    <n v="1"/>
    <n v="0"/>
    <n v="0"/>
    <m/>
    <s v="1B"/>
    <x v="14"/>
    <s v="6080040"/>
    <n v="4"/>
    <n v="3"/>
    <n v="3"/>
  </r>
  <r>
    <s v="COMM"/>
    <x v="3"/>
    <x v="18"/>
    <x v="0"/>
    <x v="3"/>
    <n v="1"/>
    <n v="0"/>
    <n v="0"/>
    <m/>
    <s v="11"/>
    <x v="11"/>
    <s v="6170005"/>
    <n v="9"/>
    <n v="5"/>
    <n v="5"/>
  </r>
  <r>
    <s v="IND"/>
    <x v="3"/>
    <x v="18"/>
    <x v="0"/>
    <x v="3"/>
    <n v="1"/>
    <n v="0"/>
    <n v="0"/>
    <m/>
    <s v="11"/>
    <x v="11"/>
    <s v="6170005"/>
    <n v="9"/>
    <n v="1"/>
    <n v="1"/>
  </r>
  <r>
    <s v="COMM"/>
    <x v="3"/>
    <x v="18"/>
    <x v="0"/>
    <x v="3"/>
    <n v="1"/>
    <n v="0"/>
    <n v="0"/>
    <m/>
    <s v="10"/>
    <x v="14"/>
    <s v="6170028"/>
    <n v="9"/>
    <n v="1"/>
    <n v="1"/>
  </r>
  <r>
    <s v="COMM"/>
    <x v="3"/>
    <x v="18"/>
    <x v="0"/>
    <x v="2"/>
    <n v="1"/>
    <n v="0"/>
    <n v="0"/>
    <m/>
    <s v="10"/>
    <x v="14"/>
    <s v="6170028"/>
    <n v="9"/>
    <n v="1"/>
    <n v="1"/>
  </r>
  <r>
    <s v="COMM"/>
    <x v="3"/>
    <x v="18"/>
    <x v="0"/>
    <x v="6"/>
    <n v="1"/>
    <n v="1"/>
    <n v="1"/>
    <s v="W"/>
    <s v="1C"/>
    <x v="6"/>
    <s v="6080004"/>
    <n v="4"/>
    <n v="1"/>
    <n v="1"/>
  </r>
  <r>
    <s v="COMM"/>
    <x v="3"/>
    <x v="18"/>
    <x v="0"/>
    <x v="3"/>
    <n v="1"/>
    <n v="1"/>
    <n v="1"/>
    <s v="W"/>
    <s v="1C"/>
    <x v="6"/>
    <s v="6080004"/>
    <n v="4"/>
    <n v="5"/>
    <n v="5"/>
  </r>
  <r>
    <s v="COMM"/>
    <x v="3"/>
    <x v="18"/>
    <x v="0"/>
    <x v="3"/>
    <n v="1"/>
    <n v="1"/>
    <n v="1"/>
    <s v="W"/>
    <s v="1B"/>
    <x v="14"/>
    <s v="6080040"/>
    <n v="4"/>
    <n v="1"/>
    <n v="1"/>
  </r>
  <r>
    <s v="COMM"/>
    <x v="3"/>
    <x v="18"/>
    <x v="0"/>
    <x v="3"/>
    <n v="1"/>
    <n v="1"/>
    <n v="1"/>
    <s v="W"/>
    <s v="12"/>
    <x v="10"/>
    <s v="6170004"/>
    <n v="9"/>
    <n v="4"/>
    <n v="4"/>
  </r>
  <r>
    <s v="COMM"/>
    <x v="3"/>
    <x v="18"/>
    <x v="0"/>
    <x v="2"/>
    <n v="1"/>
    <n v="1"/>
    <n v="1"/>
    <s v="W"/>
    <s v="12"/>
    <x v="10"/>
    <s v="6170004"/>
    <n v="9"/>
    <n v="2"/>
    <n v="2"/>
  </r>
  <r>
    <s v="COMM"/>
    <x v="3"/>
    <x v="18"/>
    <x v="0"/>
    <x v="3"/>
    <n v="1"/>
    <n v="1"/>
    <n v="1"/>
    <s v="W"/>
    <s v="11"/>
    <x v="11"/>
    <s v="6170005"/>
    <n v="9"/>
    <n v="60"/>
    <n v="60"/>
  </r>
  <r>
    <s v="IND"/>
    <x v="3"/>
    <x v="18"/>
    <x v="0"/>
    <x v="3"/>
    <n v="1"/>
    <n v="1"/>
    <n v="1"/>
    <s v="W"/>
    <s v="11"/>
    <x v="11"/>
    <s v="6170005"/>
    <n v="9"/>
    <n v="3"/>
    <n v="3"/>
  </r>
  <r>
    <s v="COMM"/>
    <x v="3"/>
    <x v="18"/>
    <x v="0"/>
    <x v="6"/>
    <n v="1"/>
    <n v="1"/>
    <n v="1"/>
    <s v="W"/>
    <s v="11"/>
    <x v="11"/>
    <s v="6170005"/>
    <n v="9"/>
    <n v="5"/>
    <n v="5"/>
  </r>
  <r>
    <s v="COMM"/>
    <x v="3"/>
    <x v="18"/>
    <x v="0"/>
    <x v="3"/>
    <n v="1"/>
    <n v="1"/>
    <n v="1"/>
    <s v="W"/>
    <s v="10"/>
    <x v="14"/>
    <s v="6170008"/>
    <n v="9"/>
    <n v="1"/>
    <n v="1"/>
  </r>
  <r>
    <s v="COMM"/>
    <x v="3"/>
    <x v="18"/>
    <x v="0"/>
    <x v="3"/>
    <n v="1"/>
    <n v="1"/>
    <n v="1"/>
    <s v="W"/>
    <s v="15"/>
    <x v="12"/>
    <s v="6170015"/>
    <n v="9"/>
    <n v="3"/>
    <n v="3"/>
  </r>
  <r>
    <s v="COMM"/>
    <x v="3"/>
    <x v="18"/>
    <x v="0"/>
    <x v="3"/>
    <n v="1"/>
    <n v="1"/>
    <n v="1"/>
    <s v="W"/>
    <s v="10"/>
    <x v="14"/>
    <s v="6170028"/>
    <n v="9"/>
    <n v="3"/>
    <n v="3"/>
  </r>
  <r>
    <s v="COMM"/>
    <x v="3"/>
    <x v="18"/>
    <x v="0"/>
    <x v="2"/>
    <n v="1"/>
    <n v="1"/>
    <n v="1"/>
    <s v="W"/>
    <s v="10"/>
    <x v="14"/>
    <s v="6170028"/>
    <n v="9"/>
    <n v="3"/>
    <n v="3"/>
  </r>
  <r>
    <s v="COMM"/>
    <x v="3"/>
    <x v="18"/>
    <x v="0"/>
    <x v="3"/>
    <n v="1"/>
    <n v="1"/>
    <n v="1"/>
    <s v="W"/>
    <s v="13"/>
    <x v="15"/>
    <s v="6170040"/>
    <n v="9"/>
    <n v="4"/>
    <n v="4"/>
  </r>
  <r>
    <s v="COMM"/>
    <x v="3"/>
    <x v="18"/>
    <x v="0"/>
    <x v="2"/>
    <n v="1"/>
    <n v="1"/>
    <n v="1"/>
    <s v="W"/>
    <s v="11"/>
    <x v="11"/>
    <s v="6170055"/>
    <n v="9"/>
    <n v="4"/>
    <n v="4"/>
  </r>
  <r>
    <s v="COMM"/>
    <x v="3"/>
    <x v="18"/>
    <x v="0"/>
    <x v="3"/>
    <n v="1"/>
    <n v="2"/>
    <n v="1"/>
    <s v="W"/>
    <s v="1C"/>
    <x v="6"/>
    <s v="6080004"/>
    <n v="4"/>
    <n v="5"/>
    <n v="5"/>
  </r>
  <r>
    <s v="COMM"/>
    <x v="3"/>
    <x v="18"/>
    <x v="0"/>
    <x v="2"/>
    <n v="1"/>
    <n v="2"/>
    <n v="1"/>
    <s v="W"/>
    <s v="1C"/>
    <x v="6"/>
    <s v="6080004"/>
    <n v="4"/>
    <n v="4"/>
    <n v="4"/>
  </r>
  <r>
    <s v="COMM"/>
    <x v="3"/>
    <x v="18"/>
    <x v="0"/>
    <x v="3"/>
    <n v="1"/>
    <n v="2"/>
    <n v="1"/>
    <s v="W"/>
    <s v="1B"/>
    <x v="14"/>
    <s v="6080040"/>
    <n v="4"/>
    <n v="1"/>
    <n v="1"/>
  </r>
  <r>
    <s v="COMM"/>
    <x v="3"/>
    <x v="18"/>
    <x v="0"/>
    <x v="2"/>
    <n v="1"/>
    <n v="2"/>
    <n v="1"/>
    <s v="W"/>
    <s v="1B"/>
    <x v="14"/>
    <s v="6080060"/>
    <n v="6"/>
    <n v="2"/>
    <n v="2"/>
  </r>
  <r>
    <s v="COMM"/>
    <x v="3"/>
    <x v="18"/>
    <x v="0"/>
    <x v="6"/>
    <n v="1"/>
    <n v="2"/>
    <n v="1"/>
    <s v="W"/>
    <s v="11"/>
    <x v="11"/>
    <s v="6170005"/>
    <n v="9"/>
    <n v="7"/>
    <n v="7"/>
  </r>
  <r>
    <s v="COMM"/>
    <x v="3"/>
    <x v="18"/>
    <x v="0"/>
    <x v="3"/>
    <n v="1"/>
    <n v="2"/>
    <n v="1"/>
    <s v="W"/>
    <s v="11"/>
    <x v="11"/>
    <s v="6170005"/>
    <n v="9"/>
    <n v="44"/>
    <n v="44"/>
  </r>
  <r>
    <s v="IND"/>
    <x v="3"/>
    <x v="18"/>
    <x v="0"/>
    <x v="3"/>
    <n v="1"/>
    <n v="2"/>
    <n v="1"/>
    <s v="W"/>
    <s v="11"/>
    <x v="11"/>
    <s v="6170005"/>
    <n v="9"/>
    <n v="2"/>
    <n v="2"/>
  </r>
  <r>
    <s v="COMM"/>
    <x v="3"/>
    <x v="18"/>
    <x v="0"/>
    <x v="6"/>
    <n v="1"/>
    <n v="2"/>
    <n v="1"/>
    <s v="W"/>
    <s v="16"/>
    <x v="16"/>
    <s v="6170006"/>
    <n v="9"/>
    <n v="1"/>
    <n v="1"/>
  </r>
  <r>
    <s v="COMM"/>
    <x v="3"/>
    <x v="18"/>
    <x v="0"/>
    <x v="3"/>
    <n v="1"/>
    <n v="2"/>
    <n v="1"/>
    <s v="W"/>
    <s v="15"/>
    <x v="12"/>
    <s v="6170015"/>
    <n v="9"/>
    <n v="6"/>
    <n v="6"/>
  </r>
  <r>
    <s v="COMM"/>
    <x v="3"/>
    <x v="18"/>
    <x v="0"/>
    <x v="2"/>
    <n v="1"/>
    <n v="2"/>
    <n v="1"/>
    <s v="W"/>
    <s v="15"/>
    <x v="12"/>
    <s v="6170015"/>
    <n v="9"/>
    <n v="2"/>
    <n v="2"/>
  </r>
  <r>
    <s v="COMM"/>
    <x v="3"/>
    <x v="18"/>
    <x v="0"/>
    <x v="3"/>
    <n v="1"/>
    <n v="2"/>
    <n v="1"/>
    <s v="W"/>
    <s v="10"/>
    <x v="14"/>
    <s v="6170028"/>
    <n v="9"/>
    <n v="3"/>
    <n v="3"/>
  </r>
  <r>
    <s v="COMM"/>
    <x v="3"/>
    <x v="18"/>
    <x v="0"/>
    <x v="2"/>
    <n v="1"/>
    <n v="2"/>
    <n v="1"/>
    <s v="W"/>
    <s v="13"/>
    <x v="15"/>
    <s v="6170040"/>
    <n v="9"/>
    <n v="1"/>
    <n v="1"/>
  </r>
  <r>
    <s v="COMM"/>
    <x v="3"/>
    <x v="18"/>
    <x v="0"/>
    <x v="2"/>
    <n v="1"/>
    <n v="2"/>
    <n v="1"/>
    <s v="W"/>
    <s v="11"/>
    <x v="11"/>
    <s v="6170055"/>
    <n v="9"/>
    <n v="5"/>
    <n v="5"/>
  </r>
  <r>
    <s v="COMM"/>
    <x v="3"/>
    <x v="18"/>
    <x v="0"/>
    <x v="3"/>
    <n v="1"/>
    <n v="3"/>
    <n v="1"/>
    <s v="W"/>
    <s v="11"/>
    <x v="11"/>
    <m/>
    <n v="0"/>
    <n v="1"/>
    <n v="1"/>
  </r>
  <r>
    <s v="COMM"/>
    <x v="3"/>
    <x v="18"/>
    <x v="0"/>
    <x v="3"/>
    <n v="1"/>
    <n v="3"/>
    <n v="1"/>
    <s v="W"/>
    <s v="11"/>
    <x v="11"/>
    <s v="6170005"/>
    <n v="9"/>
    <n v="21"/>
    <n v="21"/>
  </r>
  <r>
    <s v="IND"/>
    <x v="3"/>
    <x v="18"/>
    <x v="0"/>
    <x v="3"/>
    <n v="1"/>
    <n v="3"/>
    <n v="1"/>
    <s v="W"/>
    <s v="11"/>
    <x v="11"/>
    <s v="6170005"/>
    <n v="9"/>
    <n v="1"/>
    <n v="1"/>
  </r>
  <r>
    <s v="COMM"/>
    <x v="3"/>
    <x v="18"/>
    <x v="0"/>
    <x v="6"/>
    <n v="1"/>
    <n v="3"/>
    <n v="1"/>
    <s v="W"/>
    <s v="11"/>
    <x v="11"/>
    <s v="6170005"/>
    <n v="9"/>
    <n v="2"/>
    <n v="2"/>
  </r>
  <r>
    <s v="COMM"/>
    <x v="3"/>
    <x v="18"/>
    <x v="0"/>
    <x v="3"/>
    <n v="1"/>
    <n v="3"/>
    <n v="1"/>
    <s v="W"/>
    <s v="15"/>
    <x v="12"/>
    <s v="6170015"/>
    <n v="9"/>
    <n v="2"/>
    <n v="2"/>
  </r>
  <r>
    <s v="COMM"/>
    <x v="3"/>
    <x v="18"/>
    <x v="0"/>
    <x v="3"/>
    <n v="1"/>
    <n v="3"/>
    <n v="1"/>
    <s v="W"/>
    <s v="13"/>
    <x v="15"/>
    <s v="6170040"/>
    <n v="9"/>
    <n v="1"/>
    <n v="1"/>
  </r>
  <r>
    <s v="COMM"/>
    <x v="3"/>
    <x v="18"/>
    <x v="0"/>
    <x v="2"/>
    <n v="1"/>
    <n v="3"/>
    <n v="1"/>
    <s v="W"/>
    <s v="11"/>
    <x v="11"/>
    <s v="6170055"/>
    <n v="9"/>
    <n v="3"/>
    <n v="3"/>
  </r>
  <r>
    <s v="COMM"/>
    <x v="3"/>
    <x v="18"/>
    <x v="0"/>
    <x v="3"/>
    <n v="1"/>
    <n v="4"/>
    <n v="1"/>
    <s v="W"/>
    <s v="11"/>
    <x v="11"/>
    <s v="6170005"/>
    <n v="9"/>
    <n v="3"/>
    <n v="3"/>
  </r>
  <r>
    <s v="COMM"/>
    <x v="3"/>
    <x v="18"/>
    <x v="0"/>
    <x v="3"/>
    <n v="1"/>
    <n v="4"/>
    <n v="1"/>
    <s v="W"/>
    <s v="15"/>
    <x v="12"/>
    <s v="6170015"/>
    <n v="9"/>
    <n v="1"/>
    <n v="1"/>
  </r>
  <r>
    <s v="COMM"/>
    <x v="3"/>
    <x v="18"/>
    <x v="0"/>
    <x v="3"/>
    <n v="1"/>
    <n v="4"/>
    <n v="1"/>
    <s v="W"/>
    <s v="13"/>
    <x v="15"/>
    <s v="6170040"/>
    <n v="9"/>
    <n v="1"/>
    <n v="1"/>
  </r>
  <r>
    <s v="COMM"/>
    <x v="3"/>
    <x v="18"/>
    <x v="0"/>
    <x v="6"/>
    <n v="1"/>
    <n v="5"/>
    <n v="1"/>
    <s v="W"/>
    <s v="11"/>
    <x v="11"/>
    <s v="6170005"/>
    <n v="9"/>
    <n v="1"/>
    <n v="1"/>
  </r>
  <r>
    <s v="COMM"/>
    <x v="3"/>
    <x v="18"/>
    <x v="0"/>
    <x v="3"/>
    <n v="1"/>
    <n v="5"/>
    <n v="1"/>
    <s v="W"/>
    <s v="11"/>
    <x v="11"/>
    <s v="6170005"/>
    <n v="9"/>
    <n v="5"/>
    <n v="5"/>
  </r>
  <r>
    <s v="COMM"/>
    <x v="3"/>
    <x v="18"/>
    <x v="0"/>
    <x v="3"/>
    <n v="1"/>
    <n v="5"/>
    <n v="1"/>
    <s v="W"/>
    <s v="15"/>
    <x v="12"/>
    <s v="6170015"/>
    <n v="9"/>
    <n v="1"/>
    <n v="1"/>
  </r>
  <r>
    <s v="COMM"/>
    <x v="3"/>
    <x v="18"/>
    <x v="0"/>
    <x v="3"/>
    <n v="2"/>
    <n v="2"/>
    <n v="1"/>
    <s v="W"/>
    <s v="1C"/>
    <x v="6"/>
    <s v="6080004"/>
    <n v="4"/>
    <n v="2"/>
    <n v="1"/>
  </r>
  <r>
    <s v="COMM"/>
    <x v="3"/>
    <x v="18"/>
    <x v="0"/>
    <x v="3"/>
    <n v="2"/>
    <n v="2"/>
    <n v="1"/>
    <s v="W"/>
    <s v="11"/>
    <x v="11"/>
    <s v="6170005"/>
    <n v="9"/>
    <n v="2"/>
    <n v="1"/>
  </r>
  <r>
    <s v="COMM"/>
    <x v="3"/>
    <x v="18"/>
    <x v="0"/>
    <x v="2"/>
    <n v="2"/>
    <n v="2"/>
    <n v="1"/>
    <s v="W"/>
    <s v="11"/>
    <x v="11"/>
    <s v="6170055"/>
    <n v="9"/>
    <n v="6"/>
    <n v="3"/>
  </r>
  <r>
    <s v="COMM"/>
    <x v="3"/>
    <x v="18"/>
    <x v="0"/>
    <x v="2"/>
    <n v="2"/>
    <n v="4"/>
    <n v="1"/>
    <s v="W"/>
    <s v="1B"/>
    <x v="14"/>
    <s v="6080060"/>
    <n v="6"/>
    <n v="2"/>
    <n v="1"/>
  </r>
  <r>
    <s v="COMM"/>
    <x v="3"/>
    <x v="18"/>
    <x v="0"/>
    <x v="3"/>
    <n v="2"/>
    <n v="4"/>
    <n v="1"/>
    <s v="W"/>
    <s v="11"/>
    <x v="11"/>
    <s v="6170005"/>
    <n v="9"/>
    <n v="2"/>
    <n v="1"/>
  </r>
  <r>
    <s v="IND"/>
    <x v="3"/>
    <x v="18"/>
    <x v="0"/>
    <x v="3"/>
    <n v="2"/>
    <n v="4"/>
    <n v="1"/>
    <s v="W"/>
    <s v="11"/>
    <x v="11"/>
    <s v="6170005"/>
    <n v="9"/>
    <n v="4"/>
    <n v="2"/>
  </r>
  <r>
    <s v="COMM"/>
    <x v="3"/>
    <x v="18"/>
    <x v="0"/>
    <x v="2"/>
    <n v="2"/>
    <n v="4"/>
    <n v="1"/>
    <s v="W"/>
    <s v="11"/>
    <x v="11"/>
    <s v="6170055"/>
    <n v="9"/>
    <n v="4"/>
    <n v="2"/>
  </r>
  <r>
    <s v="COMM"/>
    <x v="3"/>
    <x v="18"/>
    <x v="0"/>
    <x v="3"/>
    <n v="2"/>
    <n v="6"/>
    <n v="1"/>
    <s v="W"/>
    <s v="11"/>
    <x v="11"/>
    <s v="6170005"/>
    <n v="9"/>
    <n v="2"/>
    <n v="1"/>
  </r>
  <r>
    <s v="IND"/>
    <x v="3"/>
    <x v="18"/>
    <x v="0"/>
    <x v="3"/>
    <n v="2"/>
    <n v="6"/>
    <n v="1"/>
    <s v="W"/>
    <s v="11"/>
    <x v="11"/>
    <s v="6170005"/>
    <n v="9"/>
    <n v="2"/>
    <n v="1"/>
  </r>
  <r>
    <s v="IND"/>
    <x v="3"/>
    <x v="18"/>
    <x v="0"/>
    <x v="3"/>
    <n v="3"/>
    <n v="3"/>
    <n v="1"/>
    <s v="W"/>
    <s v="11"/>
    <x v="11"/>
    <s v="6170005"/>
    <n v="9"/>
    <n v="3"/>
    <n v="1"/>
  </r>
  <r>
    <s v="COMM"/>
    <x v="3"/>
    <x v="18"/>
    <x v="0"/>
    <x v="2"/>
    <n v="3"/>
    <n v="3"/>
    <n v="1"/>
    <s v="W"/>
    <s v="11"/>
    <x v="11"/>
    <s v="6170055"/>
    <n v="9"/>
    <n v="3"/>
    <n v="1"/>
  </r>
  <r>
    <s v="COMM"/>
    <x v="3"/>
    <x v="18"/>
    <x v="0"/>
    <x v="2"/>
    <n v="4"/>
    <n v="4"/>
    <n v="1"/>
    <s v="W"/>
    <s v="11"/>
    <x v="11"/>
    <s v="6170055"/>
    <n v="9"/>
    <n v="8"/>
    <n v="2"/>
  </r>
  <r>
    <s v="COMM"/>
    <x v="4"/>
    <x v="11"/>
    <x v="0"/>
    <x v="1"/>
    <n v="1"/>
    <n v="0"/>
    <n v="0"/>
    <m/>
    <s v="71"/>
    <x v="1"/>
    <s v="6170005"/>
    <n v="9"/>
    <n v="1"/>
    <n v="1"/>
  </r>
  <r>
    <s v="COMM"/>
    <x v="4"/>
    <x v="11"/>
    <x v="0"/>
    <x v="7"/>
    <n v="1"/>
    <n v="0"/>
    <n v="0"/>
    <m/>
    <s v="70"/>
    <x v="17"/>
    <s v="6170028"/>
    <n v="9"/>
    <n v="1"/>
    <n v="1"/>
  </r>
  <r>
    <s v="COMM"/>
    <x v="4"/>
    <x v="11"/>
    <x v="0"/>
    <x v="1"/>
    <n v="1"/>
    <n v="0"/>
    <n v="0"/>
    <m/>
    <s v="73"/>
    <x v="18"/>
    <s v="6170040"/>
    <n v="9"/>
    <n v="1"/>
    <n v="1"/>
  </r>
  <r>
    <s v="COMM"/>
    <x v="4"/>
    <x v="11"/>
    <x v="0"/>
    <x v="8"/>
    <n v="1"/>
    <n v="1"/>
    <n v="1"/>
    <s v="W"/>
    <s v="7C"/>
    <x v="19"/>
    <s v="6080004"/>
    <n v="4"/>
    <n v="1"/>
    <n v="1"/>
  </r>
  <r>
    <s v="COMM"/>
    <x v="4"/>
    <x v="11"/>
    <x v="0"/>
    <x v="1"/>
    <n v="1"/>
    <n v="1"/>
    <n v="1"/>
    <s v="W"/>
    <s v="1C"/>
    <x v="6"/>
    <s v="6080004"/>
    <n v="4"/>
    <n v="1"/>
    <n v="1"/>
  </r>
  <r>
    <s v="COMM"/>
    <x v="4"/>
    <x v="11"/>
    <x v="0"/>
    <x v="1"/>
    <n v="1"/>
    <n v="1"/>
    <n v="1"/>
    <s v="W"/>
    <s v="7C"/>
    <x v="19"/>
    <s v="6080004"/>
    <n v="4"/>
    <n v="12"/>
    <n v="12"/>
  </r>
  <r>
    <s v="COMM"/>
    <x v="4"/>
    <x v="11"/>
    <x v="0"/>
    <x v="3"/>
    <n v="1"/>
    <n v="1"/>
    <n v="1"/>
    <s v="W"/>
    <s v="7C"/>
    <x v="19"/>
    <s v="6080004"/>
    <n v="4"/>
    <n v="1"/>
    <n v="1"/>
  </r>
  <r>
    <s v="COMM"/>
    <x v="4"/>
    <x v="11"/>
    <x v="0"/>
    <x v="2"/>
    <n v="1"/>
    <n v="1"/>
    <n v="1"/>
    <s v="W"/>
    <s v="1C"/>
    <x v="6"/>
    <s v="6080004"/>
    <n v="4"/>
    <n v="1"/>
    <n v="1"/>
  </r>
  <r>
    <s v="COMM"/>
    <x v="4"/>
    <x v="11"/>
    <x v="0"/>
    <x v="2"/>
    <n v="1"/>
    <n v="1"/>
    <n v="1"/>
    <s v="W"/>
    <s v="7C"/>
    <x v="19"/>
    <s v="6080004"/>
    <n v="4"/>
    <n v="2"/>
    <n v="2"/>
  </r>
  <r>
    <s v="COMM"/>
    <x v="4"/>
    <x v="11"/>
    <x v="0"/>
    <x v="7"/>
    <n v="1"/>
    <n v="1"/>
    <n v="1"/>
    <s v="W"/>
    <s v="7B"/>
    <x v="20"/>
    <s v="6080040"/>
    <n v="4"/>
    <n v="1"/>
    <n v="1"/>
  </r>
  <r>
    <s v="COMM"/>
    <x v="4"/>
    <x v="11"/>
    <x v="0"/>
    <x v="8"/>
    <n v="1"/>
    <n v="1"/>
    <n v="1"/>
    <s v="W"/>
    <s v="7B"/>
    <x v="20"/>
    <s v="6080040"/>
    <n v="4"/>
    <n v="1"/>
    <n v="1"/>
  </r>
  <r>
    <s v="COMM"/>
    <x v="4"/>
    <x v="11"/>
    <x v="0"/>
    <x v="1"/>
    <n v="1"/>
    <n v="1"/>
    <n v="1"/>
    <s v="W"/>
    <s v="7B"/>
    <x v="20"/>
    <s v="6080040"/>
    <n v="4"/>
    <n v="1"/>
    <n v="1"/>
  </r>
  <r>
    <s v="COMM"/>
    <x v="4"/>
    <x v="11"/>
    <x v="0"/>
    <x v="1"/>
    <n v="1"/>
    <n v="1"/>
    <n v="1"/>
    <s v="W"/>
    <s v="72"/>
    <x v="21"/>
    <s v="6170004"/>
    <n v="9"/>
    <n v="1"/>
    <n v="1"/>
  </r>
  <r>
    <s v="COMM"/>
    <x v="4"/>
    <x v="11"/>
    <x v="0"/>
    <x v="2"/>
    <n v="1"/>
    <n v="1"/>
    <n v="1"/>
    <s v="W"/>
    <s v="72"/>
    <x v="21"/>
    <s v="6170004"/>
    <n v="9"/>
    <n v="1"/>
    <n v="1"/>
  </r>
  <r>
    <s v="COMM"/>
    <x v="4"/>
    <x v="11"/>
    <x v="0"/>
    <x v="8"/>
    <n v="1"/>
    <n v="1"/>
    <n v="1"/>
    <s v="W"/>
    <s v="71"/>
    <x v="1"/>
    <s v="6170005"/>
    <n v="9"/>
    <n v="1"/>
    <n v="1"/>
  </r>
  <r>
    <s v="COMM"/>
    <x v="4"/>
    <x v="11"/>
    <x v="0"/>
    <x v="1"/>
    <n v="1"/>
    <n v="1"/>
    <n v="1"/>
    <s v="W"/>
    <s v="71"/>
    <x v="1"/>
    <s v="6170005"/>
    <n v="9"/>
    <n v="33"/>
    <n v="33"/>
  </r>
  <r>
    <s v="IND"/>
    <x v="4"/>
    <x v="11"/>
    <x v="0"/>
    <x v="1"/>
    <n v="1"/>
    <n v="1"/>
    <n v="1"/>
    <s v="W"/>
    <s v="71"/>
    <x v="1"/>
    <s v="6170005"/>
    <n v="9"/>
    <n v="1"/>
    <n v="1"/>
  </r>
  <r>
    <s v="COMM"/>
    <x v="4"/>
    <x v="11"/>
    <x v="0"/>
    <x v="1"/>
    <n v="1"/>
    <n v="1"/>
    <n v="1"/>
    <s v="W"/>
    <s v="70"/>
    <x v="17"/>
    <s v="6170008"/>
    <n v="9"/>
    <n v="1"/>
    <n v="1"/>
  </r>
  <r>
    <s v="COMM"/>
    <x v="4"/>
    <x v="11"/>
    <x v="0"/>
    <x v="1"/>
    <n v="1"/>
    <n v="1"/>
    <n v="1"/>
    <s v="W"/>
    <s v="75"/>
    <x v="22"/>
    <s v="6170015"/>
    <n v="9"/>
    <n v="3"/>
    <n v="3"/>
  </r>
  <r>
    <s v="COMM"/>
    <x v="4"/>
    <x v="11"/>
    <x v="0"/>
    <x v="2"/>
    <n v="1"/>
    <n v="1"/>
    <n v="1"/>
    <s v="W"/>
    <s v="70"/>
    <x v="17"/>
    <s v="6170028"/>
    <n v="9"/>
    <n v="2"/>
    <n v="2"/>
  </r>
  <r>
    <s v="COMM"/>
    <x v="4"/>
    <x v="11"/>
    <x v="0"/>
    <x v="1"/>
    <n v="1"/>
    <n v="1"/>
    <n v="1"/>
    <s v="W"/>
    <s v="70"/>
    <x v="17"/>
    <s v="6170028"/>
    <n v="9"/>
    <n v="3"/>
    <n v="3"/>
  </r>
  <r>
    <s v="COMM"/>
    <x v="4"/>
    <x v="11"/>
    <x v="0"/>
    <x v="2"/>
    <n v="1"/>
    <n v="1"/>
    <n v="1"/>
    <s v="W"/>
    <s v="73"/>
    <x v="18"/>
    <s v="6170040"/>
    <n v="9"/>
    <n v="2"/>
    <n v="2"/>
  </r>
  <r>
    <s v="COMM"/>
    <x v="4"/>
    <x v="11"/>
    <x v="0"/>
    <x v="1"/>
    <n v="1"/>
    <n v="1"/>
    <n v="1"/>
    <s v="W"/>
    <s v="73"/>
    <x v="18"/>
    <s v="6170040"/>
    <n v="9"/>
    <n v="3"/>
    <n v="3"/>
  </r>
  <r>
    <s v="COMM"/>
    <x v="4"/>
    <x v="11"/>
    <x v="0"/>
    <x v="2"/>
    <n v="1"/>
    <n v="1"/>
    <n v="1"/>
    <s v="W"/>
    <s v="71"/>
    <x v="1"/>
    <s v="6170055"/>
    <n v="9"/>
    <n v="2"/>
    <n v="2"/>
  </r>
  <r>
    <s v="COMM"/>
    <x v="4"/>
    <x v="11"/>
    <x v="0"/>
    <x v="1"/>
    <n v="1"/>
    <n v="1"/>
    <n v="2"/>
    <s v="W"/>
    <s v="71"/>
    <x v="1"/>
    <s v="6170005"/>
    <n v="9"/>
    <n v="1"/>
    <n v="1"/>
  </r>
  <r>
    <s v="COMM"/>
    <x v="4"/>
    <x v="11"/>
    <x v="0"/>
    <x v="1"/>
    <n v="1"/>
    <n v="1"/>
    <n v="2"/>
    <s v="W"/>
    <s v="70"/>
    <x v="17"/>
    <s v="6170028"/>
    <n v="9"/>
    <n v="4"/>
    <n v="4"/>
  </r>
  <r>
    <s v="COMM"/>
    <x v="4"/>
    <x v="11"/>
    <x v="0"/>
    <x v="1"/>
    <n v="1"/>
    <n v="1"/>
    <n v="2"/>
    <s v="W"/>
    <s v="73"/>
    <x v="18"/>
    <s v="6170040"/>
    <n v="9"/>
    <n v="4"/>
    <n v="4"/>
  </r>
  <r>
    <s v="COMM"/>
    <x v="4"/>
    <x v="11"/>
    <x v="0"/>
    <x v="1"/>
    <n v="1"/>
    <n v="1"/>
    <n v="2"/>
    <s v="W"/>
    <s v="74"/>
    <x v="23"/>
    <s v="6170099"/>
    <n v="9"/>
    <n v="1"/>
    <n v="1"/>
  </r>
  <r>
    <s v="COMM"/>
    <x v="4"/>
    <x v="11"/>
    <x v="0"/>
    <x v="1"/>
    <n v="1"/>
    <n v="2"/>
    <n v="1"/>
    <s v="W"/>
    <s v="7C"/>
    <x v="19"/>
    <s v="6080004"/>
    <n v="4"/>
    <n v="1"/>
    <n v="1"/>
  </r>
  <r>
    <s v="COMM"/>
    <x v="4"/>
    <x v="11"/>
    <x v="0"/>
    <x v="1"/>
    <n v="1"/>
    <n v="2"/>
    <n v="1"/>
    <s v="W"/>
    <s v="71"/>
    <x v="1"/>
    <s v="6170005"/>
    <n v="9"/>
    <n v="2"/>
    <n v="2"/>
  </r>
  <r>
    <s v="COMM"/>
    <x v="4"/>
    <x v="11"/>
    <x v="0"/>
    <x v="1"/>
    <n v="1"/>
    <n v="2"/>
    <n v="1"/>
    <s v="W"/>
    <s v="70"/>
    <x v="17"/>
    <s v="6170028"/>
    <n v="9"/>
    <n v="1"/>
    <n v="1"/>
  </r>
  <r>
    <s v="COMM"/>
    <x v="4"/>
    <x v="11"/>
    <x v="0"/>
    <x v="1"/>
    <n v="1"/>
    <n v="2"/>
    <n v="1"/>
    <s v="W"/>
    <s v="73"/>
    <x v="18"/>
    <s v="6170040"/>
    <n v="9"/>
    <n v="1"/>
    <n v="1"/>
  </r>
  <r>
    <s v="COMM"/>
    <x v="4"/>
    <x v="11"/>
    <x v="0"/>
    <x v="7"/>
    <n v="2"/>
    <n v="2"/>
    <n v="1"/>
    <s v="W"/>
    <s v="75"/>
    <x v="22"/>
    <s v="6170015"/>
    <n v="9"/>
    <n v="2"/>
    <n v="1"/>
  </r>
  <r>
    <s v="COMM"/>
    <x v="4"/>
    <x v="11"/>
    <x v="0"/>
    <x v="2"/>
    <n v="2"/>
    <n v="4"/>
    <n v="1"/>
    <s v="W"/>
    <s v="71"/>
    <x v="1"/>
    <s v="6170055"/>
    <n v="9"/>
    <n v="2"/>
    <n v="1"/>
  </r>
  <r>
    <s v="COMM"/>
    <x v="4"/>
    <x v="11"/>
    <x v="0"/>
    <x v="2"/>
    <n v="3"/>
    <n v="6"/>
    <n v="1"/>
    <s v="W"/>
    <s v="71"/>
    <x v="1"/>
    <s v="6170055"/>
    <n v="9"/>
    <n v="3"/>
    <n v="1"/>
  </r>
  <r>
    <s v="COMM"/>
    <x v="4"/>
    <x v="11"/>
    <x v="0"/>
    <x v="2"/>
    <n v="6"/>
    <n v="6"/>
    <n v="1"/>
    <s v="W"/>
    <s v="71"/>
    <x v="1"/>
    <s v="6170055"/>
    <n v="9"/>
    <n v="6"/>
    <n v="1"/>
  </r>
  <r>
    <s v="COMM"/>
    <x v="4"/>
    <x v="11"/>
    <x v="0"/>
    <x v="2"/>
    <n v="6"/>
    <n v="12"/>
    <n v="1"/>
    <s v="W"/>
    <s v="7B"/>
    <x v="20"/>
    <s v="6080060"/>
    <n v="6"/>
    <n v="6"/>
    <n v="1"/>
  </r>
  <r>
    <s v="COMM"/>
    <x v="4"/>
    <x v="11"/>
    <x v="0"/>
    <x v="2"/>
    <n v="7"/>
    <n v="14"/>
    <n v="1"/>
    <s v="W"/>
    <s v="71"/>
    <x v="1"/>
    <s v="6170055"/>
    <n v="9"/>
    <n v="7"/>
    <n v="1"/>
  </r>
  <r>
    <s v="COMM"/>
    <x v="4"/>
    <x v="12"/>
    <x v="0"/>
    <x v="1"/>
    <n v="1"/>
    <n v="0"/>
    <n v="0"/>
    <m/>
    <s v="71"/>
    <x v="1"/>
    <s v="6170005"/>
    <n v="9"/>
    <n v="1"/>
    <n v="1"/>
  </r>
  <r>
    <s v="COMM"/>
    <x v="4"/>
    <x v="12"/>
    <x v="0"/>
    <x v="1"/>
    <n v="1"/>
    <n v="1"/>
    <n v="1"/>
    <s v="W"/>
    <s v="70"/>
    <x v="17"/>
    <s v="6170001"/>
    <n v="9"/>
    <n v="3"/>
    <n v="3"/>
  </r>
  <r>
    <s v="COMM"/>
    <x v="4"/>
    <x v="12"/>
    <x v="0"/>
    <x v="1"/>
    <n v="1"/>
    <n v="1"/>
    <n v="1"/>
    <s v="W"/>
    <s v="72"/>
    <x v="21"/>
    <s v="6170004"/>
    <n v="9"/>
    <n v="5"/>
    <n v="5"/>
  </r>
  <r>
    <s v="COMM"/>
    <x v="4"/>
    <x v="12"/>
    <x v="0"/>
    <x v="7"/>
    <n v="1"/>
    <n v="1"/>
    <n v="1"/>
    <s v="W"/>
    <s v="71"/>
    <x v="1"/>
    <s v="6170005"/>
    <n v="9"/>
    <n v="3"/>
    <n v="3"/>
  </r>
  <r>
    <s v="COMM"/>
    <x v="4"/>
    <x v="12"/>
    <x v="0"/>
    <x v="8"/>
    <n v="1"/>
    <n v="1"/>
    <n v="1"/>
    <s v="W"/>
    <s v="71"/>
    <x v="1"/>
    <s v="6170005"/>
    <n v="9"/>
    <n v="2"/>
    <n v="2"/>
  </r>
  <r>
    <s v="COMM"/>
    <x v="4"/>
    <x v="12"/>
    <x v="0"/>
    <x v="1"/>
    <n v="1"/>
    <n v="1"/>
    <n v="1"/>
    <s v="W"/>
    <s v="71"/>
    <x v="1"/>
    <s v="6170005"/>
    <n v="9"/>
    <n v="37"/>
    <n v="37"/>
  </r>
  <r>
    <s v="COMM"/>
    <x v="4"/>
    <x v="12"/>
    <x v="0"/>
    <x v="1"/>
    <n v="1"/>
    <n v="1"/>
    <n v="1"/>
    <s v="W"/>
    <s v="70"/>
    <x v="17"/>
    <s v="6170008"/>
    <n v="9"/>
    <n v="1"/>
    <n v="1"/>
  </r>
  <r>
    <s v="COMM"/>
    <x v="4"/>
    <x v="12"/>
    <x v="0"/>
    <x v="3"/>
    <n v="1"/>
    <n v="1"/>
    <n v="1"/>
    <s v="W"/>
    <s v="70"/>
    <x v="17"/>
    <s v="6170028"/>
    <n v="9"/>
    <n v="1"/>
    <n v="1"/>
  </r>
  <r>
    <s v="COMM"/>
    <x v="4"/>
    <x v="12"/>
    <x v="0"/>
    <x v="2"/>
    <n v="1"/>
    <n v="1"/>
    <n v="1"/>
    <s v="W"/>
    <s v="70"/>
    <x v="17"/>
    <s v="6170028"/>
    <n v="9"/>
    <n v="3"/>
    <n v="3"/>
  </r>
  <r>
    <s v="COMM"/>
    <x v="4"/>
    <x v="12"/>
    <x v="0"/>
    <x v="7"/>
    <n v="1"/>
    <n v="1"/>
    <n v="1"/>
    <s v="W"/>
    <s v="70"/>
    <x v="17"/>
    <s v="6170028"/>
    <n v="9"/>
    <n v="1"/>
    <n v="1"/>
  </r>
  <r>
    <s v="COMM"/>
    <x v="4"/>
    <x v="12"/>
    <x v="0"/>
    <x v="1"/>
    <n v="1"/>
    <n v="1"/>
    <n v="1"/>
    <s v="W"/>
    <s v="70"/>
    <x v="17"/>
    <s v="6170028"/>
    <n v="9"/>
    <n v="5"/>
    <n v="5"/>
  </r>
  <r>
    <s v="COMM"/>
    <x v="4"/>
    <x v="12"/>
    <x v="0"/>
    <x v="2"/>
    <n v="1"/>
    <n v="1"/>
    <n v="1"/>
    <s v="W"/>
    <s v="73"/>
    <x v="18"/>
    <s v="6170040"/>
    <n v="9"/>
    <n v="2"/>
    <n v="2"/>
  </r>
  <r>
    <s v="COMM"/>
    <x v="4"/>
    <x v="12"/>
    <x v="0"/>
    <x v="7"/>
    <n v="1"/>
    <n v="1"/>
    <n v="1"/>
    <s v="W"/>
    <s v="73"/>
    <x v="18"/>
    <s v="6170040"/>
    <n v="9"/>
    <n v="1"/>
    <n v="1"/>
  </r>
  <r>
    <s v="COMM"/>
    <x v="4"/>
    <x v="12"/>
    <x v="0"/>
    <x v="1"/>
    <n v="1"/>
    <n v="1"/>
    <n v="1"/>
    <s v="W"/>
    <s v="73"/>
    <x v="18"/>
    <s v="6170040"/>
    <n v="9"/>
    <n v="7"/>
    <n v="7"/>
  </r>
  <r>
    <s v="COMM"/>
    <x v="4"/>
    <x v="12"/>
    <x v="0"/>
    <x v="2"/>
    <n v="1"/>
    <n v="1"/>
    <n v="1"/>
    <s v="W"/>
    <s v="71"/>
    <x v="1"/>
    <s v="6170055"/>
    <n v="9"/>
    <n v="1"/>
    <n v="1"/>
  </r>
  <r>
    <s v="COMM"/>
    <x v="4"/>
    <x v="12"/>
    <x v="0"/>
    <x v="1"/>
    <n v="1"/>
    <n v="1"/>
    <n v="2"/>
    <s v="W"/>
    <s v="70"/>
    <x v="17"/>
    <s v="6170028"/>
    <n v="9"/>
    <n v="2"/>
    <n v="2"/>
  </r>
  <r>
    <s v="COMM"/>
    <x v="4"/>
    <x v="12"/>
    <x v="0"/>
    <x v="1"/>
    <n v="1"/>
    <n v="1"/>
    <n v="2"/>
    <s v="W"/>
    <s v="73"/>
    <x v="18"/>
    <s v="6170040"/>
    <n v="9"/>
    <n v="2"/>
    <n v="2"/>
  </r>
  <r>
    <s v="COMM"/>
    <x v="4"/>
    <x v="12"/>
    <x v="0"/>
    <x v="2"/>
    <n v="1"/>
    <n v="2"/>
    <n v="1"/>
    <s v="W"/>
    <s v="72"/>
    <x v="21"/>
    <s v="6170004"/>
    <n v="9"/>
    <n v="1"/>
    <n v="1"/>
  </r>
  <r>
    <s v="COMM"/>
    <x v="4"/>
    <x v="12"/>
    <x v="0"/>
    <x v="1"/>
    <n v="1"/>
    <n v="2"/>
    <n v="1"/>
    <s v="W"/>
    <s v="71"/>
    <x v="1"/>
    <s v="6170005"/>
    <n v="9"/>
    <n v="2"/>
    <n v="2"/>
  </r>
  <r>
    <s v="COMM"/>
    <x v="4"/>
    <x v="12"/>
    <x v="0"/>
    <x v="2"/>
    <n v="1"/>
    <n v="2"/>
    <n v="1"/>
    <s v="W"/>
    <s v="70"/>
    <x v="17"/>
    <s v="6170028"/>
    <n v="9"/>
    <n v="1"/>
    <n v="1"/>
  </r>
  <r>
    <s v="COMM"/>
    <x v="4"/>
    <x v="12"/>
    <x v="0"/>
    <x v="2"/>
    <n v="3"/>
    <n v="6"/>
    <n v="1"/>
    <s v="W"/>
    <s v="73"/>
    <x v="18"/>
    <s v="6170040"/>
    <n v="9"/>
    <n v="3"/>
    <n v="1"/>
  </r>
  <r>
    <s v="COMM"/>
    <x v="4"/>
    <x v="12"/>
    <x v="0"/>
    <x v="1"/>
    <n v="5"/>
    <n v="15"/>
    <n v="1"/>
    <s v="W"/>
    <s v="71"/>
    <x v="1"/>
    <s v="6170005"/>
    <n v="9"/>
    <n v="5"/>
    <n v="1"/>
  </r>
  <r>
    <s v="COMM"/>
    <x v="4"/>
    <x v="13"/>
    <x v="0"/>
    <x v="3"/>
    <n v="1"/>
    <n v="0"/>
    <n v="0"/>
    <m/>
    <s v="71"/>
    <x v="1"/>
    <s v="6170005"/>
    <n v="9"/>
    <n v="1"/>
    <n v="1"/>
  </r>
  <r>
    <s v="COMM"/>
    <x v="4"/>
    <x v="13"/>
    <x v="0"/>
    <x v="1"/>
    <n v="1"/>
    <n v="1"/>
    <n v="1"/>
    <s v="W"/>
    <s v="7C"/>
    <x v="19"/>
    <s v="6080004"/>
    <n v="4"/>
    <n v="4"/>
    <n v="4"/>
  </r>
  <r>
    <s v="COMM"/>
    <x v="4"/>
    <x v="13"/>
    <x v="0"/>
    <x v="1"/>
    <n v="1"/>
    <n v="1"/>
    <n v="1"/>
    <s v="W"/>
    <s v="7B"/>
    <x v="20"/>
    <s v="6080040"/>
    <n v="4"/>
    <n v="1"/>
    <n v="1"/>
  </r>
  <r>
    <s v="COMM"/>
    <x v="4"/>
    <x v="13"/>
    <x v="0"/>
    <x v="1"/>
    <n v="1"/>
    <n v="1"/>
    <n v="1"/>
    <s v="W"/>
    <s v="72"/>
    <x v="21"/>
    <s v="6170004"/>
    <n v="9"/>
    <n v="1"/>
    <n v="1"/>
  </r>
  <r>
    <s v="COMM"/>
    <x v="4"/>
    <x v="13"/>
    <x v="0"/>
    <x v="7"/>
    <n v="1"/>
    <n v="1"/>
    <n v="1"/>
    <s v="W"/>
    <s v="71"/>
    <x v="1"/>
    <s v="6170005"/>
    <n v="9"/>
    <n v="1"/>
    <n v="1"/>
  </r>
  <r>
    <s v="COMM"/>
    <x v="4"/>
    <x v="13"/>
    <x v="0"/>
    <x v="1"/>
    <n v="1"/>
    <n v="1"/>
    <n v="1"/>
    <s v="W"/>
    <s v="71"/>
    <x v="1"/>
    <s v="6170005"/>
    <n v="9"/>
    <n v="4"/>
    <n v="4"/>
  </r>
  <r>
    <s v="COMM"/>
    <x v="4"/>
    <x v="13"/>
    <x v="0"/>
    <x v="1"/>
    <n v="1"/>
    <n v="1"/>
    <n v="1"/>
    <s v="W"/>
    <s v="75"/>
    <x v="22"/>
    <s v="6170015"/>
    <n v="9"/>
    <n v="1"/>
    <n v="1"/>
  </r>
  <r>
    <s v="COMM"/>
    <x v="4"/>
    <x v="13"/>
    <x v="0"/>
    <x v="1"/>
    <n v="1"/>
    <n v="1"/>
    <n v="1"/>
    <s v="W"/>
    <s v="70"/>
    <x v="17"/>
    <s v="6170028"/>
    <n v="9"/>
    <n v="2"/>
    <n v="2"/>
  </r>
  <r>
    <s v="COMM"/>
    <x v="4"/>
    <x v="13"/>
    <x v="0"/>
    <x v="2"/>
    <n v="1"/>
    <n v="1"/>
    <n v="1"/>
    <s v="W"/>
    <s v="71"/>
    <x v="1"/>
    <s v="6170055"/>
    <n v="9"/>
    <n v="1"/>
    <n v="1"/>
  </r>
  <r>
    <s v="COMM"/>
    <x v="4"/>
    <x v="13"/>
    <x v="0"/>
    <x v="7"/>
    <n v="1"/>
    <n v="1"/>
    <n v="1"/>
    <s v="W"/>
    <s v="74"/>
    <x v="23"/>
    <s v="6170099"/>
    <n v="9"/>
    <n v="1"/>
    <n v="1"/>
  </r>
  <r>
    <s v="COMM"/>
    <x v="4"/>
    <x v="13"/>
    <x v="0"/>
    <x v="1"/>
    <n v="1"/>
    <n v="1"/>
    <n v="2"/>
    <s v="W"/>
    <s v="71"/>
    <x v="1"/>
    <s v="6170005"/>
    <n v="9"/>
    <n v="1"/>
    <n v="1"/>
  </r>
  <r>
    <s v="COMM"/>
    <x v="4"/>
    <x v="13"/>
    <x v="0"/>
    <x v="1"/>
    <n v="1"/>
    <n v="2"/>
    <n v="1"/>
    <s v="W"/>
    <s v="71"/>
    <x v="1"/>
    <s v="6170005"/>
    <n v="9"/>
    <n v="2"/>
    <n v="2"/>
  </r>
  <r>
    <s v="COMM"/>
    <x v="4"/>
    <x v="13"/>
    <x v="0"/>
    <x v="8"/>
    <n v="2"/>
    <n v="4"/>
    <n v="1"/>
    <s v="W"/>
    <s v="75"/>
    <x v="22"/>
    <s v="6170015"/>
    <n v="9"/>
    <n v="2"/>
    <n v="1"/>
  </r>
  <r>
    <s v="COMM"/>
    <x v="4"/>
    <x v="14"/>
    <x v="0"/>
    <x v="1"/>
    <n v="1"/>
    <n v="0"/>
    <n v="0"/>
    <m/>
    <s v="70"/>
    <x v="17"/>
    <s v="6170028"/>
    <n v="9"/>
    <n v="1"/>
    <n v="1"/>
  </r>
  <r>
    <s v="COMM"/>
    <x v="4"/>
    <x v="14"/>
    <x v="0"/>
    <x v="7"/>
    <n v="1"/>
    <n v="1"/>
    <n v="1"/>
    <s v="W"/>
    <s v="7C"/>
    <x v="19"/>
    <s v="6080004"/>
    <n v="4"/>
    <n v="3"/>
    <n v="3"/>
  </r>
  <r>
    <s v="COMM"/>
    <x v="4"/>
    <x v="14"/>
    <x v="0"/>
    <x v="8"/>
    <n v="1"/>
    <n v="1"/>
    <n v="1"/>
    <s v="W"/>
    <s v="7C"/>
    <x v="19"/>
    <s v="6080004"/>
    <n v="4"/>
    <n v="3"/>
    <n v="3"/>
  </r>
  <r>
    <s v="COMM"/>
    <x v="4"/>
    <x v="14"/>
    <x v="0"/>
    <x v="1"/>
    <n v="1"/>
    <n v="1"/>
    <n v="1"/>
    <s v="W"/>
    <s v="7C"/>
    <x v="19"/>
    <s v="6080004"/>
    <n v="4"/>
    <n v="16"/>
    <n v="16"/>
  </r>
  <r>
    <s v="COMM"/>
    <x v="4"/>
    <x v="14"/>
    <x v="0"/>
    <x v="1"/>
    <n v="1"/>
    <n v="1"/>
    <n v="1"/>
    <s v="W"/>
    <s v="7B"/>
    <x v="20"/>
    <s v="6080040"/>
    <n v="4"/>
    <n v="1"/>
    <n v="1"/>
  </r>
  <r>
    <s v="COMM"/>
    <x v="4"/>
    <x v="14"/>
    <x v="0"/>
    <x v="7"/>
    <n v="1"/>
    <n v="1"/>
    <n v="1"/>
    <s v="W"/>
    <s v="7A"/>
    <x v="24"/>
    <s v="6080240"/>
    <n v="4"/>
    <n v="1"/>
    <n v="1"/>
  </r>
  <r>
    <s v="COMM"/>
    <x v="4"/>
    <x v="14"/>
    <x v="0"/>
    <x v="1"/>
    <n v="1"/>
    <n v="1"/>
    <n v="1"/>
    <s v="W"/>
    <s v="7A"/>
    <x v="24"/>
    <s v="6080240"/>
    <n v="4"/>
    <n v="1"/>
    <n v="1"/>
  </r>
  <r>
    <s v="COMM"/>
    <x v="4"/>
    <x v="14"/>
    <x v="0"/>
    <x v="1"/>
    <n v="1"/>
    <n v="1"/>
    <n v="1"/>
    <s v="W"/>
    <s v="70"/>
    <x v="17"/>
    <s v="6170001"/>
    <n v="9"/>
    <n v="1"/>
    <n v="1"/>
  </r>
  <r>
    <s v="COMM"/>
    <x v="4"/>
    <x v="14"/>
    <x v="0"/>
    <x v="1"/>
    <n v="1"/>
    <n v="1"/>
    <n v="1"/>
    <s v="W"/>
    <s v="73"/>
    <x v="18"/>
    <s v="6170001"/>
    <n v="9"/>
    <n v="1"/>
    <n v="1"/>
  </r>
  <r>
    <s v="COMM"/>
    <x v="4"/>
    <x v="14"/>
    <x v="0"/>
    <x v="1"/>
    <n v="1"/>
    <n v="1"/>
    <n v="1"/>
    <s v="W"/>
    <s v="72"/>
    <x v="21"/>
    <s v="6170004"/>
    <n v="9"/>
    <n v="1"/>
    <n v="1"/>
  </r>
  <r>
    <s v="COMM"/>
    <x v="4"/>
    <x v="14"/>
    <x v="0"/>
    <x v="7"/>
    <n v="1"/>
    <n v="1"/>
    <n v="1"/>
    <s v="W"/>
    <s v="71"/>
    <x v="1"/>
    <s v="6170005"/>
    <n v="9"/>
    <n v="2"/>
    <n v="2"/>
  </r>
  <r>
    <s v="COMM"/>
    <x v="4"/>
    <x v="14"/>
    <x v="0"/>
    <x v="8"/>
    <n v="1"/>
    <n v="1"/>
    <n v="1"/>
    <s v="W"/>
    <s v="71"/>
    <x v="1"/>
    <s v="6170005"/>
    <n v="9"/>
    <n v="1"/>
    <n v="1"/>
  </r>
  <r>
    <s v="COMM"/>
    <x v="4"/>
    <x v="14"/>
    <x v="0"/>
    <x v="1"/>
    <n v="1"/>
    <n v="1"/>
    <n v="1"/>
    <s v="W"/>
    <s v="71"/>
    <x v="1"/>
    <s v="6170005"/>
    <n v="9"/>
    <n v="114"/>
    <n v="114"/>
  </r>
  <r>
    <s v="IND"/>
    <x v="4"/>
    <x v="14"/>
    <x v="0"/>
    <x v="1"/>
    <n v="1"/>
    <n v="1"/>
    <n v="1"/>
    <s v="W"/>
    <s v="71"/>
    <x v="1"/>
    <s v="6170005"/>
    <n v="9"/>
    <n v="3"/>
    <n v="3"/>
  </r>
  <r>
    <s v="COMM"/>
    <x v="4"/>
    <x v="14"/>
    <x v="0"/>
    <x v="3"/>
    <n v="1"/>
    <n v="1"/>
    <n v="1"/>
    <s v="W"/>
    <s v="71"/>
    <x v="1"/>
    <s v="6170005"/>
    <n v="9"/>
    <n v="2"/>
    <n v="2"/>
  </r>
  <r>
    <s v="COMM"/>
    <x v="4"/>
    <x v="14"/>
    <x v="0"/>
    <x v="1"/>
    <n v="1"/>
    <n v="1"/>
    <n v="1"/>
    <s v="W"/>
    <s v="76"/>
    <x v="25"/>
    <s v="6170006"/>
    <n v="9"/>
    <n v="1"/>
    <n v="1"/>
  </r>
  <r>
    <s v="COMM"/>
    <x v="4"/>
    <x v="14"/>
    <x v="0"/>
    <x v="1"/>
    <n v="1"/>
    <n v="1"/>
    <n v="1"/>
    <s v="W"/>
    <s v="70"/>
    <x v="17"/>
    <s v="6170008"/>
    <n v="9"/>
    <n v="2"/>
    <n v="2"/>
  </r>
  <r>
    <s v="COMM"/>
    <x v="4"/>
    <x v="14"/>
    <x v="0"/>
    <x v="7"/>
    <n v="1"/>
    <n v="1"/>
    <n v="1"/>
    <s v="W"/>
    <s v="75"/>
    <x v="22"/>
    <s v="6170015"/>
    <n v="9"/>
    <n v="2"/>
    <n v="2"/>
  </r>
  <r>
    <s v="COMM"/>
    <x v="4"/>
    <x v="14"/>
    <x v="0"/>
    <x v="1"/>
    <n v="1"/>
    <n v="1"/>
    <n v="1"/>
    <s v="W"/>
    <s v="15"/>
    <x v="12"/>
    <s v="6170015"/>
    <n v="9"/>
    <n v="1"/>
    <n v="1"/>
  </r>
  <r>
    <s v="COMM"/>
    <x v="4"/>
    <x v="14"/>
    <x v="0"/>
    <x v="1"/>
    <n v="1"/>
    <n v="1"/>
    <n v="1"/>
    <s v="W"/>
    <s v="75"/>
    <x v="22"/>
    <s v="6170015"/>
    <n v="9"/>
    <n v="4"/>
    <n v="4"/>
  </r>
  <r>
    <s v="COMM"/>
    <x v="4"/>
    <x v="14"/>
    <x v="0"/>
    <x v="7"/>
    <n v="1"/>
    <n v="1"/>
    <n v="1"/>
    <s v="W"/>
    <s v="70"/>
    <x v="17"/>
    <s v="6170028"/>
    <n v="9"/>
    <n v="1"/>
    <n v="1"/>
  </r>
  <r>
    <s v="COMM"/>
    <x v="4"/>
    <x v="14"/>
    <x v="0"/>
    <x v="1"/>
    <n v="1"/>
    <n v="1"/>
    <n v="1"/>
    <s v="W"/>
    <s v="70"/>
    <x v="17"/>
    <s v="6170028"/>
    <n v="9"/>
    <n v="10"/>
    <n v="10"/>
  </r>
  <r>
    <s v="COMM"/>
    <x v="4"/>
    <x v="14"/>
    <x v="0"/>
    <x v="2"/>
    <n v="1"/>
    <n v="1"/>
    <n v="1"/>
    <s v="W"/>
    <s v="70"/>
    <x v="17"/>
    <s v="6170028"/>
    <n v="9"/>
    <n v="2"/>
    <n v="2"/>
  </r>
  <r>
    <s v="COMM"/>
    <x v="4"/>
    <x v="14"/>
    <x v="0"/>
    <x v="7"/>
    <n v="1"/>
    <n v="1"/>
    <n v="1"/>
    <s v="W"/>
    <s v="73"/>
    <x v="18"/>
    <s v="6170040"/>
    <n v="9"/>
    <n v="1"/>
    <n v="1"/>
  </r>
  <r>
    <s v="COMM"/>
    <x v="4"/>
    <x v="14"/>
    <x v="0"/>
    <x v="1"/>
    <n v="1"/>
    <n v="1"/>
    <n v="1"/>
    <s v="W"/>
    <s v="73"/>
    <x v="18"/>
    <s v="6170040"/>
    <n v="9"/>
    <n v="13"/>
    <n v="13"/>
  </r>
  <r>
    <s v="COMM"/>
    <x v="4"/>
    <x v="14"/>
    <x v="0"/>
    <x v="2"/>
    <n v="1"/>
    <n v="1"/>
    <n v="1"/>
    <s v="W"/>
    <s v="73"/>
    <x v="18"/>
    <s v="6170040"/>
    <n v="9"/>
    <n v="2"/>
    <n v="2"/>
  </r>
  <r>
    <s v="COMM"/>
    <x v="4"/>
    <x v="14"/>
    <x v="0"/>
    <x v="2"/>
    <n v="1"/>
    <n v="1"/>
    <n v="1"/>
    <s v="W"/>
    <s v="71"/>
    <x v="1"/>
    <s v="6170055"/>
    <n v="9"/>
    <n v="13"/>
    <n v="13"/>
  </r>
  <r>
    <s v="IND"/>
    <x v="4"/>
    <x v="14"/>
    <x v="0"/>
    <x v="2"/>
    <n v="1"/>
    <n v="1"/>
    <n v="1"/>
    <s v="W"/>
    <s v="71"/>
    <x v="1"/>
    <s v="6170055"/>
    <n v="9"/>
    <n v="1"/>
    <n v="1"/>
  </r>
  <r>
    <s v="COMM"/>
    <x v="4"/>
    <x v="14"/>
    <x v="0"/>
    <x v="7"/>
    <n v="1"/>
    <n v="1"/>
    <n v="1"/>
    <s v="W"/>
    <s v="74"/>
    <x v="23"/>
    <s v="6170099"/>
    <n v="9"/>
    <n v="1"/>
    <n v="1"/>
  </r>
  <r>
    <s v="COMM"/>
    <x v="4"/>
    <x v="14"/>
    <x v="0"/>
    <x v="1"/>
    <n v="1"/>
    <n v="1"/>
    <n v="1"/>
    <s v="W"/>
    <s v="74"/>
    <x v="23"/>
    <s v="6170099"/>
    <n v="9"/>
    <n v="1"/>
    <n v="1"/>
  </r>
  <r>
    <s v="COMM"/>
    <x v="4"/>
    <x v="14"/>
    <x v="0"/>
    <x v="1"/>
    <n v="1"/>
    <n v="1"/>
    <n v="2"/>
    <s v="W"/>
    <s v="71"/>
    <x v="1"/>
    <s v="6170005"/>
    <n v="9"/>
    <n v="1"/>
    <n v="1"/>
  </r>
  <r>
    <s v="COMM"/>
    <x v="4"/>
    <x v="14"/>
    <x v="0"/>
    <x v="7"/>
    <n v="1"/>
    <n v="1"/>
    <n v="2"/>
    <s v="W"/>
    <s v="70"/>
    <x v="17"/>
    <s v="6170008"/>
    <n v="9"/>
    <n v="1"/>
    <n v="1"/>
  </r>
  <r>
    <s v="COMM"/>
    <x v="4"/>
    <x v="14"/>
    <x v="0"/>
    <x v="1"/>
    <n v="1"/>
    <n v="2"/>
    <n v="1"/>
    <s v="W"/>
    <s v="74"/>
    <x v="23"/>
    <s v="5970060"/>
    <n v="8"/>
    <n v="1"/>
    <n v="1"/>
  </r>
  <r>
    <s v="COMM"/>
    <x v="4"/>
    <x v="14"/>
    <x v="0"/>
    <x v="2"/>
    <n v="1"/>
    <n v="2"/>
    <n v="1"/>
    <s v="W"/>
    <s v="7B"/>
    <x v="20"/>
    <s v="6080060"/>
    <n v="6"/>
    <n v="1"/>
    <n v="1"/>
  </r>
  <r>
    <s v="COMM"/>
    <x v="4"/>
    <x v="14"/>
    <x v="0"/>
    <x v="1"/>
    <n v="1"/>
    <n v="2"/>
    <n v="1"/>
    <s v="W"/>
    <s v="7A"/>
    <x v="24"/>
    <s v="6080240"/>
    <n v="4"/>
    <n v="1"/>
    <n v="1"/>
  </r>
  <r>
    <s v="COMM"/>
    <x v="4"/>
    <x v="14"/>
    <x v="0"/>
    <x v="1"/>
    <n v="1"/>
    <n v="2"/>
    <n v="1"/>
    <s v="W"/>
    <s v="72"/>
    <x v="21"/>
    <s v="6170004"/>
    <n v="9"/>
    <n v="1"/>
    <n v="1"/>
  </r>
  <r>
    <s v="COMM"/>
    <x v="4"/>
    <x v="14"/>
    <x v="0"/>
    <x v="7"/>
    <n v="1"/>
    <n v="2"/>
    <n v="1"/>
    <s v="W"/>
    <s v="71"/>
    <x v="1"/>
    <s v="6170005"/>
    <n v="9"/>
    <n v="2"/>
    <n v="2"/>
  </r>
  <r>
    <s v="COMM"/>
    <x v="4"/>
    <x v="14"/>
    <x v="0"/>
    <x v="1"/>
    <n v="1"/>
    <n v="2"/>
    <n v="1"/>
    <s v="W"/>
    <s v="71"/>
    <x v="1"/>
    <s v="6170005"/>
    <n v="9"/>
    <n v="14"/>
    <n v="14"/>
  </r>
  <r>
    <s v="IND"/>
    <x v="4"/>
    <x v="14"/>
    <x v="0"/>
    <x v="1"/>
    <n v="1"/>
    <n v="2"/>
    <n v="1"/>
    <s v="W"/>
    <s v="71"/>
    <x v="1"/>
    <s v="6170005"/>
    <n v="9"/>
    <n v="3"/>
    <n v="3"/>
  </r>
  <r>
    <s v="COMM"/>
    <x v="4"/>
    <x v="14"/>
    <x v="0"/>
    <x v="7"/>
    <n v="1"/>
    <n v="2"/>
    <n v="1"/>
    <s v="W"/>
    <s v="75"/>
    <x v="22"/>
    <s v="6170015"/>
    <n v="9"/>
    <n v="1"/>
    <n v="1"/>
  </r>
  <r>
    <s v="COMM"/>
    <x v="4"/>
    <x v="14"/>
    <x v="0"/>
    <x v="1"/>
    <n v="1"/>
    <n v="2"/>
    <n v="1"/>
    <s v="W"/>
    <s v="75"/>
    <x v="22"/>
    <s v="6170015"/>
    <n v="9"/>
    <n v="2"/>
    <n v="2"/>
  </r>
  <r>
    <s v="COMM"/>
    <x v="4"/>
    <x v="14"/>
    <x v="0"/>
    <x v="2"/>
    <n v="1"/>
    <n v="2"/>
    <n v="1"/>
    <s v="W"/>
    <s v="70"/>
    <x v="17"/>
    <s v="6170028"/>
    <n v="9"/>
    <n v="5"/>
    <n v="5"/>
  </r>
  <r>
    <s v="COMM"/>
    <x v="4"/>
    <x v="14"/>
    <x v="0"/>
    <x v="1"/>
    <n v="1"/>
    <n v="2"/>
    <n v="1"/>
    <s v="W"/>
    <s v="73"/>
    <x v="18"/>
    <s v="6170040"/>
    <n v="9"/>
    <n v="2"/>
    <n v="2"/>
  </r>
  <r>
    <s v="COMM"/>
    <x v="4"/>
    <x v="14"/>
    <x v="0"/>
    <x v="2"/>
    <n v="1"/>
    <n v="2"/>
    <n v="1"/>
    <s v="W"/>
    <s v="73"/>
    <x v="18"/>
    <s v="6170040"/>
    <n v="9"/>
    <n v="4"/>
    <n v="4"/>
  </r>
  <r>
    <s v="COMM"/>
    <x v="4"/>
    <x v="14"/>
    <x v="0"/>
    <x v="2"/>
    <n v="1"/>
    <n v="2"/>
    <n v="1"/>
    <s v="W"/>
    <s v="71"/>
    <x v="1"/>
    <s v="6170055"/>
    <n v="9"/>
    <n v="6"/>
    <n v="6"/>
  </r>
  <r>
    <s v="COMM"/>
    <x v="4"/>
    <x v="14"/>
    <x v="0"/>
    <x v="1"/>
    <n v="1"/>
    <n v="3"/>
    <n v="1"/>
    <s v="W"/>
    <s v="71"/>
    <x v="1"/>
    <s v="6170005"/>
    <n v="9"/>
    <n v="3"/>
    <n v="3"/>
  </r>
  <r>
    <s v="COMM"/>
    <x v="4"/>
    <x v="14"/>
    <x v="0"/>
    <x v="1"/>
    <n v="1"/>
    <n v="3"/>
    <n v="1"/>
    <s v="W"/>
    <s v="70"/>
    <x v="17"/>
    <s v="6170008"/>
    <n v="9"/>
    <n v="1"/>
    <n v="1"/>
  </r>
  <r>
    <s v="COMM"/>
    <x v="4"/>
    <x v="14"/>
    <x v="0"/>
    <x v="1"/>
    <n v="1"/>
    <n v="3"/>
    <n v="1"/>
    <s v="W"/>
    <s v="73"/>
    <x v="18"/>
    <s v="6170040"/>
    <n v="9"/>
    <n v="1"/>
    <n v="1"/>
  </r>
  <r>
    <s v="COMM"/>
    <x v="4"/>
    <x v="14"/>
    <x v="0"/>
    <x v="2"/>
    <n v="1"/>
    <n v="3"/>
    <n v="1"/>
    <s v="W"/>
    <s v="71"/>
    <x v="1"/>
    <s v="6170055"/>
    <n v="9"/>
    <n v="1"/>
    <n v="1"/>
  </r>
  <r>
    <s v="COMM"/>
    <x v="4"/>
    <x v="14"/>
    <x v="0"/>
    <x v="2"/>
    <n v="1"/>
    <n v="4"/>
    <n v="1"/>
    <s v="W"/>
    <s v="71"/>
    <x v="1"/>
    <s v="6170055"/>
    <n v="9"/>
    <n v="1"/>
    <n v="1"/>
  </r>
  <r>
    <s v="COMM"/>
    <x v="4"/>
    <x v="14"/>
    <x v="0"/>
    <x v="1"/>
    <n v="2"/>
    <n v="2"/>
    <n v="1"/>
    <s v="W"/>
    <s v="7C"/>
    <x v="19"/>
    <s v="6080004"/>
    <n v="4"/>
    <n v="2"/>
    <n v="1"/>
  </r>
  <r>
    <s v="COMM"/>
    <x v="4"/>
    <x v="14"/>
    <x v="0"/>
    <x v="1"/>
    <n v="2"/>
    <n v="2"/>
    <n v="1"/>
    <s v="W"/>
    <s v="71"/>
    <x v="1"/>
    <s v="6170005"/>
    <n v="9"/>
    <n v="2"/>
    <n v="1"/>
  </r>
  <r>
    <s v="COMM"/>
    <x v="4"/>
    <x v="14"/>
    <x v="0"/>
    <x v="2"/>
    <n v="2"/>
    <n v="2"/>
    <n v="1"/>
    <s v="W"/>
    <s v="70"/>
    <x v="17"/>
    <s v="6170028"/>
    <n v="9"/>
    <n v="2"/>
    <n v="1"/>
  </r>
  <r>
    <s v="COMM"/>
    <x v="4"/>
    <x v="14"/>
    <x v="0"/>
    <x v="2"/>
    <n v="2"/>
    <n v="2"/>
    <n v="1"/>
    <s v="W"/>
    <s v="71"/>
    <x v="1"/>
    <s v="6170055"/>
    <n v="9"/>
    <n v="6"/>
    <n v="3"/>
  </r>
  <r>
    <s v="COMM"/>
    <x v="4"/>
    <x v="14"/>
    <x v="0"/>
    <x v="2"/>
    <n v="2"/>
    <n v="4"/>
    <n v="1"/>
    <s v="W"/>
    <s v="7C"/>
    <x v="19"/>
    <s v="6080004"/>
    <n v="4"/>
    <n v="2"/>
    <n v="1"/>
  </r>
  <r>
    <s v="COMM"/>
    <x v="4"/>
    <x v="14"/>
    <x v="0"/>
    <x v="1"/>
    <n v="2"/>
    <n v="4"/>
    <n v="1"/>
    <s v="W"/>
    <s v="71"/>
    <x v="1"/>
    <s v="6170005"/>
    <n v="9"/>
    <n v="2"/>
    <n v="1"/>
  </r>
  <r>
    <s v="COMM"/>
    <x v="4"/>
    <x v="14"/>
    <x v="0"/>
    <x v="2"/>
    <n v="2"/>
    <n v="4"/>
    <n v="1"/>
    <s v="W"/>
    <s v="71"/>
    <x v="1"/>
    <s v="6170055"/>
    <n v="9"/>
    <n v="6"/>
    <n v="3"/>
  </r>
  <r>
    <s v="COMM"/>
    <x v="4"/>
    <x v="14"/>
    <x v="0"/>
    <x v="1"/>
    <n v="2"/>
    <n v="8"/>
    <n v="1"/>
    <s v="W"/>
    <s v="71"/>
    <x v="1"/>
    <s v="6170005"/>
    <n v="9"/>
    <n v="4"/>
    <n v="2"/>
  </r>
  <r>
    <s v="COMM"/>
    <x v="4"/>
    <x v="14"/>
    <x v="0"/>
    <x v="1"/>
    <n v="2"/>
    <n v="10"/>
    <n v="1"/>
    <s v="W"/>
    <s v="71"/>
    <x v="1"/>
    <s v="6170005"/>
    <n v="9"/>
    <n v="2"/>
    <n v="1"/>
  </r>
  <r>
    <s v="COMM"/>
    <x v="4"/>
    <x v="14"/>
    <x v="0"/>
    <x v="2"/>
    <n v="2"/>
    <n v="10"/>
    <n v="1"/>
    <s v="W"/>
    <s v="71"/>
    <x v="1"/>
    <s v="6170055"/>
    <n v="9"/>
    <n v="8"/>
    <n v="4"/>
  </r>
  <r>
    <s v="COMM"/>
    <x v="4"/>
    <x v="14"/>
    <x v="0"/>
    <x v="2"/>
    <n v="3"/>
    <n v="3"/>
    <n v="1"/>
    <s v="W"/>
    <s v="73"/>
    <x v="18"/>
    <s v="6170040"/>
    <n v="9"/>
    <n v="6"/>
    <n v="2"/>
  </r>
  <r>
    <s v="COMM"/>
    <x v="4"/>
    <x v="14"/>
    <x v="0"/>
    <x v="2"/>
    <n v="3"/>
    <n v="3"/>
    <n v="1"/>
    <s v="W"/>
    <s v="71"/>
    <x v="1"/>
    <s v="6170055"/>
    <n v="9"/>
    <n v="6"/>
    <n v="2"/>
  </r>
  <r>
    <s v="COMM"/>
    <x v="4"/>
    <x v="14"/>
    <x v="0"/>
    <x v="2"/>
    <n v="3"/>
    <n v="6"/>
    <n v="1"/>
    <s v="W"/>
    <s v="71"/>
    <x v="1"/>
    <s v="6170055"/>
    <n v="9"/>
    <n v="3"/>
    <n v="1"/>
  </r>
  <r>
    <s v="IND"/>
    <x v="4"/>
    <x v="14"/>
    <x v="0"/>
    <x v="2"/>
    <n v="3"/>
    <n v="6"/>
    <n v="1"/>
    <s v="W"/>
    <s v="71"/>
    <x v="1"/>
    <s v="6170055"/>
    <n v="9"/>
    <n v="3"/>
    <n v="1"/>
  </r>
  <r>
    <s v="COMM"/>
    <x v="4"/>
    <x v="14"/>
    <x v="0"/>
    <x v="1"/>
    <n v="3"/>
    <n v="9"/>
    <n v="1"/>
    <s v="W"/>
    <s v="71"/>
    <x v="1"/>
    <s v="6170005"/>
    <n v="9"/>
    <n v="3"/>
    <n v="1"/>
  </r>
  <r>
    <s v="COMM"/>
    <x v="4"/>
    <x v="14"/>
    <x v="0"/>
    <x v="1"/>
    <n v="4"/>
    <n v="4"/>
    <n v="1"/>
    <s v="W"/>
    <s v="71"/>
    <x v="1"/>
    <s v="6170005"/>
    <n v="9"/>
    <n v="4"/>
    <n v="1"/>
  </r>
  <r>
    <s v="COMM"/>
    <x v="4"/>
    <x v="14"/>
    <x v="0"/>
    <x v="1"/>
    <n v="4"/>
    <n v="8"/>
    <n v="1"/>
    <s v="W"/>
    <s v="71"/>
    <x v="1"/>
    <s v="6170005"/>
    <n v="9"/>
    <n v="4"/>
    <n v="1"/>
  </r>
  <r>
    <s v="COMM"/>
    <x v="4"/>
    <x v="14"/>
    <x v="0"/>
    <x v="2"/>
    <n v="7"/>
    <n v="14"/>
    <n v="1"/>
    <s v="W"/>
    <s v="71"/>
    <x v="1"/>
    <s v="6170055"/>
    <n v="9"/>
    <n v="7"/>
    <n v="1"/>
  </r>
  <r>
    <s v="COMM"/>
    <x v="4"/>
    <x v="14"/>
    <x v="0"/>
    <x v="2"/>
    <n v="8"/>
    <n v="16"/>
    <n v="1"/>
    <s v="W"/>
    <s v="71"/>
    <x v="1"/>
    <s v="6170055"/>
    <n v="9"/>
    <n v="8"/>
    <n v="1"/>
  </r>
  <r>
    <s v="COMM"/>
    <x v="4"/>
    <x v="14"/>
    <x v="0"/>
    <x v="2"/>
    <n v="10"/>
    <n v="20"/>
    <n v="1"/>
    <s v="W"/>
    <s v="71"/>
    <x v="1"/>
    <s v="6170055"/>
    <n v="9"/>
    <n v="10"/>
    <n v="1"/>
  </r>
  <r>
    <s v="COMM"/>
    <x v="4"/>
    <x v="14"/>
    <x v="0"/>
    <x v="1"/>
    <n v="22"/>
    <n v="0"/>
    <n v="0"/>
    <m/>
    <s v="1B"/>
    <x v="14"/>
    <s v="6080040"/>
    <n v="4"/>
    <n v="22"/>
    <n v="1"/>
  </r>
  <r>
    <s v="IND"/>
    <x v="4"/>
    <x v="15"/>
    <x v="0"/>
    <x v="9"/>
    <n v="1"/>
    <n v="0"/>
    <n v="0"/>
    <m/>
    <s v="74"/>
    <x v="23"/>
    <s v="5970060"/>
    <n v="8"/>
    <n v="1"/>
    <n v="1"/>
  </r>
  <r>
    <s v="COMM"/>
    <x v="4"/>
    <x v="15"/>
    <x v="0"/>
    <x v="9"/>
    <n v="1"/>
    <n v="0"/>
    <n v="0"/>
    <m/>
    <s v="71"/>
    <x v="1"/>
    <s v="6170005"/>
    <n v="9"/>
    <n v="1"/>
    <n v="1"/>
  </r>
  <r>
    <s v="COMM"/>
    <x v="4"/>
    <x v="15"/>
    <x v="0"/>
    <x v="7"/>
    <n v="1"/>
    <n v="1"/>
    <n v="1"/>
    <s v="W"/>
    <s v="7C"/>
    <x v="19"/>
    <s v="6080004"/>
    <n v="4"/>
    <n v="1"/>
    <n v="1"/>
  </r>
  <r>
    <s v="COMM"/>
    <x v="4"/>
    <x v="15"/>
    <x v="0"/>
    <x v="1"/>
    <n v="1"/>
    <n v="1"/>
    <n v="1"/>
    <s v="W"/>
    <s v="7C"/>
    <x v="19"/>
    <s v="6080004"/>
    <n v="4"/>
    <n v="8"/>
    <n v="8"/>
  </r>
  <r>
    <s v="COMM"/>
    <x v="4"/>
    <x v="15"/>
    <x v="0"/>
    <x v="3"/>
    <n v="1"/>
    <n v="1"/>
    <n v="1"/>
    <s v="W"/>
    <s v="7C"/>
    <x v="19"/>
    <s v="6080004"/>
    <n v="4"/>
    <n v="1"/>
    <n v="1"/>
  </r>
  <r>
    <s v="COMM"/>
    <x v="4"/>
    <x v="15"/>
    <x v="0"/>
    <x v="2"/>
    <n v="1"/>
    <n v="1"/>
    <n v="1"/>
    <s v="W"/>
    <s v="7C"/>
    <x v="19"/>
    <s v="6080004"/>
    <n v="4"/>
    <n v="1"/>
    <n v="1"/>
  </r>
  <r>
    <s v="COMM"/>
    <x v="4"/>
    <x v="15"/>
    <x v="0"/>
    <x v="7"/>
    <n v="1"/>
    <n v="1"/>
    <n v="1"/>
    <s v="W"/>
    <s v="7B"/>
    <x v="20"/>
    <s v="6080040"/>
    <n v="4"/>
    <n v="1"/>
    <n v="1"/>
  </r>
  <r>
    <s v="COMM"/>
    <x v="4"/>
    <x v="15"/>
    <x v="0"/>
    <x v="1"/>
    <n v="1"/>
    <n v="1"/>
    <n v="1"/>
    <s v="W"/>
    <s v="7B"/>
    <x v="20"/>
    <s v="6080040"/>
    <n v="4"/>
    <n v="1"/>
    <n v="1"/>
  </r>
  <r>
    <s v="COMM"/>
    <x v="4"/>
    <x v="15"/>
    <x v="0"/>
    <x v="1"/>
    <n v="1"/>
    <n v="1"/>
    <n v="1"/>
    <s v="W"/>
    <s v="70"/>
    <x v="17"/>
    <s v="6170001"/>
    <n v="9"/>
    <n v="1"/>
    <n v="1"/>
  </r>
  <r>
    <s v="COMM"/>
    <x v="4"/>
    <x v="15"/>
    <x v="0"/>
    <x v="1"/>
    <n v="1"/>
    <n v="1"/>
    <n v="1"/>
    <s v="W"/>
    <s v="72"/>
    <x v="21"/>
    <s v="6170004"/>
    <n v="9"/>
    <n v="3"/>
    <n v="3"/>
  </r>
  <r>
    <s v="COMM"/>
    <x v="4"/>
    <x v="15"/>
    <x v="0"/>
    <x v="2"/>
    <n v="1"/>
    <n v="1"/>
    <n v="1"/>
    <s v="W"/>
    <s v="72"/>
    <x v="21"/>
    <s v="6170004"/>
    <n v="9"/>
    <n v="4"/>
    <n v="4"/>
  </r>
  <r>
    <s v="COMM"/>
    <x v="4"/>
    <x v="15"/>
    <x v="0"/>
    <x v="3"/>
    <n v="1"/>
    <n v="1"/>
    <n v="1"/>
    <s v="W"/>
    <s v="71"/>
    <x v="1"/>
    <s v="6170005"/>
    <n v="9"/>
    <n v="1"/>
    <n v="1"/>
  </r>
  <r>
    <s v="COMM"/>
    <x v="4"/>
    <x v="15"/>
    <x v="0"/>
    <x v="7"/>
    <n v="1"/>
    <n v="1"/>
    <n v="1"/>
    <s v="W"/>
    <s v="71"/>
    <x v="1"/>
    <s v="6170005"/>
    <n v="9"/>
    <n v="1"/>
    <n v="1"/>
  </r>
  <r>
    <s v="COMM"/>
    <x v="4"/>
    <x v="15"/>
    <x v="0"/>
    <x v="1"/>
    <n v="1"/>
    <n v="1"/>
    <n v="1"/>
    <s v="W"/>
    <s v="71"/>
    <x v="1"/>
    <s v="6170005"/>
    <n v="9"/>
    <n v="83"/>
    <n v="83"/>
  </r>
  <r>
    <s v="IND"/>
    <x v="4"/>
    <x v="15"/>
    <x v="0"/>
    <x v="9"/>
    <n v="1"/>
    <n v="1"/>
    <n v="1"/>
    <s v="W"/>
    <s v="71"/>
    <x v="1"/>
    <s v="6170005"/>
    <n v="9"/>
    <n v="1"/>
    <n v="1"/>
  </r>
  <r>
    <s v="COMM"/>
    <x v="4"/>
    <x v="15"/>
    <x v="0"/>
    <x v="1"/>
    <n v="1"/>
    <n v="1"/>
    <n v="1"/>
    <s v="W"/>
    <s v="70"/>
    <x v="17"/>
    <s v="6170008"/>
    <n v="9"/>
    <n v="1"/>
    <n v="1"/>
  </r>
  <r>
    <s v="COMM"/>
    <x v="4"/>
    <x v="15"/>
    <x v="0"/>
    <x v="7"/>
    <n v="1"/>
    <n v="1"/>
    <n v="1"/>
    <s v="W"/>
    <s v="75"/>
    <x v="22"/>
    <s v="6170015"/>
    <n v="9"/>
    <n v="3"/>
    <n v="3"/>
  </r>
  <r>
    <s v="COMM"/>
    <x v="4"/>
    <x v="15"/>
    <x v="0"/>
    <x v="1"/>
    <n v="1"/>
    <n v="1"/>
    <n v="1"/>
    <s v="W"/>
    <s v="75"/>
    <x v="22"/>
    <s v="6170015"/>
    <n v="9"/>
    <n v="1"/>
    <n v="1"/>
  </r>
  <r>
    <s v="COMM"/>
    <x v="4"/>
    <x v="15"/>
    <x v="0"/>
    <x v="7"/>
    <n v="1"/>
    <n v="1"/>
    <n v="1"/>
    <s v="W"/>
    <s v="70"/>
    <x v="17"/>
    <s v="6170028"/>
    <n v="9"/>
    <n v="4"/>
    <n v="4"/>
  </r>
  <r>
    <s v="COMM"/>
    <x v="4"/>
    <x v="15"/>
    <x v="0"/>
    <x v="1"/>
    <n v="1"/>
    <n v="1"/>
    <n v="1"/>
    <s v="W"/>
    <s v="70"/>
    <x v="17"/>
    <s v="6170028"/>
    <n v="9"/>
    <n v="6"/>
    <n v="6"/>
  </r>
  <r>
    <s v="COMM"/>
    <x v="4"/>
    <x v="15"/>
    <x v="0"/>
    <x v="2"/>
    <n v="1"/>
    <n v="1"/>
    <n v="1"/>
    <s v="W"/>
    <s v="70"/>
    <x v="17"/>
    <s v="6170028"/>
    <n v="9"/>
    <n v="11"/>
    <n v="11"/>
  </r>
  <r>
    <s v="COMM"/>
    <x v="4"/>
    <x v="15"/>
    <x v="0"/>
    <x v="1"/>
    <n v="1"/>
    <n v="1"/>
    <n v="1"/>
    <s v="W"/>
    <s v="73"/>
    <x v="18"/>
    <s v="6170040"/>
    <n v="9"/>
    <n v="5"/>
    <n v="5"/>
  </r>
  <r>
    <s v="COMM"/>
    <x v="4"/>
    <x v="15"/>
    <x v="0"/>
    <x v="2"/>
    <n v="1"/>
    <n v="1"/>
    <n v="1"/>
    <s v="W"/>
    <s v="71"/>
    <x v="1"/>
    <s v="6170055"/>
    <n v="9"/>
    <n v="12"/>
    <n v="12"/>
  </r>
  <r>
    <s v="COMM"/>
    <x v="4"/>
    <x v="15"/>
    <x v="1"/>
    <x v="2"/>
    <n v="1"/>
    <n v="1"/>
    <n v="1"/>
    <s v="W"/>
    <s v="71"/>
    <x v="1"/>
    <s v="6170055"/>
    <n v="9"/>
    <n v="1"/>
    <n v="1"/>
  </r>
  <r>
    <s v="COMM"/>
    <x v="4"/>
    <x v="15"/>
    <x v="0"/>
    <x v="7"/>
    <n v="1"/>
    <n v="1"/>
    <n v="1"/>
    <s v="W"/>
    <s v="74"/>
    <x v="23"/>
    <s v="6170099"/>
    <n v="9"/>
    <n v="1"/>
    <n v="1"/>
  </r>
  <r>
    <s v="COMM"/>
    <x v="4"/>
    <x v="15"/>
    <x v="0"/>
    <x v="1"/>
    <n v="1"/>
    <n v="1"/>
    <n v="1"/>
    <s v="W"/>
    <s v="74"/>
    <x v="23"/>
    <s v="6170099"/>
    <n v="9"/>
    <n v="1"/>
    <n v="1"/>
  </r>
  <r>
    <s v="COMM"/>
    <x v="4"/>
    <x v="15"/>
    <x v="0"/>
    <x v="1"/>
    <n v="1"/>
    <n v="1"/>
    <n v="2"/>
    <s v="W"/>
    <s v="72"/>
    <x v="21"/>
    <s v="6170004"/>
    <n v="9"/>
    <n v="1"/>
    <n v="1"/>
  </r>
  <r>
    <s v="COMM"/>
    <x v="4"/>
    <x v="15"/>
    <x v="0"/>
    <x v="1"/>
    <n v="1"/>
    <n v="1"/>
    <n v="2"/>
    <s v="W"/>
    <s v="73"/>
    <x v="18"/>
    <s v="6170040"/>
    <n v="9"/>
    <n v="1"/>
    <n v="1"/>
  </r>
  <r>
    <s v="COMM"/>
    <x v="4"/>
    <x v="15"/>
    <x v="0"/>
    <x v="7"/>
    <n v="1"/>
    <n v="2"/>
    <n v="1"/>
    <s v="W"/>
    <s v="72"/>
    <x v="21"/>
    <s v="6170004"/>
    <n v="9"/>
    <n v="1"/>
    <n v="1"/>
  </r>
  <r>
    <s v="COMM"/>
    <x v="4"/>
    <x v="15"/>
    <x v="0"/>
    <x v="1"/>
    <n v="1"/>
    <n v="2"/>
    <n v="1"/>
    <s v="W"/>
    <s v="72"/>
    <x v="21"/>
    <s v="6170004"/>
    <n v="9"/>
    <n v="1"/>
    <n v="1"/>
  </r>
  <r>
    <s v="COMM"/>
    <x v="4"/>
    <x v="15"/>
    <x v="0"/>
    <x v="2"/>
    <n v="1"/>
    <n v="2"/>
    <n v="1"/>
    <s v="W"/>
    <s v="72"/>
    <x v="21"/>
    <s v="6170004"/>
    <n v="9"/>
    <n v="1"/>
    <n v="1"/>
  </r>
  <r>
    <s v="COMM"/>
    <x v="4"/>
    <x v="15"/>
    <x v="0"/>
    <x v="2"/>
    <n v="1"/>
    <n v="2"/>
    <n v="1"/>
    <s v="W"/>
    <s v="71"/>
    <x v="1"/>
    <s v="6170005"/>
    <n v="9"/>
    <n v="1"/>
    <n v="1"/>
  </r>
  <r>
    <s v="COMM"/>
    <x v="4"/>
    <x v="15"/>
    <x v="0"/>
    <x v="7"/>
    <n v="1"/>
    <n v="2"/>
    <n v="1"/>
    <s v="W"/>
    <s v="71"/>
    <x v="1"/>
    <s v="6170005"/>
    <n v="9"/>
    <n v="1"/>
    <n v="1"/>
  </r>
  <r>
    <s v="COMM"/>
    <x v="4"/>
    <x v="15"/>
    <x v="0"/>
    <x v="1"/>
    <n v="1"/>
    <n v="2"/>
    <n v="1"/>
    <s v="W"/>
    <s v="71"/>
    <x v="1"/>
    <s v="6170005"/>
    <n v="9"/>
    <n v="21"/>
    <n v="21"/>
  </r>
  <r>
    <s v="IND"/>
    <x v="4"/>
    <x v="15"/>
    <x v="0"/>
    <x v="1"/>
    <n v="1"/>
    <n v="2"/>
    <n v="1"/>
    <s v="W"/>
    <s v="71"/>
    <x v="1"/>
    <s v="6170005"/>
    <n v="9"/>
    <n v="1"/>
    <n v="1"/>
  </r>
  <r>
    <s v="COMM"/>
    <x v="4"/>
    <x v="15"/>
    <x v="0"/>
    <x v="1"/>
    <n v="1"/>
    <n v="2"/>
    <n v="1"/>
    <s v="W"/>
    <s v="75"/>
    <x v="22"/>
    <s v="6170015"/>
    <n v="9"/>
    <n v="2"/>
    <n v="2"/>
  </r>
  <r>
    <s v="IND"/>
    <x v="4"/>
    <x v="15"/>
    <x v="0"/>
    <x v="1"/>
    <n v="1"/>
    <n v="2"/>
    <n v="1"/>
    <s v="W"/>
    <s v="75"/>
    <x v="22"/>
    <s v="6170015"/>
    <n v="9"/>
    <n v="1"/>
    <n v="1"/>
  </r>
  <r>
    <s v="COMM"/>
    <x v="4"/>
    <x v="15"/>
    <x v="0"/>
    <x v="2"/>
    <n v="1"/>
    <n v="2"/>
    <n v="1"/>
    <s v="W"/>
    <s v="70"/>
    <x v="17"/>
    <s v="6170028"/>
    <n v="9"/>
    <n v="1"/>
    <n v="1"/>
  </r>
  <r>
    <s v="COMM"/>
    <x v="4"/>
    <x v="15"/>
    <x v="0"/>
    <x v="1"/>
    <n v="1"/>
    <n v="2"/>
    <n v="1"/>
    <s v="W"/>
    <s v="73"/>
    <x v="18"/>
    <s v="6170040"/>
    <n v="9"/>
    <n v="5"/>
    <n v="5"/>
  </r>
  <r>
    <s v="COMM"/>
    <x v="4"/>
    <x v="15"/>
    <x v="0"/>
    <x v="2"/>
    <n v="1"/>
    <n v="2"/>
    <n v="1"/>
    <s v="W"/>
    <s v="73"/>
    <x v="18"/>
    <s v="6170040"/>
    <n v="9"/>
    <n v="3"/>
    <n v="3"/>
  </r>
  <r>
    <s v="COMM"/>
    <x v="4"/>
    <x v="15"/>
    <x v="0"/>
    <x v="2"/>
    <n v="1"/>
    <n v="2"/>
    <n v="1"/>
    <s v="W"/>
    <s v="71"/>
    <x v="1"/>
    <s v="6170055"/>
    <n v="9"/>
    <n v="4"/>
    <n v="4"/>
  </r>
  <r>
    <s v="COMM"/>
    <x v="4"/>
    <x v="15"/>
    <x v="0"/>
    <x v="2"/>
    <n v="1"/>
    <n v="3"/>
    <n v="1"/>
    <s v="W"/>
    <s v="7B"/>
    <x v="20"/>
    <s v="6080060"/>
    <n v="6"/>
    <n v="1"/>
    <n v="1"/>
  </r>
  <r>
    <s v="COMM"/>
    <x v="4"/>
    <x v="15"/>
    <x v="0"/>
    <x v="7"/>
    <n v="1"/>
    <n v="3"/>
    <n v="1"/>
    <s v="W"/>
    <s v="71"/>
    <x v="1"/>
    <s v="6170005"/>
    <n v="9"/>
    <n v="1"/>
    <n v="1"/>
  </r>
  <r>
    <s v="COMM"/>
    <x v="4"/>
    <x v="15"/>
    <x v="0"/>
    <x v="1"/>
    <n v="1"/>
    <n v="3"/>
    <n v="1"/>
    <s v="W"/>
    <s v="71"/>
    <x v="1"/>
    <s v="6170005"/>
    <n v="9"/>
    <n v="5"/>
    <n v="5"/>
  </r>
  <r>
    <s v="COMM"/>
    <x v="4"/>
    <x v="15"/>
    <x v="0"/>
    <x v="3"/>
    <n v="1"/>
    <n v="3"/>
    <n v="1"/>
    <s v="W"/>
    <s v="71"/>
    <x v="1"/>
    <s v="6170005"/>
    <n v="9"/>
    <n v="1"/>
    <n v="1"/>
  </r>
  <r>
    <s v="COMM"/>
    <x v="4"/>
    <x v="15"/>
    <x v="0"/>
    <x v="2"/>
    <n v="1"/>
    <n v="3"/>
    <n v="1"/>
    <s v="W"/>
    <s v="71"/>
    <x v="1"/>
    <s v="6170055"/>
    <n v="9"/>
    <n v="1"/>
    <n v="1"/>
  </r>
  <r>
    <s v="COMM"/>
    <x v="4"/>
    <x v="15"/>
    <x v="0"/>
    <x v="1"/>
    <n v="1"/>
    <n v="4"/>
    <n v="1"/>
    <s v="W"/>
    <s v="71"/>
    <x v="1"/>
    <s v="6170005"/>
    <n v="9"/>
    <n v="1"/>
    <n v="1"/>
  </r>
  <r>
    <s v="COMM"/>
    <x v="4"/>
    <x v="15"/>
    <x v="0"/>
    <x v="1"/>
    <n v="1"/>
    <n v="5"/>
    <n v="1"/>
    <s v="W"/>
    <s v="71"/>
    <x v="1"/>
    <s v="6170005"/>
    <n v="9"/>
    <n v="2"/>
    <n v="2"/>
  </r>
  <r>
    <s v="COMM"/>
    <x v="4"/>
    <x v="15"/>
    <x v="0"/>
    <x v="2"/>
    <n v="1"/>
    <n v="5"/>
    <n v="1"/>
    <s v="W"/>
    <s v="71"/>
    <x v="1"/>
    <s v="6170055"/>
    <n v="9"/>
    <n v="1"/>
    <n v="1"/>
  </r>
  <r>
    <s v="COMM"/>
    <x v="4"/>
    <x v="15"/>
    <x v="0"/>
    <x v="1"/>
    <n v="2"/>
    <n v="2"/>
    <n v="1"/>
    <s v="W"/>
    <s v="7C"/>
    <x v="19"/>
    <s v="6080004"/>
    <n v="4"/>
    <n v="2"/>
    <n v="1"/>
  </r>
  <r>
    <s v="COMM"/>
    <x v="4"/>
    <x v="15"/>
    <x v="0"/>
    <x v="1"/>
    <n v="2"/>
    <n v="2"/>
    <n v="1"/>
    <s v="W"/>
    <s v="71"/>
    <x v="1"/>
    <s v="6170005"/>
    <n v="9"/>
    <n v="4"/>
    <n v="2"/>
  </r>
  <r>
    <s v="COMM"/>
    <x v="4"/>
    <x v="15"/>
    <x v="0"/>
    <x v="2"/>
    <n v="2"/>
    <n v="2"/>
    <n v="1"/>
    <s v="W"/>
    <s v="70"/>
    <x v="17"/>
    <s v="6170028"/>
    <n v="9"/>
    <n v="4"/>
    <n v="2"/>
  </r>
  <r>
    <s v="COMM"/>
    <x v="4"/>
    <x v="15"/>
    <x v="0"/>
    <x v="2"/>
    <n v="2"/>
    <n v="2"/>
    <n v="1"/>
    <s v="W"/>
    <s v="71"/>
    <x v="1"/>
    <s v="6170055"/>
    <n v="9"/>
    <n v="10"/>
    <n v="5"/>
  </r>
  <r>
    <s v="IND"/>
    <x v="4"/>
    <x v="15"/>
    <x v="0"/>
    <x v="2"/>
    <n v="2"/>
    <n v="3"/>
    <n v="1"/>
    <s v="W"/>
    <s v="71"/>
    <x v="1"/>
    <s v="6170005"/>
    <n v="9"/>
    <n v="2"/>
    <n v="1"/>
  </r>
  <r>
    <s v="COMM"/>
    <x v="4"/>
    <x v="15"/>
    <x v="0"/>
    <x v="2"/>
    <n v="2"/>
    <n v="3"/>
    <n v="1"/>
    <s v="W"/>
    <s v="71"/>
    <x v="1"/>
    <s v="6170055"/>
    <n v="9"/>
    <n v="2"/>
    <n v="1"/>
  </r>
  <r>
    <s v="COMM"/>
    <x v="4"/>
    <x v="15"/>
    <x v="0"/>
    <x v="2"/>
    <n v="2"/>
    <n v="4"/>
    <n v="1"/>
    <s v="W"/>
    <s v="7C"/>
    <x v="19"/>
    <s v="6080004"/>
    <n v="4"/>
    <n v="2"/>
    <n v="1"/>
  </r>
  <r>
    <s v="IND"/>
    <x v="4"/>
    <x v="15"/>
    <x v="0"/>
    <x v="1"/>
    <n v="2"/>
    <n v="4"/>
    <n v="1"/>
    <s v="W"/>
    <s v="71"/>
    <x v="1"/>
    <s v="6170005"/>
    <n v="9"/>
    <n v="2"/>
    <n v="1"/>
  </r>
  <r>
    <s v="COMM"/>
    <x v="4"/>
    <x v="15"/>
    <x v="0"/>
    <x v="2"/>
    <n v="2"/>
    <n v="4"/>
    <n v="1"/>
    <s v="W"/>
    <s v="7A"/>
    <x v="24"/>
    <s v="6170022"/>
    <n v="9"/>
    <n v="2"/>
    <n v="1"/>
  </r>
  <r>
    <s v="COMM"/>
    <x v="4"/>
    <x v="15"/>
    <x v="0"/>
    <x v="2"/>
    <n v="2"/>
    <n v="4"/>
    <n v="1"/>
    <s v="W"/>
    <s v="71"/>
    <x v="1"/>
    <s v="6170055"/>
    <n v="9"/>
    <n v="4"/>
    <n v="2"/>
  </r>
  <r>
    <s v="COMM"/>
    <x v="4"/>
    <x v="15"/>
    <x v="0"/>
    <x v="1"/>
    <n v="2"/>
    <n v="6"/>
    <n v="1"/>
    <s v="W"/>
    <s v="71"/>
    <x v="1"/>
    <s v="6170005"/>
    <n v="9"/>
    <n v="2"/>
    <n v="1"/>
  </r>
  <r>
    <s v="COMM"/>
    <x v="4"/>
    <x v="15"/>
    <x v="0"/>
    <x v="2"/>
    <n v="3"/>
    <n v="0"/>
    <n v="0"/>
    <m/>
    <s v="71"/>
    <x v="1"/>
    <s v="6170055"/>
    <n v="9"/>
    <n v="3"/>
    <n v="1"/>
  </r>
  <r>
    <s v="COMM"/>
    <x v="4"/>
    <x v="15"/>
    <x v="0"/>
    <x v="2"/>
    <n v="3"/>
    <n v="3"/>
    <n v="1"/>
    <s v="W"/>
    <s v="72"/>
    <x v="21"/>
    <s v="6170004"/>
    <n v="9"/>
    <n v="6"/>
    <n v="2"/>
  </r>
  <r>
    <s v="COMM"/>
    <x v="4"/>
    <x v="15"/>
    <x v="0"/>
    <x v="2"/>
    <n v="3"/>
    <n v="3"/>
    <n v="1"/>
    <s v="W"/>
    <s v="71"/>
    <x v="1"/>
    <s v="6170055"/>
    <n v="9"/>
    <n v="9"/>
    <n v="3"/>
  </r>
  <r>
    <s v="IND"/>
    <x v="4"/>
    <x v="15"/>
    <x v="0"/>
    <x v="1"/>
    <n v="3"/>
    <n v="6"/>
    <n v="1"/>
    <s v="W"/>
    <s v="71"/>
    <x v="1"/>
    <s v="6170005"/>
    <n v="9"/>
    <n v="3"/>
    <n v="1"/>
  </r>
  <r>
    <s v="COMM"/>
    <x v="4"/>
    <x v="15"/>
    <x v="0"/>
    <x v="2"/>
    <n v="3"/>
    <n v="6"/>
    <n v="1"/>
    <s v="W"/>
    <s v="71"/>
    <x v="1"/>
    <s v="6170055"/>
    <n v="9"/>
    <n v="3"/>
    <n v="1"/>
  </r>
  <r>
    <s v="COMM"/>
    <x v="4"/>
    <x v="15"/>
    <x v="0"/>
    <x v="2"/>
    <n v="4"/>
    <n v="4"/>
    <n v="1"/>
    <s v="W"/>
    <s v="71"/>
    <x v="1"/>
    <s v="6170055"/>
    <n v="9"/>
    <n v="4"/>
    <n v="1"/>
  </r>
  <r>
    <s v="COMM"/>
    <x v="4"/>
    <x v="15"/>
    <x v="0"/>
    <x v="2"/>
    <n v="4"/>
    <n v="20"/>
    <n v="1"/>
    <s v="W"/>
    <s v="71"/>
    <x v="1"/>
    <s v="6170005"/>
    <n v="9"/>
    <n v="4"/>
    <n v="1"/>
  </r>
  <r>
    <s v="COMM"/>
    <x v="4"/>
    <x v="15"/>
    <x v="0"/>
    <x v="2"/>
    <n v="5"/>
    <n v="5"/>
    <n v="1"/>
    <s v="W"/>
    <s v="71"/>
    <x v="1"/>
    <s v="6170055"/>
    <n v="9"/>
    <n v="10"/>
    <n v="2"/>
  </r>
  <r>
    <s v="COMM"/>
    <x v="4"/>
    <x v="15"/>
    <x v="0"/>
    <x v="2"/>
    <n v="6"/>
    <n v="6"/>
    <n v="1"/>
    <s v="W"/>
    <s v="71"/>
    <x v="1"/>
    <s v="6170055"/>
    <n v="9"/>
    <n v="12"/>
    <n v="2"/>
  </r>
  <r>
    <s v="COMM"/>
    <x v="4"/>
    <x v="15"/>
    <x v="0"/>
    <x v="2"/>
    <n v="6"/>
    <n v="12"/>
    <n v="1"/>
    <s v="W"/>
    <s v="71"/>
    <x v="1"/>
    <s v="6170055"/>
    <n v="9"/>
    <n v="6"/>
    <n v="1"/>
  </r>
  <r>
    <s v="IND"/>
    <x v="4"/>
    <x v="15"/>
    <x v="0"/>
    <x v="2"/>
    <n v="6"/>
    <n v="12"/>
    <n v="1"/>
    <s v="W"/>
    <s v="71"/>
    <x v="1"/>
    <s v="6170055"/>
    <n v="9"/>
    <n v="6"/>
    <n v="1"/>
  </r>
  <r>
    <s v="COMM"/>
    <x v="4"/>
    <x v="16"/>
    <x v="0"/>
    <x v="7"/>
    <n v="1"/>
    <n v="0"/>
    <n v="0"/>
    <m/>
    <s v="71"/>
    <x v="1"/>
    <s v="6170005"/>
    <n v="9"/>
    <n v="1"/>
    <n v="1"/>
  </r>
  <r>
    <s v="COMM"/>
    <x v="4"/>
    <x v="16"/>
    <x v="0"/>
    <x v="9"/>
    <n v="1"/>
    <n v="0"/>
    <n v="0"/>
    <m/>
    <s v="71"/>
    <x v="1"/>
    <s v="6170005"/>
    <n v="9"/>
    <n v="1"/>
    <n v="1"/>
  </r>
  <r>
    <s v="COMM"/>
    <x v="4"/>
    <x v="16"/>
    <x v="0"/>
    <x v="1"/>
    <n v="1"/>
    <n v="0"/>
    <n v="0"/>
    <m/>
    <s v="71"/>
    <x v="1"/>
    <s v="6170005"/>
    <n v="9"/>
    <n v="4"/>
    <n v="4"/>
  </r>
  <r>
    <s v="COMM"/>
    <x v="4"/>
    <x v="16"/>
    <x v="0"/>
    <x v="1"/>
    <n v="1"/>
    <n v="0"/>
    <n v="0"/>
    <m/>
    <s v="70"/>
    <x v="17"/>
    <s v="6170028"/>
    <n v="9"/>
    <n v="2"/>
    <n v="2"/>
  </r>
  <r>
    <s v="IND"/>
    <x v="4"/>
    <x v="16"/>
    <x v="0"/>
    <x v="7"/>
    <n v="1"/>
    <n v="0"/>
    <n v="0"/>
    <m/>
    <s v="73"/>
    <x v="18"/>
    <s v="6170040"/>
    <n v="9"/>
    <n v="1"/>
    <n v="1"/>
  </r>
  <r>
    <s v="COMM"/>
    <x v="4"/>
    <x v="16"/>
    <x v="0"/>
    <x v="1"/>
    <n v="1"/>
    <n v="1"/>
    <n v="1"/>
    <s v="W"/>
    <s v="75"/>
    <x v="22"/>
    <m/>
    <n v="0"/>
    <n v="1"/>
    <n v="1"/>
  </r>
  <r>
    <s v="COMM"/>
    <x v="4"/>
    <x v="16"/>
    <x v="0"/>
    <x v="7"/>
    <n v="1"/>
    <n v="1"/>
    <n v="1"/>
    <s v="W"/>
    <s v="70"/>
    <x v="17"/>
    <s v="5970028"/>
    <n v="8"/>
    <n v="1"/>
    <n v="1"/>
  </r>
  <r>
    <s v="COMM"/>
    <x v="4"/>
    <x v="16"/>
    <x v="0"/>
    <x v="7"/>
    <n v="1"/>
    <n v="1"/>
    <n v="1"/>
    <s v="W"/>
    <s v="7C"/>
    <x v="19"/>
    <s v="6080004"/>
    <n v="4"/>
    <n v="5"/>
    <n v="5"/>
  </r>
  <r>
    <s v="COMM"/>
    <x v="4"/>
    <x v="16"/>
    <x v="0"/>
    <x v="1"/>
    <n v="1"/>
    <n v="1"/>
    <n v="1"/>
    <s v="W"/>
    <s v="7C"/>
    <x v="19"/>
    <s v="6080004"/>
    <n v="4"/>
    <n v="6"/>
    <n v="6"/>
  </r>
  <r>
    <s v="COMM"/>
    <x v="4"/>
    <x v="16"/>
    <x v="0"/>
    <x v="1"/>
    <n v="1"/>
    <n v="1"/>
    <n v="1"/>
    <s v="W"/>
    <s v="7B"/>
    <x v="20"/>
    <s v="6080040"/>
    <n v="4"/>
    <n v="2"/>
    <n v="2"/>
  </r>
  <r>
    <s v="COMM"/>
    <x v="4"/>
    <x v="16"/>
    <x v="0"/>
    <x v="2"/>
    <n v="1"/>
    <n v="1"/>
    <n v="1"/>
    <s v="W"/>
    <s v="7B"/>
    <x v="20"/>
    <s v="6080060"/>
    <n v="6"/>
    <n v="1"/>
    <n v="1"/>
  </r>
  <r>
    <s v="COMM"/>
    <x v="4"/>
    <x v="16"/>
    <x v="0"/>
    <x v="7"/>
    <n v="1"/>
    <n v="1"/>
    <n v="1"/>
    <s v="W"/>
    <s v="7A"/>
    <x v="24"/>
    <s v="6080240"/>
    <n v="4"/>
    <n v="1"/>
    <n v="1"/>
  </r>
  <r>
    <s v="COMM"/>
    <x v="4"/>
    <x v="16"/>
    <x v="0"/>
    <x v="1"/>
    <n v="1"/>
    <n v="1"/>
    <n v="1"/>
    <s v="W"/>
    <s v="7A"/>
    <x v="24"/>
    <s v="6080240"/>
    <n v="4"/>
    <n v="2"/>
    <n v="2"/>
  </r>
  <r>
    <s v="COMM"/>
    <x v="4"/>
    <x v="16"/>
    <x v="0"/>
    <x v="7"/>
    <n v="1"/>
    <n v="1"/>
    <n v="1"/>
    <s v="W"/>
    <s v="70"/>
    <x v="17"/>
    <s v="6170001"/>
    <n v="9"/>
    <n v="1"/>
    <n v="1"/>
  </r>
  <r>
    <s v="COMM"/>
    <x v="4"/>
    <x v="16"/>
    <x v="0"/>
    <x v="1"/>
    <n v="1"/>
    <n v="1"/>
    <n v="1"/>
    <s v="W"/>
    <s v="70"/>
    <x v="17"/>
    <s v="6170001"/>
    <n v="9"/>
    <n v="1"/>
    <n v="1"/>
  </r>
  <r>
    <s v="COMM"/>
    <x v="4"/>
    <x v="16"/>
    <x v="0"/>
    <x v="1"/>
    <n v="1"/>
    <n v="1"/>
    <n v="1"/>
    <s v="W"/>
    <s v="72"/>
    <x v="21"/>
    <s v="6170004"/>
    <n v="9"/>
    <n v="1"/>
    <n v="1"/>
  </r>
  <r>
    <s v="COMM"/>
    <x v="4"/>
    <x v="16"/>
    <x v="0"/>
    <x v="2"/>
    <n v="1"/>
    <n v="1"/>
    <n v="1"/>
    <s v="W"/>
    <s v="72"/>
    <x v="21"/>
    <s v="6170004"/>
    <n v="9"/>
    <n v="1"/>
    <n v="1"/>
  </r>
  <r>
    <s v="COMM"/>
    <x v="4"/>
    <x v="16"/>
    <x v="0"/>
    <x v="3"/>
    <n v="1"/>
    <n v="1"/>
    <n v="1"/>
    <s v="W"/>
    <s v="71"/>
    <x v="1"/>
    <s v="6170005"/>
    <n v="9"/>
    <n v="4"/>
    <n v="4"/>
  </r>
  <r>
    <s v="COMM"/>
    <x v="4"/>
    <x v="16"/>
    <x v="0"/>
    <x v="7"/>
    <n v="1"/>
    <n v="1"/>
    <n v="1"/>
    <s v="W"/>
    <s v="71"/>
    <x v="1"/>
    <s v="6170005"/>
    <n v="9"/>
    <n v="8"/>
    <n v="8"/>
  </r>
  <r>
    <s v="COMM"/>
    <x v="4"/>
    <x v="16"/>
    <x v="0"/>
    <x v="8"/>
    <n v="1"/>
    <n v="1"/>
    <n v="1"/>
    <s v="W"/>
    <s v="71"/>
    <x v="1"/>
    <s v="6170005"/>
    <n v="9"/>
    <n v="2"/>
    <n v="2"/>
  </r>
  <r>
    <s v="COMM"/>
    <x v="4"/>
    <x v="16"/>
    <x v="0"/>
    <x v="1"/>
    <n v="1"/>
    <n v="1"/>
    <n v="1"/>
    <s v="W"/>
    <s v="71"/>
    <x v="1"/>
    <s v="6170005"/>
    <n v="9"/>
    <n v="99"/>
    <n v="99"/>
  </r>
  <r>
    <s v="IND"/>
    <x v="4"/>
    <x v="16"/>
    <x v="0"/>
    <x v="1"/>
    <n v="1"/>
    <n v="1"/>
    <n v="1"/>
    <s v="W"/>
    <s v="71"/>
    <x v="1"/>
    <s v="6170005"/>
    <n v="9"/>
    <n v="1"/>
    <n v="1"/>
  </r>
  <r>
    <s v="COMM"/>
    <x v="4"/>
    <x v="16"/>
    <x v="0"/>
    <x v="1"/>
    <n v="1"/>
    <n v="1"/>
    <n v="1"/>
    <s v="W"/>
    <s v="70"/>
    <x v="17"/>
    <s v="6170008"/>
    <n v="9"/>
    <n v="1"/>
    <n v="1"/>
  </r>
  <r>
    <s v="COMM"/>
    <x v="4"/>
    <x v="16"/>
    <x v="0"/>
    <x v="2"/>
    <n v="1"/>
    <n v="1"/>
    <n v="1"/>
    <s v="W"/>
    <s v="75"/>
    <x v="22"/>
    <s v="6170015"/>
    <n v="9"/>
    <n v="1"/>
    <n v="1"/>
  </r>
  <r>
    <s v="COMM"/>
    <x v="4"/>
    <x v="16"/>
    <x v="0"/>
    <x v="7"/>
    <n v="1"/>
    <n v="1"/>
    <n v="1"/>
    <s v="W"/>
    <s v="75"/>
    <x v="22"/>
    <s v="6170015"/>
    <n v="9"/>
    <n v="1"/>
    <n v="1"/>
  </r>
  <r>
    <s v="COMM"/>
    <x v="4"/>
    <x v="16"/>
    <x v="0"/>
    <x v="1"/>
    <n v="1"/>
    <n v="1"/>
    <n v="1"/>
    <s v="W"/>
    <s v="75"/>
    <x v="22"/>
    <s v="6170015"/>
    <n v="9"/>
    <n v="3"/>
    <n v="3"/>
  </r>
  <r>
    <s v="COMM"/>
    <x v="4"/>
    <x v="16"/>
    <x v="0"/>
    <x v="7"/>
    <n v="1"/>
    <n v="1"/>
    <n v="1"/>
    <s v="W"/>
    <s v="70"/>
    <x v="17"/>
    <s v="6170028"/>
    <n v="9"/>
    <n v="1"/>
    <n v="1"/>
  </r>
  <r>
    <s v="COMM"/>
    <x v="4"/>
    <x v="16"/>
    <x v="0"/>
    <x v="8"/>
    <n v="1"/>
    <n v="1"/>
    <n v="1"/>
    <s v="W"/>
    <s v="70"/>
    <x v="17"/>
    <s v="6170028"/>
    <n v="9"/>
    <n v="1"/>
    <n v="1"/>
  </r>
  <r>
    <s v="COMM"/>
    <x v="4"/>
    <x v="16"/>
    <x v="0"/>
    <x v="1"/>
    <n v="1"/>
    <n v="1"/>
    <n v="1"/>
    <s v="W"/>
    <s v="70"/>
    <x v="17"/>
    <s v="6170028"/>
    <n v="9"/>
    <n v="4"/>
    <n v="4"/>
  </r>
  <r>
    <s v="COMM"/>
    <x v="4"/>
    <x v="16"/>
    <x v="0"/>
    <x v="2"/>
    <n v="1"/>
    <n v="1"/>
    <n v="1"/>
    <s v="W"/>
    <s v="70"/>
    <x v="17"/>
    <s v="6170028"/>
    <n v="9"/>
    <n v="9"/>
    <n v="9"/>
  </r>
  <r>
    <s v="COMM"/>
    <x v="4"/>
    <x v="16"/>
    <x v="0"/>
    <x v="8"/>
    <n v="1"/>
    <n v="1"/>
    <n v="1"/>
    <s v="W"/>
    <s v="73"/>
    <x v="18"/>
    <s v="6170040"/>
    <n v="9"/>
    <n v="1"/>
    <n v="1"/>
  </r>
  <r>
    <s v="COMM"/>
    <x v="4"/>
    <x v="16"/>
    <x v="0"/>
    <x v="1"/>
    <n v="1"/>
    <n v="1"/>
    <n v="1"/>
    <s v="W"/>
    <s v="73"/>
    <x v="18"/>
    <s v="6170040"/>
    <n v="9"/>
    <n v="8"/>
    <n v="8"/>
  </r>
  <r>
    <s v="IND"/>
    <x v="4"/>
    <x v="16"/>
    <x v="0"/>
    <x v="8"/>
    <n v="1"/>
    <n v="1"/>
    <n v="1"/>
    <s v="W"/>
    <s v="73"/>
    <x v="18"/>
    <s v="6170040"/>
    <n v="9"/>
    <n v="1"/>
    <n v="1"/>
  </r>
  <r>
    <s v="IND"/>
    <x v="4"/>
    <x v="16"/>
    <x v="0"/>
    <x v="1"/>
    <n v="1"/>
    <n v="1"/>
    <n v="1"/>
    <s v="W"/>
    <s v="73"/>
    <x v="18"/>
    <s v="6170040"/>
    <n v="9"/>
    <n v="1"/>
    <n v="1"/>
  </r>
  <r>
    <s v="COMM"/>
    <x v="4"/>
    <x v="16"/>
    <x v="0"/>
    <x v="2"/>
    <n v="1"/>
    <n v="1"/>
    <n v="1"/>
    <s v="W"/>
    <s v="73"/>
    <x v="18"/>
    <s v="6170040"/>
    <n v="9"/>
    <n v="1"/>
    <n v="1"/>
  </r>
  <r>
    <s v="IND"/>
    <x v="4"/>
    <x v="16"/>
    <x v="0"/>
    <x v="1"/>
    <n v="1"/>
    <n v="1"/>
    <n v="1"/>
    <s v="W"/>
    <s v="71"/>
    <x v="1"/>
    <s v="6170055"/>
    <n v="9"/>
    <n v="1"/>
    <n v="1"/>
  </r>
  <r>
    <s v="COMM"/>
    <x v="4"/>
    <x v="16"/>
    <x v="0"/>
    <x v="2"/>
    <n v="1"/>
    <n v="1"/>
    <n v="1"/>
    <s v="W"/>
    <s v="71"/>
    <x v="1"/>
    <s v="6170055"/>
    <n v="9"/>
    <n v="14"/>
    <n v="14"/>
  </r>
  <r>
    <s v="COMM"/>
    <x v="4"/>
    <x v="16"/>
    <x v="0"/>
    <x v="7"/>
    <n v="1"/>
    <n v="1"/>
    <n v="1"/>
    <s v="W"/>
    <s v="74"/>
    <x v="23"/>
    <s v="6170099"/>
    <n v="9"/>
    <n v="1"/>
    <n v="1"/>
  </r>
  <r>
    <s v="IND"/>
    <x v="4"/>
    <x v="16"/>
    <x v="0"/>
    <x v="1"/>
    <n v="1"/>
    <n v="1"/>
    <n v="1"/>
    <s v="W"/>
    <s v="74"/>
    <x v="23"/>
    <s v="6170099"/>
    <n v="9"/>
    <n v="1"/>
    <n v="1"/>
  </r>
  <r>
    <s v="COMM"/>
    <x v="4"/>
    <x v="16"/>
    <x v="0"/>
    <x v="1"/>
    <n v="1"/>
    <n v="1"/>
    <n v="2"/>
    <s v="W"/>
    <s v="71"/>
    <x v="1"/>
    <s v="6170005"/>
    <n v="9"/>
    <n v="1"/>
    <n v="1"/>
  </r>
  <r>
    <s v="COMM"/>
    <x v="4"/>
    <x v="16"/>
    <x v="0"/>
    <x v="7"/>
    <n v="1"/>
    <n v="1"/>
    <n v="2"/>
    <s v="W"/>
    <s v="70"/>
    <x v="17"/>
    <s v="6170028"/>
    <n v="9"/>
    <n v="1"/>
    <n v="1"/>
  </r>
  <r>
    <s v="COMM"/>
    <x v="4"/>
    <x v="16"/>
    <x v="0"/>
    <x v="2"/>
    <n v="1"/>
    <n v="1"/>
    <n v="2"/>
    <s v="W"/>
    <s v="71"/>
    <x v="1"/>
    <s v="6170055"/>
    <n v="9"/>
    <n v="1"/>
    <n v="1"/>
  </r>
  <r>
    <s v="COMM"/>
    <x v="4"/>
    <x v="16"/>
    <x v="0"/>
    <x v="1"/>
    <n v="1"/>
    <n v="2"/>
    <n v="1"/>
    <s v="W"/>
    <s v="7C"/>
    <x v="19"/>
    <s v="6080004"/>
    <n v="4"/>
    <n v="1"/>
    <n v="1"/>
  </r>
  <r>
    <s v="COMM"/>
    <x v="4"/>
    <x v="16"/>
    <x v="0"/>
    <x v="2"/>
    <n v="1"/>
    <n v="2"/>
    <n v="1"/>
    <s v="W"/>
    <s v="7C"/>
    <x v="19"/>
    <s v="6080004"/>
    <n v="4"/>
    <n v="1"/>
    <n v="1"/>
  </r>
  <r>
    <s v="COMM"/>
    <x v="4"/>
    <x v="16"/>
    <x v="0"/>
    <x v="1"/>
    <n v="1"/>
    <n v="2"/>
    <n v="1"/>
    <s v="W"/>
    <s v="7B"/>
    <x v="20"/>
    <s v="6080040"/>
    <n v="4"/>
    <n v="1"/>
    <n v="1"/>
  </r>
  <r>
    <s v="COMM"/>
    <x v="4"/>
    <x v="16"/>
    <x v="0"/>
    <x v="7"/>
    <n v="1"/>
    <n v="2"/>
    <n v="1"/>
    <s v="W"/>
    <s v="72"/>
    <x v="21"/>
    <s v="6170004"/>
    <n v="9"/>
    <n v="1"/>
    <n v="1"/>
  </r>
  <r>
    <s v="COMM"/>
    <x v="4"/>
    <x v="16"/>
    <x v="0"/>
    <x v="1"/>
    <n v="1"/>
    <n v="2"/>
    <n v="1"/>
    <s v="W"/>
    <s v="72"/>
    <x v="21"/>
    <s v="6170004"/>
    <n v="9"/>
    <n v="2"/>
    <n v="2"/>
  </r>
  <r>
    <s v="COMM"/>
    <x v="4"/>
    <x v="16"/>
    <x v="0"/>
    <x v="3"/>
    <n v="1"/>
    <n v="2"/>
    <n v="1"/>
    <s v="W"/>
    <s v="72"/>
    <x v="21"/>
    <s v="6170004"/>
    <n v="9"/>
    <n v="1"/>
    <n v="1"/>
  </r>
  <r>
    <s v="COMM"/>
    <x v="4"/>
    <x v="16"/>
    <x v="0"/>
    <x v="2"/>
    <n v="1"/>
    <n v="2"/>
    <n v="1"/>
    <s v="W"/>
    <s v="72"/>
    <x v="21"/>
    <s v="6170004"/>
    <n v="9"/>
    <n v="1"/>
    <n v="1"/>
  </r>
  <r>
    <s v="COMM"/>
    <x v="4"/>
    <x v="16"/>
    <x v="0"/>
    <x v="7"/>
    <n v="1"/>
    <n v="2"/>
    <n v="1"/>
    <s v="W"/>
    <s v="71"/>
    <x v="1"/>
    <s v="6170005"/>
    <n v="9"/>
    <n v="5"/>
    <n v="5"/>
  </r>
  <r>
    <s v="COMM"/>
    <x v="4"/>
    <x v="16"/>
    <x v="0"/>
    <x v="8"/>
    <n v="1"/>
    <n v="2"/>
    <n v="1"/>
    <s v="W"/>
    <s v="71"/>
    <x v="1"/>
    <s v="6170005"/>
    <n v="9"/>
    <n v="1"/>
    <n v="1"/>
  </r>
  <r>
    <s v="COMM"/>
    <x v="4"/>
    <x v="16"/>
    <x v="0"/>
    <x v="1"/>
    <n v="1"/>
    <n v="2"/>
    <n v="1"/>
    <s v="W"/>
    <s v="71"/>
    <x v="1"/>
    <s v="6170005"/>
    <n v="9"/>
    <n v="40"/>
    <n v="40"/>
  </r>
  <r>
    <s v="IND"/>
    <x v="4"/>
    <x v="16"/>
    <x v="0"/>
    <x v="1"/>
    <n v="1"/>
    <n v="2"/>
    <n v="1"/>
    <s v="W"/>
    <s v="71"/>
    <x v="1"/>
    <s v="6170005"/>
    <n v="9"/>
    <n v="4"/>
    <n v="4"/>
  </r>
  <r>
    <s v="COMM"/>
    <x v="4"/>
    <x v="16"/>
    <x v="0"/>
    <x v="2"/>
    <n v="1"/>
    <n v="2"/>
    <n v="1"/>
    <s v="W"/>
    <s v="75"/>
    <x v="22"/>
    <s v="6170015"/>
    <n v="9"/>
    <n v="3"/>
    <n v="3"/>
  </r>
  <r>
    <s v="COMM"/>
    <x v="4"/>
    <x v="16"/>
    <x v="0"/>
    <x v="1"/>
    <n v="1"/>
    <n v="2"/>
    <n v="1"/>
    <s v="W"/>
    <s v="75"/>
    <x v="22"/>
    <s v="6170015"/>
    <n v="9"/>
    <n v="2"/>
    <n v="2"/>
  </r>
  <r>
    <s v="COMM"/>
    <x v="4"/>
    <x v="16"/>
    <x v="0"/>
    <x v="7"/>
    <n v="1"/>
    <n v="2"/>
    <n v="1"/>
    <s v="W"/>
    <s v="70"/>
    <x v="17"/>
    <s v="6170028"/>
    <n v="9"/>
    <n v="1"/>
    <n v="1"/>
  </r>
  <r>
    <s v="COMM"/>
    <x v="4"/>
    <x v="16"/>
    <x v="0"/>
    <x v="1"/>
    <n v="1"/>
    <n v="2"/>
    <n v="1"/>
    <s v="W"/>
    <s v="70"/>
    <x v="17"/>
    <s v="6170028"/>
    <n v="9"/>
    <n v="2"/>
    <n v="2"/>
  </r>
  <r>
    <s v="COMM"/>
    <x v="4"/>
    <x v="16"/>
    <x v="0"/>
    <x v="2"/>
    <n v="1"/>
    <n v="2"/>
    <n v="1"/>
    <s v="W"/>
    <s v="70"/>
    <x v="17"/>
    <s v="6170028"/>
    <n v="9"/>
    <n v="3"/>
    <n v="3"/>
  </r>
  <r>
    <s v="COMM"/>
    <x v="4"/>
    <x v="16"/>
    <x v="0"/>
    <x v="1"/>
    <n v="1"/>
    <n v="2"/>
    <n v="1"/>
    <s v="W"/>
    <s v="73"/>
    <x v="18"/>
    <s v="6170040"/>
    <n v="9"/>
    <n v="4"/>
    <n v="4"/>
  </r>
  <r>
    <s v="IND"/>
    <x v="4"/>
    <x v="16"/>
    <x v="0"/>
    <x v="1"/>
    <n v="1"/>
    <n v="2"/>
    <n v="1"/>
    <s v="W"/>
    <s v="73"/>
    <x v="18"/>
    <s v="6170040"/>
    <n v="9"/>
    <n v="1"/>
    <n v="1"/>
  </r>
  <r>
    <s v="COMM"/>
    <x v="4"/>
    <x v="16"/>
    <x v="0"/>
    <x v="2"/>
    <n v="1"/>
    <n v="2"/>
    <n v="1"/>
    <s v="W"/>
    <s v="73"/>
    <x v="18"/>
    <s v="6170040"/>
    <n v="9"/>
    <n v="1"/>
    <n v="1"/>
  </r>
  <r>
    <s v="COMM"/>
    <x v="4"/>
    <x v="16"/>
    <x v="0"/>
    <x v="8"/>
    <n v="1"/>
    <n v="2"/>
    <n v="1"/>
    <s v="W"/>
    <s v="71"/>
    <x v="1"/>
    <s v="6170055"/>
    <n v="9"/>
    <n v="1"/>
    <n v="1"/>
  </r>
  <r>
    <s v="COMM"/>
    <x v="4"/>
    <x v="16"/>
    <x v="0"/>
    <x v="2"/>
    <n v="1"/>
    <n v="2"/>
    <n v="1"/>
    <s v="W"/>
    <s v="71"/>
    <x v="1"/>
    <s v="6170055"/>
    <n v="9"/>
    <n v="11"/>
    <n v="11"/>
  </r>
  <r>
    <s v="COMM"/>
    <x v="4"/>
    <x v="16"/>
    <x v="0"/>
    <x v="1"/>
    <n v="1"/>
    <n v="2"/>
    <n v="1"/>
    <s v="W"/>
    <s v="74"/>
    <x v="23"/>
    <s v="6170099"/>
    <n v="9"/>
    <n v="1"/>
    <n v="1"/>
  </r>
  <r>
    <s v="COMM"/>
    <x v="4"/>
    <x v="16"/>
    <x v="0"/>
    <x v="7"/>
    <n v="1"/>
    <n v="3"/>
    <n v="1"/>
    <s v="W"/>
    <s v="71"/>
    <x v="1"/>
    <s v="6170005"/>
    <n v="9"/>
    <n v="2"/>
    <n v="2"/>
  </r>
  <r>
    <s v="COMM"/>
    <x v="4"/>
    <x v="16"/>
    <x v="0"/>
    <x v="1"/>
    <n v="1"/>
    <n v="3"/>
    <n v="1"/>
    <s v="W"/>
    <s v="71"/>
    <x v="1"/>
    <s v="6170005"/>
    <n v="9"/>
    <n v="29"/>
    <n v="29"/>
  </r>
  <r>
    <s v="IND"/>
    <x v="4"/>
    <x v="16"/>
    <x v="0"/>
    <x v="1"/>
    <n v="1"/>
    <n v="3"/>
    <n v="1"/>
    <s v="W"/>
    <s v="71"/>
    <x v="1"/>
    <s v="6170005"/>
    <n v="9"/>
    <n v="1"/>
    <n v="1"/>
  </r>
  <r>
    <s v="COMM"/>
    <x v="4"/>
    <x v="16"/>
    <x v="0"/>
    <x v="1"/>
    <n v="1"/>
    <n v="3"/>
    <n v="1"/>
    <s v="W"/>
    <s v="73"/>
    <x v="18"/>
    <s v="6170040"/>
    <n v="9"/>
    <n v="2"/>
    <n v="2"/>
  </r>
  <r>
    <s v="COMM"/>
    <x v="4"/>
    <x v="16"/>
    <x v="0"/>
    <x v="2"/>
    <n v="1"/>
    <n v="3"/>
    <n v="1"/>
    <s v="W"/>
    <s v="71"/>
    <x v="1"/>
    <s v="6170055"/>
    <n v="9"/>
    <n v="4"/>
    <n v="4"/>
  </r>
  <r>
    <s v="IND"/>
    <x v="4"/>
    <x v="16"/>
    <x v="0"/>
    <x v="2"/>
    <n v="1"/>
    <n v="3"/>
    <n v="1"/>
    <s v="W"/>
    <s v="71"/>
    <x v="1"/>
    <s v="6170055"/>
    <n v="9"/>
    <n v="1"/>
    <n v="1"/>
  </r>
  <r>
    <s v="COMM"/>
    <x v="4"/>
    <x v="16"/>
    <x v="0"/>
    <x v="7"/>
    <n v="1"/>
    <n v="4"/>
    <n v="1"/>
    <s v="W"/>
    <s v="71"/>
    <x v="1"/>
    <s v="6170005"/>
    <n v="9"/>
    <n v="1"/>
    <n v="1"/>
  </r>
  <r>
    <s v="COMM"/>
    <x v="4"/>
    <x v="16"/>
    <x v="0"/>
    <x v="1"/>
    <n v="1"/>
    <n v="4"/>
    <n v="1"/>
    <s v="W"/>
    <s v="71"/>
    <x v="1"/>
    <s v="6170005"/>
    <n v="9"/>
    <n v="4"/>
    <n v="4"/>
  </r>
  <r>
    <s v="COMM"/>
    <x v="4"/>
    <x v="16"/>
    <x v="0"/>
    <x v="3"/>
    <n v="1"/>
    <n v="4"/>
    <n v="1"/>
    <s v="W"/>
    <s v="71"/>
    <x v="1"/>
    <s v="6170005"/>
    <n v="9"/>
    <n v="1"/>
    <n v="1"/>
  </r>
  <r>
    <s v="COMM"/>
    <x v="4"/>
    <x v="16"/>
    <x v="0"/>
    <x v="2"/>
    <n v="1"/>
    <n v="4"/>
    <n v="1"/>
    <s v="W"/>
    <s v="71"/>
    <x v="1"/>
    <s v="6170055"/>
    <n v="9"/>
    <n v="1"/>
    <n v="1"/>
  </r>
  <r>
    <s v="COMM"/>
    <x v="4"/>
    <x v="16"/>
    <x v="0"/>
    <x v="3"/>
    <n v="1"/>
    <n v="5"/>
    <n v="1"/>
    <s v="W"/>
    <s v="71"/>
    <x v="1"/>
    <s v="6170005"/>
    <n v="9"/>
    <n v="1"/>
    <n v="1"/>
  </r>
  <r>
    <s v="COMM"/>
    <x v="4"/>
    <x v="16"/>
    <x v="0"/>
    <x v="1"/>
    <n v="1"/>
    <n v="5"/>
    <n v="1"/>
    <s v="W"/>
    <s v="71"/>
    <x v="1"/>
    <s v="6170005"/>
    <n v="9"/>
    <n v="1"/>
    <n v="1"/>
  </r>
  <r>
    <s v="IND"/>
    <x v="4"/>
    <x v="16"/>
    <x v="0"/>
    <x v="1"/>
    <n v="1"/>
    <n v="5"/>
    <n v="1"/>
    <s v="W"/>
    <s v="71"/>
    <x v="1"/>
    <s v="6170005"/>
    <n v="9"/>
    <n v="3"/>
    <n v="3"/>
  </r>
  <r>
    <s v="COMM"/>
    <x v="4"/>
    <x v="16"/>
    <x v="0"/>
    <x v="1"/>
    <n v="2"/>
    <n v="0"/>
    <n v="0"/>
    <m/>
    <s v="7C"/>
    <x v="19"/>
    <s v="6080004"/>
    <n v="4"/>
    <n v="2"/>
    <n v="1"/>
  </r>
  <r>
    <s v="COMM"/>
    <x v="4"/>
    <x v="16"/>
    <x v="0"/>
    <x v="2"/>
    <n v="2"/>
    <n v="0"/>
    <n v="0"/>
    <m/>
    <s v="71"/>
    <x v="1"/>
    <s v="6170055"/>
    <n v="9"/>
    <n v="2"/>
    <n v="1"/>
  </r>
  <r>
    <s v="COMM"/>
    <x v="4"/>
    <x v="16"/>
    <x v="0"/>
    <x v="2"/>
    <n v="2"/>
    <n v="2"/>
    <n v="1"/>
    <s v="W"/>
    <s v="7C"/>
    <x v="19"/>
    <s v="6080004"/>
    <n v="4"/>
    <n v="2"/>
    <n v="1"/>
  </r>
  <r>
    <s v="COMM"/>
    <x v="4"/>
    <x v="16"/>
    <x v="0"/>
    <x v="8"/>
    <n v="2"/>
    <n v="2"/>
    <n v="1"/>
    <s v="W"/>
    <s v="7B"/>
    <x v="20"/>
    <s v="6080040"/>
    <n v="4"/>
    <n v="2"/>
    <n v="1"/>
  </r>
  <r>
    <s v="COMM"/>
    <x v="4"/>
    <x v="16"/>
    <x v="0"/>
    <x v="1"/>
    <n v="2"/>
    <n v="2"/>
    <n v="1"/>
    <s v="W"/>
    <s v="71"/>
    <x v="1"/>
    <s v="6170005"/>
    <n v="9"/>
    <n v="8"/>
    <n v="4"/>
  </r>
  <r>
    <s v="IND"/>
    <x v="4"/>
    <x v="16"/>
    <x v="0"/>
    <x v="1"/>
    <n v="2"/>
    <n v="2"/>
    <n v="1"/>
    <s v="W"/>
    <s v="71"/>
    <x v="1"/>
    <s v="6170005"/>
    <n v="9"/>
    <n v="2"/>
    <n v="1"/>
  </r>
  <r>
    <s v="COMM"/>
    <x v="4"/>
    <x v="16"/>
    <x v="0"/>
    <x v="1"/>
    <n v="2"/>
    <n v="2"/>
    <n v="1"/>
    <s v="W"/>
    <s v="73"/>
    <x v="18"/>
    <s v="6170040"/>
    <n v="9"/>
    <n v="4"/>
    <n v="2"/>
  </r>
  <r>
    <s v="COMM"/>
    <x v="4"/>
    <x v="16"/>
    <x v="0"/>
    <x v="2"/>
    <n v="2"/>
    <n v="2"/>
    <n v="1"/>
    <s v="W"/>
    <s v="71"/>
    <x v="1"/>
    <s v="6170055"/>
    <n v="9"/>
    <n v="6"/>
    <n v="3"/>
  </r>
  <r>
    <s v="COMM"/>
    <x v="4"/>
    <x v="16"/>
    <x v="0"/>
    <x v="1"/>
    <n v="2"/>
    <n v="4"/>
    <n v="1"/>
    <s v="W"/>
    <s v="71"/>
    <x v="1"/>
    <s v="6170005"/>
    <n v="9"/>
    <n v="10"/>
    <n v="5"/>
  </r>
  <r>
    <s v="COMM"/>
    <x v="4"/>
    <x v="16"/>
    <x v="0"/>
    <x v="2"/>
    <n v="2"/>
    <n v="4"/>
    <n v="1"/>
    <s v="W"/>
    <s v="70"/>
    <x v="17"/>
    <s v="6170028"/>
    <n v="9"/>
    <n v="2"/>
    <n v="1"/>
  </r>
  <r>
    <s v="COMM"/>
    <x v="4"/>
    <x v="16"/>
    <x v="0"/>
    <x v="2"/>
    <n v="2"/>
    <n v="4"/>
    <n v="1"/>
    <s v="W"/>
    <s v="71"/>
    <x v="1"/>
    <s v="6170055"/>
    <n v="9"/>
    <n v="10"/>
    <n v="5"/>
  </r>
  <r>
    <s v="COMM"/>
    <x v="4"/>
    <x v="16"/>
    <x v="0"/>
    <x v="1"/>
    <n v="2"/>
    <n v="6"/>
    <n v="1"/>
    <s v="W"/>
    <s v="71"/>
    <x v="1"/>
    <s v="6170005"/>
    <n v="9"/>
    <n v="8"/>
    <n v="4"/>
  </r>
  <r>
    <s v="IND"/>
    <x v="4"/>
    <x v="16"/>
    <x v="0"/>
    <x v="1"/>
    <n v="2"/>
    <n v="6"/>
    <n v="1"/>
    <s v="W"/>
    <s v="71"/>
    <x v="1"/>
    <s v="6170005"/>
    <n v="9"/>
    <n v="2"/>
    <n v="1"/>
  </r>
  <r>
    <s v="COMM"/>
    <x v="4"/>
    <x v="16"/>
    <x v="0"/>
    <x v="2"/>
    <n v="2"/>
    <n v="6"/>
    <n v="1"/>
    <s v="W"/>
    <s v="71"/>
    <x v="1"/>
    <s v="6170055"/>
    <n v="9"/>
    <n v="2"/>
    <n v="1"/>
  </r>
  <r>
    <s v="COMM"/>
    <x v="4"/>
    <x v="16"/>
    <x v="0"/>
    <x v="1"/>
    <n v="2"/>
    <n v="8"/>
    <n v="1"/>
    <s v="W"/>
    <s v="71"/>
    <x v="1"/>
    <s v="6170005"/>
    <n v="9"/>
    <n v="2"/>
    <n v="1"/>
  </r>
  <r>
    <s v="IND"/>
    <x v="4"/>
    <x v="16"/>
    <x v="0"/>
    <x v="1"/>
    <n v="2"/>
    <n v="10"/>
    <n v="1"/>
    <s v="W"/>
    <s v="71"/>
    <x v="1"/>
    <s v="6170005"/>
    <n v="9"/>
    <n v="8"/>
    <n v="4"/>
  </r>
  <r>
    <s v="COMM"/>
    <x v="4"/>
    <x v="16"/>
    <x v="0"/>
    <x v="2"/>
    <n v="2"/>
    <n v="10"/>
    <n v="1"/>
    <s v="W"/>
    <s v="71"/>
    <x v="1"/>
    <s v="6170055"/>
    <n v="9"/>
    <n v="2"/>
    <n v="1"/>
  </r>
  <r>
    <s v="COMM"/>
    <x v="4"/>
    <x v="16"/>
    <x v="0"/>
    <x v="7"/>
    <n v="3"/>
    <n v="3"/>
    <n v="1"/>
    <s v="W"/>
    <s v="7C"/>
    <x v="19"/>
    <s v="6080004"/>
    <n v="4"/>
    <n v="3"/>
    <n v="1"/>
  </r>
  <r>
    <s v="COMM"/>
    <x v="4"/>
    <x v="16"/>
    <x v="0"/>
    <x v="2"/>
    <n v="3"/>
    <n v="3"/>
    <n v="1"/>
    <s v="W"/>
    <s v="71"/>
    <x v="1"/>
    <s v="6170005"/>
    <n v="9"/>
    <n v="3"/>
    <n v="1"/>
  </r>
  <r>
    <s v="COMM"/>
    <x v="4"/>
    <x v="16"/>
    <x v="0"/>
    <x v="2"/>
    <n v="3"/>
    <n v="3"/>
    <n v="1"/>
    <s v="W"/>
    <s v="71"/>
    <x v="1"/>
    <s v="6170055"/>
    <n v="9"/>
    <n v="15"/>
    <n v="5"/>
  </r>
  <r>
    <s v="COMM"/>
    <x v="4"/>
    <x v="16"/>
    <x v="0"/>
    <x v="1"/>
    <n v="3"/>
    <n v="6"/>
    <n v="1"/>
    <s v="W"/>
    <s v="71"/>
    <x v="1"/>
    <s v="6170005"/>
    <n v="9"/>
    <n v="3"/>
    <n v="1"/>
  </r>
  <r>
    <s v="COMM"/>
    <x v="4"/>
    <x v="16"/>
    <x v="0"/>
    <x v="2"/>
    <n v="3"/>
    <n v="6"/>
    <n v="1"/>
    <s v="W"/>
    <s v="75"/>
    <x v="22"/>
    <s v="6170015"/>
    <n v="9"/>
    <n v="3"/>
    <n v="1"/>
  </r>
  <r>
    <s v="IND"/>
    <x v="4"/>
    <x v="16"/>
    <x v="0"/>
    <x v="1"/>
    <n v="3"/>
    <n v="6"/>
    <n v="1"/>
    <s v="W"/>
    <s v="73"/>
    <x v="18"/>
    <s v="6170040"/>
    <n v="9"/>
    <n v="3"/>
    <n v="1"/>
  </r>
  <r>
    <s v="COMM"/>
    <x v="4"/>
    <x v="16"/>
    <x v="0"/>
    <x v="1"/>
    <n v="3"/>
    <n v="9"/>
    <n v="1"/>
    <s v="W"/>
    <s v="71"/>
    <x v="1"/>
    <s v="6170005"/>
    <n v="9"/>
    <n v="12"/>
    <n v="4"/>
  </r>
  <r>
    <s v="IND"/>
    <x v="4"/>
    <x v="16"/>
    <x v="0"/>
    <x v="7"/>
    <n v="3"/>
    <n v="9"/>
    <n v="1"/>
    <s v="W"/>
    <s v="71"/>
    <x v="1"/>
    <s v="6170005"/>
    <n v="9"/>
    <n v="3"/>
    <n v="1"/>
  </r>
  <r>
    <s v="COMM"/>
    <x v="4"/>
    <x v="16"/>
    <x v="0"/>
    <x v="1"/>
    <n v="3"/>
    <n v="15"/>
    <n v="1"/>
    <s v="W"/>
    <s v="71"/>
    <x v="1"/>
    <s v="6170005"/>
    <n v="9"/>
    <n v="3"/>
    <n v="1"/>
  </r>
  <r>
    <s v="IND"/>
    <x v="4"/>
    <x v="16"/>
    <x v="0"/>
    <x v="1"/>
    <n v="3"/>
    <n v="15"/>
    <n v="1"/>
    <s v="W"/>
    <s v="71"/>
    <x v="1"/>
    <s v="6170005"/>
    <n v="9"/>
    <n v="3"/>
    <n v="1"/>
  </r>
  <r>
    <s v="COMM"/>
    <x v="4"/>
    <x v="16"/>
    <x v="0"/>
    <x v="2"/>
    <n v="4"/>
    <n v="4"/>
    <n v="1"/>
    <s v="W"/>
    <s v="71"/>
    <x v="1"/>
    <s v="6170055"/>
    <n v="9"/>
    <n v="8"/>
    <n v="2"/>
  </r>
  <r>
    <s v="IND"/>
    <x v="4"/>
    <x v="16"/>
    <x v="0"/>
    <x v="2"/>
    <n v="4"/>
    <n v="4"/>
    <n v="1"/>
    <s v="W"/>
    <s v="71"/>
    <x v="1"/>
    <s v="6170055"/>
    <n v="9"/>
    <n v="4"/>
    <n v="1"/>
  </r>
  <r>
    <s v="IND"/>
    <x v="4"/>
    <x v="16"/>
    <x v="0"/>
    <x v="2"/>
    <n v="4"/>
    <n v="5"/>
    <n v="1"/>
    <s v="W"/>
    <s v="71"/>
    <x v="1"/>
    <s v="6170005"/>
    <n v="9"/>
    <n v="4"/>
    <n v="1"/>
  </r>
  <r>
    <s v="COMM"/>
    <x v="4"/>
    <x v="16"/>
    <x v="0"/>
    <x v="2"/>
    <n v="4"/>
    <n v="8"/>
    <n v="1"/>
    <s v="W"/>
    <s v="7C"/>
    <x v="19"/>
    <s v="6080004"/>
    <n v="4"/>
    <n v="4"/>
    <n v="1"/>
  </r>
  <r>
    <s v="COMM"/>
    <x v="4"/>
    <x v="16"/>
    <x v="0"/>
    <x v="2"/>
    <n v="4"/>
    <n v="8"/>
    <n v="1"/>
    <s v="W"/>
    <s v="71"/>
    <x v="1"/>
    <s v="6170055"/>
    <n v="9"/>
    <n v="4"/>
    <n v="1"/>
  </r>
  <r>
    <s v="COMM"/>
    <x v="4"/>
    <x v="16"/>
    <x v="0"/>
    <x v="1"/>
    <n v="4"/>
    <n v="12"/>
    <n v="1"/>
    <s v="W"/>
    <s v="71"/>
    <x v="1"/>
    <s v="6170005"/>
    <n v="9"/>
    <n v="4"/>
    <n v="1"/>
  </r>
  <r>
    <s v="COMM"/>
    <x v="4"/>
    <x v="16"/>
    <x v="0"/>
    <x v="1"/>
    <n v="5"/>
    <n v="10"/>
    <n v="1"/>
    <s v="W"/>
    <s v="73"/>
    <x v="18"/>
    <s v="6170040"/>
    <n v="9"/>
    <n v="5"/>
    <n v="1"/>
  </r>
  <r>
    <s v="COMM"/>
    <x v="4"/>
    <x v="16"/>
    <x v="0"/>
    <x v="2"/>
    <n v="5"/>
    <n v="10"/>
    <n v="1"/>
    <s v="W"/>
    <s v="71"/>
    <x v="1"/>
    <s v="6170055"/>
    <n v="9"/>
    <n v="5"/>
    <n v="1"/>
  </r>
  <r>
    <s v="COMM"/>
    <x v="4"/>
    <x v="16"/>
    <x v="0"/>
    <x v="2"/>
    <n v="6"/>
    <n v="12"/>
    <n v="1"/>
    <s v="W"/>
    <s v="71"/>
    <x v="1"/>
    <s v="6170055"/>
    <n v="9"/>
    <n v="6"/>
    <n v="1"/>
  </r>
  <r>
    <s v="COMM"/>
    <x v="4"/>
    <x v="16"/>
    <x v="0"/>
    <x v="8"/>
    <n v="11"/>
    <n v="11"/>
    <n v="1"/>
    <s v="W"/>
    <s v="7C"/>
    <x v="19"/>
    <s v="6080004"/>
    <n v="4"/>
    <n v="11"/>
    <n v="1"/>
  </r>
  <r>
    <s v="COMM"/>
    <x v="4"/>
    <x v="17"/>
    <x v="0"/>
    <x v="1"/>
    <n v="1"/>
    <n v="0"/>
    <n v="0"/>
    <m/>
    <s v="71"/>
    <x v="1"/>
    <s v="6170005"/>
    <n v="9"/>
    <n v="3"/>
    <n v="3"/>
  </r>
  <r>
    <s v="COMM"/>
    <x v="4"/>
    <x v="17"/>
    <x v="0"/>
    <x v="7"/>
    <n v="1"/>
    <n v="1"/>
    <n v="1"/>
    <s v="W"/>
    <s v="7C"/>
    <x v="19"/>
    <s v="6080004"/>
    <n v="4"/>
    <n v="2"/>
    <n v="2"/>
  </r>
  <r>
    <s v="COMM"/>
    <x v="4"/>
    <x v="17"/>
    <x v="0"/>
    <x v="1"/>
    <n v="1"/>
    <n v="1"/>
    <n v="1"/>
    <s v="W"/>
    <s v="7C"/>
    <x v="19"/>
    <s v="6080004"/>
    <n v="4"/>
    <n v="4"/>
    <n v="4"/>
  </r>
  <r>
    <s v="COMM"/>
    <x v="4"/>
    <x v="17"/>
    <x v="0"/>
    <x v="1"/>
    <n v="1"/>
    <n v="1"/>
    <n v="1"/>
    <s v="W"/>
    <s v="7B"/>
    <x v="20"/>
    <s v="6080040"/>
    <n v="4"/>
    <n v="2"/>
    <n v="2"/>
  </r>
  <r>
    <s v="COMM"/>
    <x v="4"/>
    <x v="17"/>
    <x v="0"/>
    <x v="7"/>
    <n v="1"/>
    <n v="1"/>
    <n v="1"/>
    <s v="W"/>
    <s v="7A"/>
    <x v="24"/>
    <s v="6080240"/>
    <n v="4"/>
    <n v="1"/>
    <n v="1"/>
  </r>
  <r>
    <s v="COMM"/>
    <x v="4"/>
    <x v="17"/>
    <x v="0"/>
    <x v="1"/>
    <n v="1"/>
    <n v="1"/>
    <n v="1"/>
    <s v="W"/>
    <s v="70"/>
    <x v="17"/>
    <s v="6170001"/>
    <n v="9"/>
    <n v="1"/>
    <n v="1"/>
  </r>
  <r>
    <s v="COMM"/>
    <x v="4"/>
    <x v="17"/>
    <x v="0"/>
    <x v="1"/>
    <n v="1"/>
    <n v="1"/>
    <n v="1"/>
    <s v="W"/>
    <s v="72"/>
    <x v="21"/>
    <s v="6170004"/>
    <n v="9"/>
    <n v="2"/>
    <n v="2"/>
  </r>
  <r>
    <s v="IND"/>
    <x v="4"/>
    <x v="17"/>
    <x v="0"/>
    <x v="1"/>
    <n v="1"/>
    <n v="1"/>
    <n v="1"/>
    <s v="W"/>
    <s v="72"/>
    <x v="21"/>
    <s v="6170004"/>
    <n v="9"/>
    <n v="1"/>
    <n v="1"/>
  </r>
  <r>
    <s v="COMM"/>
    <x v="4"/>
    <x v="17"/>
    <x v="0"/>
    <x v="2"/>
    <n v="1"/>
    <n v="1"/>
    <n v="1"/>
    <s v="W"/>
    <s v="72"/>
    <x v="21"/>
    <s v="6170004"/>
    <n v="9"/>
    <n v="1"/>
    <n v="1"/>
  </r>
  <r>
    <s v="COMM"/>
    <x v="4"/>
    <x v="17"/>
    <x v="0"/>
    <x v="3"/>
    <n v="1"/>
    <n v="1"/>
    <n v="1"/>
    <s v="W"/>
    <s v="71"/>
    <x v="1"/>
    <s v="6170005"/>
    <n v="9"/>
    <n v="2"/>
    <n v="2"/>
  </r>
  <r>
    <s v="COMM"/>
    <x v="4"/>
    <x v="17"/>
    <x v="0"/>
    <x v="2"/>
    <n v="1"/>
    <n v="1"/>
    <n v="1"/>
    <s v="W"/>
    <s v="71"/>
    <x v="1"/>
    <s v="6170005"/>
    <n v="9"/>
    <n v="1"/>
    <n v="1"/>
  </r>
  <r>
    <s v="COMM"/>
    <x v="4"/>
    <x v="17"/>
    <x v="0"/>
    <x v="7"/>
    <n v="1"/>
    <n v="1"/>
    <n v="1"/>
    <s v="W"/>
    <s v="71"/>
    <x v="1"/>
    <s v="6170005"/>
    <n v="9"/>
    <n v="7"/>
    <n v="7"/>
  </r>
  <r>
    <s v="COMM"/>
    <x v="4"/>
    <x v="17"/>
    <x v="0"/>
    <x v="1"/>
    <n v="1"/>
    <n v="1"/>
    <n v="1"/>
    <s v="W"/>
    <s v="71"/>
    <x v="1"/>
    <s v="6170005"/>
    <n v="9"/>
    <n v="58"/>
    <n v="58"/>
  </r>
  <r>
    <s v="IND"/>
    <x v="4"/>
    <x v="17"/>
    <x v="0"/>
    <x v="1"/>
    <n v="1"/>
    <n v="1"/>
    <n v="1"/>
    <s v="W"/>
    <s v="71"/>
    <x v="1"/>
    <s v="6170005"/>
    <n v="9"/>
    <n v="1"/>
    <n v="1"/>
  </r>
  <r>
    <s v="COMM"/>
    <x v="4"/>
    <x v="17"/>
    <x v="0"/>
    <x v="1"/>
    <n v="1"/>
    <n v="1"/>
    <n v="1"/>
    <s v="W"/>
    <s v="76"/>
    <x v="25"/>
    <s v="6170006"/>
    <n v="9"/>
    <n v="1"/>
    <n v="1"/>
  </r>
  <r>
    <s v="COMM"/>
    <x v="4"/>
    <x v="17"/>
    <x v="0"/>
    <x v="1"/>
    <n v="1"/>
    <n v="1"/>
    <n v="1"/>
    <s v="W"/>
    <s v="70"/>
    <x v="17"/>
    <s v="6170008"/>
    <n v="9"/>
    <n v="1"/>
    <n v="1"/>
  </r>
  <r>
    <s v="COMM"/>
    <x v="4"/>
    <x v="17"/>
    <x v="0"/>
    <x v="1"/>
    <n v="1"/>
    <n v="1"/>
    <n v="1"/>
    <s v="W"/>
    <s v="75"/>
    <x v="22"/>
    <s v="6170015"/>
    <n v="9"/>
    <n v="2"/>
    <n v="2"/>
  </r>
  <r>
    <s v="COMM"/>
    <x v="4"/>
    <x v="17"/>
    <x v="0"/>
    <x v="2"/>
    <n v="1"/>
    <n v="1"/>
    <n v="1"/>
    <s v="W"/>
    <s v="7A"/>
    <x v="24"/>
    <s v="6170022"/>
    <n v="9"/>
    <n v="1"/>
    <n v="1"/>
  </r>
  <r>
    <s v="COMM"/>
    <x v="4"/>
    <x v="17"/>
    <x v="0"/>
    <x v="2"/>
    <n v="1"/>
    <n v="1"/>
    <n v="1"/>
    <s v="W"/>
    <s v="70"/>
    <x v="17"/>
    <s v="6170028"/>
    <n v="9"/>
    <n v="3"/>
    <n v="3"/>
  </r>
  <r>
    <s v="COMM"/>
    <x v="4"/>
    <x v="17"/>
    <x v="0"/>
    <x v="7"/>
    <n v="1"/>
    <n v="1"/>
    <n v="1"/>
    <s v="W"/>
    <s v="70"/>
    <x v="17"/>
    <s v="6170028"/>
    <n v="9"/>
    <n v="1"/>
    <n v="1"/>
  </r>
  <r>
    <s v="COMM"/>
    <x v="4"/>
    <x v="17"/>
    <x v="0"/>
    <x v="1"/>
    <n v="1"/>
    <n v="1"/>
    <n v="1"/>
    <s v="W"/>
    <s v="70"/>
    <x v="17"/>
    <s v="6170028"/>
    <n v="9"/>
    <n v="3"/>
    <n v="3"/>
  </r>
  <r>
    <s v="COMM"/>
    <x v="4"/>
    <x v="17"/>
    <x v="0"/>
    <x v="1"/>
    <n v="1"/>
    <n v="1"/>
    <n v="1"/>
    <s v="W"/>
    <s v="73"/>
    <x v="18"/>
    <s v="6170040"/>
    <n v="9"/>
    <n v="7"/>
    <n v="7"/>
  </r>
  <r>
    <s v="COMM"/>
    <x v="4"/>
    <x v="17"/>
    <x v="0"/>
    <x v="2"/>
    <n v="1"/>
    <n v="1"/>
    <n v="1"/>
    <s v="W"/>
    <s v="71"/>
    <x v="1"/>
    <s v="6170055"/>
    <n v="9"/>
    <n v="5"/>
    <n v="5"/>
  </r>
  <r>
    <s v="IND"/>
    <x v="4"/>
    <x v="17"/>
    <x v="0"/>
    <x v="1"/>
    <n v="1"/>
    <n v="1"/>
    <n v="1"/>
    <s v="W"/>
    <s v="74"/>
    <x v="23"/>
    <s v="6170099"/>
    <n v="9"/>
    <n v="1"/>
    <n v="1"/>
  </r>
  <r>
    <s v="COMM"/>
    <x v="4"/>
    <x v="17"/>
    <x v="0"/>
    <x v="7"/>
    <n v="1"/>
    <n v="1"/>
    <n v="2"/>
    <s v="W"/>
    <s v="70"/>
    <x v="17"/>
    <s v="6170001"/>
    <n v="9"/>
    <n v="1"/>
    <n v="1"/>
  </r>
  <r>
    <s v="COMM"/>
    <x v="4"/>
    <x v="17"/>
    <x v="0"/>
    <x v="1"/>
    <n v="1"/>
    <n v="1"/>
    <n v="2"/>
    <s v="W"/>
    <s v="70"/>
    <x v="17"/>
    <s v="6170008"/>
    <n v="9"/>
    <n v="1"/>
    <n v="1"/>
  </r>
  <r>
    <s v="COMM"/>
    <x v="4"/>
    <x v="17"/>
    <x v="0"/>
    <x v="7"/>
    <n v="1"/>
    <n v="1"/>
    <n v="2"/>
    <s v="W"/>
    <s v="70"/>
    <x v="17"/>
    <s v="6170028"/>
    <n v="9"/>
    <n v="1"/>
    <n v="1"/>
  </r>
  <r>
    <s v="COMM"/>
    <x v="4"/>
    <x v="17"/>
    <x v="0"/>
    <x v="1"/>
    <n v="1"/>
    <n v="1"/>
    <n v="2"/>
    <s v="W"/>
    <s v="73"/>
    <x v="18"/>
    <s v="6170040"/>
    <n v="9"/>
    <n v="1"/>
    <n v="1"/>
  </r>
  <r>
    <s v="COMM"/>
    <x v="4"/>
    <x v="17"/>
    <x v="0"/>
    <x v="1"/>
    <n v="1"/>
    <n v="2"/>
    <n v="1"/>
    <s v="W"/>
    <s v="7B"/>
    <x v="20"/>
    <s v="6080040"/>
    <n v="4"/>
    <n v="1"/>
    <n v="1"/>
  </r>
  <r>
    <s v="COMM"/>
    <x v="4"/>
    <x v="17"/>
    <x v="0"/>
    <x v="1"/>
    <n v="1"/>
    <n v="2"/>
    <n v="1"/>
    <s v="W"/>
    <s v="7A"/>
    <x v="24"/>
    <s v="6080240"/>
    <n v="4"/>
    <n v="1"/>
    <n v="1"/>
  </r>
  <r>
    <s v="IND"/>
    <x v="4"/>
    <x v="17"/>
    <x v="0"/>
    <x v="1"/>
    <n v="1"/>
    <n v="2"/>
    <n v="1"/>
    <s v="W"/>
    <s v="71"/>
    <x v="1"/>
    <s v="6170005"/>
    <n v="9"/>
    <n v="1"/>
    <n v="1"/>
  </r>
  <r>
    <s v="COMM"/>
    <x v="4"/>
    <x v="17"/>
    <x v="0"/>
    <x v="7"/>
    <n v="1"/>
    <n v="2"/>
    <n v="1"/>
    <s v="W"/>
    <s v="71"/>
    <x v="1"/>
    <s v="6170005"/>
    <n v="9"/>
    <n v="5"/>
    <n v="5"/>
  </r>
  <r>
    <s v="COMM"/>
    <x v="4"/>
    <x v="17"/>
    <x v="0"/>
    <x v="4"/>
    <n v="1"/>
    <n v="2"/>
    <n v="1"/>
    <s v="W"/>
    <s v="71"/>
    <x v="1"/>
    <s v="6170005"/>
    <n v="9"/>
    <n v="1"/>
    <n v="1"/>
  </r>
  <r>
    <s v="COMM"/>
    <x v="4"/>
    <x v="17"/>
    <x v="0"/>
    <x v="1"/>
    <n v="1"/>
    <n v="2"/>
    <n v="1"/>
    <s v="W"/>
    <s v="71"/>
    <x v="1"/>
    <s v="6170005"/>
    <n v="9"/>
    <n v="29"/>
    <n v="29"/>
  </r>
  <r>
    <s v="COMM"/>
    <x v="4"/>
    <x v="17"/>
    <x v="0"/>
    <x v="1"/>
    <n v="1"/>
    <n v="2"/>
    <n v="1"/>
    <s v="W"/>
    <s v="76"/>
    <x v="25"/>
    <s v="6170006"/>
    <n v="9"/>
    <n v="1"/>
    <n v="1"/>
  </r>
  <r>
    <s v="COMM"/>
    <x v="4"/>
    <x v="17"/>
    <x v="0"/>
    <x v="1"/>
    <n v="1"/>
    <n v="2"/>
    <n v="1"/>
    <s v="W"/>
    <s v="75"/>
    <x v="22"/>
    <s v="6170015"/>
    <n v="9"/>
    <n v="3"/>
    <n v="3"/>
  </r>
  <r>
    <s v="COMM"/>
    <x v="4"/>
    <x v="17"/>
    <x v="0"/>
    <x v="1"/>
    <n v="1"/>
    <n v="2"/>
    <n v="1"/>
    <s v="W"/>
    <s v="70"/>
    <x v="17"/>
    <s v="6170028"/>
    <n v="9"/>
    <n v="2"/>
    <n v="2"/>
  </r>
  <r>
    <s v="COMM"/>
    <x v="4"/>
    <x v="17"/>
    <x v="0"/>
    <x v="1"/>
    <n v="1"/>
    <n v="2"/>
    <n v="1"/>
    <s v="W"/>
    <s v="73"/>
    <x v="18"/>
    <s v="6170040"/>
    <n v="9"/>
    <n v="2"/>
    <n v="2"/>
  </r>
  <r>
    <s v="COMM"/>
    <x v="4"/>
    <x v="17"/>
    <x v="0"/>
    <x v="2"/>
    <n v="1"/>
    <n v="2"/>
    <n v="1"/>
    <s v="W"/>
    <s v="71"/>
    <x v="1"/>
    <s v="6170055"/>
    <n v="9"/>
    <n v="3"/>
    <n v="3"/>
  </r>
  <r>
    <s v="COMM"/>
    <x v="4"/>
    <x v="17"/>
    <x v="0"/>
    <x v="3"/>
    <n v="1"/>
    <n v="3"/>
    <n v="1"/>
    <s v="W"/>
    <s v="71"/>
    <x v="1"/>
    <s v="6170005"/>
    <n v="9"/>
    <n v="1"/>
    <n v="1"/>
  </r>
  <r>
    <s v="COMM"/>
    <x v="4"/>
    <x v="17"/>
    <x v="0"/>
    <x v="7"/>
    <n v="1"/>
    <n v="3"/>
    <n v="1"/>
    <s v="W"/>
    <s v="71"/>
    <x v="1"/>
    <s v="6170005"/>
    <n v="9"/>
    <n v="1"/>
    <n v="1"/>
  </r>
  <r>
    <s v="COMM"/>
    <x v="4"/>
    <x v="17"/>
    <x v="0"/>
    <x v="1"/>
    <n v="1"/>
    <n v="3"/>
    <n v="1"/>
    <s v="W"/>
    <s v="71"/>
    <x v="1"/>
    <s v="6170005"/>
    <n v="9"/>
    <n v="7"/>
    <n v="7"/>
  </r>
  <r>
    <s v="IND"/>
    <x v="4"/>
    <x v="17"/>
    <x v="0"/>
    <x v="1"/>
    <n v="1"/>
    <n v="3"/>
    <n v="1"/>
    <s v="W"/>
    <s v="71"/>
    <x v="1"/>
    <s v="6170005"/>
    <n v="9"/>
    <n v="2"/>
    <n v="2"/>
  </r>
  <r>
    <s v="COMM"/>
    <x v="4"/>
    <x v="17"/>
    <x v="0"/>
    <x v="7"/>
    <n v="1"/>
    <n v="4"/>
    <n v="1"/>
    <s v="W"/>
    <s v="71"/>
    <x v="1"/>
    <s v="6170005"/>
    <n v="9"/>
    <n v="1"/>
    <n v="1"/>
  </r>
  <r>
    <s v="COMM"/>
    <x v="4"/>
    <x v="17"/>
    <x v="0"/>
    <x v="1"/>
    <n v="1"/>
    <n v="4"/>
    <n v="1"/>
    <s v="W"/>
    <s v="15"/>
    <x v="12"/>
    <s v="6170015"/>
    <n v="9"/>
    <n v="2"/>
    <n v="2"/>
  </r>
  <r>
    <s v="COMM"/>
    <x v="4"/>
    <x v="17"/>
    <x v="0"/>
    <x v="2"/>
    <n v="2"/>
    <n v="2"/>
    <n v="1"/>
    <s v="W"/>
    <s v="72"/>
    <x v="21"/>
    <s v="6170004"/>
    <n v="9"/>
    <n v="2"/>
    <n v="1"/>
  </r>
  <r>
    <s v="COMM"/>
    <x v="4"/>
    <x v="17"/>
    <x v="0"/>
    <x v="1"/>
    <n v="2"/>
    <n v="2"/>
    <n v="1"/>
    <s v="W"/>
    <s v="71"/>
    <x v="1"/>
    <s v="6170005"/>
    <n v="9"/>
    <n v="4"/>
    <n v="2"/>
  </r>
  <r>
    <s v="IND"/>
    <x v="4"/>
    <x v="17"/>
    <x v="0"/>
    <x v="1"/>
    <n v="2"/>
    <n v="4"/>
    <n v="1"/>
    <s v="W"/>
    <s v="73"/>
    <x v="18"/>
    <s v="6170040"/>
    <n v="9"/>
    <n v="2"/>
    <n v="1"/>
  </r>
  <r>
    <s v="COMM"/>
    <x v="4"/>
    <x v="17"/>
    <x v="0"/>
    <x v="1"/>
    <n v="3"/>
    <n v="6"/>
    <n v="1"/>
    <s v="W"/>
    <s v="71"/>
    <x v="1"/>
    <s v="6170005"/>
    <n v="9"/>
    <n v="3"/>
    <n v="1"/>
  </r>
  <r>
    <s v="IND"/>
    <x v="4"/>
    <x v="18"/>
    <x v="0"/>
    <x v="7"/>
    <n v="1"/>
    <n v="0"/>
    <n v="0"/>
    <m/>
    <s v="70"/>
    <x v="17"/>
    <s v="6170001"/>
    <n v="9"/>
    <n v="1"/>
    <n v="1"/>
  </r>
  <r>
    <s v="COMM"/>
    <x v="4"/>
    <x v="18"/>
    <x v="0"/>
    <x v="9"/>
    <n v="1"/>
    <n v="0"/>
    <n v="0"/>
    <m/>
    <s v="71"/>
    <x v="1"/>
    <s v="6170005"/>
    <n v="9"/>
    <n v="1"/>
    <n v="1"/>
  </r>
  <r>
    <s v="COMM"/>
    <x v="4"/>
    <x v="18"/>
    <x v="0"/>
    <x v="1"/>
    <n v="1"/>
    <n v="0"/>
    <n v="0"/>
    <m/>
    <s v="71"/>
    <x v="1"/>
    <s v="6170005"/>
    <n v="9"/>
    <n v="3"/>
    <n v="3"/>
  </r>
  <r>
    <s v="COMM"/>
    <x v="4"/>
    <x v="18"/>
    <x v="0"/>
    <x v="1"/>
    <n v="1"/>
    <n v="0"/>
    <n v="0"/>
    <m/>
    <s v="70"/>
    <x v="17"/>
    <s v="6170028"/>
    <n v="9"/>
    <n v="1"/>
    <n v="1"/>
  </r>
  <r>
    <s v="COMM"/>
    <x v="4"/>
    <x v="18"/>
    <x v="0"/>
    <x v="7"/>
    <n v="1"/>
    <n v="1"/>
    <n v="1"/>
    <s v="W"/>
    <s v="7C"/>
    <x v="19"/>
    <s v="6080004"/>
    <n v="4"/>
    <n v="1"/>
    <n v="1"/>
  </r>
  <r>
    <s v="COMM"/>
    <x v="4"/>
    <x v="18"/>
    <x v="0"/>
    <x v="1"/>
    <n v="1"/>
    <n v="1"/>
    <n v="1"/>
    <s v="W"/>
    <s v="1C"/>
    <x v="6"/>
    <s v="6080004"/>
    <n v="4"/>
    <n v="1"/>
    <n v="1"/>
  </r>
  <r>
    <s v="COMM"/>
    <x v="4"/>
    <x v="18"/>
    <x v="0"/>
    <x v="1"/>
    <n v="1"/>
    <n v="1"/>
    <n v="1"/>
    <s v="W"/>
    <s v="7C"/>
    <x v="19"/>
    <s v="6080004"/>
    <n v="4"/>
    <n v="2"/>
    <n v="2"/>
  </r>
  <r>
    <s v="COMM"/>
    <x v="4"/>
    <x v="18"/>
    <x v="0"/>
    <x v="7"/>
    <n v="1"/>
    <n v="1"/>
    <n v="1"/>
    <s v="W"/>
    <s v="70"/>
    <x v="17"/>
    <s v="6170001"/>
    <n v="9"/>
    <n v="2"/>
    <n v="2"/>
  </r>
  <r>
    <s v="COMM"/>
    <x v="4"/>
    <x v="18"/>
    <x v="0"/>
    <x v="7"/>
    <n v="1"/>
    <n v="1"/>
    <n v="1"/>
    <s v="W"/>
    <s v="71"/>
    <x v="1"/>
    <s v="6170005"/>
    <n v="9"/>
    <n v="7"/>
    <n v="7"/>
  </r>
  <r>
    <s v="COMM"/>
    <x v="4"/>
    <x v="18"/>
    <x v="0"/>
    <x v="8"/>
    <n v="1"/>
    <n v="1"/>
    <n v="1"/>
    <s v="W"/>
    <s v="71"/>
    <x v="1"/>
    <s v="6170005"/>
    <n v="9"/>
    <n v="1"/>
    <n v="1"/>
  </r>
  <r>
    <s v="COMM"/>
    <x v="4"/>
    <x v="18"/>
    <x v="0"/>
    <x v="1"/>
    <n v="1"/>
    <n v="1"/>
    <n v="1"/>
    <s v="W"/>
    <s v="71"/>
    <x v="1"/>
    <s v="6170005"/>
    <n v="9"/>
    <n v="35"/>
    <n v="35"/>
  </r>
  <r>
    <s v="IND"/>
    <x v="4"/>
    <x v="18"/>
    <x v="0"/>
    <x v="7"/>
    <n v="1"/>
    <n v="1"/>
    <n v="1"/>
    <s v="W"/>
    <s v="71"/>
    <x v="1"/>
    <s v="6170005"/>
    <n v="9"/>
    <n v="1"/>
    <n v="1"/>
  </r>
  <r>
    <s v="IND"/>
    <x v="4"/>
    <x v="18"/>
    <x v="0"/>
    <x v="1"/>
    <n v="1"/>
    <n v="1"/>
    <n v="1"/>
    <s v="W"/>
    <s v="71"/>
    <x v="1"/>
    <s v="6170005"/>
    <n v="9"/>
    <n v="4"/>
    <n v="4"/>
  </r>
  <r>
    <s v="COMM"/>
    <x v="4"/>
    <x v="18"/>
    <x v="0"/>
    <x v="1"/>
    <n v="1"/>
    <n v="1"/>
    <n v="1"/>
    <s v="W"/>
    <s v="76"/>
    <x v="25"/>
    <s v="6170006"/>
    <n v="9"/>
    <n v="1"/>
    <n v="1"/>
  </r>
  <r>
    <s v="COMM"/>
    <x v="4"/>
    <x v="18"/>
    <x v="0"/>
    <x v="1"/>
    <n v="1"/>
    <n v="1"/>
    <n v="1"/>
    <s v="W"/>
    <s v="75"/>
    <x v="22"/>
    <s v="6170015"/>
    <n v="9"/>
    <n v="2"/>
    <n v="2"/>
  </r>
  <r>
    <s v="COMM"/>
    <x v="4"/>
    <x v="18"/>
    <x v="0"/>
    <x v="7"/>
    <n v="1"/>
    <n v="1"/>
    <n v="1"/>
    <s v="W"/>
    <s v="70"/>
    <x v="17"/>
    <s v="6170028"/>
    <n v="9"/>
    <n v="1"/>
    <n v="1"/>
  </r>
  <r>
    <s v="COMM"/>
    <x v="4"/>
    <x v="18"/>
    <x v="0"/>
    <x v="2"/>
    <n v="1"/>
    <n v="1"/>
    <n v="1"/>
    <s v="W"/>
    <s v="10"/>
    <x v="14"/>
    <s v="6170028"/>
    <n v="9"/>
    <n v="1"/>
    <n v="1"/>
  </r>
  <r>
    <s v="COMM"/>
    <x v="4"/>
    <x v="18"/>
    <x v="0"/>
    <x v="1"/>
    <n v="1"/>
    <n v="1"/>
    <n v="1"/>
    <s v="W"/>
    <s v="73"/>
    <x v="18"/>
    <s v="6170040"/>
    <n v="9"/>
    <n v="2"/>
    <n v="2"/>
  </r>
  <r>
    <s v="COMM"/>
    <x v="4"/>
    <x v="18"/>
    <x v="0"/>
    <x v="2"/>
    <n v="1"/>
    <n v="1"/>
    <n v="1"/>
    <s v="W"/>
    <s v="71"/>
    <x v="1"/>
    <s v="6170055"/>
    <n v="9"/>
    <n v="1"/>
    <n v="1"/>
  </r>
  <r>
    <s v="COMM"/>
    <x v="4"/>
    <x v="18"/>
    <x v="0"/>
    <x v="1"/>
    <n v="1"/>
    <n v="1"/>
    <n v="1"/>
    <s v="W"/>
    <s v="71"/>
    <x v="1"/>
    <s v="6170055"/>
    <n v="9"/>
    <n v="1"/>
    <n v="1"/>
  </r>
  <r>
    <s v="COMM"/>
    <x v="4"/>
    <x v="18"/>
    <x v="0"/>
    <x v="7"/>
    <n v="1"/>
    <n v="1"/>
    <n v="1"/>
    <s v="W"/>
    <s v="74"/>
    <x v="23"/>
    <s v="6170099"/>
    <n v="9"/>
    <n v="1"/>
    <n v="1"/>
  </r>
  <r>
    <s v="COMM"/>
    <x v="4"/>
    <x v="18"/>
    <x v="0"/>
    <x v="3"/>
    <n v="1"/>
    <n v="1"/>
    <n v="2"/>
    <s v="W"/>
    <s v="71"/>
    <x v="1"/>
    <s v="6170005"/>
    <n v="9"/>
    <n v="1"/>
    <n v="1"/>
  </r>
  <r>
    <s v="IND"/>
    <x v="4"/>
    <x v="18"/>
    <x v="0"/>
    <x v="1"/>
    <n v="1"/>
    <n v="1"/>
    <n v="2"/>
    <s v="W"/>
    <s v="70"/>
    <x v="17"/>
    <s v="6170028"/>
    <n v="9"/>
    <n v="1"/>
    <n v="1"/>
  </r>
  <r>
    <s v="COMM"/>
    <x v="4"/>
    <x v="18"/>
    <x v="0"/>
    <x v="1"/>
    <n v="1"/>
    <n v="1"/>
    <n v="2"/>
    <s v="W"/>
    <s v="73"/>
    <x v="18"/>
    <s v="6170040"/>
    <n v="9"/>
    <n v="1"/>
    <n v="1"/>
  </r>
  <r>
    <s v="COMM"/>
    <x v="4"/>
    <x v="18"/>
    <x v="0"/>
    <x v="8"/>
    <n v="1"/>
    <n v="1"/>
    <n v="2"/>
    <s v="W"/>
    <s v="74"/>
    <x v="23"/>
    <s v="6170099"/>
    <n v="9"/>
    <n v="1"/>
    <n v="1"/>
  </r>
  <r>
    <s v="COMM"/>
    <x v="4"/>
    <x v="18"/>
    <x v="0"/>
    <x v="1"/>
    <n v="1"/>
    <n v="2"/>
    <n v="1"/>
    <s v="W"/>
    <s v="7B"/>
    <x v="20"/>
    <s v="6080040"/>
    <n v="4"/>
    <n v="2"/>
    <n v="2"/>
  </r>
  <r>
    <s v="COMM"/>
    <x v="4"/>
    <x v="18"/>
    <x v="0"/>
    <x v="1"/>
    <n v="1"/>
    <n v="2"/>
    <n v="1"/>
    <s v="W"/>
    <s v="72"/>
    <x v="21"/>
    <s v="6170004"/>
    <n v="9"/>
    <n v="2"/>
    <n v="2"/>
  </r>
  <r>
    <s v="COMM"/>
    <x v="4"/>
    <x v="18"/>
    <x v="0"/>
    <x v="7"/>
    <n v="1"/>
    <n v="2"/>
    <n v="1"/>
    <s v="W"/>
    <s v="71"/>
    <x v="1"/>
    <s v="6170005"/>
    <n v="9"/>
    <n v="7"/>
    <n v="7"/>
  </r>
  <r>
    <s v="COMM"/>
    <x v="4"/>
    <x v="18"/>
    <x v="0"/>
    <x v="1"/>
    <n v="1"/>
    <n v="2"/>
    <n v="1"/>
    <s v="W"/>
    <s v="71"/>
    <x v="1"/>
    <s v="6170005"/>
    <n v="9"/>
    <n v="18"/>
    <n v="18"/>
  </r>
  <r>
    <s v="IND"/>
    <x v="4"/>
    <x v="18"/>
    <x v="0"/>
    <x v="1"/>
    <n v="1"/>
    <n v="2"/>
    <n v="1"/>
    <s v="W"/>
    <s v="71"/>
    <x v="1"/>
    <s v="6170005"/>
    <n v="9"/>
    <n v="3"/>
    <n v="3"/>
  </r>
  <r>
    <s v="COMM"/>
    <x v="4"/>
    <x v="18"/>
    <x v="0"/>
    <x v="3"/>
    <n v="1"/>
    <n v="2"/>
    <n v="1"/>
    <s v="W"/>
    <s v="71"/>
    <x v="1"/>
    <s v="6170005"/>
    <n v="9"/>
    <n v="1"/>
    <n v="1"/>
  </r>
  <r>
    <s v="COMM"/>
    <x v="4"/>
    <x v="18"/>
    <x v="0"/>
    <x v="1"/>
    <n v="1"/>
    <n v="2"/>
    <n v="1"/>
    <s v="W"/>
    <s v="75"/>
    <x v="22"/>
    <s v="6170015"/>
    <n v="9"/>
    <n v="1"/>
    <n v="1"/>
  </r>
  <r>
    <s v="COMM"/>
    <x v="4"/>
    <x v="18"/>
    <x v="0"/>
    <x v="1"/>
    <n v="1"/>
    <n v="2"/>
    <n v="1"/>
    <s v="W"/>
    <s v="70"/>
    <x v="17"/>
    <s v="6170028"/>
    <n v="9"/>
    <n v="1"/>
    <n v="1"/>
  </r>
  <r>
    <s v="COMM"/>
    <x v="4"/>
    <x v="18"/>
    <x v="0"/>
    <x v="1"/>
    <n v="1"/>
    <n v="2"/>
    <n v="1"/>
    <s v="W"/>
    <s v="73"/>
    <x v="18"/>
    <s v="6170040"/>
    <n v="9"/>
    <n v="1"/>
    <n v="1"/>
  </r>
  <r>
    <s v="COMM"/>
    <x v="4"/>
    <x v="18"/>
    <x v="0"/>
    <x v="2"/>
    <n v="1"/>
    <n v="2"/>
    <n v="1"/>
    <s v="W"/>
    <s v="71"/>
    <x v="1"/>
    <s v="6170055"/>
    <n v="9"/>
    <n v="3"/>
    <n v="3"/>
  </r>
  <r>
    <s v="COMM"/>
    <x v="4"/>
    <x v="18"/>
    <x v="0"/>
    <x v="8"/>
    <n v="1"/>
    <n v="3"/>
    <n v="1"/>
    <s v="W"/>
    <s v="71"/>
    <x v="1"/>
    <s v="6170005"/>
    <n v="9"/>
    <n v="2"/>
    <n v="2"/>
  </r>
  <r>
    <s v="COMM"/>
    <x v="4"/>
    <x v="18"/>
    <x v="0"/>
    <x v="7"/>
    <n v="1"/>
    <n v="3"/>
    <n v="1"/>
    <s v="W"/>
    <s v="71"/>
    <x v="1"/>
    <s v="6170005"/>
    <n v="9"/>
    <n v="3"/>
    <n v="3"/>
  </r>
  <r>
    <s v="COMM"/>
    <x v="4"/>
    <x v="18"/>
    <x v="0"/>
    <x v="1"/>
    <n v="1"/>
    <n v="3"/>
    <n v="1"/>
    <s v="W"/>
    <s v="71"/>
    <x v="1"/>
    <s v="6170005"/>
    <n v="9"/>
    <n v="13"/>
    <n v="13"/>
  </r>
  <r>
    <s v="COMM"/>
    <x v="4"/>
    <x v="18"/>
    <x v="0"/>
    <x v="1"/>
    <n v="1"/>
    <n v="3"/>
    <n v="1"/>
    <s v="W"/>
    <s v="73"/>
    <x v="18"/>
    <s v="6170040"/>
    <n v="9"/>
    <n v="1"/>
    <n v="1"/>
  </r>
  <r>
    <s v="COMM"/>
    <x v="4"/>
    <x v="18"/>
    <x v="0"/>
    <x v="2"/>
    <n v="1"/>
    <n v="3"/>
    <n v="1"/>
    <s v="W"/>
    <s v="73"/>
    <x v="18"/>
    <s v="6170040"/>
    <n v="9"/>
    <n v="1"/>
    <n v="1"/>
  </r>
  <r>
    <s v="COMM"/>
    <x v="4"/>
    <x v="18"/>
    <x v="0"/>
    <x v="2"/>
    <n v="1"/>
    <n v="3"/>
    <n v="1"/>
    <s v="W"/>
    <s v="71"/>
    <x v="1"/>
    <s v="6170055"/>
    <n v="9"/>
    <n v="1"/>
    <n v="1"/>
  </r>
  <r>
    <s v="COMM"/>
    <x v="4"/>
    <x v="18"/>
    <x v="0"/>
    <x v="1"/>
    <n v="1"/>
    <n v="4"/>
    <n v="1"/>
    <s v="W"/>
    <s v="71"/>
    <x v="1"/>
    <s v="6170005"/>
    <n v="9"/>
    <n v="4"/>
    <n v="4"/>
  </r>
  <r>
    <s v="COMM"/>
    <x v="4"/>
    <x v="18"/>
    <x v="0"/>
    <x v="7"/>
    <n v="1"/>
    <n v="5"/>
    <n v="1"/>
    <s v="W"/>
    <s v="71"/>
    <x v="1"/>
    <s v="6170005"/>
    <n v="9"/>
    <n v="1"/>
    <n v="1"/>
  </r>
  <r>
    <s v="COMM"/>
    <x v="4"/>
    <x v="18"/>
    <x v="0"/>
    <x v="1"/>
    <n v="1"/>
    <n v="5"/>
    <n v="1"/>
    <s v="W"/>
    <s v="71"/>
    <x v="1"/>
    <s v="6170005"/>
    <n v="9"/>
    <n v="5"/>
    <n v="5"/>
  </r>
  <r>
    <s v="IND"/>
    <x v="4"/>
    <x v="18"/>
    <x v="0"/>
    <x v="1"/>
    <n v="1"/>
    <n v="5"/>
    <n v="1"/>
    <s v="W"/>
    <s v="71"/>
    <x v="1"/>
    <s v="6170005"/>
    <n v="9"/>
    <n v="2"/>
    <n v="2"/>
  </r>
  <r>
    <s v="COMM"/>
    <x v="4"/>
    <x v="18"/>
    <x v="0"/>
    <x v="1"/>
    <n v="2"/>
    <n v="2"/>
    <n v="1"/>
    <s v="W"/>
    <s v="7C"/>
    <x v="19"/>
    <s v="6080004"/>
    <n v="4"/>
    <n v="2"/>
    <n v="1"/>
  </r>
  <r>
    <s v="IND"/>
    <x v="4"/>
    <x v="18"/>
    <x v="0"/>
    <x v="1"/>
    <n v="2"/>
    <n v="4"/>
    <n v="1"/>
    <s v="W"/>
    <s v="72"/>
    <x v="21"/>
    <s v="6170004"/>
    <n v="9"/>
    <n v="2"/>
    <n v="1"/>
  </r>
  <r>
    <s v="COMM"/>
    <x v="4"/>
    <x v="18"/>
    <x v="0"/>
    <x v="1"/>
    <n v="2"/>
    <n v="4"/>
    <n v="1"/>
    <s v="W"/>
    <s v="71"/>
    <x v="1"/>
    <s v="6170005"/>
    <n v="9"/>
    <n v="4"/>
    <n v="2"/>
  </r>
  <r>
    <s v="COMM"/>
    <x v="4"/>
    <x v="18"/>
    <x v="0"/>
    <x v="1"/>
    <n v="2"/>
    <n v="4"/>
    <n v="1"/>
    <s v="W"/>
    <s v="70"/>
    <x v="17"/>
    <s v="6170028"/>
    <n v="9"/>
    <n v="2"/>
    <n v="1"/>
  </r>
  <r>
    <s v="COMM"/>
    <x v="4"/>
    <x v="18"/>
    <x v="0"/>
    <x v="2"/>
    <n v="2"/>
    <n v="4"/>
    <n v="1"/>
    <s v="W"/>
    <s v="71"/>
    <x v="1"/>
    <s v="6170055"/>
    <n v="9"/>
    <n v="2"/>
    <n v="1"/>
  </r>
  <r>
    <s v="COMM"/>
    <x v="4"/>
    <x v="18"/>
    <x v="0"/>
    <x v="1"/>
    <n v="2"/>
    <n v="6"/>
    <n v="1"/>
    <s v="W"/>
    <s v="71"/>
    <x v="1"/>
    <s v="6170005"/>
    <n v="9"/>
    <n v="2"/>
    <n v="1"/>
  </r>
  <r>
    <s v="COMM"/>
    <x v="4"/>
    <x v="18"/>
    <x v="0"/>
    <x v="2"/>
    <n v="2"/>
    <n v="6"/>
    <n v="1"/>
    <s v="W"/>
    <s v="73"/>
    <x v="18"/>
    <s v="6170040"/>
    <n v="9"/>
    <n v="2"/>
    <n v="1"/>
  </r>
  <r>
    <s v="IND"/>
    <x v="4"/>
    <x v="18"/>
    <x v="0"/>
    <x v="1"/>
    <n v="2"/>
    <n v="10"/>
    <n v="1"/>
    <s v="W"/>
    <s v="71"/>
    <x v="1"/>
    <s v="6170005"/>
    <n v="9"/>
    <n v="2"/>
    <n v="1"/>
  </r>
  <r>
    <s v="COMM"/>
    <x v="4"/>
    <x v="18"/>
    <x v="0"/>
    <x v="1"/>
    <n v="3"/>
    <n v="9"/>
    <n v="1"/>
    <s v="W"/>
    <s v="71"/>
    <x v="1"/>
    <s v="6170005"/>
    <n v="9"/>
    <n v="3"/>
    <n v="1"/>
  </r>
  <r>
    <s v="COMM"/>
    <x v="4"/>
    <x v="18"/>
    <x v="0"/>
    <x v="1"/>
    <n v="4"/>
    <n v="8"/>
    <n v="1"/>
    <s v="W"/>
    <s v="71"/>
    <x v="1"/>
    <s v="6170005"/>
    <n v="9"/>
    <n v="4"/>
    <n v="1"/>
  </r>
  <r>
    <s v="COMM"/>
    <x v="4"/>
    <x v="18"/>
    <x v="0"/>
    <x v="1"/>
    <n v="6"/>
    <n v="18"/>
    <n v="1"/>
    <s v="W"/>
    <s v="71"/>
    <x v="1"/>
    <s v="6170005"/>
    <n v="9"/>
    <n v="6"/>
    <n v="1"/>
  </r>
  <r>
    <s v="IND"/>
    <x v="5"/>
    <x v="19"/>
    <x v="0"/>
    <x v="10"/>
    <n v="1"/>
    <n v="0"/>
    <n v="0"/>
    <m/>
    <s v="21"/>
    <x v="26"/>
    <s v="5970005"/>
    <n v="8"/>
    <n v="1"/>
    <n v="1"/>
  </r>
  <r>
    <s v="IND"/>
    <x v="5"/>
    <x v="19"/>
    <x v="0"/>
    <x v="11"/>
    <n v="1"/>
    <n v="0"/>
    <n v="0"/>
    <m/>
    <s v="20"/>
    <x v="27"/>
    <s v="5970008"/>
    <n v="8"/>
    <n v="1"/>
    <n v="1"/>
  </r>
  <r>
    <s v="IND"/>
    <x v="5"/>
    <x v="19"/>
    <x v="0"/>
    <x v="12"/>
    <n v="1"/>
    <n v="0"/>
    <n v="0"/>
    <m/>
    <s v="24"/>
    <x v="28"/>
    <s v="5970060"/>
    <n v="8"/>
    <n v="1"/>
    <n v="1"/>
  </r>
  <r>
    <s v="IND"/>
    <x v="5"/>
    <x v="19"/>
    <x v="0"/>
    <x v="9"/>
    <n v="1"/>
    <n v="0"/>
    <n v="0"/>
    <m/>
    <s v="24"/>
    <x v="28"/>
    <s v="5970060"/>
    <n v="8"/>
    <n v="2"/>
    <n v="2"/>
  </r>
  <r>
    <s v="COMM"/>
    <x v="5"/>
    <x v="19"/>
    <x v="0"/>
    <x v="12"/>
    <n v="1"/>
    <n v="0"/>
    <n v="0"/>
    <m/>
    <s v="2D"/>
    <x v="29"/>
    <s v="6080007"/>
    <n v="1"/>
    <n v="1"/>
    <n v="1"/>
  </r>
  <r>
    <s v="IND"/>
    <x v="5"/>
    <x v="19"/>
    <x v="0"/>
    <x v="1"/>
    <n v="1"/>
    <n v="0"/>
    <n v="0"/>
    <m/>
    <s v="2A"/>
    <x v="30"/>
    <s v="6080240"/>
    <n v="4"/>
    <n v="1"/>
    <n v="1"/>
  </r>
  <r>
    <s v="COMM"/>
    <x v="5"/>
    <x v="19"/>
    <x v="0"/>
    <x v="1"/>
    <n v="1"/>
    <n v="0"/>
    <n v="0"/>
    <m/>
    <s v="25"/>
    <x v="31"/>
    <s v="6170015"/>
    <n v="9"/>
    <n v="1"/>
    <n v="1"/>
  </r>
  <r>
    <s v="COMM"/>
    <x v="5"/>
    <x v="19"/>
    <x v="0"/>
    <x v="2"/>
    <n v="1"/>
    <n v="0"/>
    <n v="0"/>
    <m/>
    <s v="21"/>
    <x v="26"/>
    <s v="6170055"/>
    <n v="9"/>
    <n v="1"/>
    <n v="1"/>
  </r>
  <r>
    <s v="IND"/>
    <x v="5"/>
    <x v="20"/>
    <x v="0"/>
    <x v="10"/>
    <n v="1"/>
    <n v="0"/>
    <n v="0"/>
    <m/>
    <s v="21"/>
    <x v="26"/>
    <s v="5970005"/>
    <n v="8"/>
    <n v="8"/>
    <n v="8"/>
  </r>
  <r>
    <s v="IND"/>
    <x v="5"/>
    <x v="20"/>
    <x v="0"/>
    <x v="13"/>
    <n v="1"/>
    <n v="0"/>
    <n v="0"/>
    <m/>
    <s v="21"/>
    <x v="26"/>
    <s v="5970005"/>
    <n v="8"/>
    <n v="1"/>
    <n v="1"/>
  </r>
  <r>
    <s v="IND"/>
    <x v="5"/>
    <x v="20"/>
    <x v="0"/>
    <x v="14"/>
    <n v="1"/>
    <n v="0"/>
    <n v="0"/>
    <m/>
    <s v="21"/>
    <x v="26"/>
    <s v="5970005"/>
    <n v="8"/>
    <n v="1"/>
    <n v="1"/>
  </r>
  <r>
    <s v="IND"/>
    <x v="5"/>
    <x v="20"/>
    <x v="0"/>
    <x v="4"/>
    <n v="1"/>
    <n v="0"/>
    <n v="0"/>
    <m/>
    <s v="20"/>
    <x v="27"/>
    <s v="5970008"/>
    <n v="8"/>
    <n v="1"/>
    <n v="1"/>
  </r>
  <r>
    <s v="IND"/>
    <x v="5"/>
    <x v="20"/>
    <x v="0"/>
    <x v="10"/>
    <n v="1"/>
    <n v="0"/>
    <n v="0"/>
    <m/>
    <s v="20"/>
    <x v="27"/>
    <s v="5970008"/>
    <n v="8"/>
    <n v="6"/>
    <n v="6"/>
  </r>
  <r>
    <s v="IND"/>
    <x v="5"/>
    <x v="20"/>
    <x v="0"/>
    <x v="9"/>
    <n v="1"/>
    <n v="0"/>
    <n v="0"/>
    <m/>
    <s v="24"/>
    <x v="28"/>
    <s v="5970060"/>
    <n v="8"/>
    <n v="1"/>
    <n v="1"/>
  </r>
  <r>
    <s v="IND"/>
    <x v="5"/>
    <x v="20"/>
    <x v="0"/>
    <x v="10"/>
    <n v="2"/>
    <n v="0"/>
    <n v="0"/>
    <m/>
    <s v="20"/>
    <x v="27"/>
    <s v="5970028"/>
    <n v="8"/>
    <n v="2"/>
    <n v="1"/>
  </r>
  <r>
    <s v="COMM"/>
    <x v="5"/>
    <x v="21"/>
    <x v="0"/>
    <x v="4"/>
    <n v="1"/>
    <n v="0"/>
    <n v="0"/>
    <m/>
    <s v="21"/>
    <x v="26"/>
    <s v="5970005"/>
    <n v="8"/>
    <n v="1"/>
    <n v="1"/>
  </r>
  <r>
    <s v="IND"/>
    <x v="5"/>
    <x v="21"/>
    <x v="0"/>
    <x v="4"/>
    <n v="1"/>
    <n v="0"/>
    <n v="0"/>
    <m/>
    <s v="21"/>
    <x v="26"/>
    <s v="5970005"/>
    <n v="8"/>
    <n v="1"/>
    <n v="1"/>
  </r>
  <r>
    <s v="IND"/>
    <x v="5"/>
    <x v="21"/>
    <x v="0"/>
    <x v="11"/>
    <n v="1"/>
    <n v="0"/>
    <n v="0"/>
    <m/>
    <s v="21"/>
    <x v="26"/>
    <s v="5970005"/>
    <n v="8"/>
    <n v="1"/>
    <n v="1"/>
  </r>
  <r>
    <s v="IND"/>
    <x v="5"/>
    <x v="21"/>
    <x v="1"/>
    <x v="2"/>
    <n v="1"/>
    <n v="1"/>
    <n v="1"/>
    <s v="W"/>
    <s v="23"/>
    <x v="32"/>
    <s v="5970040"/>
    <n v="8"/>
    <n v="1"/>
    <n v="1"/>
  </r>
  <r>
    <s v="COMM"/>
    <x v="5"/>
    <x v="22"/>
    <x v="0"/>
    <x v="9"/>
    <n v="1"/>
    <n v="0"/>
    <n v="0"/>
    <m/>
    <s v="21"/>
    <x v="26"/>
    <s v="5970005"/>
    <n v="8"/>
    <n v="1"/>
    <n v="1"/>
  </r>
  <r>
    <s v="IND"/>
    <x v="5"/>
    <x v="22"/>
    <x v="0"/>
    <x v="8"/>
    <n v="1"/>
    <n v="0"/>
    <n v="0"/>
    <m/>
    <s v="21"/>
    <x v="26"/>
    <s v="5970005"/>
    <n v="8"/>
    <n v="1"/>
    <n v="1"/>
  </r>
  <r>
    <s v="IND"/>
    <x v="5"/>
    <x v="22"/>
    <x v="0"/>
    <x v="11"/>
    <n v="1"/>
    <n v="0"/>
    <n v="0"/>
    <m/>
    <s v="21"/>
    <x v="26"/>
    <s v="5970005"/>
    <n v="8"/>
    <n v="2"/>
    <n v="2"/>
  </r>
  <r>
    <s v="IND"/>
    <x v="5"/>
    <x v="22"/>
    <x v="0"/>
    <x v="9"/>
    <n v="1"/>
    <n v="0"/>
    <n v="0"/>
    <m/>
    <s v="21"/>
    <x v="26"/>
    <s v="5970005"/>
    <n v="8"/>
    <n v="13"/>
    <n v="13"/>
  </r>
  <r>
    <s v="IND"/>
    <x v="5"/>
    <x v="22"/>
    <x v="0"/>
    <x v="1"/>
    <n v="1"/>
    <n v="0"/>
    <n v="0"/>
    <m/>
    <s v="21"/>
    <x v="26"/>
    <s v="5970005"/>
    <n v="8"/>
    <n v="3"/>
    <n v="3"/>
  </r>
  <r>
    <s v="IND"/>
    <x v="5"/>
    <x v="22"/>
    <x v="0"/>
    <x v="10"/>
    <n v="1"/>
    <n v="0"/>
    <n v="0"/>
    <m/>
    <s v="21"/>
    <x v="26"/>
    <s v="5970005"/>
    <n v="8"/>
    <n v="2"/>
    <n v="2"/>
  </r>
  <r>
    <s v="IND"/>
    <x v="5"/>
    <x v="22"/>
    <x v="1"/>
    <x v="8"/>
    <n v="1"/>
    <n v="0"/>
    <n v="0"/>
    <m/>
    <s v="21"/>
    <x v="26"/>
    <s v="5970005"/>
    <n v="8"/>
    <n v="1"/>
    <n v="1"/>
  </r>
  <r>
    <s v="IND"/>
    <x v="5"/>
    <x v="22"/>
    <x v="1"/>
    <x v="1"/>
    <n v="1"/>
    <n v="0"/>
    <n v="0"/>
    <m/>
    <s v="21"/>
    <x v="26"/>
    <s v="5970005"/>
    <n v="8"/>
    <n v="1"/>
    <n v="1"/>
  </r>
  <r>
    <s v="COMM"/>
    <x v="5"/>
    <x v="22"/>
    <x v="0"/>
    <x v="3"/>
    <n v="1"/>
    <n v="0"/>
    <n v="0"/>
    <m/>
    <s v="26"/>
    <x v="33"/>
    <s v="5970006"/>
    <n v="8"/>
    <n v="1"/>
    <n v="1"/>
  </r>
  <r>
    <s v="COMM"/>
    <x v="5"/>
    <x v="22"/>
    <x v="0"/>
    <x v="4"/>
    <n v="1"/>
    <n v="0"/>
    <n v="0"/>
    <m/>
    <s v="20"/>
    <x v="27"/>
    <s v="5970008"/>
    <n v="8"/>
    <n v="1"/>
    <n v="1"/>
  </r>
  <r>
    <s v="IND"/>
    <x v="5"/>
    <x v="22"/>
    <x v="0"/>
    <x v="9"/>
    <n v="1"/>
    <n v="0"/>
    <n v="0"/>
    <m/>
    <s v="20"/>
    <x v="27"/>
    <s v="5970008"/>
    <n v="8"/>
    <n v="3"/>
    <n v="3"/>
  </r>
  <r>
    <s v="IND"/>
    <x v="5"/>
    <x v="22"/>
    <x v="0"/>
    <x v="9"/>
    <n v="1"/>
    <n v="0"/>
    <n v="0"/>
    <m/>
    <s v="20"/>
    <x v="27"/>
    <s v="5970028"/>
    <n v="8"/>
    <n v="2"/>
    <n v="2"/>
  </r>
  <r>
    <s v="IND"/>
    <x v="5"/>
    <x v="22"/>
    <x v="0"/>
    <x v="9"/>
    <n v="1"/>
    <n v="0"/>
    <n v="0"/>
    <m/>
    <s v="23"/>
    <x v="32"/>
    <s v="5970040"/>
    <n v="8"/>
    <n v="1"/>
    <n v="1"/>
  </r>
  <r>
    <s v="IND"/>
    <x v="5"/>
    <x v="22"/>
    <x v="0"/>
    <x v="9"/>
    <n v="1"/>
    <n v="0"/>
    <n v="0"/>
    <m/>
    <s v="24"/>
    <x v="28"/>
    <s v="5970060"/>
    <n v="8"/>
    <n v="5"/>
    <n v="5"/>
  </r>
  <r>
    <s v="IND"/>
    <x v="5"/>
    <x v="22"/>
    <x v="0"/>
    <x v="9"/>
    <n v="1"/>
    <n v="0"/>
    <n v="0"/>
    <m/>
    <s v="2D"/>
    <x v="29"/>
    <s v="6080007"/>
    <n v="1"/>
    <n v="1"/>
    <n v="1"/>
  </r>
  <r>
    <s v="IND"/>
    <x v="5"/>
    <x v="22"/>
    <x v="1"/>
    <x v="1"/>
    <n v="1"/>
    <n v="0"/>
    <n v="0"/>
    <m/>
    <s v="75"/>
    <x v="22"/>
    <s v="6170015"/>
    <n v="9"/>
    <n v="1"/>
    <n v="1"/>
  </r>
  <r>
    <s v="IND"/>
    <x v="5"/>
    <x v="22"/>
    <x v="0"/>
    <x v="4"/>
    <n v="1"/>
    <n v="0"/>
    <n v="0"/>
    <m/>
    <s v="25"/>
    <x v="31"/>
    <s v="6170015"/>
    <n v="9"/>
    <n v="1"/>
    <n v="1"/>
  </r>
  <r>
    <s v="IND"/>
    <x v="5"/>
    <x v="22"/>
    <x v="1"/>
    <x v="1"/>
    <n v="1"/>
    <n v="1"/>
    <n v="1"/>
    <s v="W"/>
    <s v="21"/>
    <x v="26"/>
    <s v="5970005"/>
    <n v="8"/>
    <n v="1"/>
    <n v="1"/>
  </r>
  <r>
    <s v="IND"/>
    <x v="5"/>
    <x v="23"/>
    <x v="1"/>
    <x v="8"/>
    <n v="1"/>
    <n v="0"/>
    <n v="0"/>
    <m/>
    <s v="21"/>
    <x v="26"/>
    <s v="5970005"/>
    <n v="8"/>
    <n v="1"/>
    <n v="1"/>
  </r>
  <r>
    <s v="IND"/>
    <x v="5"/>
    <x v="23"/>
    <x v="0"/>
    <x v="12"/>
    <n v="1"/>
    <n v="0"/>
    <n v="0"/>
    <m/>
    <s v="21"/>
    <x v="26"/>
    <s v="5970005"/>
    <n v="8"/>
    <n v="1"/>
    <n v="1"/>
  </r>
  <r>
    <s v="IND"/>
    <x v="5"/>
    <x v="23"/>
    <x v="0"/>
    <x v="4"/>
    <n v="1"/>
    <n v="0"/>
    <n v="0"/>
    <m/>
    <s v="21"/>
    <x v="26"/>
    <s v="5970005"/>
    <n v="8"/>
    <n v="4"/>
    <n v="4"/>
  </r>
  <r>
    <s v="IND"/>
    <x v="5"/>
    <x v="23"/>
    <x v="0"/>
    <x v="11"/>
    <n v="1"/>
    <n v="0"/>
    <n v="0"/>
    <m/>
    <s v="21"/>
    <x v="26"/>
    <s v="5970005"/>
    <n v="8"/>
    <n v="2"/>
    <n v="2"/>
  </r>
  <r>
    <s v="IND"/>
    <x v="5"/>
    <x v="23"/>
    <x v="0"/>
    <x v="9"/>
    <n v="1"/>
    <n v="0"/>
    <n v="0"/>
    <m/>
    <s v="21"/>
    <x v="26"/>
    <s v="5970005"/>
    <n v="8"/>
    <n v="8"/>
    <n v="8"/>
  </r>
  <r>
    <s v="IND"/>
    <x v="5"/>
    <x v="23"/>
    <x v="0"/>
    <x v="1"/>
    <n v="1"/>
    <n v="0"/>
    <n v="0"/>
    <m/>
    <s v="21"/>
    <x v="26"/>
    <s v="5970005"/>
    <n v="8"/>
    <n v="1"/>
    <n v="1"/>
  </r>
  <r>
    <s v="IND"/>
    <x v="5"/>
    <x v="23"/>
    <x v="1"/>
    <x v="15"/>
    <n v="1"/>
    <n v="0"/>
    <n v="0"/>
    <m/>
    <s v="21"/>
    <x v="26"/>
    <s v="5970005"/>
    <n v="8"/>
    <n v="1"/>
    <n v="1"/>
  </r>
  <r>
    <s v="IND"/>
    <x v="5"/>
    <x v="23"/>
    <x v="0"/>
    <x v="9"/>
    <n v="1"/>
    <n v="0"/>
    <n v="0"/>
    <m/>
    <s v="20"/>
    <x v="27"/>
    <s v="5970008"/>
    <n v="8"/>
    <n v="2"/>
    <n v="2"/>
  </r>
  <r>
    <s v="IND"/>
    <x v="5"/>
    <x v="23"/>
    <x v="0"/>
    <x v="12"/>
    <n v="1"/>
    <n v="0"/>
    <n v="0"/>
    <m/>
    <s v="20"/>
    <x v="27"/>
    <s v="5970008"/>
    <n v="8"/>
    <n v="1"/>
    <n v="1"/>
  </r>
  <r>
    <s v="IND"/>
    <x v="5"/>
    <x v="23"/>
    <x v="0"/>
    <x v="11"/>
    <n v="1"/>
    <n v="0"/>
    <n v="0"/>
    <m/>
    <s v="20"/>
    <x v="27"/>
    <s v="5970028"/>
    <n v="8"/>
    <n v="1"/>
    <n v="1"/>
  </r>
  <r>
    <s v="IND"/>
    <x v="5"/>
    <x v="23"/>
    <x v="0"/>
    <x v="9"/>
    <n v="1"/>
    <n v="0"/>
    <n v="0"/>
    <m/>
    <s v="20"/>
    <x v="27"/>
    <s v="5970028"/>
    <n v="8"/>
    <n v="1"/>
    <n v="1"/>
  </r>
  <r>
    <s v="IND"/>
    <x v="5"/>
    <x v="23"/>
    <x v="0"/>
    <x v="12"/>
    <n v="1"/>
    <n v="0"/>
    <n v="0"/>
    <m/>
    <s v="20"/>
    <x v="27"/>
    <s v="5970028"/>
    <n v="8"/>
    <n v="1"/>
    <n v="1"/>
  </r>
  <r>
    <s v="IND"/>
    <x v="5"/>
    <x v="23"/>
    <x v="0"/>
    <x v="7"/>
    <n v="1"/>
    <n v="0"/>
    <n v="0"/>
    <m/>
    <s v="24"/>
    <x v="28"/>
    <s v="5970060"/>
    <n v="8"/>
    <n v="1"/>
    <n v="1"/>
  </r>
  <r>
    <s v="IND"/>
    <x v="5"/>
    <x v="23"/>
    <x v="0"/>
    <x v="4"/>
    <n v="1"/>
    <n v="0"/>
    <n v="0"/>
    <m/>
    <s v="24"/>
    <x v="28"/>
    <s v="5970060"/>
    <n v="8"/>
    <n v="1"/>
    <n v="1"/>
  </r>
  <r>
    <s v="IND"/>
    <x v="5"/>
    <x v="23"/>
    <x v="0"/>
    <x v="9"/>
    <n v="1"/>
    <n v="0"/>
    <n v="0"/>
    <m/>
    <s v="24"/>
    <x v="28"/>
    <s v="5970060"/>
    <n v="8"/>
    <n v="3"/>
    <n v="3"/>
  </r>
  <r>
    <s v="IND"/>
    <x v="5"/>
    <x v="23"/>
    <x v="0"/>
    <x v="4"/>
    <n v="1"/>
    <n v="0"/>
    <n v="0"/>
    <m/>
    <s v="21"/>
    <x v="26"/>
    <s v="6170005"/>
    <n v="9"/>
    <n v="1"/>
    <n v="1"/>
  </r>
  <r>
    <s v="IND"/>
    <x v="5"/>
    <x v="23"/>
    <x v="0"/>
    <x v="7"/>
    <n v="1"/>
    <n v="1"/>
    <n v="1"/>
    <s v="W"/>
    <s v="21"/>
    <x v="26"/>
    <s v="5970005"/>
    <n v="8"/>
    <n v="1"/>
    <n v="1"/>
  </r>
  <r>
    <s v="IND"/>
    <x v="5"/>
    <x v="23"/>
    <x v="0"/>
    <x v="1"/>
    <n v="1"/>
    <n v="1"/>
    <n v="1"/>
    <s v="W"/>
    <s v="21"/>
    <x v="26"/>
    <s v="5970005"/>
    <n v="8"/>
    <n v="1"/>
    <n v="1"/>
  </r>
  <r>
    <s v="IND"/>
    <x v="5"/>
    <x v="23"/>
    <x v="1"/>
    <x v="1"/>
    <n v="1"/>
    <n v="1"/>
    <n v="1"/>
    <s v="W"/>
    <s v="21"/>
    <x v="26"/>
    <s v="5970005"/>
    <n v="8"/>
    <n v="2"/>
    <n v="2"/>
  </r>
  <r>
    <s v="IND"/>
    <x v="5"/>
    <x v="23"/>
    <x v="1"/>
    <x v="7"/>
    <n v="1"/>
    <n v="1"/>
    <n v="1"/>
    <s v="W"/>
    <s v="2B"/>
    <x v="27"/>
    <s v="6080040"/>
    <n v="4"/>
    <n v="1"/>
    <n v="1"/>
  </r>
  <r>
    <s v="IND"/>
    <x v="5"/>
    <x v="23"/>
    <x v="1"/>
    <x v="2"/>
    <n v="1"/>
    <n v="1"/>
    <n v="1"/>
    <s v="W"/>
    <s v="21"/>
    <x v="26"/>
    <s v="6170055"/>
    <n v="9"/>
    <n v="1"/>
    <n v="1"/>
  </r>
  <r>
    <s v="IND"/>
    <x v="5"/>
    <x v="23"/>
    <x v="0"/>
    <x v="4"/>
    <n v="1"/>
    <n v="2"/>
    <n v="1"/>
    <s v="W"/>
    <s v="23"/>
    <x v="32"/>
    <s v="5970040"/>
    <n v="8"/>
    <n v="1"/>
    <n v="1"/>
  </r>
  <r>
    <s v="IND"/>
    <x v="5"/>
    <x v="23"/>
    <x v="1"/>
    <x v="1"/>
    <n v="1"/>
    <n v="3"/>
    <n v="2"/>
    <s v="W"/>
    <s v="21"/>
    <x v="26"/>
    <s v="5970005"/>
    <n v="8"/>
    <n v="1"/>
    <n v="1"/>
  </r>
  <r>
    <s v="IND"/>
    <x v="5"/>
    <x v="23"/>
    <x v="0"/>
    <x v="4"/>
    <n v="2"/>
    <n v="0"/>
    <n v="0"/>
    <m/>
    <s v="21"/>
    <x v="26"/>
    <s v="5970005"/>
    <n v="8"/>
    <n v="4"/>
    <n v="2"/>
  </r>
  <r>
    <s v="IND"/>
    <x v="5"/>
    <x v="24"/>
    <x v="0"/>
    <x v="15"/>
    <n v="1"/>
    <n v="0"/>
    <n v="0"/>
    <m/>
    <s v="20"/>
    <x v="27"/>
    <s v="5970001"/>
    <n v="8"/>
    <n v="2"/>
    <n v="2"/>
  </r>
  <r>
    <s v="IND"/>
    <x v="5"/>
    <x v="24"/>
    <x v="1"/>
    <x v="7"/>
    <n v="1"/>
    <n v="0"/>
    <n v="0"/>
    <m/>
    <s v="20"/>
    <x v="27"/>
    <s v="5970001"/>
    <n v="8"/>
    <n v="1"/>
    <n v="1"/>
  </r>
  <r>
    <s v="IND"/>
    <x v="5"/>
    <x v="24"/>
    <x v="0"/>
    <x v="16"/>
    <n v="1"/>
    <n v="0"/>
    <n v="0"/>
    <m/>
    <s v="20"/>
    <x v="27"/>
    <s v="5970001"/>
    <n v="8"/>
    <n v="3"/>
    <n v="3"/>
  </r>
  <r>
    <s v="IND"/>
    <x v="5"/>
    <x v="24"/>
    <x v="1"/>
    <x v="1"/>
    <n v="1"/>
    <n v="0"/>
    <n v="0"/>
    <m/>
    <s v="22"/>
    <x v="34"/>
    <s v="5970004"/>
    <n v="8"/>
    <n v="1"/>
    <n v="1"/>
  </r>
  <r>
    <s v="IND"/>
    <x v="5"/>
    <x v="24"/>
    <x v="1"/>
    <x v="7"/>
    <n v="1"/>
    <n v="0"/>
    <n v="0"/>
    <m/>
    <s v="21"/>
    <x v="26"/>
    <s v="5970005"/>
    <n v="8"/>
    <n v="2"/>
    <n v="2"/>
  </r>
  <r>
    <s v="IND"/>
    <x v="5"/>
    <x v="24"/>
    <x v="1"/>
    <x v="1"/>
    <n v="1"/>
    <n v="0"/>
    <n v="0"/>
    <m/>
    <s v="21"/>
    <x v="26"/>
    <s v="5970005"/>
    <n v="8"/>
    <n v="1"/>
    <n v="1"/>
  </r>
  <r>
    <s v="COMM"/>
    <x v="5"/>
    <x v="24"/>
    <x v="0"/>
    <x v="9"/>
    <n v="1"/>
    <n v="0"/>
    <n v="0"/>
    <m/>
    <s v="21"/>
    <x v="26"/>
    <s v="5970005"/>
    <n v="8"/>
    <n v="1"/>
    <n v="1"/>
  </r>
  <r>
    <s v="COMM"/>
    <x v="5"/>
    <x v="24"/>
    <x v="1"/>
    <x v="15"/>
    <n v="1"/>
    <n v="0"/>
    <n v="0"/>
    <m/>
    <s v="21"/>
    <x v="26"/>
    <s v="5970005"/>
    <n v="8"/>
    <n v="1"/>
    <n v="1"/>
  </r>
  <r>
    <s v="IND"/>
    <x v="5"/>
    <x v="24"/>
    <x v="0"/>
    <x v="9"/>
    <n v="1"/>
    <n v="0"/>
    <n v="0"/>
    <m/>
    <s v="21"/>
    <x v="26"/>
    <s v="5970005"/>
    <n v="8"/>
    <n v="13"/>
    <n v="13"/>
  </r>
  <r>
    <s v="IND"/>
    <x v="5"/>
    <x v="24"/>
    <x v="0"/>
    <x v="9"/>
    <n v="1"/>
    <n v="0"/>
    <n v="0"/>
    <m/>
    <s v="20"/>
    <x v="27"/>
    <s v="5970008"/>
    <n v="8"/>
    <n v="3"/>
    <n v="3"/>
  </r>
  <r>
    <s v="IND"/>
    <x v="5"/>
    <x v="24"/>
    <x v="0"/>
    <x v="12"/>
    <n v="1"/>
    <n v="0"/>
    <n v="0"/>
    <m/>
    <s v="20"/>
    <x v="27"/>
    <s v="5970028"/>
    <n v="8"/>
    <n v="1"/>
    <n v="1"/>
  </r>
  <r>
    <s v="IND"/>
    <x v="5"/>
    <x v="24"/>
    <x v="0"/>
    <x v="9"/>
    <n v="1"/>
    <n v="0"/>
    <n v="0"/>
    <m/>
    <s v="20"/>
    <x v="27"/>
    <s v="5970028"/>
    <n v="8"/>
    <n v="2"/>
    <n v="2"/>
  </r>
  <r>
    <s v="IND"/>
    <x v="5"/>
    <x v="24"/>
    <x v="0"/>
    <x v="9"/>
    <n v="1"/>
    <n v="0"/>
    <n v="0"/>
    <m/>
    <s v="23"/>
    <x v="32"/>
    <s v="5970040"/>
    <n v="8"/>
    <n v="2"/>
    <n v="2"/>
  </r>
  <r>
    <s v="IND"/>
    <x v="5"/>
    <x v="24"/>
    <x v="1"/>
    <x v="7"/>
    <n v="1"/>
    <n v="0"/>
    <n v="0"/>
    <m/>
    <s v="24"/>
    <x v="28"/>
    <s v="5970060"/>
    <n v="8"/>
    <n v="1"/>
    <n v="1"/>
  </r>
  <r>
    <s v="IND"/>
    <x v="5"/>
    <x v="24"/>
    <x v="0"/>
    <x v="9"/>
    <n v="1"/>
    <n v="0"/>
    <n v="0"/>
    <m/>
    <s v="24"/>
    <x v="28"/>
    <s v="5970060"/>
    <n v="8"/>
    <n v="7"/>
    <n v="7"/>
  </r>
  <r>
    <s v="IND"/>
    <x v="5"/>
    <x v="24"/>
    <x v="0"/>
    <x v="7"/>
    <n v="1"/>
    <n v="1"/>
    <n v="1"/>
    <s v="W"/>
    <s v="21"/>
    <x v="26"/>
    <s v="5970005"/>
    <n v="8"/>
    <n v="1"/>
    <n v="1"/>
  </r>
  <r>
    <s v="IND"/>
    <x v="5"/>
    <x v="24"/>
    <x v="0"/>
    <x v="1"/>
    <n v="1"/>
    <n v="1"/>
    <n v="1"/>
    <s v="W"/>
    <s v="21"/>
    <x v="26"/>
    <s v="5970005"/>
    <n v="8"/>
    <n v="1"/>
    <n v="1"/>
  </r>
  <r>
    <s v="IND"/>
    <x v="5"/>
    <x v="24"/>
    <x v="1"/>
    <x v="7"/>
    <n v="1"/>
    <n v="1"/>
    <n v="2"/>
    <s v="W"/>
    <s v="2A"/>
    <x v="30"/>
    <s v="6080240"/>
    <n v="4"/>
    <n v="1"/>
    <n v="1"/>
  </r>
  <r>
    <s v="COMM"/>
    <x v="5"/>
    <x v="24"/>
    <x v="1"/>
    <x v="7"/>
    <n v="1"/>
    <n v="1"/>
    <n v="4"/>
    <s v="W"/>
    <s v="2C"/>
    <x v="35"/>
    <s v="6080004"/>
    <n v="4"/>
    <n v="1"/>
    <n v="1"/>
  </r>
  <r>
    <s v="IND"/>
    <x v="5"/>
    <x v="24"/>
    <x v="0"/>
    <x v="15"/>
    <n v="1"/>
    <n v="2"/>
    <n v="1"/>
    <s v="W"/>
    <s v="20"/>
    <x v="27"/>
    <s v="5970001"/>
    <n v="8"/>
    <n v="1"/>
    <n v="1"/>
  </r>
  <r>
    <s v="IND"/>
    <x v="5"/>
    <x v="24"/>
    <x v="1"/>
    <x v="7"/>
    <n v="1"/>
    <n v="2"/>
    <n v="1"/>
    <s v="W"/>
    <s v="21"/>
    <x v="26"/>
    <s v="5970005"/>
    <n v="8"/>
    <n v="1"/>
    <n v="1"/>
  </r>
  <r>
    <s v="IND"/>
    <x v="5"/>
    <x v="24"/>
    <x v="1"/>
    <x v="1"/>
    <n v="1"/>
    <n v="2"/>
    <n v="1"/>
    <s v="W"/>
    <s v="21"/>
    <x v="26"/>
    <s v="5970005"/>
    <n v="8"/>
    <n v="1"/>
    <n v="1"/>
  </r>
  <r>
    <s v="IND"/>
    <x v="5"/>
    <x v="24"/>
    <x v="0"/>
    <x v="9"/>
    <n v="2"/>
    <n v="0"/>
    <n v="0"/>
    <m/>
    <s v="21"/>
    <x v="26"/>
    <s v="5970005"/>
    <n v="8"/>
    <n v="2"/>
    <n v="1"/>
  </r>
  <r>
    <s v="IND"/>
    <x v="5"/>
    <x v="24"/>
    <x v="0"/>
    <x v="9"/>
    <n v="2"/>
    <n v="0"/>
    <n v="0"/>
    <m/>
    <s v="24"/>
    <x v="28"/>
    <s v="5970060"/>
    <n v="8"/>
    <n v="4"/>
    <n v="2"/>
  </r>
  <r>
    <s v="IND"/>
    <x v="5"/>
    <x v="25"/>
    <x v="0"/>
    <x v="9"/>
    <n v="1"/>
    <n v="0"/>
    <n v="0"/>
    <m/>
    <s v="22"/>
    <x v="34"/>
    <s v="5970004"/>
    <n v="8"/>
    <n v="2"/>
    <n v="2"/>
  </r>
  <r>
    <s v="COMM"/>
    <x v="5"/>
    <x v="25"/>
    <x v="0"/>
    <x v="1"/>
    <n v="1"/>
    <n v="0"/>
    <n v="0"/>
    <m/>
    <s v="21"/>
    <x v="26"/>
    <s v="5970005"/>
    <n v="8"/>
    <n v="1"/>
    <n v="1"/>
  </r>
  <r>
    <s v="IND"/>
    <x v="5"/>
    <x v="25"/>
    <x v="0"/>
    <x v="3"/>
    <n v="1"/>
    <n v="0"/>
    <n v="0"/>
    <m/>
    <s v="21"/>
    <x v="26"/>
    <s v="5970005"/>
    <n v="8"/>
    <n v="1"/>
    <n v="1"/>
  </r>
  <r>
    <s v="IND"/>
    <x v="5"/>
    <x v="25"/>
    <x v="0"/>
    <x v="4"/>
    <n v="1"/>
    <n v="0"/>
    <n v="0"/>
    <m/>
    <s v="21"/>
    <x v="26"/>
    <s v="5970005"/>
    <n v="8"/>
    <n v="1"/>
    <n v="1"/>
  </r>
  <r>
    <s v="IND"/>
    <x v="5"/>
    <x v="25"/>
    <x v="0"/>
    <x v="9"/>
    <n v="1"/>
    <n v="0"/>
    <n v="0"/>
    <m/>
    <s v="20"/>
    <x v="27"/>
    <s v="5970005"/>
    <n v="8"/>
    <n v="1"/>
    <n v="1"/>
  </r>
  <r>
    <s v="IND"/>
    <x v="5"/>
    <x v="25"/>
    <x v="0"/>
    <x v="9"/>
    <n v="1"/>
    <n v="0"/>
    <n v="0"/>
    <m/>
    <s v="21"/>
    <x v="26"/>
    <s v="5970005"/>
    <n v="8"/>
    <n v="9"/>
    <n v="9"/>
  </r>
  <r>
    <s v="IND"/>
    <x v="5"/>
    <x v="25"/>
    <x v="0"/>
    <x v="1"/>
    <n v="1"/>
    <n v="0"/>
    <n v="0"/>
    <m/>
    <s v="21"/>
    <x v="26"/>
    <s v="5970005"/>
    <n v="8"/>
    <n v="1"/>
    <n v="1"/>
  </r>
  <r>
    <s v="IND"/>
    <x v="5"/>
    <x v="25"/>
    <x v="1"/>
    <x v="7"/>
    <n v="1"/>
    <n v="0"/>
    <n v="0"/>
    <m/>
    <s v="21"/>
    <x v="26"/>
    <s v="5970005"/>
    <n v="8"/>
    <n v="4"/>
    <n v="4"/>
  </r>
  <r>
    <s v="IND"/>
    <x v="5"/>
    <x v="25"/>
    <x v="1"/>
    <x v="9"/>
    <n v="1"/>
    <n v="0"/>
    <n v="0"/>
    <m/>
    <s v="21"/>
    <x v="26"/>
    <s v="5970005"/>
    <n v="8"/>
    <n v="1"/>
    <n v="1"/>
  </r>
  <r>
    <s v="COMM"/>
    <x v="5"/>
    <x v="25"/>
    <x v="1"/>
    <x v="7"/>
    <n v="1"/>
    <n v="0"/>
    <n v="0"/>
    <m/>
    <s v="21"/>
    <x v="26"/>
    <s v="5970005"/>
    <n v="8"/>
    <n v="1"/>
    <n v="1"/>
  </r>
  <r>
    <s v="COMM"/>
    <x v="5"/>
    <x v="25"/>
    <x v="1"/>
    <x v="8"/>
    <n v="1"/>
    <n v="0"/>
    <n v="0"/>
    <m/>
    <s v="21"/>
    <x v="26"/>
    <s v="5970005"/>
    <n v="8"/>
    <n v="1"/>
    <n v="1"/>
  </r>
  <r>
    <s v="IND"/>
    <x v="5"/>
    <x v="25"/>
    <x v="0"/>
    <x v="9"/>
    <n v="1"/>
    <n v="0"/>
    <n v="0"/>
    <m/>
    <s v="20"/>
    <x v="27"/>
    <s v="5970008"/>
    <n v="8"/>
    <n v="1"/>
    <n v="1"/>
  </r>
  <r>
    <s v="IND"/>
    <x v="5"/>
    <x v="25"/>
    <x v="0"/>
    <x v="1"/>
    <n v="1"/>
    <n v="0"/>
    <n v="0"/>
    <m/>
    <s v="20"/>
    <x v="27"/>
    <s v="5970008"/>
    <n v="8"/>
    <n v="1"/>
    <n v="1"/>
  </r>
  <r>
    <s v="IND"/>
    <x v="5"/>
    <x v="25"/>
    <x v="0"/>
    <x v="12"/>
    <n v="1"/>
    <n v="0"/>
    <n v="0"/>
    <m/>
    <s v="20"/>
    <x v="27"/>
    <s v="5970028"/>
    <n v="8"/>
    <n v="1"/>
    <n v="1"/>
  </r>
  <r>
    <s v="IND"/>
    <x v="5"/>
    <x v="25"/>
    <x v="0"/>
    <x v="4"/>
    <n v="1"/>
    <n v="0"/>
    <n v="0"/>
    <m/>
    <s v="23"/>
    <x v="32"/>
    <s v="5970040"/>
    <n v="8"/>
    <n v="1"/>
    <n v="1"/>
  </r>
  <r>
    <s v="IND"/>
    <x v="5"/>
    <x v="25"/>
    <x v="0"/>
    <x v="9"/>
    <n v="1"/>
    <n v="0"/>
    <n v="0"/>
    <m/>
    <s v="23"/>
    <x v="32"/>
    <s v="5970040"/>
    <n v="8"/>
    <n v="2"/>
    <n v="2"/>
  </r>
  <r>
    <s v="IND"/>
    <x v="5"/>
    <x v="25"/>
    <x v="0"/>
    <x v="12"/>
    <n v="1"/>
    <n v="0"/>
    <n v="0"/>
    <m/>
    <s v="24"/>
    <x v="28"/>
    <s v="5970060"/>
    <n v="8"/>
    <n v="2"/>
    <n v="2"/>
  </r>
  <r>
    <s v="IND"/>
    <x v="5"/>
    <x v="25"/>
    <x v="1"/>
    <x v="7"/>
    <n v="1"/>
    <n v="0"/>
    <n v="0"/>
    <m/>
    <s v="24"/>
    <x v="28"/>
    <s v="5970060"/>
    <n v="8"/>
    <n v="1"/>
    <n v="1"/>
  </r>
  <r>
    <s v="IND"/>
    <x v="5"/>
    <x v="25"/>
    <x v="0"/>
    <x v="9"/>
    <n v="1"/>
    <n v="0"/>
    <n v="0"/>
    <m/>
    <s v="24"/>
    <x v="28"/>
    <s v="5970060"/>
    <n v="8"/>
    <n v="5"/>
    <n v="5"/>
  </r>
  <r>
    <s v="IND"/>
    <x v="5"/>
    <x v="25"/>
    <x v="0"/>
    <x v="1"/>
    <n v="1"/>
    <n v="0"/>
    <n v="0"/>
    <m/>
    <s v="24"/>
    <x v="28"/>
    <s v="5970060"/>
    <n v="8"/>
    <n v="2"/>
    <n v="2"/>
  </r>
  <r>
    <s v="COMM"/>
    <x v="5"/>
    <x v="25"/>
    <x v="1"/>
    <x v="7"/>
    <n v="1"/>
    <n v="0"/>
    <n v="0"/>
    <m/>
    <s v="2C"/>
    <x v="35"/>
    <s v="6080004"/>
    <n v="4"/>
    <n v="1"/>
    <n v="1"/>
  </r>
  <r>
    <s v="IND"/>
    <x v="5"/>
    <x v="25"/>
    <x v="1"/>
    <x v="7"/>
    <n v="1"/>
    <n v="0"/>
    <n v="0"/>
    <m/>
    <s v="2C"/>
    <x v="35"/>
    <s v="6080008"/>
    <n v="1"/>
    <n v="2"/>
    <n v="2"/>
  </r>
  <r>
    <s v="IND"/>
    <x v="5"/>
    <x v="25"/>
    <x v="0"/>
    <x v="9"/>
    <n v="1"/>
    <n v="0"/>
    <n v="0"/>
    <m/>
    <s v="2C"/>
    <x v="35"/>
    <s v="6080008"/>
    <n v="1"/>
    <n v="1"/>
    <n v="1"/>
  </r>
  <r>
    <s v="IND"/>
    <x v="5"/>
    <x v="25"/>
    <x v="1"/>
    <x v="7"/>
    <n v="1"/>
    <n v="0"/>
    <n v="0"/>
    <m/>
    <s v="2B"/>
    <x v="27"/>
    <s v="6080040"/>
    <n v="4"/>
    <n v="1"/>
    <n v="1"/>
  </r>
  <r>
    <s v="IND"/>
    <x v="5"/>
    <x v="25"/>
    <x v="0"/>
    <x v="1"/>
    <n v="1"/>
    <n v="0"/>
    <n v="0"/>
    <m/>
    <s v="2A"/>
    <x v="30"/>
    <s v="6080240"/>
    <n v="4"/>
    <n v="1"/>
    <n v="1"/>
  </r>
  <r>
    <s v="IND"/>
    <x v="5"/>
    <x v="25"/>
    <x v="1"/>
    <x v="1"/>
    <n v="1"/>
    <n v="0"/>
    <n v="0"/>
    <m/>
    <s v="21"/>
    <x v="26"/>
    <s v="6170005"/>
    <n v="9"/>
    <n v="1"/>
    <n v="1"/>
  </r>
  <r>
    <s v="IND"/>
    <x v="5"/>
    <x v="25"/>
    <x v="0"/>
    <x v="7"/>
    <n v="1"/>
    <n v="1"/>
    <n v="1"/>
    <s v="W"/>
    <s v="21"/>
    <x v="26"/>
    <s v="5970005"/>
    <n v="8"/>
    <n v="1"/>
    <n v="1"/>
  </r>
  <r>
    <s v="IND"/>
    <x v="5"/>
    <x v="25"/>
    <x v="0"/>
    <x v="12"/>
    <n v="1"/>
    <n v="1"/>
    <n v="1"/>
    <s v="W"/>
    <s v="20"/>
    <x v="27"/>
    <s v="5970028"/>
    <n v="8"/>
    <n v="1"/>
    <n v="1"/>
  </r>
  <r>
    <s v="IND"/>
    <x v="5"/>
    <x v="25"/>
    <x v="0"/>
    <x v="9"/>
    <n v="1"/>
    <n v="1"/>
    <n v="1"/>
    <s v="W"/>
    <s v="20"/>
    <x v="27"/>
    <s v="5970028"/>
    <n v="8"/>
    <n v="1"/>
    <n v="1"/>
  </r>
  <r>
    <s v="IND"/>
    <x v="5"/>
    <x v="25"/>
    <x v="1"/>
    <x v="7"/>
    <n v="1"/>
    <n v="1"/>
    <n v="1"/>
    <s v="W"/>
    <s v="24"/>
    <x v="28"/>
    <s v="5970060"/>
    <n v="8"/>
    <n v="1"/>
    <n v="1"/>
  </r>
  <r>
    <s v="IND"/>
    <x v="5"/>
    <x v="25"/>
    <x v="1"/>
    <x v="7"/>
    <n v="1"/>
    <n v="2"/>
    <n v="1"/>
    <s v="W"/>
    <s v="21"/>
    <x v="26"/>
    <s v="5970005"/>
    <n v="8"/>
    <n v="1"/>
    <n v="1"/>
  </r>
  <r>
    <s v="IND"/>
    <x v="5"/>
    <x v="25"/>
    <x v="1"/>
    <x v="7"/>
    <n v="1"/>
    <n v="2"/>
    <n v="1"/>
    <s v="W"/>
    <s v="24"/>
    <x v="28"/>
    <s v="5970060"/>
    <n v="8"/>
    <n v="1"/>
    <n v="1"/>
  </r>
  <r>
    <s v="COMM"/>
    <x v="5"/>
    <x v="25"/>
    <x v="0"/>
    <x v="1"/>
    <n v="2"/>
    <n v="0"/>
    <n v="0"/>
    <m/>
    <s v="21"/>
    <x v="26"/>
    <s v="5970005"/>
    <n v="8"/>
    <n v="2"/>
    <n v="1"/>
  </r>
  <r>
    <s v="IND"/>
    <x v="5"/>
    <x v="25"/>
    <x v="0"/>
    <x v="9"/>
    <n v="2"/>
    <n v="0"/>
    <n v="0"/>
    <m/>
    <s v="24"/>
    <x v="28"/>
    <s v="5970060"/>
    <n v="8"/>
    <n v="4"/>
    <n v="2"/>
  </r>
  <r>
    <s v="IND"/>
    <x v="5"/>
    <x v="25"/>
    <x v="0"/>
    <x v="4"/>
    <n v="2"/>
    <n v="0"/>
    <n v="0"/>
    <m/>
    <s v="2C"/>
    <x v="35"/>
    <s v="6080008"/>
    <n v="1"/>
    <n v="2"/>
    <n v="1"/>
  </r>
  <r>
    <s v="RESI"/>
    <x v="6"/>
    <x v="3"/>
    <x v="0"/>
    <x v="0"/>
    <n v="1"/>
    <n v="1"/>
    <n v="1"/>
    <s v="W"/>
    <s v="3B"/>
    <x v="2"/>
    <s v="6080001"/>
    <n v="1"/>
    <n v="33"/>
    <n v="33"/>
  </r>
  <r>
    <s v="RESI"/>
    <x v="6"/>
    <x v="3"/>
    <x v="0"/>
    <x v="0"/>
    <n v="1"/>
    <n v="1"/>
    <n v="1"/>
    <s v="W"/>
    <s v="3C"/>
    <x v="5"/>
    <s v="6080004"/>
    <n v="3"/>
    <n v="9"/>
    <n v="9"/>
  </r>
  <r>
    <s v="RESI"/>
    <x v="6"/>
    <x v="3"/>
    <x v="0"/>
    <x v="0"/>
    <n v="1"/>
    <n v="1"/>
    <n v="1"/>
    <s v="W"/>
    <s v="3B"/>
    <x v="2"/>
    <s v="6080020"/>
    <n v="2"/>
    <n v="25"/>
    <n v="25"/>
  </r>
  <r>
    <s v="RESI"/>
    <x v="6"/>
    <x v="3"/>
    <x v="0"/>
    <x v="0"/>
    <n v="1"/>
    <n v="1"/>
    <n v="1"/>
    <s v="W"/>
    <s v="3B"/>
    <x v="2"/>
    <s v="6080050"/>
    <n v="5"/>
    <n v="31"/>
    <n v="31"/>
  </r>
  <r>
    <s v="COMM"/>
    <x v="6"/>
    <x v="3"/>
    <x v="0"/>
    <x v="2"/>
    <n v="1"/>
    <n v="1"/>
    <n v="1"/>
    <s v="W"/>
    <s v="7B"/>
    <x v="20"/>
    <s v="6080060"/>
    <n v="6"/>
    <n v="1"/>
    <n v="1"/>
  </r>
  <r>
    <s v="RESI"/>
    <x v="6"/>
    <x v="3"/>
    <x v="0"/>
    <x v="0"/>
    <n v="1"/>
    <n v="1"/>
    <n v="1"/>
    <s v="W"/>
    <s v="32"/>
    <x v="7"/>
    <s v="6110004"/>
    <n v="1"/>
    <n v="3"/>
    <n v="3"/>
  </r>
  <r>
    <s v="RESI"/>
    <x v="6"/>
    <x v="3"/>
    <x v="0"/>
    <x v="0"/>
    <n v="1"/>
    <n v="1"/>
    <n v="1"/>
    <s v="W"/>
    <s v="31"/>
    <x v="3"/>
    <s v="6110005"/>
    <n v="1"/>
    <n v="482"/>
    <n v="482"/>
  </r>
  <r>
    <s v="RESI"/>
    <x v="6"/>
    <x v="3"/>
    <x v="0"/>
    <x v="3"/>
    <n v="1"/>
    <n v="1"/>
    <n v="1"/>
    <s v="W"/>
    <s v="31"/>
    <x v="3"/>
    <s v="6110005"/>
    <n v="1"/>
    <n v="389"/>
    <n v="389"/>
  </r>
  <r>
    <s v="RESI"/>
    <x v="6"/>
    <x v="3"/>
    <x v="0"/>
    <x v="0"/>
    <n v="1"/>
    <n v="1"/>
    <n v="1"/>
    <s v="W"/>
    <s v="36"/>
    <x v="8"/>
    <s v="6110006"/>
    <n v="1"/>
    <n v="1"/>
    <n v="1"/>
  </r>
  <r>
    <s v="RESI"/>
    <x v="6"/>
    <x v="3"/>
    <x v="0"/>
    <x v="0"/>
    <n v="1"/>
    <n v="1"/>
    <n v="1"/>
    <s v="W"/>
    <s v="31"/>
    <x v="3"/>
    <s v="6110008"/>
    <n v="1"/>
    <n v="1"/>
    <n v="1"/>
  </r>
  <r>
    <s v="RESI"/>
    <x v="6"/>
    <x v="3"/>
    <x v="0"/>
    <x v="0"/>
    <n v="1"/>
    <n v="1"/>
    <n v="1"/>
    <s v="W"/>
    <s v="35"/>
    <x v="4"/>
    <s v="6110015"/>
    <n v="1"/>
    <n v="107"/>
    <n v="107"/>
  </r>
  <r>
    <s v="RESI"/>
    <x v="6"/>
    <x v="3"/>
    <x v="0"/>
    <x v="0"/>
    <n v="1"/>
    <n v="1"/>
    <n v="1"/>
    <s v="W"/>
    <s v="30"/>
    <x v="2"/>
    <s v="6110028"/>
    <n v="1"/>
    <n v="5"/>
    <n v="5"/>
  </r>
  <r>
    <s v="RESI"/>
    <x v="6"/>
    <x v="3"/>
    <x v="0"/>
    <x v="0"/>
    <n v="1"/>
    <n v="1"/>
    <n v="1"/>
    <s v="W"/>
    <s v="32"/>
    <x v="7"/>
    <s v="6120004"/>
    <n v="2"/>
    <n v="5"/>
    <n v="5"/>
  </r>
  <r>
    <s v="RESI"/>
    <x v="6"/>
    <x v="3"/>
    <x v="0"/>
    <x v="0"/>
    <n v="1"/>
    <n v="1"/>
    <n v="1"/>
    <s v="W"/>
    <s v="31"/>
    <x v="3"/>
    <s v="6120005"/>
    <n v="2"/>
    <n v="444"/>
    <n v="444"/>
  </r>
  <r>
    <s v="RESI"/>
    <x v="6"/>
    <x v="3"/>
    <x v="0"/>
    <x v="3"/>
    <n v="1"/>
    <n v="1"/>
    <n v="1"/>
    <s v="W"/>
    <s v="31"/>
    <x v="3"/>
    <s v="6120005"/>
    <n v="2"/>
    <n v="197"/>
    <n v="197"/>
  </r>
  <r>
    <s v="RESI"/>
    <x v="6"/>
    <x v="3"/>
    <x v="0"/>
    <x v="0"/>
    <n v="1"/>
    <n v="1"/>
    <n v="1"/>
    <s v="W"/>
    <s v="30"/>
    <x v="2"/>
    <s v="6120008"/>
    <n v="2"/>
    <n v="3"/>
    <n v="3"/>
  </r>
  <r>
    <s v="RESI"/>
    <x v="6"/>
    <x v="3"/>
    <x v="0"/>
    <x v="0"/>
    <n v="1"/>
    <n v="1"/>
    <n v="1"/>
    <s v="W"/>
    <s v="30"/>
    <x v="2"/>
    <s v="6120009"/>
    <n v="2"/>
    <n v="1"/>
    <n v="1"/>
  </r>
  <r>
    <s v="RESI"/>
    <x v="6"/>
    <x v="3"/>
    <x v="0"/>
    <x v="0"/>
    <n v="1"/>
    <n v="1"/>
    <n v="1"/>
    <s v="W"/>
    <s v="35"/>
    <x v="4"/>
    <s v="6120015"/>
    <n v="2"/>
    <n v="73"/>
    <n v="73"/>
  </r>
  <r>
    <s v="RESI"/>
    <x v="6"/>
    <x v="3"/>
    <x v="0"/>
    <x v="0"/>
    <n v="1"/>
    <n v="1"/>
    <n v="1"/>
    <s v="W"/>
    <s v="30"/>
    <x v="2"/>
    <s v="6120028"/>
    <n v="2"/>
    <n v="7"/>
    <n v="7"/>
  </r>
  <r>
    <s v="RESI"/>
    <x v="6"/>
    <x v="3"/>
    <x v="0"/>
    <x v="0"/>
    <n v="1"/>
    <n v="1"/>
    <n v="1"/>
    <s v="W"/>
    <s v="33"/>
    <x v="9"/>
    <s v="6120040"/>
    <n v="2"/>
    <n v="29"/>
    <n v="29"/>
  </r>
  <r>
    <s v="RESI"/>
    <x v="6"/>
    <x v="3"/>
    <x v="0"/>
    <x v="0"/>
    <n v="1"/>
    <n v="1"/>
    <n v="1"/>
    <s v="W"/>
    <s v="32"/>
    <x v="7"/>
    <s v="6130004"/>
    <n v="3"/>
    <n v="4"/>
    <n v="4"/>
  </r>
  <r>
    <s v="RESI"/>
    <x v="6"/>
    <x v="3"/>
    <x v="0"/>
    <x v="3"/>
    <n v="1"/>
    <n v="1"/>
    <n v="1"/>
    <s v="W"/>
    <s v="32"/>
    <x v="7"/>
    <s v="6130004"/>
    <n v="3"/>
    <n v="1"/>
    <n v="1"/>
  </r>
  <r>
    <s v="RESI"/>
    <x v="6"/>
    <x v="3"/>
    <x v="0"/>
    <x v="0"/>
    <n v="1"/>
    <n v="1"/>
    <n v="1"/>
    <s v="W"/>
    <s v="31"/>
    <x v="3"/>
    <s v="6130005"/>
    <n v="3"/>
    <n v="437"/>
    <n v="437"/>
  </r>
  <r>
    <s v="RESI"/>
    <x v="6"/>
    <x v="3"/>
    <x v="0"/>
    <x v="3"/>
    <n v="1"/>
    <n v="1"/>
    <n v="1"/>
    <s v="W"/>
    <s v="31"/>
    <x v="3"/>
    <s v="6130005"/>
    <n v="3"/>
    <n v="244"/>
    <n v="244"/>
  </r>
  <r>
    <s v="RESI"/>
    <x v="6"/>
    <x v="3"/>
    <x v="0"/>
    <x v="0"/>
    <n v="1"/>
    <n v="1"/>
    <n v="1"/>
    <s v="W"/>
    <s v="35"/>
    <x v="4"/>
    <s v="6130015"/>
    <n v="3"/>
    <n v="64"/>
    <n v="64"/>
  </r>
  <r>
    <s v="RESI"/>
    <x v="6"/>
    <x v="3"/>
    <x v="0"/>
    <x v="0"/>
    <n v="1"/>
    <n v="1"/>
    <n v="1"/>
    <s v="W"/>
    <s v="3A"/>
    <x v="0"/>
    <s v="6130022"/>
    <n v="3"/>
    <n v="12"/>
    <n v="12"/>
  </r>
  <r>
    <s v="RESI"/>
    <x v="6"/>
    <x v="3"/>
    <x v="0"/>
    <x v="0"/>
    <n v="1"/>
    <n v="1"/>
    <n v="1"/>
    <s v="W"/>
    <s v="30"/>
    <x v="2"/>
    <s v="6130028"/>
    <n v="3"/>
    <n v="4"/>
    <n v="4"/>
  </r>
  <r>
    <s v="COMM"/>
    <x v="6"/>
    <x v="3"/>
    <x v="0"/>
    <x v="4"/>
    <n v="1"/>
    <n v="1"/>
    <n v="1"/>
    <s v="W"/>
    <s v="71"/>
    <x v="1"/>
    <s v="6170005"/>
    <n v="9"/>
    <n v="1"/>
    <n v="1"/>
  </r>
  <r>
    <s v="COMM"/>
    <x v="6"/>
    <x v="3"/>
    <x v="0"/>
    <x v="1"/>
    <n v="1"/>
    <n v="1"/>
    <n v="1"/>
    <s v="W"/>
    <s v="71"/>
    <x v="1"/>
    <s v="6170005"/>
    <n v="9"/>
    <n v="20"/>
    <n v="20"/>
  </r>
  <r>
    <s v="COMM"/>
    <x v="6"/>
    <x v="3"/>
    <x v="0"/>
    <x v="2"/>
    <n v="1"/>
    <n v="1"/>
    <n v="1"/>
    <s v="W"/>
    <s v="71"/>
    <x v="1"/>
    <s v="6170055"/>
    <n v="9"/>
    <n v="2"/>
    <n v="2"/>
  </r>
  <r>
    <s v="COMM"/>
    <x v="6"/>
    <x v="3"/>
    <x v="0"/>
    <x v="2"/>
    <n v="2"/>
    <n v="0"/>
    <n v="0"/>
    <m/>
    <s v="71"/>
    <x v="1"/>
    <s v="6170055"/>
    <n v="9"/>
    <n v="2"/>
    <n v="1"/>
  </r>
  <r>
    <s v="RESI"/>
    <x v="6"/>
    <x v="3"/>
    <x v="0"/>
    <x v="0"/>
    <n v="2"/>
    <n v="2"/>
    <n v="1"/>
    <s v="W"/>
    <s v="3C"/>
    <x v="5"/>
    <s v="6080004"/>
    <n v="3"/>
    <n v="2"/>
    <n v="1"/>
  </r>
  <r>
    <s v="RESI"/>
    <x v="6"/>
    <x v="3"/>
    <x v="0"/>
    <x v="0"/>
    <n v="2"/>
    <n v="2"/>
    <n v="1"/>
    <s v="W"/>
    <s v="3B"/>
    <x v="2"/>
    <s v="6080020"/>
    <n v="2"/>
    <n v="2"/>
    <n v="1"/>
  </r>
  <r>
    <s v="RESI"/>
    <x v="6"/>
    <x v="3"/>
    <x v="0"/>
    <x v="3"/>
    <n v="2"/>
    <n v="2"/>
    <n v="1"/>
    <s v="W"/>
    <s v="31"/>
    <x v="3"/>
    <s v="6110005"/>
    <n v="1"/>
    <n v="4"/>
    <n v="2"/>
  </r>
  <r>
    <s v="RESI"/>
    <x v="6"/>
    <x v="3"/>
    <x v="0"/>
    <x v="3"/>
    <n v="2"/>
    <n v="2"/>
    <n v="1"/>
    <s v="W"/>
    <s v="31"/>
    <x v="3"/>
    <s v="6130005"/>
    <n v="3"/>
    <n v="4"/>
    <n v="2"/>
  </r>
  <r>
    <s v="RESI"/>
    <x v="6"/>
    <x v="3"/>
    <x v="0"/>
    <x v="0"/>
    <n v="2"/>
    <n v="2"/>
    <n v="1"/>
    <s v="W"/>
    <s v="31"/>
    <x v="3"/>
    <s v="6130005"/>
    <n v="3"/>
    <n v="2"/>
    <n v="1"/>
  </r>
  <r>
    <s v="RESI"/>
    <x v="6"/>
    <x v="3"/>
    <x v="0"/>
    <x v="0"/>
    <n v="2"/>
    <n v="2"/>
    <n v="1"/>
    <s v="W"/>
    <s v="35"/>
    <x v="4"/>
    <s v="6130015"/>
    <n v="3"/>
    <n v="2"/>
    <n v="1"/>
  </r>
  <r>
    <s v="COMM"/>
    <x v="6"/>
    <x v="3"/>
    <x v="0"/>
    <x v="2"/>
    <n v="2"/>
    <n v="2"/>
    <n v="1"/>
    <s v="W"/>
    <s v="71"/>
    <x v="1"/>
    <s v="6170055"/>
    <n v="9"/>
    <n v="6"/>
    <n v="3"/>
  </r>
  <r>
    <s v="COMM"/>
    <x v="6"/>
    <x v="3"/>
    <x v="0"/>
    <x v="1"/>
    <n v="3"/>
    <n v="0"/>
    <n v="0"/>
    <m/>
    <s v="71"/>
    <x v="1"/>
    <s v="6170005"/>
    <n v="9"/>
    <n v="3"/>
    <n v="1"/>
  </r>
  <r>
    <s v="RESI"/>
    <x v="6"/>
    <x v="3"/>
    <x v="0"/>
    <x v="0"/>
    <n v="3"/>
    <n v="3"/>
    <n v="1"/>
    <s v="W"/>
    <s v="35"/>
    <x v="4"/>
    <s v="6130015"/>
    <n v="3"/>
    <n v="3"/>
    <n v="1"/>
  </r>
  <r>
    <s v="COMM"/>
    <x v="6"/>
    <x v="3"/>
    <x v="0"/>
    <x v="1"/>
    <n v="3"/>
    <n v="3"/>
    <n v="1"/>
    <s v="W"/>
    <s v="71"/>
    <x v="1"/>
    <s v="6170005"/>
    <n v="9"/>
    <n v="3"/>
    <n v="1"/>
  </r>
  <r>
    <s v="COMM"/>
    <x v="6"/>
    <x v="3"/>
    <x v="0"/>
    <x v="1"/>
    <n v="4"/>
    <n v="0"/>
    <n v="0"/>
    <m/>
    <s v="71"/>
    <x v="1"/>
    <s v="6170005"/>
    <n v="9"/>
    <n v="12"/>
    <n v="3"/>
  </r>
  <r>
    <s v="COMM"/>
    <x v="6"/>
    <x v="3"/>
    <x v="0"/>
    <x v="1"/>
    <n v="4"/>
    <n v="4"/>
    <n v="1"/>
    <s v="W"/>
    <s v="71"/>
    <x v="1"/>
    <s v="6170005"/>
    <n v="9"/>
    <n v="4"/>
    <n v="1"/>
  </r>
  <r>
    <s v="COMM"/>
    <x v="6"/>
    <x v="3"/>
    <x v="0"/>
    <x v="1"/>
    <n v="6"/>
    <n v="0"/>
    <n v="0"/>
    <m/>
    <s v="7C"/>
    <x v="19"/>
    <s v="6080004"/>
    <n v="4"/>
    <n v="6"/>
    <n v="1"/>
  </r>
  <r>
    <s v="COMM"/>
    <x v="6"/>
    <x v="3"/>
    <x v="0"/>
    <x v="1"/>
    <n v="6"/>
    <n v="6"/>
    <n v="1"/>
    <s v="W"/>
    <s v="71"/>
    <x v="1"/>
    <s v="6170005"/>
    <n v="9"/>
    <n v="6"/>
    <n v="1"/>
  </r>
  <r>
    <s v="COMM"/>
    <x v="6"/>
    <x v="3"/>
    <x v="0"/>
    <x v="2"/>
    <n v="6"/>
    <n v="6"/>
    <n v="1"/>
    <s v="W"/>
    <s v="71"/>
    <x v="1"/>
    <s v="6170055"/>
    <n v="9"/>
    <n v="6"/>
    <n v="1"/>
  </r>
  <r>
    <s v="COMM"/>
    <x v="6"/>
    <x v="3"/>
    <x v="0"/>
    <x v="1"/>
    <n v="8"/>
    <n v="0"/>
    <n v="0"/>
    <m/>
    <s v="75"/>
    <x v="22"/>
    <s v="6170015"/>
    <n v="9"/>
    <n v="8"/>
    <n v="1"/>
  </r>
  <r>
    <s v="COMM"/>
    <x v="6"/>
    <x v="3"/>
    <x v="0"/>
    <x v="1"/>
    <n v="17"/>
    <n v="0"/>
    <n v="0"/>
    <m/>
    <s v="71"/>
    <x v="1"/>
    <s v="6170005"/>
    <n v="9"/>
    <n v="17"/>
    <n v="1"/>
  </r>
  <r>
    <s v="COMM"/>
    <x v="6"/>
    <x v="3"/>
    <x v="0"/>
    <x v="3"/>
    <n v="19"/>
    <n v="0"/>
    <n v="0"/>
    <m/>
    <s v="71"/>
    <x v="1"/>
    <s v="6170005"/>
    <n v="9"/>
    <n v="19"/>
    <n v="1"/>
  </r>
  <r>
    <s v="COMM"/>
    <x v="6"/>
    <x v="3"/>
    <x v="0"/>
    <x v="2"/>
    <n v="19"/>
    <n v="19"/>
    <n v="1"/>
    <s v="W"/>
    <s v="71"/>
    <x v="1"/>
    <s v="6170055"/>
    <n v="9"/>
    <n v="19"/>
    <n v="1"/>
  </r>
  <r>
    <s v="COMM"/>
    <x v="6"/>
    <x v="3"/>
    <x v="0"/>
    <x v="2"/>
    <n v="24"/>
    <n v="24"/>
    <n v="1"/>
    <s v="W"/>
    <s v="71"/>
    <x v="1"/>
    <s v="6170055"/>
    <n v="9"/>
    <n v="24"/>
    <n v="1"/>
  </r>
  <r>
    <s v="COMM"/>
    <x v="6"/>
    <x v="3"/>
    <x v="0"/>
    <x v="1"/>
    <n v="30"/>
    <n v="0"/>
    <n v="0"/>
    <m/>
    <s v="71"/>
    <x v="1"/>
    <s v="6170005"/>
    <n v="9"/>
    <n v="30"/>
    <n v="1"/>
  </r>
  <r>
    <s v="COMM"/>
    <x v="6"/>
    <x v="3"/>
    <x v="0"/>
    <x v="1"/>
    <n v="30"/>
    <n v="0"/>
    <n v="0"/>
    <m/>
    <s v="75"/>
    <x v="22"/>
    <s v="6170015"/>
    <n v="9"/>
    <n v="30"/>
    <n v="1"/>
  </r>
  <r>
    <s v="COMM"/>
    <x v="6"/>
    <x v="3"/>
    <x v="0"/>
    <x v="2"/>
    <n v="61"/>
    <n v="61"/>
    <n v="1"/>
    <s v="W"/>
    <s v="71"/>
    <x v="1"/>
    <s v="6170055"/>
    <n v="9"/>
    <n v="61"/>
    <n v="1"/>
  </r>
  <r>
    <s v="COMM"/>
    <x v="6"/>
    <x v="3"/>
    <x v="0"/>
    <x v="2"/>
    <n v="68"/>
    <n v="68"/>
    <n v="1"/>
    <s v="W"/>
    <s v="71"/>
    <x v="1"/>
    <s v="6170055"/>
    <n v="9"/>
    <n v="68"/>
    <n v="1"/>
  </r>
  <r>
    <s v="COMM"/>
    <x v="6"/>
    <x v="5"/>
    <x v="0"/>
    <x v="1"/>
    <n v="1"/>
    <n v="0"/>
    <n v="0"/>
    <m/>
    <s v="71"/>
    <x v="1"/>
    <s v="6170005"/>
    <n v="9"/>
    <n v="1"/>
    <n v="1"/>
  </r>
  <r>
    <s v="RESI"/>
    <x v="6"/>
    <x v="5"/>
    <x v="0"/>
    <x v="0"/>
    <n v="1"/>
    <n v="1"/>
    <n v="1"/>
    <s v="W"/>
    <s v="3B"/>
    <x v="2"/>
    <s v="6080001"/>
    <n v="1"/>
    <n v="289"/>
    <n v="289"/>
  </r>
  <r>
    <s v="RESI"/>
    <x v="6"/>
    <x v="5"/>
    <x v="0"/>
    <x v="0"/>
    <n v="1"/>
    <n v="1"/>
    <n v="1"/>
    <s v="W"/>
    <s v="3C"/>
    <x v="5"/>
    <s v="6080004"/>
    <n v="1"/>
    <n v="724"/>
    <n v="724"/>
  </r>
  <r>
    <s v="RESI"/>
    <x v="6"/>
    <x v="5"/>
    <x v="0"/>
    <x v="0"/>
    <n v="1"/>
    <n v="1"/>
    <n v="1"/>
    <s v="W"/>
    <s v="3C"/>
    <x v="5"/>
    <s v="6080004"/>
    <n v="3"/>
    <n v="320"/>
    <n v="320"/>
  </r>
  <r>
    <s v="COMM"/>
    <x v="6"/>
    <x v="5"/>
    <x v="0"/>
    <x v="1"/>
    <n v="1"/>
    <n v="1"/>
    <n v="1"/>
    <s v="W"/>
    <s v="7C"/>
    <x v="19"/>
    <s v="6080004"/>
    <n v="4"/>
    <n v="18"/>
    <n v="18"/>
  </r>
  <r>
    <s v="RESI"/>
    <x v="6"/>
    <x v="5"/>
    <x v="0"/>
    <x v="0"/>
    <n v="1"/>
    <n v="1"/>
    <n v="1"/>
    <s v="W"/>
    <s v="3B"/>
    <x v="2"/>
    <s v="6080020"/>
    <n v="2"/>
    <n v="291"/>
    <n v="291"/>
  </r>
  <r>
    <s v="COMM"/>
    <x v="6"/>
    <x v="5"/>
    <x v="0"/>
    <x v="1"/>
    <n v="1"/>
    <n v="1"/>
    <n v="1"/>
    <s v="W"/>
    <s v="7B"/>
    <x v="20"/>
    <s v="6080040"/>
    <n v="4"/>
    <n v="1"/>
    <n v="1"/>
  </r>
  <r>
    <s v="RESI"/>
    <x v="6"/>
    <x v="5"/>
    <x v="0"/>
    <x v="0"/>
    <n v="1"/>
    <n v="1"/>
    <n v="1"/>
    <s v="W"/>
    <s v="3B"/>
    <x v="2"/>
    <s v="6080050"/>
    <n v="5"/>
    <n v="288"/>
    <n v="288"/>
  </r>
  <r>
    <s v="RESI"/>
    <x v="6"/>
    <x v="5"/>
    <x v="0"/>
    <x v="0"/>
    <n v="1"/>
    <n v="1"/>
    <n v="1"/>
    <s v="W"/>
    <s v="30"/>
    <x v="2"/>
    <s v="6110002"/>
    <n v="1"/>
    <n v="2"/>
    <n v="2"/>
  </r>
  <r>
    <s v="RESI"/>
    <x v="6"/>
    <x v="5"/>
    <x v="0"/>
    <x v="0"/>
    <n v="1"/>
    <n v="1"/>
    <n v="1"/>
    <s v="W"/>
    <s v="30"/>
    <x v="2"/>
    <s v="6110003"/>
    <n v="1"/>
    <n v="1"/>
    <n v="1"/>
  </r>
  <r>
    <s v="RESI"/>
    <x v="6"/>
    <x v="5"/>
    <x v="0"/>
    <x v="0"/>
    <n v="1"/>
    <n v="1"/>
    <n v="1"/>
    <s v="W"/>
    <s v="32"/>
    <x v="7"/>
    <s v="6110004"/>
    <n v="1"/>
    <n v="8"/>
    <n v="8"/>
  </r>
  <r>
    <s v="RESI"/>
    <x v="6"/>
    <x v="5"/>
    <x v="0"/>
    <x v="0"/>
    <n v="1"/>
    <n v="1"/>
    <n v="1"/>
    <s v="W"/>
    <s v="31"/>
    <x v="3"/>
    <s v="6110005"/>
    <n v="1"/>
    <n v="861"/>
    <n v="861"/>
  </r>
  <r>
    <s v="RESI"/>
    <x v="6"/>
    <x v="5"/>
    <x v="0"/>
    <x v="3"/>
    <n v="1"/>
    <n v="1"/>
    <n v="1"/>
    <s v="W"/>
    <s v="31"/>
    <x v="3"/>
    <s v="6110005"/>
    <n v="1"/>
    <n v="474"/>
    <n v="474"/>
  </r>
  <r>
    <s v="RESI"/>
    <x v="6"/>
    <x v="5"/>
    <x v="0"/>
    <x v="0"/>
    <n v="1"/>
    <n v="1"/>
    <n v="1"/>
    <s v="W"/>
    <s v="36"/>
    <x v="8"/>
    <s v="6110006"/>
    <n v="1"/>
    <n v="1"/>
    <n v="1"/>
  </r>
  <r>
    <s v="RESI"/>
    <x v="6"/>
    <x v="5"/>
    <x v="0"/>
    <x v="0"/>
    <n v="1"/>
    <n v="1"/>
    <n v="1"/>
    <s v="W"/>
    <s v="30"/>
    <x v="2"/>
    <s v="6110008"/>
    <n v="1"/>
    <n v="4"/>
    <n v="4"/>
  </r>
  <r>
    <s v="RESI"/>
    <x v="6"/>
    <x v="5"/>
    <x v="0"/>
    <x v="0"/>
    <n v="1"/>
    <n v="1"/>
    <n v="1"/>
    <s v="W"/>
    <s v="30"/>
    <x v="2"/>
    <s v="6110009"/>
    <n v="1"/>
    <n v="1"/>
    <n v="1"/>
  </r>
  <r>
    <s v="RESI"/>
    <x v="6"/>
    <x v="5"/>
    <x v="0"/>
    <x v="0"/>
    <n v="1"/>
    <n v="1"/>
    <n v="1"/>
    <s v="W"/>
    <s v="35"/>
    <x v="4"/>
    <s v="6110015"/>
    <n v="1"/>
    <n v="150"/>
    <n v="150"/>
  </r>
  <r>
    <s v="RESI"/>
    <x v="6"/>
    <x v="5"/>
    <x v="0"/>
    <x v="0"/>
    <n v="1"/>
    <n v="1"/>
    <n v="1"/>
    <s v="W"/>
    <s v="30"/>
    <x v="2"/>
    <s v="6110028"/>
    <n v="1"/>
    <n v="16"/>
    <n v="16"/>
  </r>
  <r>
    <s v="RESI"/>
    <x v="6"/>
    <x v="5"/>
    <x v="0"/>
    <x v="0"/>
    <n v="1"/>
    <n v="1"/>
    <n v="1"/>
    <s v="W"/>
    <s v="32"/>
    <x v="7"/>
    <s v="6120004"/>
    <n v="2"/>
    <n v="5"/>
    <n v="5"/>
  </r>
  <r>
    <s v="RESI"/>
    <x v="6"/>
    <x v="5"/>
    <x v="0"/>
    <x v="0"/>
    <n v="1"/>
    <n v="1"/>
    <n v="1"/>
    <s v="W"/>
    <s v="31"/>
    <x v="3"/>
    <s v="6120005"/>
    <n v="2"/>
    <n v="747"/>
    <n v="747"/>
  </r>
  <r>
    <s v="RESI"/>
    <x v="6"/>
    <x v="5"/>
    <x v="0"/>
    <x v="3"/>
    <n v="1"/>
    <n v="1"/>
    <n v="1"/>
    <s v="W"/>
    <s v="31"/>
    <x v="3"/>
    <s v="6120005"/>
    <n v="2"/>
    <n v="281"/>
    <n v="281"/>
  </r>
  <r>
    <s v="RESI"/>
    <x v="6"/>
    <x v="5"/>
    <x v="0"/>
    <x v="0"/>
    <n v="1"/>
    <n v="1"/>
    <n v="1"/>
    <s v="W"/>
    <s v="36"/>
    <x v="8"/>
    <s v="6120006"/>
    <n v="2"/>
    <n v="4"/>
    <n v="4"/>
  </r>
  <r>
    <s v="RESI"/>
    <x v="6"/>
    <x v="5"/>
    <x v="0"/>
    <x v="0"/>
    <n v="1"/>
    <n v="1"/>
    <n v="1"/>
    <s v="W"/>
    <s v="30"/>
    <x v="2"/>
    <s v="6120008"/>
    <n v="2"/>
    <n v="2"/>
    <n v="2"/>
  </r>
  <r>
    <s v="RESI"/>
    <x v="6"/>
    <x v="5"/>
    <x v="0"/>
    <x v="0"/>
    <n v="1"/>
    <n v="1"/>
    <n v="1"/>
    <s v="W"/>
    <s v="30"/>
    <x v="2"/>
    <s v="6120009"/>
    <n v="2"/>
    <n v="2"/>
    <n v="2"/>
  </r>
  <r>
    <s v="RESI"/>
    <x v="6"/>
    <x v="5"/>
    <x v="0"/>
    <x v="0"/>
    <n v="1"/>
    <n v="1"/>
    <n v="1"/>
    <s v="W"/>
    <s v="35"/>
    <x v="4"/>
    <s v="6120015"/>
    <n v="2"/>
    <n v="167"/>
    <n v="167"/>
  </r>
  <r>
    <s v="RESI"/>
    <x v="6"/>
    <x v="5"/>
    <x v="0"/>
    <x v="0"/>
    <n v="1"/>
    <n v="1"/>
    <n v="1"/>
    <s v="W"/>
    <s v="30"/>
    <x v="2"/>
    <s v="6120028"/>
    <n v="2"/>
    <n v="30"/>
    <n v="30"/>
  </r>
  <r>
    <s v="RESI"/>
    <x v="6"/>
    <x v="5"/>
    <x v="0"/>
    <x v="3"/>
    <n v="1"/>
    <n v="1"/>
    <n v="1"/>
    <s v="W"/>
    <s v="30"/>
    <x v="2"/>
    <s v="6120028"/>
    <n v="2"/>
    <n v="1"/>
    <n v="1"/>
  </r>
  <r>
    <s v="RESI"/>
    <x v="6"/>
    <x v="5"/>
    <x v="0"/>
    <x v="0"/>
    <n v="1"/>
    <n v="1"/>
    <n v="1"/>
    <s v="W"/>
    <s v="33"/>
    <x v="9"/>
    <s v="6120040"/>
    <n v="2"/>
    <n v="82"/>
    <n v="82"/>
  </r>
  <r>
    <s v="RESI"/>
    <x v="6"/>
    <x v="5"/>
    <x v="0"/>
    <x v="3"/>
    <n v="1"/>
    <n v="1"/>
    <n v="1"/>
    <s v="W"/>
    <s v="33"/>
    <x v="9"/>
    <s v="6120040"/>
    <n v="2"/>
    <n v="1"/>
    <n v="1"/>
  </r>
  <r>
    <s v="RESI"/>
    <x v="6"/>
    <x v="5"/>
    <x v="0"/>
    <x v="0"/>
    <n v="1"/>
    <n v="1"/>
    <n v="1"/>
    <s v="W"/>
    <s v="30"/>
    <x v="2"/>
    <s v="6130002"/>
    <n v="3"/>
    <n v="1"/>
    <n v="1"/>
  </r>
  <r>
    <s v="RESI"/>
    <x v="6"/>
    <x v="5"/>
    <x v="0"/>
    <x v="0"/>
    <n v="1"/>
    <n v="1"/>
    <n v="1"/>
    <s v="W"/>
    <s v="32"/>
    <x v="7"/>
    <s v="6130004"/>
    <n v="3"/>
    <n v="14"/>
    <n v="14"/>
  </r>
  <r>
    <s v="RESI"/>
    <x v="6"/>
    <x v="5"/>
    <x v="0"/>
    <x v="3"/>
    <n v="1"/>
    <n v="1"/>
    <n v="1"/>
    <s v="W"/>
    <s v="32"/>
    <x v="7"/>
    <s v="6130004"/>
    <n v="3"/>
    <n v="1"/>
    <n v="1"/>
  </r>
  <r>
    <s v="RESI"/>
    <x v="6"/>
    <x v="5"/>
    <x v="0"/>
    <x v="0"/>
    <n v="1"/>
    <n v="1"/>
    <n v="1"/>
    <s v="W"/>
    <s v="31"/>
    <x v="3"/>
    <s v="6130005"/>
    <n v="3"/>
    <n v="849"/>
    <n v="849"/>
  </r>
  <r>
    <s v="RESI"/>
    <x v="6"/>
    <x v="5"/>
    <x v="0"/>
    <x v="3"/>
    <n v="1"/>
    <n v="1"/>
    <n v="1"/>
    <s v="W"/>
    <s v="31"/>
    <x v="3"/>
    <s v="6130005"/>
    <n v="3"/>
    <n v="265"/>
    <n v="265"/>
  </r>
  <r>
    <s v="RESI"/>
    <x v="6"/>
    <x v="5"/>
    <x v="0"/>
    <x v="0"/>
    <n v="1"/>
    <n v="1"/>
    <n v="1"/>
    <s v="W"/>
    <s v="36"/>
    <x v="8"/>
    <s v="6130006"/>
    <n v="3"/>
    <n v="2"/>
    <n v="2"/>
  </r>
  <r>
    <s v="RESI"/>
    <x v="6"/>
    <x v="5"/>
    <x v="0"/>
    <x v="0"/>
    <n v="1"/>
    <n v="1"/>
    <n v="1"/>
    <s v="W"/>
    <s v="30"/>
    <x v="2"/>
    <s v="6130008"/>
    <n v="3"/>
    <n v="3"/>
    <n v="3"/>
  </r>
  <r>
    <s v="RESI"/>
    <x v="6"/>
    <x v="5"/>
    <x v="0"/>
    <x v="3"/>
    <n v="1"/>
    <n v="1"/>
    <n v="1"/>
    <s v="W"/>
    <s v="30"/>
    <x v="2"/>
    <s v="6130008"/>
    <n v="3"/>
    <n v="1"/>
    <n v="1"/>
  </r>
  <r>
    <s v="RESI"/>
    <x v="6"/>
    <x v="5"/>
    <x v="0"/>
    <x v="0"/>
    <n v="1"/>
    <n v="1"/>
    <n v="1"/>
    <s v="W"/>
    <s v="35"/>
    <x v="4"/>
    <s v="6130015"/>
    <n v="3"/>
    <n v="167"/>
    <n v="167"/>
  </r>
  <r>
    <s v="RESI"/>
    <x v="6"/>
    <x v="5"/>
    <x v="0"/>
    <x v="0"/>
    <n v="1"/>
    <n v="1"/>
    <n v="1"/>
    <s v="W"/>
    <s v="3A"/>
    <x v="0"/>
    <s v="6130022"/>
    <n v="3"/>
    <n v="139"/>
    <n v="139"/>
  </r>
  <r>
    <s v="RESI"/>
    <x v="6"/>
    <x v="5"/>
    <x v="0"/>
    <x v="0"/>
    <n v="1"/>
    <n v="1"/>
    <n v="1"/>
    <s v="W"/>
    <s v="30"/>
    <x v="2"/>
    <s v="6130028"/>
    <n v="3"/>
    <n v="33"/>
    <n v="33"/>
  </r>
  <r>
    <s v="RESI"/>
    <x v="6"/>
    <x v="5"/>
    <x v="0"/>
    <x v="3"/>
    <n v="1"/>
    <n v="1"/>
    <n v="1"/>
    <s v="W"/>
    <s v="30"/>
    <x v="2"/>
    <s v="6130028"/>
    <n v="3"/>
    <n v="1"/>
    <n v="1"/>
  </r>
  <r>
    <s v="COMM"/>
    <x v="6"/>
    <x v="5"/>
    <x v="0"/>
    <x v="8"/>
    <n v="1"/>
    <n v="1"/>
    <n v="1"/>
    <s v="W"/>
    <s v="71"/>
    <x v="1"/>
    <s v="6170005"/>
    <n v="9"/>
    <n v="1"/>
    <n v="1"/>
  </r>
  <r>
    <s v="COMM"/>
    <x v="6"/>
    <x v="5"/>
    <x v="0"/>
    <x v="4"/>
    <n v="1"/>
    <n v="1"/>
    <n v="1"/>
    <s v="W"/>
    <s v="71"/>
    <x v="1"/>
    <s v="6170005"/>
    <n v="9"/>
    <n v="1"/>
    <n v="1"/>
  </r>
  <r>
    <s v="COMM"/>
    <x v="6"/>
    <x v="5"/>
    <x v="0"/>
    <x v="1"/>
    <n v="1"/>
    <n v="1"/>
    <n v="1"/>
    <s v="W"/>
    <s v="71"/>
    <x v="1"/>
    <s v="6170005"/>
    <n v="9"/>
    <n v="38"/>
    <n v="38"/>
  </r>
  <r>
    <s v="IND"/>
    <x v="6"/>
    <x v="5"/>
    <x v="0"/>
    <x v="1"/>
    <n v="1"/>
    <n v="1"/>
    <n v="1"/>
    <s v="W"/>
    <s v="71"/>
    <x v="1"/>
    <s v="6170005"/>
    <n v="9"/>
    <n v="1"/>
    <n v="1"/>
  </r>
  <r>
    <s v="COMM"/>
    <x v="6"/>
    <x v="5"/>
    <x v="0"/>
    <x v="3"/>
    <n v="1"/>
    <n v="1"/>
    <n v="1"/>
    <s v="W"/>
    <s v="71"/>
    <x v="1"/>
    <s v="6170005"/>
    <n v="9"/>
    <n v="4"/>
    <n v="4"/>
  </r>
  <r>
    <s v="COMM"/>
    <x v="6"/>
    <x v="5"/>
    <x v="0"/>
    <x v="1"/>
    <n v="1"/>
    <n v="1"/>
    <n v="1"/>
    <s v="W"/>
    <s v="75"/>
    <x v="22"/>
    <s v="6170015"/>
    <n v="9"/>
    <n v="1"/>
    <n v="1"/>
  </r>
  <r>
    <s v="COMM"/>
    <x v="6"/>
    <x v="5"/>
    <x v="0"/>
    <x v="1"/>
    <n v="1"/>
    <n v="1"/>
    <n v="1"/>
    <s v="W"/>
    <s v="7A"/>
    <x v="24"/>
    <s v="6170022"/>
    <n v="9"/>
    <n v="1"/>
    <n v="1"/>
  </r>
  <r>
    <s v="COMM"/>
    <x v="6"/>
    <x v="5"/>
    <x v="0"/>
    <x v="2"/>
    <n v="1"/>
    <n v="1"/>
    <n v="1"/>
    <s v="W"/>
    <s v="71"/>
    <x v="1"/>
    <s v="6170055"/>
    <n v="9"/>
    <n v="2"/>
    <n v="2"/>
  </r>
  <r>
    <s v="COMM"/>
    <x v="6"/>
    <x v="5"/>
    <x v="0"/>
    <x v="1"/>
    <n v="1"/>
    <n v="1"/>
    <n v="2"/>
    <s v="W"/>
    <s v="72"/>
    <x v="21"/>
    <s v="6170004"/>
    <n v="9"/>
    <n v="3"/>
    <n v="3"/>
  </r>
  <r>
    <s v="COMM"/>
    <x v="6"/>
    <x v="5"/>
    <x v="0"/>
    <x v="3"/>
    <n v="1"/>
    <n v="1"/>
    <n v="2"/>
    <s v="W"/>
    <s v="71"/>
    <x v="1"/>
    <s v="6170005"/>
    <n v="9"/>
    <n v="1"/>
    <n v="1"/>
  </r>
  <r>
    <s v="COMM"/>
    <x v="6"/>
    <x v="5"/>
    <x v="0"/>
    <x v="1"/>
    <n v="1"/>
    <n v="1"/>
    <n v="2"/>
    <s v="W"/>
    <s v="75"/>
    <x v="22"/>
    <s v="6170015"/>
    <n v="9"/>
    <n v="2"/>
    <n v="2"/>
  </r>
  <r>
    <s v="COMM"/>
    <x v="6"/>
    <x v="5"/>
    <x v="0"/>
    <x v="1"/>
    <n v="1"/>
    <n v="1"/>
    <n v="2"/>
    <s v="W"/>
    <s v="70"/>
    <x v="17"/>
    <s v="6170028"/>
    <n v="9"/>
    <n v="4"/>
    <n v="4"/>
  </r>
  <r>
    <s v="COMM"/>
    <x v="6"/>
    <x v="5"/>
    <x v="0"/>
    <x v="1"/>
    <n v="1"/>
    <n v="1"/>
    <n v="2"/>
    <s v="W"/>
    <s v="73"/>
    <x v="18"/>
    <s v="6170040"/>
    <n v="9"/>
    <n v="4"/>
    <n v="4"/>
  </r>
  <r>
    <s v="RESI"/>
    <x v="6"/>
    <x v="5"/>
    <x v="0"/>
    <x v="0"/>
    <n v="2"/>
    <n v="1"/>
    <n v="1"/>
    <s v="W"/>
    <s v="32"/>
    <x v="7"/>
    <s v="6130004"/>
    <n v="3"/>
    <n v="2"/>
    <n v="1"/>
  </r>
  <r>
    <s v="COMM"/>
    <x v="6"/>
    <x v="5"/>
    <x v="0"/>
    <x v="1"/>
    <n v="2"/>
    <n v="1"/>
    <n v="1"/>
    <s v="W"/>
    <s v="71"/>
    <x v="1"/>
    <s v="6170005"/>
    <n v="9"/>
    <n v="2"/>
    <n v="1"/>
  </r>
  <r>
    <s v="RESI"/>
    <x v="6"/>
    <x v="5"/>
    <x v="0"/>
    <x v="0"/>
    <n v="2"/>
    <n v="2"/>
    <n v="1"/>
    <s v="W"/>
    <s v="3B"/>
    <x v="2"/>
    <s v="6080001"/>
    <n v="1"/>
    <n v="4"/>
    <n v="2"/>
  </r>
  <r>
    <s v="RESI"/>
    <x v="6"/>
    <x v="5"/>
    <x v="0"/>
    <x v="0"/>
    <n v="2"/>
    <n v="2"/>
    <n v="1"/>
    <s v="W"/>
    <s v="3C"/>
    <x v="5"/>
    <s v="6080004"/>
    <n v="1"/>
    <n v="10"/>
    <n v="5"/>
  </r>
  <r>
    <s v="RESI"/>
    <x v="6"/>
    <x v="5"/>
    <x v="0"/>
    <x v="0"/>
    <n v="2"/>
    <n v="2"/>
    <n v="1"/>
    <s v="W"/>
    <s v="3C"/>
    <x v="5"/>
    <s v="6080004"/>
    <n v="3"/>
    <n v="4"/>
    <n v="2"/>
  </r>
  <r>
    <s v="RESI"/>
    <x v="6"/>
    <x v="5"/>
    <x v="0"/>
    <x v="0"/>
    <n v="2"/>
    <n v="2"/>
    <n v="1"/>
    <s v="W"/>
    <s v="3B"/>
    <x v="2"/>
    <s v="6080020"/>
    <n v="2"/>
    <n v="4"/>
    <n v="2"/>
  </r>
  <r>
    <s v="RESI"/>
    <x v="6"/>
    <x v="5"/>
    <x v="0"/>
    <x v="0"/>
    <n v="2"/>
    <n v="2"/>
    <n v="1"/>
    <s v="W"/>
    <s v="3B"/>
    <x v="2"/>
    <s v="6080050"/>
    <n v="5"/>
    <n v="2"/>
    <n v="1"/>
  </r>
  <r>
    <s v="RESI"/>
    <x v="6"/>
    <x v="5"/>
    <x v="0"/>
    <x v="0"/>
    <n v="2"/>
    <n v="2"/>
    <n v="1"/>
    <s v="W"/>
    <s v="31"/>
    <x v="3"/>
    <s v="6110005"/>
    <n v="1"/>
    <n v="8"/>
    <n v="4"/>
  </r>
  <r>
    <s v="RESI"/>
    <x v="6"/>
    <x v="5"/>
    <x v="0"/>
    <x v="3"/>
    <n v="2"/>
    <n v="2"/>
    <n v="1"/>
    <s v="W"/>
    <s v="31"/>
    <x v="3"/>
    <s v="6110005"/>
    <n v="1"/>
    <n v="2"/>
    <n v="1"/>
  </r>
  <r>
    <s v="RESI"/>
    <x v="6"/>
    <x v="5"/>
    <x v="0"/>
    <x v="0"/>
    <n v="2"/>
    <n v="2"/>
    <n v="1"/>
    <s v="W"/>
    <s v="31"/>
    <x v="3"/>
    <s v="6120005"/>
    <n v="2"/>
    <n v="4"/>
    <n v="2"/>
  </r>
  <r>
    <s v="RESI"/>
    <x v="6"/>
    <x v="5"/>
    <x v="0"/>
    <x v="0"/>
    <n v="2"/>
    <n v="2"/>
    <n v="1"/>
    <s v="W"/>
    <s v="36"/>
    <x v="8"/>
    <s v="6120006"/>
    <n v="2"/>
    <n v="2"/>
    <n v="1"/>
  </r>
  <r>
    <s v="RESI"/>
    <x v="6"/>
    <x v="5"/>
    <x v="0"/>
    <x v="0"/>
    <n v="2"/>
    <n v="2"/>
    <n v="1"/>
    <s v="W"/>
    <s v="30"/>
    <x v="2"/>
    <s v="6120008"/>
    <n v="2"/>
    <n v="2"/>
    <n v="1"/>
  </r>
  <r>
    <s v="RESI"/>
    <x v="6"/>
    <x v="5"/>
    <x v="0"/>
    <x v="0"/>
    <n v="2"/>
    <n v="2"/>
    <n v="1"/>
    <s v="W"/>
    <s v="35"/>
    <x v="4"/>
    <s v="6120015"/>
    <n v="2"/>
    <n v="2"/>
    <n v="1"/>
  </r>
  <r>
    <s v="RESI"/>
    <x v="6"/>
    <x v="5"/>
    <x v="0"/>
    <x v="0"/>
    <n v="2"/>
    <n v="2"/>
    <n v="1"/>
    <s v="W"/>
    <s v="33"/>
    <x v="9"/>
    <s v="6120040"/>
    <n v="2"/>
    <n v="4"/>
    <n v="2"/>
  </r>
  <r>
    <s v="RESI"/>
    <x v="6"/>
    <x v="5"/>
    <x v="0"/>
    <x v="3"/>
    <n v="2"/>
    <n v="2"/>
    <n v="1"/>
    <s v="W"/>
    <s v="31"/>
    <x v="3"/>
    <s v="6130005"/>
    <n v="3"/>
    <n v="4"/>
    <n v="2"/>
  </r>
  <r>
    <s v="RESI"/>
    <x v="6"/>
    <x v="5"/>
    <x v="0"/>
    <x v="0"/>
    <n v="2"/>
    <n v="2"/>
    <n v="1"/>
    <s v="W"/>
    <s v="31"/>
    <x v="3"/>
    <s v="6130005"/>
    <n v="3"/>
    <n v="10"/>
    <n v="5"/>
  </r>
  <r>
    <s v="RESI"/>
    <x v="6"/>
    <x v="5"/>
    <x v="0"/>
    <x v="0"/>
    <n v="2"/>
    <n v="2"/>
    <n v="1"/>
    <s v="W"/>
    <s v="30"/>
    <x v="2"/>
    <s v="6130008"/>
    <n v="3"/>
    <n v="2"/>
    <n v="1"/>
  </r>
  <r>
    <s v="RESI"/>
    <x v="6"/>
    <x v="5"/>
    <x v="0"/>
    <x v="0"/>
    <n v="2"/>
    <n v="2"/>
    <n v="1"/>
    <s v="W"/>
    <s v="3A"/>
    <x v="0"/>
    <s v="6130022"/>
    <n v="3"/>
    <n v="2"/>
    <n v="1"/>
  </r>
  <r>
    <s v="COMM"/>
    <x v="6"/>
    <x v="5"/>
    <x v="0"/>
    <x v="3"/>
    <n v="2"/>
    <n v="2"/>
    <n v="1"/>
    <s v="W"/>
    <s v="71"/>
    <x v="1"/>
    <s v="6170005"/>
    <n v="9"/>
    <n v="4"/>
    <n v="2"/>
  </r>
  <r>
    <s v="COMM"/>
    <x v="6"/>
    <x v="5"/>
    <x v="0"/>
    <x v="1"/>
    <n v="2"/>
    <n v="2"/>
    <n v="1"/>
    <s v="W"/>
    <s v="71"/>
    <x v="1"/>
    <s v="6170005"/>
    <n v="9"/>
    <n v="8"/>
    <n v="4"/>
  </r>
  <r>
    <s v="COMM"/>
    <x v="6"/>
    <x v="5"/>
    <x v="0"/>
    <x v="2"/>
    <n v="2"/>
    <n v="2"/>
    <n v="1"/>
    <s v="W"/>
    <s v="71"/>
    <x v="1"/>
    <s v="6170055"/>
    <n v="9"/>
    <n v="6"/>
    <n v="3"/>
  </r>
  <r>
    <s v="COMM"/>
    <x v="6"/>
    <x v="5"/>
    <x v="0"/>
    <x v="1"/>
    <n v="2"/>
    <n v="2"/>
    <n v="2"/>
    <s v="W"/>
    <s v="72"/>
    <x v="21"/>
    <s v="6170004"/>
    <n v="9"/>
    <n v="2"/>
    <n v="1"/>
  </r>
  <r>
    <s v="COMM"/>
    <x v="6"/>
    <x v="5"/>
    <x v="0"/>
    <x v="1"/>
    <n v="2"/>
    <n v="2"/>
    <n v="2"/>
    <s v="W"/>
    <s v="71"/>
    <x v="1"/>
    <s v="6170005"/>
    <n v="9"/>
    <n v="2"/>
    <n v="1"/>
  </r>
  <r>
    <s v="COMM"/>
    <x v="6"/>
    <x v="5"/>
    <x v="0"/>
    <x v="3"/>
    <n v="2"/>
    <n v="2"/>
    <n v="2"/>
    <s v="W"/>
    <s v="71"/>
    <x v="1"/>
    <s v="6170005"/>
    <n v="9"/>
    <n v="2"/>
    <n v="1"/>
  </r>
  <r>
    <s v="COMM"/>
    <x v="6"/>
    <x v="5"/>
    <x v="0"/>
    <x v="2"/>
    <n v="2"/>
    <n v="2"/>
    <n v="2"/>
    <s v="W"/>
    <s v="73"/>
    <x v="18"/>
    <s v="6170040"/>
    <n v="9"/>
    <n v="2"/>
    <n v="1"/>
  </r>
  <r>
    <s v="COMM"/>
    <x v="6"/>
    <x v="5"/>
    <x v="0"/>
    <x v="1"/>
    <n v="3"/>
    <n v="3"/>
    <n v="1"/>
    <s v="W"/>
    <s v="7C"/>
    <x v="19"/>
    <s v="6080004"/>
    <n v="4"/>
    <n v="3"/>
    <n v="1"/>
  </r>
  <r>
    <s v="COMM"/>
    <x v="6"/>
    <x v="5"/>
    <x v="0"/>
    <x v="1"/>
    <n v="3"/>
    <n v="3"/>
    <n v="1"/>
    <s v="W"/>
    <s v="71"/>
    <x v="1"/>
    <s v="6170005"/>
    <n v="9"/>
    <n v="3"/>
    <n v="1"/>
  </r>
  <r>
    <s v="RESI"/>
    <x v="6"/>
    <x v="5"/>
    <x v="0"/>
    <x v="3"/>
    <n v="4"/>
    <n v="4"/>
    <n v="1"/>
    <s v="W"/>
    <s v="31"/>
    <x v="3"/>
    <s v="6110005"/>
    <n v="1"/>
    <n v="4"/>
    <n v="1"/>
  </r>
  <r>
    <s v="COMM"/>
    <x v="6"/>
    <x v="5"/>
    <x v="0"/>
    <x v="1"/>
    <n v="4"/>
    <n v="4"/>
    <n v="1"/>
    <s v="W"/>
    <s v="71"/>
    <x v="1"/>
    <s v="6170005"/>
    <n v="9"/>
    <n v="4"/>
    <n v="1"/>
  </r>
  <r>
    <s v="COMM"/>
    <x v="6"/>
    <x v="5"/>
    <x v="0"/>
    <x v="2"/>
    <n v="4"/>
    <n v="4"/>
    <n v="1"/>
    <s v="W"/>
    <s v="71"/>
    <x v="1"/>
    <s v="6170055"/>
    <n v="9"/>
    <n v="8"/>
    <n v="2"/>
  </r>
  <r>
    <s v="COMM"/>
    <x v="6"/>
    <x v="5"/>
    <x v="0"/>
    <x v="2"/>
    <n v="6"/>
    <n v="0"/>
    <n v="0"/>
    <m/>
    <s v="71"/>
    <x v="1"/>
    <s v="6170055"/>
    <n v="9"/>
    <n v="6"/>
    <n v="1"/>
  </r>
  <r>
    <s v="IND"/>
    <x v="6"/>
    <x v="5"/>
    <x v="0"/>
    <x v="8"/>
    <n v="10"/>
    <n v="10"/>
    <n v="1"/>
    <s v="W"/>
    <s v="71"/>
    <x v="1"/>
    <s v="6170005"/>
    <n v="9"/>
    <n v="10"/>
    <n v="1"/>
  </r>
  <r>
    <s v="COMM"/>
    <x v="6"/>
    <x v="5"/>
    <x v="0"/>
    <x v="2"/>
    <n v="12"/>
    <n v="12"/>
    <n v="1"/>
    <s v="W"/>
    <s v="71"/>
    <x v="1"/>
    <s v="6170055"/>
    <n v="9"/>
    <n v="12"/>
    <n v="1"/>
  </r>
  <r>
    <s v="COMM"/>
    <x v="6"/>
    <x v="5"/>
    <x v="0"/>
    <x v="2"/>
    <n v="17"/>
    <n v="17"/>
    <n v="1"/>
    <s v="W"/>
    <s v="71"/>
    <x v="1"/>
    <s v="6170055"/>
    <n v="9"/>
    <n v="17"/>
    <n v="1"/>
  </r>
  <r>
    <s v="COMM"/>
    <x v="6"/>
    <x v="5"/>
    <x v="0"/>
    <x v="2"/>
    <n v="20"/>
    <n v="20"/>
    <n v="1"/>
    <s v="W"/>
    <s v="71"/>
    <x v="1"/>
    <s v="6170055"/>
    <n v="9"/>
    <n v="20"/>
    <n v="1"/>
  </r>
  <r>
    <s v="COMM"/>
    <x v="6"/>
    <x v="5"/>
    <x v="0"/>
    <x v="2"/>
    <n v="29"/>
    <n v="29"/>
    <n v="1"/>
    <s v="W"/>
    <s v="71"/>
    <x v="1"/>
    <s v="6170055"/>
    <n v="9"/>
    <n v="29"/>
    <n v="1"/>
  </r>
  <r>
    <s v="COMM"/>
    <x v="6"/>
    <x v="5"/>
    <x v="0"/>
    <x v="2"/>
    <n v="38"/>
    <n v="38"/>
    <n v="1"/>
    <s v="W"/>
    <s v="71"/>
    <x v="1"/>
    <s v="6170055"/>
    <n v="9"/>
    <n v="38"/>
    <n v="1"/>
  </r>
  <r>
    <s v="COMM"/>
    <x v="6"/>
    <x v="5"/>
    <x v="0"/>
    <x v="2"/>
    <n v="40"/>
    <n v="40"/>
    <n v="1"/>
    <s v="W"/>
    <s v="71"/>
    <x v="1"/>
    <s v="6170055"/>
    <n v="9"/>
    <n v="40"/>
    <n v="1"/>
  </r>
  <r>
    <s v="COMM"/>
    <x v="6"/>
    <x v="5"/>
    <x v="0"/>
    <x v="2"/>
    <n v="48"/>
    <n v="48"/>
    <n v="1"/>
    <s v="W"/>
    <s v="71"/>
    <x v="1"/>
    <s v="6170055"/>
    <n v="9"/>
    <n v="48"/>
    <n v="1"/>
  </r>
  <r>
    <s v="IND"/>
    <x v="6"/>
    <x v="5"/>
    <x v="0"/>
    <x v="1"/>
    <n v="57"/>
    <n v="285"/>
    <n v="1"/>
    <s v="W"/>
    <s v="71"/>
    <x v="1"/>
    <s v="6170005"/>
    <n v="9"/>
    <n v="57"/>
    <n v="1"/>
  </r>
  <r>
    <s v="COMM"/>
    <x v="6"/>
    <x v="5"/>
    <x v="0"/>
    <x v="2"/>
    <n v="64"/>
    <n v="64"/>
    <n v="2"/>
    <s v="W"/>
    <s v="70"/>
    <x v="17"/>
    <s v="6170028"/>
    <n v="9"/>
    <n v="64"/>
    <n v="1"/>
  </r>
  <r>
    <s v="RESI"/>
    <x v="6"/>
    <x v="6"/>
    <x v="0"/>
    <x v="0"/>
    <n v="1"/>
    <n v="1"/>
    <n v="1"/>
    <s v="W"/>
    <s v="31"/>
    <x v="3"/>
    <s v="6130005"/>
    <n v="3"/>
    <n v="1"/>
    <n v="1"/>
  </r>
  <r>
    <s v="COMM"/>
    <x v="6"/>
    <x v="6"/>
    <x v="0"/>
    <x v="1"/>
    <n v="6"/>
    <n v="6"/>
    <n v="2"/>
    <s v="W"/>
    <s v="73"/>
    <x v="18"/>
    <s v="6170040"/>
    <n v="9"/>
    <n v="6"/>
    <n v="1"/>
  </r>
  <r>
    <s v="COMM"/>
    <x v="6"/>
    <x v="7"/>
    <x v="0"/>
    <x v="1"/>
    <n v="1"/>
    <n v="0"/>
    <n v="0"/>
    <m/>
    <s v="71"/>
    <x v="1"/>
    <s v="6170005"/>
    <n v="9"/>
    <n v="1"/>
    <n v="1"/>
  </r>
  <r>
    <s v="COMM"/>
    <x v="6"/>
    <x v="7"/>
    <x v="0"/>
    <x v="1"/>
    <n v="1"/>
    <n v="1"/>
    <n v="1"/>
    <s v="W"/>
    <s v="75"/>
    <x v="22"/>
    <m/>
    <n v="0"/>
    <n v="1"/>
    <n v="1"/>
  </r>
  <r>
    <s v="IND"/>
    <x v="6"/>
    <x v="7"/>
    <x v="0"/>
    <x v="1"/>
    <n v="1"/>
    <n v="1"/>
    <n v="1"/>
    <s v="W"/>
    <s v="24"/>
    <x v="28"/>
    <s v="5970060"/>
    <n v="8"/>
    <n v="1"/>
    <n v="1"/>
  </r>
  <r>
    <s v="RESI"/>
    <x v="6"/>
    <x v="7"/>
    <x v="0"/>
    <x v="0"/>
    <n v="1"/>
    <n v="1"/>
    <n v="1"/>
    <s v="W"/>
    <s v="3B"/>
    <x v="2"/>
    <s v="6080001"/>
    <n v="1"/>
    <n v="739"/>
    <n v="739"/>
  </r>
  <r>
    <s v="RESI"/>
    <x v="6"/>
    <x v="7"/>
    <x v="0"/>
    <x v="0"/>
    <n v="1"/>
    <n v="1"/>
    <n v="1"/>
    <s v="W"/>
    <s v="3C"/>
    <x v="5"/>
    <s v="6080004"/>
    <n v="1"/>
    <n v="37"/>
    <n v="37"/>
  </r>
  <r>
    <s v="RESI"/>
    <x v="6"/>
    <x v="7"/>
    <x v="0"/>
    <x v="0"/>
    <n v="1"/>
    <n v="1"/>
    <n v="1"/>
    <s v="W"/>
    <s v="3B"/>
    <x v="2"/>
    <s v="6080004"/>
    <n v="3"/>
    <n v="1"/>
    <n v="1"/>
  </r>
  <r>
    <s v="RESI"/>
    <x v="6"/>
    <x v="7"/>
    <x v="0"/>
    <x v="0"/>
    <n v="1"/>
    <n v="1"/>
    <n v="1"/>
    <s v="W"/>
    <s v="3C"/>
    <x v="5"/>
    <s v="6080004"/>
    <n v="3"/>
    <n v="510"/>
    <n v="510"/>
  </r>
  <r>
    <s v="COMM"/>
    <x v="6"/>
    <x v="7"/>
    <x v="0"/>
    <x v="8"/>
    <n v="1"/>
    <n v="1"/>
    <n v="1"/>
    <s v="W"/>
    <s v="7C"/>
    <x v="19"/>
    <s v="6080004"/>
    <n v="4"/>
    <n v="9"/>
    <n v="9"/>
  </r>
  <r>
    <s v="COMM"/>
    <x v="6"/>
    <x v="7"/>
    <x v="0"/>
    <x v="1"/>
    <n v="1"/>
    <n v="1"/>
    <n v="1"/>
    <s v="W"/>
    <s v="1C"/>
    <x v="6"/>
    <s v="6080004"/>
    <n v="4"/>
    <n v="1"/>
    <n v="1"/>
  </r>
  <r>
    <s v="COMM"/>
    <x v="6"/>
    <x v="7"/>
    <x v="0"/>
    <x v="1"/>
    <n v="1"/>
    <n v="1"/>
    <n v="1"/>
    <s v="W"/>
    <s v="7C"/>
    <x v="19"/>
    <s v="6080004"/>
    <n v="4"/>
    <n v="37"/>
    <n v="37"/>
  </r>
  <r>
    <s v="COMM"/>
    <x v="6"/>
    <x v="7"/>
    <x v="0"/>
    <x v="15"/>
    <n v="1"/>
    <n v="1"/>
    <n v="1"/>
    <s v="W"/>
    <s v="7C"/>
    <x v="19"/>
    <s v="6080004"/>
    <n v="4"/>
    <n v="1"/>
    <n v="1"/>
  </r>
  <r>
    <s v="COMM"/>
    <x v="6"/>
    <x v="7"/>
    <x v="0"/>
    <x v="3"/>
    <n v="1"/>
    <n v="1"/>
    <n v="1"/>
    <s v="W"/>
    <s v="7C"/>
    <x v="19"/>
    <s v="6080004"/>
    <n v="4"/>
    <n v="1"/>
    <n v="1"/>
  </r>
  <r>
    <s v="COMM"/>
    <x v="6"/>
    <x v="7"/>
    <x v="0"/>
    <x v="2"/>
    <n v="1"/>
    <n v="1"/>
    <n v="1"/>
    <s v="W"/>
    <s v="7C"/>
    <x v="19"/>
    <s v="6080004"/>
    <n v="4"/>
    <n v="4"/>
    <n v="4"/>
  </r>
  <r>
    <s v="RESI"/>
    <x v="6"/>
    <x v="7"/>
    <x v="0"/>
    <x v="0"/>
    <n v="1"/>
    <n v="1"/>
    <n v="1"/>
    <s v="W"/>
    <s v="3B"/>
    <x v="2"/>
    <s v="6080020"/>
    <n v="2"/>
    <n v="737"/>
    <n v="737"/>
  </r>
  <r>
    <s v="COMM"/>
    <x v="6"/>
    <x v="7"/>
    <x v="0"/>
    <x v="1"/>
    <n v="1"/>
    <n v="1"/>
    <n v="1"/>
    <s v="W"/>
    <s v="7B"/>
    <x v="20"/>
    <s v="6080040"/>
    <n v="4"/>
    <n v="1"/>
    <n v="1"/>
  </r>
  <r>
    <s v="RESI"/>
    <x v="6"/>
    <x v="7"/>
    <x v="0"/>
    <x v="0"/>
    <n v="1"/>
    <n v="1"/>
    <n v="1"/>
    <s v="W"/>
    <s v="3B"/>
    <x v="2"/>
    <s v="6080050"/>
    <n v="5"/>
    <n v="773"/>
    <n v="773"/>
  </r>
  <r>
    <s v="COMM"/>
    <x v="6"/>
    <x v="7"/>
    <x v="0"/>
    <x v="1"/>
    <n v="1"/>
    <n v="1"/>
    <n v="1"/>
    <s v="W"/>
    <s v="7A"/>
    <x v="24"/>
    <s v="6080240"/>
    <n v="4"/>
    <n v="1"/>
    <n v="1"/>
  </r>
  <r>
    <s v="RESI"/>
    <x v="6"/>
    <x v="7"/>
    <x v="0"/>
    <x v="0"/>
    <n v="1"/>
    <n v="1"/>
    <n v="1"/>
    <s v="W"/>
    <s v="30"/>
    <x v="2"/>
    <s v="6110002"/>
    <n v="1"/>
    <n v="29"/>
    <n v="29"/>
  </r>
  <r>
    <s v="RESI"/>
    <x v="6"/>
    <x v="7"/>
    <x v="0"/>
    <x v="3"/>
    <n v="1"/>
    <n v="1"/>
    <n v="1"/>
    <s v="W"/>
    <s v="30"/>
    <x v="2"/>
    <s v="6110002"/>
    <n v="1"/>
    <n v="11"/>
    <n v="11"/>
  </r>
  <r>
    <s v="RESI"/>
    <x v="6"/>
    <x v="7"/>
    <x v="0"/>
    <x v="3"/>
    <n v="1"/>
    <n v="1"/>
    <n v="1"/>
    <s v="W"/>
    <s v="30"/>
    <x v="2"/>
    <s v="6110003"/>
    <n v="1"/>
    <n v="6"/>
    <n v="6"/>
  </r>
  <r>
    <s v="RESI"/>
    <x v="6"/>
    <x v="7"/>
    <x v="0"/>
    <x v="0"/>
    <n v="1"/>
    <n v="1"/>
    <n v="1"/>
    <s v="W"/>
    <s v="30"/>
    <x v="2"/>
    <s v="6110003"/>
    <n v="1"/>
    <n v="30"/>
    <n v="30"/>
  </r>
  <r>
    <s v="RESI"/>
    <x v="6"/>
    <x v="7"/>
    <x v="0"/>
    <x v="0"/>
    <n v="1"/>
    <n v="1"/>
    <n v="1"/>
    <s v="W"/>
    <s v="32"/>
    <x v="7"/>
    <s v="6110004"/>
    <n v="1"/>
    <n v="765"/>
    <n v="765"/>
  </r>
  <r>
    <s v="RESI"/>
    <x v="6"/>
    <x v="7"/>
    <x v="0"/>
    <x v="3"/>
    <n v="1"/>
    <n v="1"/>
    <n v="1"/>
    <s v="W"/>
    <s v="32"/>
    <x v="7"/>
    <s v="6110004"/>
    <n v="1"/>
    <n v="414"/>
    <n v="414"/>
  </r>
  <r>
    <s v="RESI"/>
    <x v="6"/>
    <x v="7"/>
    <x v="0"/>
    <x v="3"/>
    <n v="1"/>
    <n v="1"/>
    <n v="1"/>
    <s v="W"/>
    <s v="31"/>
    <x v="3"/>
    <s v="6110005"/>
    <n v="1"/>
    <n v="2640"/>
    <n v="2640"/>
  </r>
  <r>
    <s v="RESI"/>
    <x v="6"/>
    <x v="7"/>
    <x v="0"/>
    <x v="0"/>
    <n v="1"/>
    <n v="1"/>
    <n v="1"/>
    <s v="W"/>
    <s v="31"/>
    <x v="3"/>
    <s v="6110005"/>
    <n v="1"/>
    <n v="5637"/>
    <n v="5637"/>
  </r>
  <r>
    <s v="RESI"/>
    <x v="6"/>
    <x v="7"/>
    <x v="0"/>
    <x v="0"/>
    <n v="1"/>
    <n v="1"/>
    <n v="1"/>
    <s v="W"/>
    <s v="36"/>
    <x v="8"/>
    <s v="6110006"/>
    <n v="1"/>
    <n v="198"/>
    <n v="198"/>
  </r>
  <r>
    <s v="RESI"/>
    <x v="6"/>
    <x v="7"/>
    <x v="0"/>
    <x v="3"/>
    <n v="1"/>
    <n v="1"/>
    <n v="1"/>
    <s v="W"/>
    <s v="36"/>
    <x v="8"/>
    <s v="6110006"/>
    <n v="1"/>
    <n v="83"/>
    <n v="83"/>
  </r>
  <r>
    <s v="RESI"/>
    <x v="6"/>
    <x v="7"/>
    <x v="0"/>
    <x v="3"/>
    <n v="1"/>
    <n v="1"/>
    <n v="1"/>
    <s v="W"/>
    <s v="30"/>
    <x v="2"/>
    <s v="6110008"/>
    <n v="1"/>
    <n v="76"/>
    <n v="76"/>
  </r>
  <r>
    <s v="RESI"/>
    <x v="6"/>
    <x v="7"/>
    <x v="0"/>
    <x v="0"/>
    <n v="1"/>
    <n v="1"/>
    <n v="1"/>
    <s v="W"/>
    <s v="30"/>
    <x v="2"/>
    <s v="6110008"/>
    <n v="1"/>
    <n v="202"/>
    <n v="202"/>
  </r>
  <r>
    <s v="RESI"/>
    <x v="6"/>
    <x v="7"/>
    <x v="0"/>
    <x v="0"/>
    <n v="1"/>
    <n v="1"/>
    <n v="1"/>
    <s v="W"/>
    <s v="30"/>
    <x v="2"/>
    <s v="6110009"/>
    <n v="1"/>
    <n v="75"/>
    <n v="75"/>
  </r>
  <r>
    <s v="RESI"/>
    <x v="6"/>
    <x v="7"/>
    <x v="0"/>
    <x v="3"/>
    <n v="1"/>
    <n v="1"/>
    <n v="1"/>
    <s v="W"/>
    <s v="30"/>
    <x v="2"/>
    <s v="6110009"/>
    <n v="1"/>
    <n v="27"/>
    <n v="27"/>
  </r>
  <r>
    <s v="RESI"/>
    <x v="6"/>
    <x v="7"/>
    <x v="0"/>
    <x v="0"/>
    <n v="1"/>
    <n v="1"/>
    <n v="1"/>
    <s v="W"/>
    <s v="3B"/>
    <x v="2"/>
    <s v="6110015"/>
    <n v="1"/>
    <n v="1"/>
    <n v="1"/>
  </r>
  <r>
    <s v="RESI"/>
    <x v="6"/>
    <x v="7"/>
    <x v="0"/>
    <x v="0"/>
    <n v="1"/>
    <n v="1"/>
    <n v="1"/>
    <s v="W"/>
    <s v="35"/>
    <x v="4"/>
    <s v="6110015"/>
    <n v="1"/>
    <n v="2708"/>
    <n v="2708"/>
  </r>
  <r>
    <s v="RESI"/>
    <x v="6"/>
    <x v="7"/>
    <x v="0"/>
    <x v="0"/>
    <n v="1"/>
    <n v="1"/>
    <n v="1"/>
    <s v="W"/>
    <s v="30"/>
    <x v="2"/>
    <s v="6110028"/>
    <n v="1"/>
    <n v="1300"/>
    <n v="1300"/>
  </r>
  <r>
    <s v="RESI"/>
    <x v="6"/>
    <x v="7"/>
    <x v="0"/>
    <x v="3"/>
    <n v="1"/>
    <n v="1"/>
    <n v="1"/>
    <s v="W"/>
    <s v="30"/>
    <x v="2"/>
    <s v="6110028"/>
    <n v="1"/>
    <n v="459"/>
    <n v="459"/>
  </r>
  <r>
    <s v="RESI"/>
    <x v="6"/>
    <x v="7"/>
    <x v="0"/>
    <x v="0"/>
    <n v="1"/>
    <n v="1"/>
    <n v="1"/>
    <s v="W"/>
    <s v="30"/>
    <x v="2"/>
    <s v="6120002"/>
    <n v="2"/>
    <n v="32"/>
    <n v="32"/>
  </r>
  <r>
    <s v="RESI"/>
    <x v="6"/>
    <x v="7"/>
    <x v="0"/>
    <x v="3"/>
    <n v="1"/>
    <n v="1"/>
    <n v="1"/>
    <s v="W"/>
    <s v="30"/>
    <x v="2"/>
    <s v="6120002"/>
    <n v="2"/>
    <n v="17"/>
    <n v="17"/>
  </r>
  <r>
    <s v="RESI"/>
    <x v="6"/>
    <x v="7"/>
    <x v="0"/>
    <x v="3"/>
    <n v="1"/>
    <n v="1"/>
    <n v="1"/>
    <s v="W"/>
    <s v="30"/>
    <x v="2"/>
    <s v="6120003"/>
    <n v="2"/>
    <n v="14"/>
    <n v="14"/>
  </r>
  <r>
    <s v="RESI"/>
    <x v="6"/>
    <x v="7"/>
    <x v="0"/>
    <x v="0"/>
    <n v="1"/>
    <n v="1"/>
    <n v="1"/>
    <s v="W"/>
    <s v="30"/>
    <x v="2"/>
    <s v="6120003"/>
    <n v="2"/>
    <n v="18"/>
    <n v="18"/>
  </r>
  <r>
    <s v="RESI"/>
    <x v="6"/>
    <x v="7"/>
    <x v="0"/>
    <x v="0"/>
    <n v="1"/>
    <n v="1"/>
    <n v="1"/>
    <s v="W"/>
    <s v="32"/>
    <x v="7"/>
    <s v="6120004"/>
    <n v="2"/>
    <n v="771"/>
    <n v="771"/>
  </r>
  <r>
    <s v="RESI"/>
    <x v="6"/>
    <x v="7"/>
    <x v="0"/>
    <x v="3"/>
    <n v="1"/>
    <n v="1"/>
    <n v="1"/>
    <s v="W"/>
    <s v="32"/>
    <x v="7"/>
    <s v="6120004"/>
    <n v="2"/>
    <n v="365"/>
    <n v="365"/>
  </r>
  <r>
    <s v="RESI"/>
    <x v="6"/>
    <x v="7"/>
    <x v="0"/>
    <x v="3"/>
    <n v="1"/>
    <n v="1"/>
    <n v="1"/>
    <s v="W"/>
    <s v="31"/>
    <x v="3"/>
    <s v="6120005"/>
    <n v="2"/>
    <n v="1574"/>
    <n v="1574"/>
  </r>
  <r>
    <s v="RESI"/>
    <x v="6"/>
    <x v="7"/>
    <x v="0"/>
    <x v="0"/>
    <n v="1"/>
    <n v="1"/>
    <n v="1"/>
    <s v="W"/>
    <s v="31"/>
    <x v="3"/>
    <s v="6120005"/>
    <n v="2"/>
    <n v="6394"/>
    <n v="6394"/>
  </r>
  <r>
    <s v="RESI"/>
    <x v="6"/>
    <x v="7"/>
    <x v="0"/>
    <x v="0"/>
    <n v="1"/>
    <n v="1"/>
    <n v="1"/>
    <s v="W"/>
    <s v="36"/>
    <x v="8"/>
    <s v="6120006"/>
    <n v="2"/>
    <n v="214"/>
    <n v="214"/>
  </r>
  <r>
    <s v="RESI"/>
    <x v="6"/>
    <x v="7"/>
    <x v="0"/>
    <x v="3"/>
    <n v="1"/>
    <n v="1"/>
    <n v="1"/>
    <s v="W"/>
    <s v="36"/>
    <x v="8"/>
    <s v="6120006"/>
    <n v="2"/>
    <n v="126"/>
    <n v="126"/>
  </r>
  <r>
    <s v="RESI"/>
    <x v="6"/>
    <x v="7"/>
    <x v="0"/>
    <x v="3"/>
    <n v="1"/>
    <n v="1"/>
    <n v="1"/>
    <s v="W"/>
    <s v="30"/>
    <x v="2"/>
    <s v="6120008"/>
    <n v="2"/>
    <n v="139"/>
    <n v="139"/>
  </r>
  <r>
    <s v="RESI"/>
    <x v="6"/>
    <x v="7"/>
    <x v="0"/>
    <x v="0"/>
    <n v="1"/>
    <n v="1"/>
    <n v="1"/>
    <s v="W"/>
    <s v="30"/>
    <x v="2"/>
    <s v="6120008"/>
    <n v="2"/>
    <n v="219"/>
    <n v="219"/>
  </r>
  <r>
    <s v="RESI"/>
    <x v="6"/>
    <x v="7"/>
    <x v="0"/>
    <x v="0"/>
    <n v="1"/>
    <n v="1"/>
    <n v="1"/>
    <s v="W"/>
    <s v="30"/>
    <x v="2"/>
    <s v="6120009"/>
    <n v="2"/>
    <n v="78"/>
    <n v="78"/>
  </r>
  <r>
    <s v="RESI"/>
    <x v="6"/>
    <x v="7"/>
    <x v="0"/>
    <x v="3"/>
    <n v="1"/>
    <n v="1"/>
    <n v="1"/>
    <s v="W"/>
    <s v="30"/>
    <x v="2"/>
    <s v="6120009"/>
    <n v="2"/>
    <n v="44"/>
    <n v="44"/>
  </r>
  <r>
    <s v="RESI"/>
    <x v="6"/>
    <x v="7"/>
    <x v="0"/>
    <x v="0"/>
    <n v="1"/>
    <n v="1"/>
    <n v="1"/>
    <s v="W"/>
    <s v="35"/>
    <x v="4"/>
    <s v="6120015"/>
    <n v="2"/>
    <n v="2532"/>
    <n v="2532"/>
  </r>
  <r>
    <s v="RESI"/>
    <x v="6"/>
    <x v="7"/>
    <x v="0"/>
    <x v="0"/>
    <n v="1"/>
    <n v="1"/>
    <n v="1"/>
    <s v="W"/>
    <s v="30"/>
    <x v="2"/>
    <s v="6120028"/>
    <n v="2"/>
    <n v="1171"/>
    <n v="1171"/>
  </r>
  <r>
    <s v="RESI"/>
    <x v="6"/>
    <x v="7"/>
    <x v="0"/>
    <x v="3"/>
    <n v="1"/>
    <n v="1"/>
    <n v="1"/>
    <s v="W"/>
    <s v="30"/>
    <x v="2"/>
    <s v="6120028"/>
    <n v="2"/>
    <n v="397"/>
    <n v="397"/>
  </r>
  <r>
    <s v="RESI"/>
    <x v="6"/>
    <x v="7"/>
    <x v="0"/>
    <x v="3"/>
    <n v="1"/>
    <n v="1"/>
    <n v="1"/>
    <s v="W"/>
    <s v="33"/>
    <x v="9"/>
    <s v="6120040"/>
    <n v="2"/>
    <n v="1773"/>
    <n v="1773"/>
  </r>
  <r>
    <s v="RESI"/>
    <x v="6"/>
    <x v="7"/>
    <x v="0"/>
    <x v="0"/>
    <n v="1"/>
    <n v="1"/>
    <n v="1"/>
    <s v="W"/>
    <s v="33"/>
    <x v="9"/>
    <s v="6120040"/>
    <n v="2"/>
    <n v="4115"/>
    <n v="4115"/>
  </r>
  <r>
    <s v="RESI"/>
    <x v="6"/>
    <x v="7"/>
    <x v="0"/>
    <x v="3"/>
    <n v="1"/>
    <n v="1"/>
    <n v="1"/>
    <s v="W"/>
    <s v="30"/>
    <x v="2"/>
    <s v="6130002"/>
    <n v="3"/>
    <n v="7"/>
    <n v="7"/>
  </r>
  <r>
    <s v="RESI"/>
    <x v="6"/>
    <x v="7"/>
    <x v="0"/>
    <x v="0"/>
    <n v="1"/>
    <n v="1"/>
    <n v="1"/>
    <s v="W"/>
    <s v="30"/>
    <x v="2"/>
    <s v="6130002"/>
    <n v="3"/>
    <n v="25"/>
    <n v="25"/>
  </r>
  <r>
    <s v="RESI"/>
    <x v="6"/>
    <x v="7"/>
    <x v="0"/>
    <x v="0"/>
    <n v="1"/>
    <n v="1"/>
    <n v="1"/>
    <s v="W"/>
    <s v="30"/>
    <x v="2"/>
    <s v="6130003"/>
    <n v="3"/>
    <n v="27"/>
    <n v="27"/>
  </r>
  <r>
    <s v="RESI"/>
    <x v="6"/>
    <x v="7"/>
    <x v="0"/>
    <x v="3"/>
    <n v="1"/>
    <n v="1"/>
    <n v="1"/>
    <s v="W"/>
    <s v="30"/>
    <x v="2"/>
    <s v="6130003"/>
    <n v="3"/>
    <n v="9"/>
    <n v="9"/>
  </r>
  <r>
    <s v="RESI"/>
    <x v="6"/>
    <x v="7"/>
    <x v="0"/>
    <x v="0"/>
    <n v="1"/>
    <n v="1"/>
    <n v="1"/>
    <s v="W"/>
    <s v="32"/>
    <x v="7"/>
    <s v="6130004"/>
    <n v="3"/>
    <n v="921"/>
    <n v="921"/>
  </r>
  <r>
    <s v="RESI"/>
    <x v="6"/>
    <x v="7"/>
    <x v="0"/>
    <x v="3"/>
    <n v="1"/>
    <n v="1"/>
    <n v="1"/>
    <s v="W"/>
    <s v="32"/>
    <x v="7"/>
    <s v="6130004"/>
    <n v="3"/>
    <n v="644"/>
    <n v="644"/>
  </r>
  <r>
    <s v="RESI"/>
    <x v="6"/>
    <x v="7"/>
    <x v="0"/>
    <x v="0"/>
    <n v="1"/>
    <n v="1"/>
    <n v="1"/>
    <s v="W"/>
    <s v="31"/>
    <x v="3"/>
    <s v="6130005"/>
    <n v="3"/>
    <n v="5396"/>
    <n v="5396"/>
  </r>
  <r>
    <s v="RESI"/>
    <x v="6"/>
    <x v="7"/>
    <x v="0"/>
    <x v="3"/>
    <n v="1"/>
    <n v="1"/>
    <n v="1"/>
    <s v="W"/>
    <s v="31"/>
    <x v="3"/>
    <s v="6130005"/>
    <n v="3"/>
    <n v="1894"/>
    <n v="1894"/>
  </r>
  <r>
    <s v="RESI"/>
    <x v="6"/>
    <x v="7"/>
    <x v="0"/>
    <x v="0"/>
    <n v="1"/>
    <n v="1"/>
    <n v="1"/>
    <s v="W"/>
    <s v="36"/>
    <x v="8"/>
    <s v="6130006"/>
    <n v="3"/>
    <n v="220"/>
    <n v="220"/>
  </r>
  <r>
    <s v="RESI"/>
    <x v="6"/>
    <x v="7"/>
    <x v="0"/>
    <x v="3"/>
    <n v="1"/>
    <n v="1"/>
    <n v="1"/>
    <s v="W"/>
    <s v="36"/>
    <x v="8"/>
    <s v="6130006"/>
    <n v="3"/>
    <n v="95"/>
    <n v="95"/>
  </r>
  <r>
    <s v="RESI"/>
    <x v="6"/>
    <x v="7"/>
    <x v="0"/>
    <x v="3"/>
    <n v="1"/>
    <n v="1"/>
    <n v="1"/>
    <s v="W"/>
    <s v="30"/>
    <x v="2"/>
    <s v="6130008"/>
    <n v="3"/>
    <n v="82"/>
    <n v="82"/>
  </r>
  <r>
    <s v="RESI"/>
    <x v="6"/>
    <x v="7"/>
    <x v="0"/>
    <x v="0"/>
    <n v="1"/>
    <n v="1"/>
    <n v="1"/>
    <s v="W"/>
    <s v="30"/>
    <x v="2"/>
    <s v="6130008"/>
    <n v="3"/>
    <n v="224"/>
    <n v="224"/>
  </r>
  <r>
    <s v="RESI"/>
    <x v="6"/>
    <x v="7"/>
    <x v="0"/>
    <x v="0"/>
    <n v="1"/>
    <n v="1"/>
    <n v="1"/>
    <s v="W"/>
    <s v="30"/>
    <x v="2"/>
    <s v="6130009"/>
    <n v="3"/>
    <n v="96"/>
    <n v="96"/>
  </r>
  <r>
    <s v="RESI"/>
    <x v="6"/>
    <x v="7"/>
    <x v="0"/>
    <x v="3"/>
    <n v="1"/>
    <n v="1"/>
    <n v="1"/>
    <s v="W"/>
    <s v="30"/>
    <x v="2"/>
    <s v="6130009"/>
    <n v="3"/>
    <n v="28"/>
    <n v="28"/>
  </r>
  <r>
    <s v="RESI"/>
    <x v="6"/>
    <x v="7"/>
    <x v="0"/>
    <x v="0"/>
    <n v="1"/>
    <n v="1"/>
    <n v="1"/>
    <s v="W"/>
    <s v="35"/>
    <x v="4"/>
    <s v="6130015"/>
    <n v="3"/>
    <n v="2625"/>
    <n v="2625"/>
  </r>
  <r>
    <s v="RESI"/>
    <x v="6"/>
    <x v="7"/>
    <x v="0"/>
    <x v="0"/>
    <n v="1"/>
    <n v="1"/>
    <n v="1"/>
    <s v="W"/>
    <s v="3A"/>
    <x v="0"/>
    <s v="6130022"/>
    <n v="3"/>
    <n v="772"/>
    <n v="772"/>
  </r>
  <r>
    <s v="RESI"/>
    <x v="6"/>
    <x v="7"/>
    <x v="0"/>
    <x v="0"/>
    <n v="1"/>
    <n v="1"/>
    <n v="1"/>
    <s v="W"/>
    <s v="3B"/>
    <x v="2"/>
    <s v="6130022"/>
    <n v="3"/>
    <n v="2"/>
    <n v="2"/>
  </r>
  <r>
    <s v="RESI"/>
    <x v="6"/>
    <x v="7"/>
    <x v="0"/>
    <x v="0"/>
    <n v="1"/>
    <n v="1"/>
    <n v="1"/>
    <s v="W"/>
    <s v="30"/>
    <x v="2"/>
    <s v="6130028"/>
    <n v="3"/>
    <n v="1350"/>
    <n v="1350"/>
  </r>
  <r>
    <s v="RESI"/>
    <x v="6"/>
    <x v="7"/>
    <x v="0"/>
    <x v="3"/>
    <n v="1"/>
    <n v="1"/>
    <n v="1"/>
    <s v="W"/>
    <s v="30"/>
    <x v="2"/>
    <s v="6130028"/>
    <n v="3"/>
    <n v="708"/>
    <n v="708"/>
  </r>
  <r>
    <s v="COMM"/>
    <x v="6"/>
    <x v="7"/>
    <x v="0"/>
    <x v="1"/>
    <n v="1"/>
    <n v="1"/>
    <n v="1"/>
    <s v="W"/>
    <s v="72"/>
    <x v="21"/>
    <s v="6170004"/>
    <n v="9"/>
    <n v="1"/>
    <n v="1"/>
  </r>
  <r>
    <s v="COMM"/>
    <x v="6"/>
    <x v="7"/>
    <x v="0"/>
    <x v="3"/>
    <n v="1"/>
    <n v="1"/>
    <n v="1"/>
    <s v="W"/>
    <s v="72"/>
    <x v="21"/>
    <s v="6170004"/>
    <n v="9"/>
    <n v="1"/>
    <n v="1"/>
  </r>
  <r>
    <s v="COMM"/>
    <x v="6"/>
    <x v="7"/>
    <x v="0"/>
    <x v="3"/>
    <n v="1"/>
    <n v="1"/>
    <n v="1"/>
    <s v="W"/>
    <s v="71"/>
    <x v="1"/>
    <s v="6170005"/>
    <n v="9"/>
    <n v="10"/>
    <n v="10"/>
  </r>
  <r>
    <s v="COMM"/>
    <x v="6"/>
    <x v="7"/>
    <x v="0"/>
    <x v="17"/>
    <n v="1"/>
    <n v="1"/>
    <n v="1"/>
    <s v="W"/>
    <s v="71"/>
    <x v="1"/>
    <s v="6170005"/>
    <n v="9"/>
    <n v="1"/>
    <n v="1"/>
  </r>
  <r>
    <s v="COMM"/>
    <x v="6"/>
    <x v="7"/>
    <x v="0"/>
    <x v="8"/>
    <n v="1"/>
    <n v="1"/>
    <n v="1"/>
    <s v="W"/>
    <s v="71"/>
    <x v="1"/>
    <s v="6170005"/>
    <n v="9"/>
    <n v="7"/>
    <n v="7"/>
  </r>
  <r>
    <s v="COMM"/>
    <x v="6"/>
    <x v="7"/>
    <x v="0"/>
    <x v="1"/>
    <n v="1"/>
    <n v="1"/>
    <n v="1"/>
    <s v="W"/>
    <s v="71"/>
    <x v="1"/>
    <s v="6170005"/>
    <n v="9"/>
    <n v="205"/>
    <n v="205"/>
  </r>
  <r>
    <s v="IND"/>
    <x v="6"/>
    <x v="7"/>
    <x v="0"/>
    <x v="1"/>
    <n v="1"/>
    <n v="1"/>
    <n v="1"/>
    <s v="W"/>
    <s v="71"/>
    <x v="1"/>
    <s v="6170005"/>
    <n v="9"/>
    <n v="10"/>
    <n v="10"/>
  </r>
  <r>
    <s v="COMM"/>
    <x v="6"/>
    <x v="7"/>
    <x v="0"/>
    <x v="8"/>
    <n v="1"/>
    <n v="1"/>
    <n v="1"/>
    <s v="W"/>
    <s v="75"/>
    <x v="22"/>
    <s v="6170015"/>
    <n v="9"/>
    <n v="1"/>
    <n v="1"/>
  </r>
  <r>
    <s v="COMM"/>
    <x v="6"/>
    <x v="7"/>
    <x v="0"/>
    <x v="1"/>
    <n v="1"/>
    <n v="1"/>
    <n v="1"/>
    <s v="W"/>
    <s v="75"/>
    <x v="22"/>
    <s v="6170015"/>
    <n v="9"/>
    <n v="6"/>
    <n v="6"/>
  </r>
  <r>
    <s v="COMM"/>
    <x v="6"/>
    <x v="7"/>
    <x v="0"/>
    <x v="1"/>
    <n v="1"/>
    <n v="1"/>
    <n v="1"/>
    <s v="W"/>
    <s v="7A"/>
    <x v="24"/>
    <s v="6170022"/>
    <n v="9"/>
    <n v="1"/>
    <n v="1"/>
  </r>
  <r>
    <s v="COMM"/>
    <x v="6"/>
    <x v="7"/>
    <x v="0"/>
    <x v="2"/>
    <n v="1"/>
    <n v="1"/>
    <n v="1"/>
    <s v="W"/>
    <s v="71"/>
    <x v="1"/>
    <s v="6170055"/>
    <n v="9"/>
    <n v="10"/>
    <n v="10"/>
  </r>
  <r>
    <s v="COMM"/>
    <x v="6"/>
    <x v="7"/>
    <x v="0"/>
    <x v="1"/>
    <n v="1"/>
    <n v="1"/>
    <n v="2"/>
    <s v="W"/>
    <s v="7C"/>
    <x v="19"/>
    <s v="6080004"/>
    <n v="4"/>
    <n v="1"/>
    <n v="1"/>
  </r>
  <r>
    <s v="COMM"/>
    <x v="6"/>
    <x v="7"/>
    <x v="0"/>
    <x v="1"/>
    <n v="1"/>
    <n v="1"/>
    <n v="2"/>
    <s v="W"/>
    <s v="7B"/>
    <x v="20"/>
    <s v="6080040"/>
    <n v="4"/>
    <n v="2"/>
    <n v="2"/>
  </r>
  <r>
    <s v="RESI"/>
    <x v="6"/>
    <x v="7"/>
    <x v="0"/>
    <x v="3"/>
    <n v="1"/>
    <n v="1"/>
    <n v="2"/>
    <s v="W"/>
    <s v="33"/>
    <x v="9"/>
    <s v="6120040"/>
    <n v="2"/>
    <n v="1"/>
    <n v="1"/>
  </r>
  <r>
    <s v="COMM"/>
    <x v="6"/>
    <x v="7"/>
    <x v="0"/>
    <x v="1"/>
    <n v="1"/>
    <n v="1"/>
    <n v="2"/>
    <s v="W"/>
    <s v="70"/>
    <x v="17"/>
    <s v="6170001"/>
    <n v="9"/>
    <n v="1"/>
    <n v="1"/>
  </r>
  <r>
    <s v="COMM"/>
    <x v="6"/>
    <x v="7"/>
    <x v="0"/>
    <x v="1"/>
    <n v="1"/>
    <n v="1"/>
    <n v="2"/>
    <s v="W"/>
    <s v="70"/>
    <x v="17"/>
    <s v="6170002"/>
    <n v="9"/>
    <n v="1"/>
    <n v="1"/>
  </r>
  <r>
    <s v="COMM"/>
    <x v="6"/>
    <x v="7"/>
    <x v="0"/>
    <x v="1"/>
    <n v="1"/>
    <n v="1"/>
    <n v="2"/>
    <s v="W"/>
    <s v="70"/>
    <x v="17"/>
    <s v="6170003"/>
    <n v="9"/>
    <n v="2"/>
    <n v="2"/>
  </r>
  <r>
    <s v="COMM"/>
    <x v="6"/>
    <x v="7"/>
    <x v="0"/>
    <x v="1"/>
    <n v="1"/>
    <n v="1"/>
    <n v="2"/>
    <s v="W"/>
    <s v="72"/>
    <x v="21"/>
    <s v="6170004"/>
    <n v="9"/>
    <n v="6"/>
    <n v="6"/>
  </r>
  <r>
    <s v="COMM"/>
    <x v="6"/>
    <x v="7"/>
    <x v="0"/>
    <x v="17"/>
    <n v="1"/>
    <n v="1"/>
    <n v="2"/>
    <s v="W"/>
    <s v="71"/>
    <x v="1"/>
    <s v="6170005"/>
    <n v="9"/>
    <n v="1"/>
    <n v="1"/>
  </r>
  <r>
    <s v="COMM"/>
    <x v="6"/>
    <x v="7"/>
    <x v="0"/>
    <x v="8"/>
    <n v="1"/>
    <n v="1"/>
    <n v="2"/>
    <s v="W"/>
    <s v="71"/>
    <x v="1"/>
    <s v="6170005"/>
    <n v="9"/>
    <n v="2"/>
    <n v="2"/>
  </r>
  <r>
    <s v="COMM"/>
    <x v="6"/>
    <x v="7"/>
    <x v="0"/>
    <x v="1"/>
    <n v="1"/>
    <n v="1"/>
    <n v="2"/>
    <s v="W"/>
    <s v="71"/>
    <x v="1"/>
    <s v="6170005"/>
    <n v="9"/>
    <n v="3"/>
    <n v="3"/>
  </r>
  <r>
    <s v="COMM"/>
    <x v="6"/>
    <x v="7"/>
    <x v="0"/>
    <x v="3"/>
    <n v="1"/>
    <n v="1"/>
    <n v="2"/>
    <s v="W"/>
    <s v="71"/>
    <x v="1"/>
    <s v="6170005"/>
    <n v="9"/>
    <n v="4"/>
    <n v="4"/>
  </r>
  <r>
    <s v="COMM"/>
    <x v="6"/>
    <x v="7"/>
    <x v="0"/>
    <x v="1"/>
    <n v="1"/>
    <n v="1"/>
    <n v="2"/>
    <s v="W"/>
    <s v="76"/>
    <x v="25"/>
    <s v="6170006"/>
    <n v="9"/>
    <n v="3"/>
    <n v="3"/>
  </r>
  <r>
    <s v="COMM"/>
    <x v="6"/>
    <x v="7"/>
    <x v="0"/>
    <x v="1"/>
    <n v="1"/>
    <n v="1"/>
    <n v="2"/>
    <s v="W"/>
    <s v="70"/>
    <x v="17"/>
    <s v="6170008"/>
    <n v="9"/>
    <n v="1"/>
    <n v="1"/>
  </r>
  <r>
    <s v="COMM"/>
    <x v="6"/>
    <x v="7"/>
    <x v="0"/>
    <x v="1"/>
    <n v="1"/>
    <n v="1"/>
    <n v="2"/>
    <s v="W"/>
    <s v="75"/>
    <x v="22"/>
    <s v="6170015"/>
    <n v="9"/>
    <n v="1"/>
    <n v="1"/>
  </r>
  <r>
    <s v="COMM"/>
    <x v="6"/>
    <x v="7"/>
    <x v="0"/>
    <x v="1"/>
    <n v="1"/>
    <n v="1"/>
    <n v="2"/>
    <s v="W"/>
    <s v="70"/>
    <x v="17"/>
    <s v="6170028"/>
    <n v="9"/>
    <n v="18"/>
    <n v="18"/>
  </r>
  <r>
    <s v="COMM"/>
    <x v="6"/>
    <x v="7"/>
    <x v="0"/>
    <x v="2"/>
    <n v="1"/>
    <n v="1"/>
    <n v="2"/>
    <s v="W"/>
    <s v="70"/>
    <x v="17"/>
    <s v="6170028"/>
    <n v="9"/>
    <n v="2"/>
    <n v="2"/>
  </r>
  <r>
    <s v="COMM"/>
    <x v="6"/>
    <x v="7"/>
    <x v="0"/>
    <x v="8"/>
    <n v="1"/>
    <n v="1"/>
    <n v="2"/>
    <s v="W"/>
    <s v="73"/>
    <x v="18"/>
    <s v="6170040"/>
    <n v="9"/>
    <n v="1"/>
    <n v="1"/>
  </r>
  <r>
    <s v="COMM"/>
    <x v="6"/>
    <x v="7"/>
    <x v="0"/>
    <x v="1"/>
    <n v="1"/>
    <n v="1"/>
    <n v="2"/>
    <s v="W"/>
    <s v="73"/>
    <x v="18"/>
    <s v="6170040"/>
    <n v="9"/>
    <n v="4"/>
    <n v="4"/>
  </r>
  <r>
    <s v="RESI"/>
    <x v="6"/>
    <x v="7"/>
    <x v="0"/>
    <x v="0"/>
    <n v="1"/>
    <n v="1"/>
    <n v="16"/>
    <s v="W"/>
    <s v="31"/>
    <x v="3"/>
    <s v="6120005"/>
    <n v="2"/>
    <n v="1"/>
    <n v="1"/>
  </r>
  <r>
    <s v="RESI"/>
    <x v="6"/>
    <x v="7"/>
    <x v="0"/>
    <x v="3"/>
    <n v="1"/>
    <n v="2"/>
    <n v="1"/>
    <s v="W"/>
    <s v="33"/>
    <x v="9"/>
    <s v="6120040"/>
    <n v="2"/>
    <n v="1"/>
    <n v="1"/>
  </r>
  <r>
    <s v="RESI"/>
    <x v="6"/>
    <x v="7"/>
    <x v="0"/>
    <x v="0"/>
    <n v="1"/>
    <n v="2"/>
    <n v="1"/>
    <s v="W"/>
    <s v="33"/>
    <x v="9"/>
    <s v="6120040"/>
    <n v="2"/>
    <n v="1"/>
    <n v="1"/>
  </r>
  <r>
    <s v="RESI"/>
    <x v="6"/>
    <x v="7"/>
    <x v="0"/>
    <x v="0"/>
    <n v="1"/>
    <n v="2"/>
    <n v="1"/>
    <s v="W"/>
    <s v="31"/>
    <x v="3"/>
    <s v="6130005"/>
    <n v="3"/>
    <n v="1"/>
    <n v="1"/>
  </r>
  <r>
    <s v="RESI"/>
    <x v="6"/>
    <x v="7"/>
    <x v="0"/>
    <x v="0"/>
    <n v="1"/>
    <n v="2"/>
    <n v="1"/>
    <s v="W"/>
    <s v="3A"/>
    <x v="0"/>
    <s v="6130022"/>
    <n v="3"/>
    <n v="1"/>
    <n v="1"/>
  </r>
  <r>
    <s v="COMM"/>
    <x v="6"/>
    <x v="7"/>
    <x v="0"/>
    <x v="8"/>
    <n v="1"/>
    <n v="2"/>
    <n v="1"/>
    <s v="W"/>
    <s v="71"/>
    <x v="1"/>
    <s v="6170005"/>
    <n v="9"/>
    <n v="1"/>
    <n v="1"/>
  </r>
  <r>
    <s v="COMM"/>
    <x v="6"/>
    <x v="7"/>
    <x v="0"/>
    <x v="1"/>
    <n v="1"/>
    <n v="2"/>
    <n v="1"/>
    <s v="W"/>
    <s v="71"/>
    <x v="1"/>
    <s v="6170005"/>
    <n v="9"/>
    <n v="3"/>
    <n v="3"/>
  </r>
  <r>
    <s v="IND"/>
    <x v="6"/>
    <x v="7"/>
    <x v="0"/>
    <x v="1"/>
    <n v="1"/>
    <n v="2"/>
    <n v="1"/>
    <s v="W"/>
    <s v="71"/>
    <x v="1"/>
    <s v="6170005"/>
    <n v="9"/>
    <n v="1"/>
    <n v="1"/>
  </r>
  <r>
    <s v="COMM"/>
    <x v="6"/>
    <x v="7"/>
    <x v="0"/>
    <x v="2"/>
    <n v="1"/>
    <n v="2"/>
    <n v="1"/>
    <s v="W"/>
    <s v="70"/>
    <x v="17"/>
    <s v="6170028"/>
    <n v="9"/>
    <n v="1"/>
    <n v="1"/>
  </r>
  <r>
    <s v="COMM"/>
    <x v="6"/>
    <x v="7"/>
    <x v="0"/>
    <x v="1"/>
    <n v="1"/>
    <n v="2"/>
    <n v="2"/>
    <s v="W"/>
    <s v="73"/>
    <x v="18"/>
    <s v="6170040"/>
    <n v="9"/>
    <n v="1"/>
    <n v="1"/>
  </r>
  <r>
    <s v="COMM"/>
    <x v="6"/>
    <x v="7"/>
    <x v="0"/>
    <x v="2"/>
    <n v="1"/>
    <n v="2"/>
    <n v="2"/>
    <s v="W"/>
    <s v="73"/>
    <x v="18"/>
    <s v="6170040"/>
    <n v="9"/>
    <n v="1"/>
    <n v="1"/>
  </r>
  <r>
    <s v="RESI"/>
    <x v="6"/>
    <x v="7"/>
    <x v="0"/>
    <x v="0"/>
    <n v="1"/>
    <n v="3"/>
    <n v="1"/>
    <s v="W"/>
    <s v="33"/>
    <x v="9"/>
    <s v="6120040"/>
    <n v="2"/>
    <n v="1"/>
    <n v="1"/>
  </r>
  <r>
    <s v="COMM"/>
    <x v="6"/>
    <x v="7"/>
    <x v="0"/>
    <x v="1"/>
    <n v="1"/>
    <n v="5"/>
    <n v="1"/>
    <s v="W"/>
    <s v="71"/>
    <x v="1"/>
    <s v="6170005"/>
    <n v="9"/>
    <n v="1"/>
    <n v="1"/>
  </r>
  <r>
    <s v="IND"/>
    <x v="6"/>
    <x v="7"/>
    <x v="0"/>
    <x v="1"/>
    <n v="2"/>
    <n v="0"/>
    <n v="0"/>
    <m/>
    <s v="71"/>
    <x v="1"/>
    <s v="6170005"/>
    <n v="9"/>
    <n v="2"/>
    <n v="1"/>
  </r>
  <r>
    <s v="RESI"/>
    <x v="6"/>
    <x v="7"/>
    <x v="0"/>
    <x v="0"/>
    <n v="2"/>
    <n v="1"/>
    <n v="1"/>
    <s v="W"/>
    <s v="32"/>
    <x v="7"/>
    <s v="6110004"/>
    <n v="1"/>
    <n v="2"/>
    <n v="1"/>
  </r>
  <r>
    <s v="RESI"/>
    <x v="6"/>
    <x v="7"/>
    <x v="0"/>
    <x v="0"/>
    <n v="2"/>
    <n v="1"/>
    <n v="1"/>
    <s v="W"/>
    <s v="31"/>
    <x v="3"/>
    <s v="6110005"/>
    <n v="1"/>
    <n v="4"/>
    <n v="2"/>
  </r>
  <r>
    <s v="RESI"/>
    <x v="6"/>
    <x v="7"/>
    <x v="0"/>
    <x v="0"/>
    <n v="2"/>
    <n v="1"/>
    <n v="1"/>
    <s v="W"/>
    <s v="30"/>
    <x v="2"/>
    <s v="6120002"/>
    <n v="2"/>
    <n v="2"/>
    <n v="1"/>
  </r>
  <r>
    <s v="RESI"/>
    <x v="6"/>
    <x v="7"/>
    <x v="0"/>
    <x v="0"/>
    <n v="2"/>
    <n v="1"/>
    <n v="1"/>
    <s v="W"/>
    <s v="33"/>
    <x v="9"/>
    <s v="6120040"/>
    <n v="2"/>
    <n v="4"/>
    <n v="2"/>
  </r>
  <r>
    <s v="RESI"/>
    <x v="6"/>
    <x v="7"/>
    <x v="0"/>
    <x v="3"/>
    <n v="2"/>
    <n v="1"/>
    <n v="1"/>
    <s v="W"/>
    <s v="33"/>
    <x v="9"/>
    <s v="6120040"/>
    <n v="2"/>
    <n v="4"/>
    <n v="2"/>
  </r>
  <r>
    <s v="RESI"/>
    <x v="6"/>
    <x v="7"/>
    <x v="0"/>
    <x v="0"/>
    <n v="2"/>
    <n v="1"/>
    <n v="1"/>
    <s v="W"/>
    <s v="31"/>
    <x v="3"/>
    <s v="6130005"/>
    <n v="3"/>
    <n v="4"/>
    <n v="2"/>
  </r>
  <r>
    <s v="RESI"/>
    <x v="6"/>
    <x v="7"/>
    <x v="0"/>
    <x v="0"/>
    <n v="2"/>
    <n v="1"/>
    <n v="1"/>
    <s v="W"/>
    <s v="36"/>
    <x v="8"/>
    <s v="6130006"/>
    <n v="3"/>
    <n v="2"/>
    <n v="1"/>
  </r>
  <r>
    <s v="COMM"/>
    <x v="6"/>
    <x v="7"/>
    <x v="0"/>
    <x v="1"/>
    <n v="2"/>
    <n v="1"/>
    <n v="1"/>
    <s v="W"/>
    <s v="71"/>
    <x v="1"/>
    <s v="6170005"/>
    <n v="9"/>
    <n v="4"/>
    <n v="2"/>
  </r>
  <r>
    <s v="COMM"/>
    <x v="6"/>
    <x v="7"/>
    <x v="0"/>
    <x v="1"/>
    <n v="2"/>
    <n v="2"/>
    <n v="1"/>
    <s v="W"/>
    <s v="71"/>
    <x v="1"/>
    <m/>
    <n v="0"/>
    <n v="4"/>
    <n v="2"/>
  </r>
  <r>
    <s v="RESI"/>
    <x v="6"/>
    <x v="7"/>
    <x v="0"/>
    <x v="0"/>
    <n v="2"/>
    <n v="2"/>
    <n v="1"/>
    <s v="W"/>
    <s v="3B"/>
    <x v="2"/>
    <s v="6080001"/>
    <n v="1"/>
    <n v="10"/>
    <n v="5"/>
  </r>
  <r>
    <s v="RESI"/>
    <x v="6"/>
    <x v="7"/>
    <x v="0"/>
    <x v="0"/>
    <n v="2"/>
    <n v="2"/>
    <n v="1"/>
    <s v="W"/>
    <s v="3C"/>
    <x v="5"/>
    <s v="6080004"/>
    <n v="3"/>
    <n v="4"/>
    <n v="2"/>
  </r>
  <r>
    <s v="COMM"/>
    <x v="6"/>
    <x v="7"/>
    <x v="0"/>
    <x v="2"/>
    <n v="2"/>
    <n v="2"/>
    <n v="1"/>
    <s v="W"/>
    <s v="7C"/>
    <x v="19"/>
    <s v="6080004"/>
    <n v="4"/>
    <n v="4"/>
    <n v="2"/>
  </r>
  <r>
    <s v="COMM"/>
    <x v="6"/>
    <x v="7"/>
    <x v="0"/>
    <x v="1"/>
    <n v="2"/>
    <n v="2"/>
    <n v="1"/>
    <s v="W"/>
    <s v="7C"/>
    <x v="19"/>
    <s v="6080004"/>
    <n v="4"/>
    <n v="10"/>
    <n v="5"/>
  </r>
  <r>
    <s v="COMM"/>
    <x v="6"/>
    <x v="7"/>
    <x v="0"/>
    <x v="8"/>
    <n v="2"/>
    <n v="2"/>
    <n v="1"/>
    <s v="W"/>
    <s v="7C"/>
    <x v="19"/>
    <s v="6080004"/>
    <n v="4"/>
    <n v="6"/>
    <n v="3"/>
  </r>
  <r>
    <s v="RESI"/>
    <x v="6"/>
    <x v="7"/>
    <x v="0"/>
    <x v="0"/>
    <n v="2"/>
    <n v="2"/>
    <n v="1"/>
    <s v="W"/>
    <s v="3B"/>
    <x v="2"/>
    <s v="6080020"/>
    <n v="2"/>
    <n v="10"/>
    <n v="5"/>
  </r>
  <r>
    <s v="COMM"/>
    <x v="6"/>
    <x v="7"/>
    <x v="0"/>
    <x v="1"/>
    <n v="2"/>
    <n v="2"/>
    <n v="1"/>
    <s v="W"/>
    <s v="7B"/>
    <x v="20"/>
    <s v="6080040"/>
    <n v="4"/>
    <n v="4"/>
    <n v="2"/>
  </r>
  <r>
    <s v="RESI"/>
    <x v="6"/>
    <x v="7"/>
    <x v="0"/>
    <x v="0"/>
    <n v="2"/>
    <n v="2"/>
    <n v="1"/>
    <s v="W"/>
    <s v="3B"/>
    <x v="2"/>
    <s v="6080050"/>
    <n v="5"/>
    <n v="8"/>
    <n v="4"/>
  </r>
  <r>
    <s v="COMM"/>
    <x v="6"/>
    <x v="7"/>
    <x v="0"/>
    <x v="8"/>
    <n v="2"/>
    <n v="2"/>
    <n v="1"/>
    <s v="W"/>
    <s v="7A"/>
    <x v="24"/>
    <s v="6080240"/>
    <n v="4"/>
    <n v="2"/>
    <n v="1"/>
  </r>
  <r>
    <s v="RESI"/>
    <x v="6"/>
    <x v="7"/>
    <x v="0"/>
    <x v="0"/>
    <n v="2"/>
    <n v="2"/>
    <n v="1"/>
    <s v="W"/>
    <s v="30"/>
    <x v="2"/>
    <s v="6110002"/>
    <n v="1"/>
    <n v="16"/>
    <n v="8"/>
  </r>
  <r>
    <s v="RESI"/>
    <x v="6"/>
    <x v="7"/>
    <x v="0"/>
    <x v="3"/>
    <n v="2"/>
    <n v="2"/>
    <n v="1"/>
    <s v="W"/>
    <s v="30"/>
    <x v="2"/>
    <s v="6110002"/>
    <n v="1"/>
    <n v="4"/>
    <n v="2"/>
  </r>
  <r>
    <s v="RESI"/>
    <x v="6"/>
    <x v="7"/>
    <x v="0"/>
    <x v="0"/>
    <n v="2"/>
    <n v="2"/>
    <n v="1"/>
    <s v="W"/>
    <s v="30"/>
    <x v="2"/>
    <s v="6110003"/>
    <n v="1"/>
    <n v="2"/>
    <n v="1"/>
  </r>
  <r>
    <s v="RESI"/>
    <x v="6"/>
    <x v="7"/>
    <x v="0"/>
    <x v="3"/>
    <n v="2"/>
    <n v="2"/>
    <n v="1"/>
    <s v="W"/>
    <s v="30"/>
    <x v="2"/>
    <s v="6110003"/>
    <n v="1"/>
    <n v="2"/>
    <n v="1"/>
  </r>
  <r>
    <s v="RESI"/>
    <x v="6"/>
    <x v="7"/>
    <x v="0"/>
    <x v="0"/>
    <n v="2"/>
    <n v="2"/>
    <n v="1"/>
    <s v="W"/>
    <s v="32"/>
    <x v="7"/>
    <s v="6110004"/>
    <n v="1"/>
    <n v="32"/>
    <n v="16"/>
  </r>
  <r>
    <s v="RESI"/>
    <x v="6"/>
    <x v="7"/>
    <x v="0"/>
    <x v="3"/>
    <n v="2"/>
    <n v="2"/>
    <n v="1"/>
    <s v="W"/>
    <s v="32"/>
    <x v="7"/>
    <s v="6110004"/>
    <n v="1"/>
    <n v="14"/>
    <n v="7"/>
  </r>
  <r>
    <s v="RESI"/>
    <x v="6"/>
    <x v="7"/>
    <x v="0"/>
    <x v="0"/>
    <n v="2"/>
    <n v="2"/>
    <n v="1"/>
    <s v="W"/>
    <s v="31"/>
    <x v="3"/>
    <s v="6110005"/>
    <n v="1"/>
    <n v="88"/>
    <n v="44"/>
  </r>
  <r>
    <s v="RESI"/>
    <x v="6"/>
    <x v="7"/>
    <x v="0"/>
    <x v="3"/>
    <n v="2"/>
    <n v="2"/>
    <n v="1"/>
    <s v="W"/>
    <s v="31"/>
    <x v="3"/>
    <s v="6110005"/>
    <n v="1"/>
    <n v="42"/>
    <n v="21"/>
  </r>
  <r>
    <s v="RESI"/>
    <x v="6"/>
    <x v="7"/>
    <x v="0"/>
    <x v="3"/>
    <n v="2"/>
    <n v="2"/>
    <n v="1"/>
    <s v="W"/>
    <s v="36"/>
    <x v="8"/>
    <s v="6110006"/>
    <n v="1"/>
    <n v="14"/>
    <n v="7"/>
  </r>
  <r>
    <s v="RESI"/>
    <x v="6"/>
    <x v="7"/>
    <x v="0"/>
    <x v="0"/>
    <n v="2"/>
    <n v="2"/>
    <n v="1"/>
    <s v="W"/>
    <s v="36"/>
    <x v="8"/>
    <s v="6110006"/>
    <n v="1"/>
    <n v="32"/>
    <n v="16"/>
  </r>
  <r>
    <s v="RESI"/>
    <x v="6"/>
    <x v="7"/>
    <x v="0"/>
    <x v="0"/>
    <n v="2"/>
    <n v="2"/>
    <n v="1"/>
    <s v="W"/>
    <s v="30"/>
    <x v="2"/>
    <s v="6110008"/>
    <n v="1"/>
    <n v="26"/>
    <n v="13"/>
  </r>
  <r>
    <s v="RESI"/>
    <x v="6"/>
    <x v="7"/>
    <x v="0"/>
    <x v="3"/>
    <n v="2"/>
    <n v="2"/>
    <n v="1"/>
    <s v="W"/>
    <s v="30"/>
    <x v="2"/>
    <s v="6110008"/>
    <n v="1"/>
    <n v="4"/>
    <n v="2"/>
  </r>
  <r>
    <s v="RESI"/>
    <x v="6"/>
    <x v="7"/>
    <x v="0"/>
    <x v="0"/>
    <n v="2"/>
    <n v="2"/>
    <n v="1"/>
    <s v="W"/>
    <s v="30"/>
    <x v="2"/>
    <s v="6110009"/>
    <n v="1"/>
    <n v="10"/>
    <n v="5"/>
  </r>
  <r>
    <s v="RESI"/>
    <x v="6"/>
    <x v="7"/>
    <x v="0"/>
    <x v="0"/>
    <n v="2"/>
    <n v="2"/>
    <n v="1"/>
    <s v="W"/>
    <s v="35"/>
    <x v="4"/>
    <s v="6110015"/>
    <n v="1"/>
    <n v="10"/>
    <n v="5"/>
  </r>
  <r>
    <s v="RESI"/>
    <x v="6"/>
    <x v="7"/>
    <x v="0"/>
    <x v="0"/>
    <n v="2"/>
    <n v="2"/>
    <n v="1"/>
    <s v="W"/>
    <s v="30"/>
    <x v="2"/>
    <s v="6110028"/>
    <n v="1"/>
    <n v="46"/>
    <n v="23"/>
  </r>
  <r>
    <s v="RESI"/>
    <x v="6"/>
    <x v="7"/>
    <x v="0"/>
    <x v="3"/>
    <n v="2"/>
    <n v="2"/>
    <n v="1"/>
    <s v="W"/>
    <s v="30"/>
    <x v="2"/>
    <s v="6110028"/>
    <n v="1"/>
    <n v="18"/>
    <n v="9"/>
  </r>
  <r>
    <s v="RESI"/>
    <x v="6"/>
    <x v="7"/>
    <x v="0"/>
    <x v="0"/>
    <n v="2"/>
    <n v="2"/>
    <n v="1"/>
    <s v="W"/>
    <s v="30"/>
    <x v="2"/>
    <s v="6120002"/>
    <n v="2"/>
    <n v="8"/>
    <n v="4"/>
  </r>
  <r>
    <s v="RESI"/>
    <x v="6"/>
    <x v="7"/>
    <x v="0"/>
    <x v="3"/>
    <n v="2"/>
    <n v="2"/>
    <n v="1"/>
    <s v="W"/>
    <s v="30"/>
    <x v="2"/>
    <s v="6120002"/>
    <n v="2"/>
    <n v="4"/>
    <n v="2"/>
  </r>
  <r>
    <s v="RESI"/>
    <x v="6"/>
    <x v="7"/>
    <x v="0"/>
    <x v="0"/>
    <n v="2"/>
    <n v="2"/>
    <n v="1"/>
    <s v="W"/>
    <s v="32"/>
    <x v="7"/>
    <s v="6120004"/>
    <n v="2"/>
    <n v="42"/>
    <n v="21"/>
  </r>
  <r>
    <s v="RESI"/>
    <x v="6"/>
    <x v="7"/>
    <x v="0"/>
    <x v="3"/>
    <n v="2"/>
    <n v="2"/>
    <n v="1"/>
    <s v="W"/>
    <s v="32"/>
    <x v="7"/>
    <s v="6120004"/>
    <n v="2"/>
    <n v="14"/>
    <n v="7"/>
  </r>
  <r>
    <s v="RESI"/>
    <x v="6"/>
    <x v="7"/>
    <x v="0"/>
    <x v="0"/>
    <n v="2"/>
    <n v="2"/>
    <n v="1"/>
    <s v="W"/>
    <s v="31"/>
    <x v="3"/>
    <s v="6120005"/>
    <n v="2"/>
    <n v="114"/>
    <n v="57"/>
  </r>
  <r>
    <s v="RESI"/>
    <x v="6"/>
    <x v="7"/>
    <x v="0"/>
    <x v="3"/>
    <n v="2"/>
    <n v="2"/>
    <n v="1"/>
    <s v="W"/>
    <s v="31"/>
    <x v="3"/>
    <s v="6120005"/>
    <n v="2"/>
    <n v="34"/>
    <n v="17"/>
  </r>
  <r>
    <s v="RESI"/>
    <x v="6"/>
    <x v="7"/>
    <x v="0"/>
    <x v="3"/>
    <n v="2"/>
    <n v="2"/>
    <n v="1"/>
    <s v="W"/>
    <s v="36"/>
    <x v="8"/>
    <s v="6120006"/>
    <n v="2"/>
    <n v="6"/>
    <n v="3"/>
  </r>
  <r>
    <s v="RESI"/>
    <x v="6"/>
    <x v="7"/>
    <x v="0"/>
    <x v="0"/>
    <n v="2"/>
    <n v="2"/>
    <n v="1"/>
    <s v="W"/>
    <s v="36"/>
    <x v="8"/>
    <s v="6120006"/>
    <n v="2"/>
    <n v="40"/>
    <n v="20"/>
  </r>
  <r>
    <s v="RESI"/>
    <x v="6"/>
    <x v="7"/>
    <x v="0"/>
    <x v="0"/>
    <n v="2"/>
    <n v="2"/>
    <n v="1"/>
    <s v="W"/>
    <s v="30"/>
    <x v="2"/>
    <s v="6120008"/>
    <n v="2"/>
    <n v="28"/>
    <n v="14"/>
  </r>
  <r>
    <s v="RESI"/>
    <x v="6"/>
    <x v="7"/>
    <x v="0"/>
    <x v="3"/>
    <n v="2"/>
    <n v="2"/>
    <n v="1"/>
    <s v="W"/>
    <s v="30"/>
    <x v="2"/>
    <s v="6120008"/>
    <n v="2"/>
    <n v="6"/>
    <n v="3"/>
  </r>
  <r>
    <s v="RESI"/>
    <x v="6"/>
    <x v="7"/>
    <x v="0"/>
    <x v="3"/>
    <n v="2"/>
    <n v="2"/>
    <n v="1"/>
    <s v="W"/>
    <s v="30"/>
    <x v="2"/>
    <s v="6120009"/>
    <n v="2"/>
    <n v="2"/>
    <n v="1"/>
  </r>
  <r>
    <s v="RESI"/>
    <x v="6"/>
    <x v="7"/>
    <x v="0"/>
    <x v="0"/>
    <n v="2"/>
    <n v="2"/>
    <n v="1"/>
    <s v="W"/>
    <s v="30"/>
    <x v="2"/>
    <s v="6120009"/>
    <n v="2"/>
    <n v="10"/>
    <n v="5"/>
  </r>
  <r>
    <s v="RESI"/>
    <x v="6"/>
    <x v="7"/>
    <x v="0"/>
    <x v="0"/>
    <n v="2"/>
    <n v="2"/>
    <n v="1"/>
    <s v="W"/>
    <s v="35"/>
    <x v="4"/>
    <s v="6120015"/>
    <n v="2"/>
    <n v="22"/>
    <n v="11"/>
  </r>
  <r>
    <s v="RESI"/>
    <x v="6"/>
    <x v="7"/>
    <x v="0"/>
    <x v="0"/>
    <n v="2"/>
    <n v="2"/>
    <n v="1"/>
    <s v="W"/>
    <s v="30"/>
    <x v="2"/>
    <s v="6120028"/>
    <n v="2"/>
    <n v="60"/>
    <n v="30"/>
  </r>
  <r>
    <s v="RESI"/>
    <x v="6"/>
    <x v="7"/>
    <x v="0"/>
    <x v="3"/>
    <n v="2"/>
    <n v="2"/>
    <n v="1"/>
    <s v="W"/>
    <s v="30"/>
    <x v="2"/>
    <s v="6120028"/>
    <n v="2"/>
    <n v="30"/>
    <n v="15"/>
  </r>
  <r>
    <s v="RESI"/>
    <x v="6"/>
    <x v="7"/>
    <x v="0"/>
    <x v="0"/>
    <n v="2"/>
    <n v="2"/>
    <n v="1"/>
    <s v="W"/>
    <s v="33"/>
    <x v="9"/>
    <s v="6120040"/>
    <n v="2"/>
    <n v="726"/>
    <n v="363"/>
  </r>
  <r>
    <s v="RESI"/>
    <x v="6"/>
    <x v="7"/>
    <x v="0"/>
    <x v="3"/>
    <n v="2"/>
    <n v="2"/>
    <n v="1"/>
    <s v="W"/>
    <s v="33"/>
    <x v="9"/>
    <s v="6120040"/>
    <n v="2"/>
    <n v="194"/>
    <n v="97"/>
  </r>
  <r>
    <s v="RESI"/>
    <x v="6"/>
    <x v="7"/>
    <x v="0"/>
    <x v="0"/>
    <n v="2"/>
    <n v="2"/>
    <n v="1"/>
    <s v="W"/>
    <s v="30"/>
    <x v="2"/>
    <s v="6130002"/>
    <n v="3"/>
    <n v="18"/>
    <n v="9"/>
  </r>
  <r>
    <s v="RESI"/>
    <x v="6"/>
    <x v="7"/>
    <x v="0"/>
    <x v="3"/>
    <n v="2"/>
    <n v="2"/>
    <n v="1"/>
    <s v="W"/>
    <s v="30"/>
    <x v="2"/>
    <s v="6130002"/>
    <n v="3"/>
    <n v="4"/>
    <n v="2"/>
  </r>
  <r>
    <s v="RESI"/>
    <x v="6"/>
    <x v="7"/>
    <x v="0"/>
    <x v="0"/>
    <n v="2"/>
    <n v="2"/>
    <n v="1"/>
    <s v="W"/>
    <s v="30"/>
    <x v="2"/>
    <s v="6130003"/>
    <n v="3"/>
    <n v="2"/>
    <n v="1"/>
  </r>
  <r>
    <s v="RESI"/>
    <x v="6"/>
    <x v="7"/>
    <x v="0"/>
    <x v="3"/>
    <n v="2"/>
    <n v="2"/>
    <n v="1"/>
    <s v="W"/>
    <s v="32"/>
    <x v="7"/>
    <s v="6130004"/>
    <n v="3"/>
    <n v="20"/>
    <n v="10"/>
  </r>
  <r>
    <s v="RESI"/>
    <x v="6"/>
    <x v="7"/>
    <x v="0"/>
    <x v="0"/>
    <n v="2"/>
    <n v="2"/>
    <n v="1"/>
    <s v="W"/>
    <s v="32"/>
    <x v="7"/>
    <s v="6130004"/>
    <n v="3"/>
    <n v="38"/>
    <n v="19"/>
  </r>
  <r>
    <s v="RESI"/>
    <x v="6"/>
    <x v="7"/>
    <x v="0"/>
    <x v="0"/>
    <n v="2"/>
    <n v="2"/>
    <n v="1"/>
    <s v="W"/>
    <s v="31"/>
    <x v="3"/>
    <s v="6130005"/>
    <n v="3"/>
    <n v="110"/>
    <n v="55"/>
  </r>
  <r>
    <s v="RESI"/>
    <x v="6"/>
    <x v="7"/>
    <x v="0"/>
    <x v="3"/>
    <n v="2"/>
    <n v="2"/>
    <n v="1"/>
    <s v="W"/>
    <s v="31"/>
    <x v="3"/>
    <s v="6130005"/>
    <n v="3"/>
    <n v="42"/>
    <n v="21"/>
  </r>
  <r>
    <s v="RESI"/>
    <x v="6"/>
    <x v="7"/>
    <x v="0"/>
    <x v="0"/>
    <n v="2"/>
    <n v="2"/>
    <n v="1"/>
    <s v="W"/>
    <s v="36"/>
    <x v="8"/>
    <s v="6130006"/>
    <n v="3"/>
    <n v="26"/>
    <n v="13"/>
  </r>
  <r>
    <s v="RESI"/>
    <x v="6"/>
    <x v="7"/>
    <x v="0"/>
    <x v="3"/>
    <n v="2"/>
    <n v="2"/>
    <n v="1"/>
    <s v="W"/>
    <s v="36"/>
    <x v="8"/>
    <s v="6130006"/>
    <n v="3"/>
    <n v="8"/>
    <n v="4"/>
  </r>
  <r>
    <s v="RESI"/>
    <x v="6"/>
    <x v="7"/>
    <x v="0"/>
    <x v="3"/>
    <n v="2"/>
    <n v="2"/>
    <n v="1"/>
    <s v="W"/>
    <s v="30"/>
    <x v="2"/>
    <s v="6130008"/>
    <n v="3"/>
    <n v="4"/>
    <n v="2"/>
  </r>
  <r>
    <s v="RESI"/>
    <x v="6"/>
    <x v="7"/>
    <x v="0"/>
    <x v="0"/>
    <n v="2"/>
    <n v="2"/>
    <n v="1"/>
    <s v="W"/>
    <s v="30"/>
    <x v="2"/>
    <s v="6130008"/>
    <n v="3"/>
    <n v="50"/>
    <n v="25"/>
  </r>
  <r>
    <s v="RESI"/>
    <x v="6"/>
    <x v="7"/>
    <x v="0"/>
    <x v="0"/>
    <n v="2"/>
    <n v="2"/>
    <n v="1"/>
    <s v="W"/>
    <s v="30"/>
    <x v="2"/>
    <s v="6130009"/>
    <n v="3"/>
    <n v="2"/>
    <n v="1"/>
  </r>
  <r>
    <s v="RESI"/>
    <x v="6"/>
    <x v="7"/>
    <x v="0"/>
    <x v="3"/>
    <n v="2"/>
    <n v="2"/>
    <n v="1"/>
    <s v="W"/>
    <s v="30"/>
    <x v="2"/>
    <s v="6130009"/>
    <n v="3"/>
    <n v="4"/>
    <n v="2"/>
  </r>
  <r>
    <s v="RESI"/>
    <x v="6"/>
    <x v="7"/>
    <x v="0"/>
    <x v="0"/>
    <n v="2"/>
    <n v="2"/>
    <n v="1"/>
    <s v="W"/>
    <s v="35"/>
    <x v="4"/>
    <s v="6130015"/>
    <n v="3"/>
    <n v="16"/>
    <n v="8"/>
  </r>
  <r>
    <s v="RESI"/>
    <x v="6"/>
    <x v="7"/>
    <x v="0"/>
    <x v="0"/>
    <n v="2"/>
    <n v="2"/>
    <n v="1"/>
    <s v="W"/>
    <s v="3A"/>
    <x v="0"/>
    <s v="6130022"/>
    <n v="3"/>
    <n v="14"/>
    <n v="7"/>
  </r>
  <r>
    <s v="RESI"/>
    <x v="6"/>
    <x v="7"/>
    <x v="0"/>
    <x v="0"/>
    <n v="2"/>
    <n v="2"/>
    <n v="1"/>
    <s v="W"/>
    <s v="30"/>
    <x v="2"/>
    <s v="6130028"/>
    <n v="3"/>
    <n v="62"/>
    <n v="31"/>
  </r>
  <r>
    <s v="RESI"/>
    <x v="6"/>
    <x v="7"/>
    <x v="0"/>
    <x v="3"/>
    <n v="2"/>
    <n v="2"/>
    <n v="1"/>
    <s v="W"/>
    <s v="30"/>
    <x v="2"/>
    <s v="6130028"/>
    <n v="3"/>
    <n v="28"/>
    <n v="14"/>
  </r>
  <r>
    <s v="COMM"/>
    <x v="6"/>
    <x v="7"/>
    <x v="0"/>
    <x v="1"/>
    <n v="2"/>
    <n v="2"/>
    <n v="1"/>
    <s v="W"/>
    <s v="72"/>
    <x v="21"/>
    <s v="6170004"/>
    <n v="9"/>
    <n v="4"/>
    <n v="2"/>
  </r>
  <r>
    <s v="IND"/>
    <x v="6"/>
    <x v="7"/>
    <x v="0"/>
    <x v="1"/>
    <n v="2"/>
    <n v="2"/>
    <n v="1"/>
    <s v="W"/>
    <s v="71"/>
    <x v="1"/>
    <s v="6170005"/>
    <n v="9"/>
    <n v="8"/>
    <n v="4"/>
  </r>
  <r>
    <s v="COMM"/>
    <x v="6"/>
    <x v="7"/>
    <x v="0"/>
    <x v="3"/>
    <n v="2"/>
    <n v="2"/>
    <n v="1"/>
    <s v="W"/>
    <s v="71"/>
    <x v="1"/>
    <s v="6170005"/>
    <n v="9"/>
    <n v="20"/>
    <n v="10"/>
  </r>
  <r>
    <s v="COMM"/>
    <x v="6"/>
    <x v="7"/>
    <x v="0"/>
    <x v="1"/>
    <n v="2"/>
    <n v="2"/>
    <n v="1"/>
    <s v="W"/>
    <s v="71"/>
    <x v="1"/>
    <s v="6170005"/>
    <n v="9"/>
    <n v="128"/>
    <n v="64"/>
  </r>
  <r>
    <s v="COMM"/>
    <x v="6"/>
    <x v="7"/>
    <x v="0"/>
    <x v="1"/>
    <n v="2"/>
    <n v="2"/>
    <n v="1"/>
    <s v="W"/>
    <s v="75"/>
    <x v="22"/>
    <s v="6170015"/>
    <n v="9"/>
    <n v="16"/>
    <n v="8"/>
  </r>
  <r>
    <s v="COMM"/>
    <x v="6"/>
    <x v="7"/>
    <x v="0"/>
    <x v="2"/>
    <n v="2"/>
    <n v="2"/>
    <n v="1"/>
    <s v="W"/>
    <s v="73"/>
    <x v="18"/>
    <s v="6170040"/>
    <n v="9"/>
    <n v="2"/>
    <n v="1"/>
  </r>
  <r>
    <s v="COMM"/>
    <x v="6"/>
    <x v="7"/>
    <x v="0"/>
    <x v="2"/>
    <n v="2"/>
    <n v="2"/>
    <n v="1"/>
    <s v="W"/>
    <s v="71"/>
    <x v="1"/>
    <s v="6170055"/>
    <n v="9"/>
    <n v="28"/>
    <n v="14"/>
  </r>
  <r>
    <s v="COMM"/>
    <x v="6"/>
    <x v="7"/>
    <x v="0"/>
    <x v="1"/>
    <n v="2"/>
    <n v="2"/>
    <n v="2"/>
    <s v="W"/>
    <s v="70"/>
    <x v="17"/>
    <s v="6170001"/>
    <n v="9"/>
    <n v="4"/>
    <n v="2"/>
  </r>
  <r>
    <s v="COMM"/>
    <x v="6"/>
    <x v="7"/>
    <x v="0"/>
    <x v="1"/>
    <n v="2"/>
    <n v="2"/>
    <n v="2"/>
    <s v="W"/>
    <s v="72"/>
    <x v="21"/>
    <s v="6170004"/>
    <n v="9"/>
    <n v="12"/>
    <n v="6"/>
  </r>
  <r>
    <s v="COMM"/>
    <x v="6"/>
    <x v="7"/>
    <x v="0"/>
    <x v="2"/>
    <n v="2"/>
    <n v="2"/>
    <n v="2"/>
    <s v="W"/>
    <s v="72"/>
    <x v="21"/>
    <s v="6170004"/>
    <n v="9"/>
    <n v="2"/>
    <n v="1"/>
  </r>
  <r>
    <s v="COMM"/>
    <x v="6"/>
    <x v="7"/>
    <x v="0"/>
    <x v="1"/>
    <n v="2"/>
    <n v="2"/>
    <n v="2"/>
    <s v="W"/>
    <s v="71"/>
    <x v="1"/>
    <s v="6170005"/>
    <n v="9"/>
    <n v="2"/>
    <n v="1"/>
  </r>
  <r>
    <s v="COMM"/>
    <x v="6"/>
    <x v="7"/>
    <x v="0"/>
    <x v="1"/>
    <n v="2"/>
    <n v="2"/>
    <n v="2"/>
    <s v="W"/>
    <s v="76"/>
    <x v="25"/>
    <s v="6170006"/>
    <n v="9"/>
    <n v="2"/>
    <n v="1"/>
  </r>
  <r>
    <s v="COMM"/>
    <x v="6"/>
    <x v="7"/>
    <x v="0"/>
    <x v="1"/>
    <n v="2"/>
    <n v="2"/>
    <n v="2"/>
    <s v="W"/>
    <s v="70"/>
    <x v="17"/>
    <s v="6170009"/>
    <n v="9"/>
    <n v="2"/>
    <n v="1"/>
  </r>
  <r>
    <s v="COMM"/>
    <x v="6"/>
    <x v="7"/>
    <x v="0"/>
    <x v="2"/>
    <n v="2"/>
    <n v="2"/>
    <n v="2"/>
    <s v="W"/>
    <s v="70"/>
    <x v="17"/>
    <s v="6170028"/>
    <n v="9"/>
    <n v="16"/>
    <n v="8"/>
  </r>
  <r>
    <s v="COMM"/>
    <x v="6"/>
    <x v="7"/>
    <x v="0"/>
    <x v="1"/>
    <n v="2"/>
    <n v="2"/>
    <n v="2"/>
    <s v="W"/>
    <s v="70"/>
    <x v="17"/>
    <s v="6170028"/>
    <n v="9"/>
    <n v="12"/>
    <n v="6"/>
  </r>
  <r>
    <s v="COMM"/>
    <x v="6"/>
    <x v="7"/>
    <x v="0"/>
    <x v="2"/>
    <n v="2"/>
    <n v="2"/>
    <n v="2"/>
    <s v="W"/>
    <s v="73"/>
    <x v="18"/>
    <s v="6170040"/>
    <n v="9"/>
    <n v="2"/>
    <n v="1"/>
  </r>
  <r>
    <s v="COMM"/>
    <x v="6"/>
    <x v="7"/>
    <x v="0"/>
    <x v="1"/>
    <n v="2"/>
    <n v="2"/>
    <n v="2"/>
    <s v="W"/>
    <s v="73"/>
    <x v="18"/>
    <s v="6170040"/>
    <n v="9"/>
    <n v="6"/>
    <n v="3"/>
  </r>
  <r>
    <s v="RESI"/>
    <x v="6"/>
    <x v="7"/>
    <x v="0"/>
    <x v="0"/>
    <n v="2"/>
    <n v="3"/>
    <n v="1"/>
    <s v="W"/>
    <s v="33"/>
    <x v="9"/>
    <s v="6120040"/>
    <n v="2"/>
    <n v="4"/>
    <n v="2"/>
  </r>
  <r>
    <s v="COMM"/>
    <x v="6"/>
    <x v="7"/>
    <x v="0"/>
    <x v="2"/>
    <n v="2"/>
    <n v="3"/>
    <n v="2"/>
    <s v="W"/>
    <s v="73"/>
    <x v="18"/>
    <s v="6170040"/>
    <n v="9"/>
    <n v="2"/>
    <n v="1"/>
  </r>
  <r>
    <s v="RESI"/>
    <x v="6"/>
    <x v="7"/>
    <x v="0"/>
    <x v="0"/>
    <n v="2"/>
    <n v="4"/>
    <n v="1"/>
    <s v="W"/>
    <s v="33"/>
    <x v="9"/>
    <s v="6120040"/>
    <n v="2"/>
    <n v="4"/>
    <n v="2"/>
  </r>
  <r>
    <s v="COMM"/>
    <x v="6"/>
    <x v="7"/>
    <x v="0"/>
    <x v="1"/>
    <n v="2"/>
    <n v="4"/>
    <n v="1"/>
    <s v="W"/>
    <s v="73"/>
    <x v="18"/>
    <s v="6170040"/>
    <n v="9"/>
    <n v="2"/>
    <n v="1"/>
  </r>
  <r>
    <s v="COMM"/>
    <x v="6"/>
    <x v="7"/>
    <x v="0"/>
    <x v="2"/>
    <n v="2"/>
    <n v="4"/>
    <n v="1"/>
    <s v="W"/>
    <s v="73"/>
    <x v="18"/>
    <s v="6170040"/>
    <n v="9"/>
    <n v="2"/>
    <n v="1"/>
  </r>
  <r>
    <s v="COMM"/>
    <x v="6"/>
    <x v="7"/>
    <x v="0"/>
    <x v="2"/>
    <n v="2"/>
    <n v="4"/>
    <n v="2"/>
    <s v="W"/>
    <s v="73"/>
    <x v="18"/>
    <s v="6170040"/>
    <n v="9"/>
    <n v="6"/>
    <n v="3"/>
  </r>
  <r>
    <s v="COMM"/>
    <x v="6"/>
    <x v="7"/>
    <x v="0"/>
    <x v="1"/>
    <n v="3"/>
    <n v="1"/>
    <n v="1"/>
    <s v="W"/>
    <s v="71"/>
    <x v="1"/>
    <s v="6170005"/>
    <n v="9"/>
    <n v="3"/>
    <n v="1"/>
  </r>
  <r>
    <s v="COMM"/>
    <x v="6"/>
    <x v="7"/>
    <x v="0"/>
    <x v="2"/>
    <n v="3"/>
    <n v="3"/>
    <n v="1"/>
    <s v="W"/>
    <s v="7C"/>
    <x v="19"/>
    <s v="6080004"/>
    <n v="4"/>
    <n v="12"/>
    <n v="4"/>
  </r>
  <r>
    <s v="COMM"/>
    <x v="6"/>
    <x v="7"/>
    <x v="0"/>
    <x v="1"/>
    <n v="3"/>
    <n v="3"/>
    <n v="1"/>
    <s v="W"/>
    <s v="7C"/>
    <x v="19"/>
    <s v="6080004"/>
    <n v="4"/>
    <n v="12"/>
    <n v="4"/>
  </r>
  <r>
    <s v="COMM"/>
    <x v="6"/>
    <x v="7"/>
    <x v="0"/>
    <x v="8"/>
    <n v="3"/>
    <n v="3"/>
    <n v="1"/>
    <s v="W"/>
    <s v="7C"/>
    <x v="19"/>
    <s v="6080004"/>
    <n v="4"/>
    <n v="18"/>
    <n v="6"/>
  </r>
  <r>
    <s v="RESI"/>
    <x v="6"/>
    <x v="7"/>
    <x v="0"/>
    <x v="0"/>
    <n v="3"/>
    <n v="3"/>
    <n v="1"/>
    <s v="W"/>
    <s v="32"/>
    <x v="7"/>
    <s v="6110004"/>
    <n v="1"/>
    <n v="3"/>
    <n v="1"/>
  </r>
  <r>
    <s v="RESI"/>
    <x v="6"/>
    <x v="7"/>
    <x v="0"/>
    <x v="0"/>
    <n v="3"/>
    <n v="3"/>
    <n v="1"/>
    <s v="W"/>
    <s v="31"/>
    <x v="3"/>
    <s v="6110005"/>
    <n v="1"/>
    <n v="6"/>
    <n v="2"/>
  </r>
  <r>
    <s v="RESI"/>
    <x v="6"/>
    <x v="7"/>
    <x v="0"/>
    <x v="3"/>
    <n v="3"/>
    <n v="3"/>
    <n v="1"/>
    <s v="W"/>
    <s v="31"/>
    <x v="3"/>
    <s v="6110005"/>
    <n v="1"/>
    <n v="3"/>
    <n v="1"/>
  </r>
  <r>
    <s v="RESI"/>
    <x v="6"/>
    <x v="7"/>
    <x v="0"/>
    <x v="0"/>
    <n v="3"/>
    <n v="3"/>
    <n v="1"/>
    <s v="W"/>
    <s v="30"/>
    <x v="2"/>
    <s v="6110008"/>
    <n v="1"/>
    <n v="3"/>
    <n v="1"/>
  </r>
  <r>
    <s v="RESI"/>
    <x v="6"/>
    <x v="7"/>
    <x v="0"/>
    <x v="0"/>
    <n v="3"/>
    <n v="3"/>
    <n v="1"/>
    <s v="W"/>
    <s v="30"/>
    <x v="2"/>
    <s v="6110028"/>
    <n v="1"/>
    <n v="9"/>
    <n v="3"/>
  </r>
  <r>
    <s v="RESI"/>
    <x v="6"/>
    <x v="7"/>
    <x v="0"/>
    <x v="3"/>
    <n v="3"/>
    <n v="3"/>
    <n v="1"/>
    <s v="W"/>
    <s v="32"/>
    <x v="7"/>
    <s v="6120004"/>
    <n v="2"/>
    <n v="3"/>
    <n v="1"/>
  </r>
  <r>
    <s v="RESI"/>
    <x v="6"/>
    <x v="7"/>
    <x v="0"/>
    <x v="0"/>
    <n v="3"/>
    <n v="3"/>
    <n v="1"/>
    <s v="W"/>
    <s v="32"/>
    <x v="7"/>
    <s v="6120004"/>
    <n v="2"/>
    <n v="3"/>
    <n v="1"/>
  </r>
  <r>
    <s v="RESI"/>
    <x v="6"/>
    <x v="7"/>
    <x v="0"/>
    <x v="0"/>
    <n v="3"/>
    <n v="3"/>
    <n v="1"/>
    <s v="W"/>
    <s v="31"/>
    <x v="3"/>
    <s v="6120005"/>
    <n v="2"/>
    <n v="3"/>
    <n v="1"/>
  </r>
  <r>
    <s v="RESI"/>
    <x v="6"/>
    <x v="7"/>
    <x v="0"/>
    <x v="3"/>
    <n v="3"/>
    <n v="3"/>
    <n v="1"/>
    <s v="W"/>
    <s v="31"/>
    <x v="3"/>
    <s v="6120005"/>
    <n v="2"/>
    <n v="3"/>
    <n v="1"/>
  </r>
  <r>
    <s v="RESI"/>
    <x v="6"/>
    <x v="7"/>
    <x v="0"/>
    <x v="0"/>
    <n v="3"/>
    <n v="3"/>
    <n v="1"/>
    <s v="W"/>
    <s v="36"/>
    <x v="8"/>
    <s v="6120006"/>
    <n v="2"/>
    <n v="6"/>
    <n v="2"/>
  </r>
  <r>
    <s v="RESI"/>
    <x v="6"/>
    <x v="7"/>
    <x v="0"/>
    <x v="0"/>
    <n v="3"/>
    <n v="3"/>
    <n v="1"/>
    <s v="W"/>
    <s v="30"/>
    <x v="2"/>
    <s v="6120008"/>
    <n v="2"/>
    <n v="6"/>
    <n v="2"/>
  </r>
  <r>
    <s v="RESI"/>
    <x v="6"/>
    <x v="7"/>
    <x v="0"/>
    <x v="0"/>
    <n v="3"/>
    <n v="3"/>
    <n v="1"/>
    <s v="W"/>
    <s v="30"/>
    <x v="2"/>
    <s v="6120028"/>
    <n v="2"/>
    <n v="3"/>
    <n v="1"/>
  </r>
  <r>
    <s v="RESI"/>
    <x v="6"/>
    <x v="7"/>
    <x v="0"/>
    <x v="0"/>
    <n v="3"/>
    <n v="3"/>
    <n v="1"/>
    <s v="W"/>
    <s v="33"/>
    <x v="9"/>
    <s v="6120040"/>
    <n v="2"/>
    <n v="45"/>
    <n v="15"/>
  </r>
  <r>
    <s v="RESI"/>
    <x v="6"/>
    <x v="7"/>
    <x v="0"/>
    <x v="3"/>
    <n v="3"/>
    <n v="3"/>
    <n v="1"/>
    <s v="W"/>
    <s v="33"/>
    <x v="9"/>
    <s v="6120040"/>
    <n v="2"/>
    <n v="18"/>
    <n v="6"/>
  </r>
  <r>
    <s v="RESI"/>
    <x v="6"/>
    <x v="7"/>
    <x v="0"/>
    <x v="0"/>
    <n v="3"/>
    <n v="3"/>
    <n v="1"/>
    <s v="W"/>
    <s v="30"/>
    <x v="2"/>
    <s v="6130002"/>
    <n v="3"/>
    <n v="3"/>
    <n v="1"/>
  </r>
  <r>
    <s v="RESI"/>
    <x v="6"/>
    <x v="7"/>
    <x v="0"/>
    <x v="0"/>
    <n v="3"/>
    <n v="3"/>
    <n v="1"/>
    <s v="W"/>
    <s v="32"/>
    <x v="7"/>
    <s v="6130004"/>
    <n v="3"/>
    <n v="3"/>
    <n v="1"/>
  </r>
  <r>
    <s v="RESI"/>
    <x v="6"/>
    <x v="7"/>
    <x v="0"/>
    <x v="0"/>
    <n v="3"/>
    <n v="3"/>
    <n v="1"/>
    <s v="W"/>
    <s v="31"/>
    <x v="3"/>
    <s v="6130005"/>
    <n v="3"/>
    <n v="3"/>
    <n v="1"/>
  </r>
  <r>
    <s v="RESI"/>
    <x v="6"/>
    <x v="7"/>
    <x v="0"/>
    <x v="0"/>
    <n v="3"/>
    <n v="3"/>
    <n v="1"/>
    <s v="W"/>
    <s v="36"/>
    <x v="8"/>
    <s v="6130006"/>
    <n v="3"/>
    <n v="3"/>
    <n v="1"/>
  </r>
  <r>
    <s v="RESI"/>
    <x v="6"/>
    <x v="7"/>
    <x v="0"/>
    <x v="3"/>
    <n v="3"/>
    <n v="3"/>
    <n v="1"/>
    <s v="W"/>
    <s v="30"/>
    <x v="2"/>
    <s v="6130008"/>
    <n v="3"/>
    <n v="3"/>
    <n v="1"/>
  </r>
  <r>
    <s v="RESI"/>
    <x v="6"/>
    <x v="7"/>
    <x v="0"/>
    <x v="0"/>
    <n v="3"/>
    <n v="3"/>
    <n v="1"/>
    <s v="W"/>
    <s v="30"/>
    <x v="2"/>
    <s v="6130028"/>
    <n v="3"/>
    <n v="6"/>
    <n v="2"/>
  </r>
  <r>
    <s v="COMM"/>
    <x v="6"/>
    <x v="7"/>
    <x v="0"/>
    <x v="3"/>
    <n v="3"/>
    <n v="3"/>
    <n v="1"/>
    <s v="W"/>
    <s v="71"/>
    <x v="1"/>
    <s v="6170005"/>
    <n v="9"/>
    <n v="12"/>
    <n v="4"/>
  </r>
  <r>
    <s v="IND"/>
    <x v="6"/>
    <x v="7"/>
    <x v="0"/>
    <x v="8"/>
    <n v="3"/>
    <n v="3"/>
    <n v="1"/>
    <s v="W"/>
    <s v="71"/>
    <x v="1"/>
    <s v="6170005"/>
    <n v="9"/>
    <n v="3"/>
    <n v="1"/>
  </r>
  <r>
    <s v="COMM"/>
    <x v="6"/>
    <x v="7"/>
    <x v="0"/>
    <x v="17"/>
    <n v="3"/>
    <n v="3"/>
    <n v="1"/>
    <s v="W"/>
    <s v="71"/>
    <x v="1"/>
    <s v="6170005"/>
    <n v="9"/>
    <n v="3"/>
    <n v="1"/>
  </r>
  <r>
    <s v="COMM"/>
    <x v="6"/>
    <x v="7"/>
    <x v="0"/>
    <x v="1"/>
    <n v="3"/>
    <n v="3"/>
    <n v="1"/>
    <s v="W"/>
    <s v="71"/>
    <x v="1"/>
    <s v="6170005"/>
    <n v="9"/>
    <n v="39"/>
    <n v="13"/>
  </r>
  <r>
    <s v="IND"/>
    <x v="6"/>
    <x v="7"/>
    <x v="0"/>
    <x v="1"/>
    <n v="3"/>
    <n v="3"/>
    <n v="1"/>
    <s v="W"/>
    <s v="71"/>
    <x v="1"/>
    <s v="6170005"/>
    <n v="9"/>
    <n v="12"/>
    <n v="4"/>
  </r>
  <r>
    <s v="COMM"/>
    <x v="6"/>
    <x v="7"/>
    <x v="0"/>
    <x v="1"/>
    <n v="3"/>
    <n v="3"/>
    <n v="1"/>
    <s v="W"/>
    <s v="75"/>
    <x v="22"/>
    <s v="6170015"/>
    <n v="9"/>
    <n v="6"/>
    <n v="2"/>
  </r>
  <r>
    <s v="COMM"/>
    <x v="6"/>
    <x v="7"/>
    <x v="0"/>
    <x v="2"/>
    <n v="3"/>
    <n v="3"/>
    <n v="1"/>
    <s v="W"/>
    <s v="71"/>
    <x v="1"/>
    <s v="6170055"/>
    <n v="9"/>
    <n v="57"/>
    <n v="19"/>
  </r>
  <r>
    <s v="COMM"/>
    <x v="6"/>
    <x v="7"/>
    <x v="0"/>
    <x v="1"/>
    <n v="3"/>
    <n v="3"/>
    <n v="2"/>
    <s v="W"/>
    <s v="72"/>
    <x v="21"/>
    <s v="6170004"/>
    <n v="9"/>
    <n v="6"/>
    <n v="2"/>
  </r>
  <r>
    <s v="COMM"/>
    <x v="6"/>
    <x v="7"/>
    <x v="0"/>
    <x v="1"/>
    <n v="3"/>
    <n v="3"/>
    <n v="2"/>
    <s v="W"/>
    <s v="76"/>
    <x v="25"/>
    <s v="6170006"/>
    <n v="9"/>
    <n v="3"/>
    <n v="1"/>
  </r>
  <r>
    <s v="COMM"/>
    <x v="6"/>
    <x v="7"/>
    <x v="0"/>
    <x v="1"/>
    <n v="3"/>
    <n v="3"/>
    <n v="2"/>
    <s v="W"/>
    <s v="70"/>
    <x v="17"/>
    <s v="6170028"/>
    <n v="9"/>
    <n v="6"/>
    <n v="2"/>
  </r>
  <r>
    <s v="COMM"/>
    <x v="6"/>
    <x v="7"/>
    <x v="0"/>
    <x v="2"/>
    <n v="3"/>
    <n v="3"/>
    <n v="2"/>
    <s v="W"/>
    <s v="70"/>
    <x v="17"/>
    <s v="6170028"/>
    <n v="9"/>
    <n v="6"/>
    <n v="2"/>
  </r>
  <r>
    <s v="COMM"/>
    <x v="6"/>
    <x v="7"/>
    <x v="0"/>
    <x v="2"/>
    <n v="3"/>
    <n v="5"/>
    <n v="1"/>
    <s v="W"/>
    <s v="73"/>
    <x v="18"/>
    <s v="6170040"/>
    <n v="9"/>
    <n v="3"/>
    <n v="1"/>
  </r>
  <r>
    <s v="COMM"/>
    <x v="6"/>
    <x v="7"/>
    <x v="0"/>
    <x v="3"/>
    <n v="3"/>
    <n v="6"/>
    <n v="1"/>
    <s v="W"/>
    <s v="71"/>
    <x v="1"/>
    <s v="6170005"/>
    <n v="9"/>
    <n v="3"/>
    <n v="1"/>
  </r>
  <r>
    <s v="COMM"/>
    <x v="6"/>
    <x v="7"/>
    <x v="0"/>
    <x v="1"/>
    <n v="3"/>
    <n v="6"/>
    <n v="2"/>
    <s v="W"/>
    <s v="73"/>
    <x v="18"/>
    <s v="6170040"/>
    <n v="9"/>
    <n v="6"/>
    <n v="2"/>
  </r>
  <r>
    <s v="COMM"/>
    <x v="6"/>
    <x v="7"/>
    <x v="0"/>
    <x v="1"/>
    <n v="4"/>
    <n v="4"/>
    <n v="1"/>
    <s v="W"/>
    <s v="7C"/>
    <x v="19"/>
    <s v="6080004"/>
    <n v="4"/>
    <n v="12"/>
    <n v="3"/>
  </r>
  <r>
    <s v="COMM"/>
    <x v="6"/>
    <x v="7"/>
    <x v="0"/>
    <x v="2"/>
    <n v="4"/>
    <n v="4"/>
    <n v="1"/>
    <s v="W"/>
    <s v="7C"/>
    <x v="19"/>
    <s v="6080004"/>
    <n v="4"/>
    <n v="4"/>
    <n v="1"/>
  </r>
  <r>
    <s v="COMM"/>
    <x v="6"/>
    <x v="7"/>
    <x v="0"/>
    <x v="8"/>
    <n v="4"/>
    <n v="4"/>
    <n v="1"/>
    <s v="W"/>
    <s v="7A"/>
    <x v="24"/>
    <s v="6080240"/>
    <n v="4"/>
    <n v="4"/>
    <n v="1"/>
  </r>
  <r>
    <s v="RESI"/>
    <x v="6"/>
    <x v="7"/>
    <x v="0"/>
    <x v="0"/>
    <n v="4"/>
    <n v="4"/>
    <n v="1"/>
    <s v="W"/>
    <s v="31"/>
    <x v="3"/>
    <s v="6110005"/>
    <n v="1"/>
    <n v="4"/>
    <n v="1"/>
  </r>
  <r>
    <s v="RESI"/>
    <x v="6"/>
    <x v="7"/>
    <x v="0"/>
    <x v="0"/>
    <n v="4"/>
    <n v="4"/>
    <n v="1"/>
    <s v="W"/>
    <s v="30"/>
    <x v="2"/>
    <s v="6110028"/>
    <n v="1"/>
    <n v="4"/>
    <n v="1"/>
  </r>
  <r>
    <s v="RESI"/>
    <x v="6"/>
    <x v="7"/>
    <x v="0"/>
    <x v="3"/>
    <n v="4"/>
    <n v="4"/>
    <n v="1"/>
    <s v="W"/>
    <s v="30"/>
    <x v="2"/>
    <s v="6130028"/>
    <n v="3"/>
    <n v="4"/>
    <n v="1"/>
  </r>
  <r>
    <s v="COMM"/>
    <x v="6"/>
    <x v="7"/>
    <x v="0"/>
    <x v="17"/>
    <n v="4"/>
    <n v="4"/>
    <n v="1"/>
    <s v="W"/>
    <s v="71"/>
    <x v="1"/>
    <s v="6170005"/>
    <n v="9"/>
    <n v="4"/>
    <n v="1"/>
  </r>
  <r>
    <s v="COMM"/>
    <x v="6"/>
    <x v="7"/>
    <x v="0"/>
    <x v="1"/>
    <n v="4"/>
    <n v="4"/>
    <n v="1"/>
    <s v="W"/>
    <s v="71"/>
    <x v="1"/>
    <s v="6170005"/>
    <n v="9"/>
    <n v="24"/>
    <n v="6"/>
  </r>
  <r>
    <s v="IND"/>
    <x v="6"/>
    <x v="7"/>
    <x v="0"/>
    <x v="1"/>
    <n v="4"/>
    <n v="4"/>
    <n v="1"/>
    <s v="W"/>
    <s v="71"/>
    <x v="1"/>
    <s v="6170005"/>
    <n v="9"/>
    <n v="12"/>
    <n v="3"/>
  </r>
  <r>
    <s v="COMM"/>
    <x v="6"/>
    <x v="7"/>
    <x v="0"/>
    <x v="3"/>
    <n v="4"/>
    <n v="4"/>
    <n v="1"/>
    <s v="W"/>
    <s v="71"/>
    <x v="1"/>
    <s v="6170005"/>
    <n v="9"/>
    <n v="4"/>
    <n v="1"/>
  </r>
  <r>
    <s v="COMM"/>
    <x v="6"/>
    <x v="7"/>
    <x v="0"/>
    <x v="1"/>
    <n v="4"/>
    <n v="4"/>
    <n v="1"/>
    <s v="W"/>
    <s v="70"/>
    <x v="17"/>
    <s v="6170008"/>
    <n v="9"/>
    <n v="4"/>
    <n v="1"/>
  </r>
  <r>
    <s v="COMM"/>
    <x v="6"/>
    <x v="7"/>
    <x v="0"/>
    <x v="2"/>
    <n v="4"/>
    <n v="4"/>
    <n v="1"/>
    <s v="W"/>
    <s v="70"/>
    <x v="17"/>
    <s v="6170028"/>
    <n v="9"/>
    <n v="4"/>
    <n v="1"/>
  </r>
  <r>
    <s v="COMM"/>
    <x v="6"/>
    <x v="7"/>
    <x v="0"/>
    <x v="2"/>
    <n v="4"/>
    <n v="4"/>
    <n v="1"/>
    <s v="W"/>
    <s v="73"/>
    <x v="18"/>
    <s v="6170040"/>
    <n v="9"/>
    <n v="4"/>
    <n v="1"/>
  </r>
  <r>
    <s v="COMM"/>
    <x v="6"/>
    <x v="7"/>
    <x v="0"/>
    <x v="2"/>
    <n v="4"/>
    <n v="4"/>
    <n v="1"/>
    <s v="W"/>
    <s v="71"/>
    <x v="1"/>
    <s v="6170055"/>
    <n v="9"/>
    <n v="36"/>
    <n v="9"/>
  </r>
  <r>
    <s v="COMM"/>
    <x v="6"/>
    <x v="7"/>
    <x v="0"/>
    <x v="1"/>
    <n v="4"/>
    <n v="4"/>
    <n v="2"/>
    <s v="W"/>
    <s v="72"/>
    <x v="21"/>
    <s v="6170004"/>
    <n v="9"/>
    <n v="4"/>
    <n v="1"/>
  </r>
  <r>
    <s v="COMM"/>
    <x v="6"/>
    <x v="7"/>
    <x v="0"/>
    <x v="2"/>
    <n v="4"/>
    <n v="4"/>
    <n v="2"/>
    <s v="W"/>
    <s v="72"/>
    <x v="21"/>
    <s v="6170004"/>
    <n v="9"/>
    <n v="8"/>
    <n v="2"/>
  </r>
  <r>
    <s v="COMM"/>
    <x v="6"/>
    <x v="7"/>
    <x v="0"/>
    <x v="1"/>
    <n v="4"/>
    <n v="4"/>
    <n v="2"/>
    <s v="W"/>
    <s v="70"/>
    <x v="17"/>
    <s v="6170028"/>
    <n v="9"/>
    <n v="4"/>
    <n v="1"/>
  </r>
  <r>
    <s v="COMM"/>
    <x v="6"/>
    <x v="7"/>
    <x v="0"/>
    <x v="2"/>
    <n v="4"/>
    <n v="4"/>
    <n v="2"/>
    <s v="W"/>
    <s v="70"/>
    <x v="17"/>
    <s v="6170028"/>
    <n v="9"/>
    <n v="16"/>
    <n v="4"/>
  </r>
  <r>
    <s v="COMM"/>
    <x v="6"/>
    <x v="7"/>
    <x v="0"/>
    <x v="1"/>
    <n v="4"/>
    <n v="8"/>
    <n v="1"/>
    <s v="W"/>
    <s v="71"/>
    <x v="1"/>
    <s v="6170005"/>
    <n v="9"/>
    <n v="4"/>
    <n v="1"/>
  </r>
  <r>
    <s v="IND"/>
    <x v="6"/>
    <x v="7"/>
    <x v="0"/>
    <x v="1"/>
    <n v="4"/>
    <n v="8"/>
    <n v="1"/>
    <s v="W"/>
    <s v="71"/>
    <x v="1"/>
    <s v="6170005"/>
    <n v="9"/>
    <n v="4"/>
    <n v="1"/>
  </r>
  <r>
    <s v="COMM"/>
    <x v="6"/>
    <x v="7"/>
    <x v="0"/>
    <x v="3"/>
    <n v="4"/>
    <n v="8"/>
    <n v="1"/>
    <s v="W"/>
    <s v="71"/>
    <x v="1"/>
    <s v="6170005"/>
    <n v="9"/>
    <n v="4"/>
    <n v="1"/>
  </r>
  <r>
    <s v="COMM"/>
    <x v="6"/>
    <x v="7"/>
    <x v="0"/>
    <x v="2"/>
    <n v="4"/>
    <n v="8"/>
    <n v="2"/>
    <s v="W"/>
    <s v="73"/>
    <x v="18"/>
    <s v="6170040"/>
    <n v="9"/>
    <n v="12"/>
    <n v="3"/>
  </r>
  <r>
    <s v="IND"/>
    <x v="6"/>
    <x v="7"/>
    <x v="0"/>
    <x v="1"/>
    <n v="5"/>
    <n v="0"/>
    <n v="0"/>
    <m/>
    <s v="71"/>
    <x v="1"/>
    <s v="6170005"/>
    <n v="9"/>
    <n v="5"/>
    <n v="1"/>
  </r>
  <r>
    <s v="COMM"/>
    <x v="6"/>
    <x v="7"/>
    <x v="0"/>
    <x v="8"/>
    <n v="5"/>
    <n v="5"/>
    <n v="1"/>
    <s v="W"/>
    <s v="7C"/>
    <x v="19"/>
    <s v="6080004"/>
    <n v="4"/>
    <n v="5"/>
    <n v="1"/>
  </r>
  <r>
    <s v="COMM"/>
    <x v="6"/>
    <x v="7"/>
    <x v="0"/>
    <x v="2"/>
    <n v="5"/>
    <n v="5"/>
    <n v="1"/>
    <s v="W"/>
    <s v="7C"/>
    <x v="19"/>
    <s v="6080004"/>
    <n v="4"/>
    <n v="5"/>
    <n v="1"/>
  </r>
  <r>
    <s v="COMM"/>
    <x v="6"/>
    <x v="7"/>
    <x v="0"/>
    <x v="1"/>
    <n v="5"/>
    <n v="5"/>
    <n v="1"/>
    <s v="W"/>
    <s v="7C"/>
    <x v="19"/>
    <s v="6080004"/>
    <n v="4"/>
    <n v="5"/>
    <n v="1"/>
  </r>
  <r>
    <s v="COMM"/>
    <x v="6"/>
    <x v="7"/>
    <x v="0"/>
    <x v="8"/>
    <n v="5"/>
    <n v="5"/>
    <n v="1"/>
    <s v="W"/>
    <s v="7A"/>
    <x v="24"/>
    <s v="6080240"/>
    <n v="4"/>
    <n v="5"/>
    <n v="1"/>
  </r>
  <r>
    <s v="RESI"/>
    <x v="6"/>
    <x v="7"/>
    <x v="0"/>
    <x v="3"/>
    <n v="5"/>
    <n v="5"/>
    <n v="1"/>
    <s v="W"/>
    <s v="31"/>
    <x v="3"/>
    <s v="6110005"/>
    <n v="1"/>
    <n v="5"/>
    <n v="1"/>
  </r>
  <r>
    <s v="COMM"/>
    <x v="6"/>
    <x v="7"/>
    <x v="0"/>
    <x v="1"/>
    <n v="5"/>
    <n v="5"/>
    <n v="1"/>
    <s v="W"/>
    <s v="71"/>
    <x v="1"/>
    <s v="6170005"/>
    <n v="9"/>
    <n v="10"/>
    <n v="2"/>
  </r>
  <r>
    <s v="IND"/>
    <x v="6"/>
    <x v="7"/>
    <x v="0"/>
    <x v="1"/>
    <n v="5"/>
    <n v="5"/>
    <n v="1"/>
    <s v="W"/>
    <s v="71"/>
    <x v="1"/>
    <s v="6170005"/>
    <n v="9"/>
    <n v="5"/>
    <n v="1"/>
  </r>
  <r>
    <s v="COMM"/>
    <x v="6"/>
    <x v="7"/>
    <x v="0"/>
    <x v="2"/>
    <n v="5"/>
    <n v="5"/>
    <n v="1"/>
    <s v="W"/>
    <s v="71"/>
    <x v="1"/>
    <s v="6170055"/>
    <n v="9"/>
    <n v="10"/>
    <n v="2"/>
  </r>
  <r>
    <s v="COMM"/>
    <x v="6"/>
    <x v="7"/>
    <x v="0"/>
    <x v="1"/>
    <n v="5"/>
    <n v="10"/>
    <n v="1"/>
    <s v="W"/>
    <s v="71"/>
    <x v="1"/>
    <s v="6170005"/>
    <n v="9"/>
    <n v="5"/>
    <n v="1"/>
  </r>
  <r>
    <s v="COMM"/>
    <x v="6"/>
    <x v="7"/>
    <x v="0"/>
    <x v="2"/>
    <n v="5"/>
    <n v="10"/>
    <n v="1"/>
    <s v="W"/>
    <s v="71"/>
    <x v="1"/>
    <s v="6170055"/>
    <n v="9"/>
    <n v="5"/>
    <n v="1"/>
  </r>
  <r>
    <s v="COMM"/>
    <x v="6"/>
    <x v="7"/>
    <x v="0"/>
    <x v="2"/>
    <n v="5"/>
    <n v="10"/>
    <n v="2"/>
    <s v="W"/>
    <s v="73"/>
    <x v="18"/>
    <s v="6170040"/>
    <n v="9"/>
    <n v="5"/>
    <n v="1"/>
  </r>
  <r>
    <s v="COMM"/>
    <x v="6"/>
    <x v="7"/>
    <x v="0"/>
    <x v="1"/>
    <n v="5"/>
    <n v="10"/>
    <n v="2"/>
    <s v="W"/>
    <s v="73"/>
    <x v="18"/>
    <s v="6170040"/>
    <n v="9"/>
    <n v="5"/>
    <n v="1"/>
  </r>
  <r>
    <s v="COMM"/>
    <x v="6"/>
    <x v="7"/>
    <x v="0"/>
    <x v="2"/>
    <n v="6"/>
    <n v="6"/>
    <n v="1"/>
    <s v="W"/>
    <s v="7C"/>
    <x v="19"/>
    <s v="6080004"/>
    <n v="4"/>
    <n v="6"/>
    <n v="1"/>
  </r>
  <r>
    <s v="COMM"/>
    <x v="6"/>
    <x v="7"/>
    <x v="0"/>
    <x v="2"/>
    <n v="6"/>
    <n v="6"/>
    <n v="1"/>
    <s v="W"/>
    <s v="7B"/>
    <x v="20"/>
    <s v="6080060"/>
    <n v="6"/>
    <n v="6"/>
    <n v="1"/>
  </r>
  <r>
    <s v="COMM"/>
    <x v="6"/>
    <x v="7"/>
    <x v="0"/>
    <x v="1"/>
    <n v="6"/>
    <n v="6"/>
    <n v="1"/>
    <s v="W"/>
    <s v="71"/>
    <x v="1"/>
    <s v="6170005"/>
    <n v="9"/>
    <n v="24"/>
    <n v="4"/>
  </r>
  <r>
    <s v="COMM"/>
    <x v="6"/>
    <x v="7"/>
    <x v="0"/>
    <x v="2"/>
    <n v="6"/>
    <n v="6"/>
    <n v="1"/>
    <s v="W"/>
    <s v="71"/>
    <x v="1"/>
    <s v="6170055"/>
    <n v="9"/>
    <n v="12"/>
    <n v="2"/>
  </r>
  <r>
    <s v="COMM"/>
    <x v="6"/>
    <x v="7"/>
    <x v="0"/>
    <x v="2"/>
    <n v="6"/>
    <n v="6"/>
    <n v="2"/>
    <s v="W"/>
    <s v="72"/>
    <x v="21"/>
    <s v="6170004"/>
    <n v="9"/>
    <n v="6"/>
    <n v="1"/>
  </r>
  <r>
    <s v="COMM"/>
    <x v="6"/>
    <x v="7"/>
    <x v="0"/>
    <x v="2"/>
    <n v="6"/>
    <n v="6"/>
    <n v="2"/>
    <s v="W"/>
    <s v="70"/>
    <x v="17"/>
    <s v="6170028"/>
    <n v="9"/>
    <n v="6"/>
    <n v="1"/>
  </r>
  <r>
    <s v="COMM"/>
    <x v="6"/>
    <x v="7"/>
    <x v="0"/>
    <x v="1"/>
    <n v="6"/>
    <n v="6"/>
    <n v="2"/>
    <s v="W"/>
    <s v="73"/>
    <x v="18"/>
    <s v="6170040"/>
    <n v="9"/>
    <n v="6"/>
    <n v="1"/>
  </r>
  <r>
    <s v="COMM"/>
    <x v="6"/>
    <x v="7"/>
    <x v="0"/>
    <x v="2"/>
    <n v="6"/>
    <n v="12"/>
    <n v="1"/>
    <s v="W"/>
    <s v="71"/>
    <x v="1"/>
    <s v="6170055"/>
    <n v="9"/>
    <n v="6"/>
    <n v="1"/>
  </r>
  <r>
    <s v="COMM"/>
    <x v="6"/>
    <x v="7"/>
    <x v="0"/>
    <x v="2"/>
    <n v="6"/>
    <n v="12"/>
    <n v="2"/>
    <s v="W"/>
    <s v="73"/>
    <x v="18"/>
    <s v="6170040"/>
    <n v="9"/>
    <n v="12"/>
    <n v="2"/>
  </r>
  <r>
    <s v="COMM"/>
    <x v="6"/>
    <x v="7"/>
    <x v="0"/>
    <x v="8"/>
    <n v="7"/>
    <n v="7"/>
    <n v="1"/>
    <s v="W"/>
    <s v="7C"/>
    <x v="19"/>
    <s v="6080004"/>
    <n v="4"/>
    <n v="7"/>
    <n v="1"/>
  </r>
  <r>
    <s v="COMM"/>
    <x v="6"/>
    <x v="7"/>
    <x v="0"/>
    <x v="1"/>
    <n v="7"/>
    <n v="7"/>
    <n v="1"/>
    <s v="W"/>
    <s v="71"/>
    <x v="1"/>
    <s v="6170005"/>
    <n v="9"/>
    <n v="7"/>
    <n v="1"/>
  </r>
  <r>
    <s v="COMM"/>
    <x v="6"/>
    <x v="7"/>
    <x v="0"/>
    <x v="2"/>
    <n v="7"/>
    <n v="7"/>
    <n v="1"/>
    <s v="W"/>
    <s v="71"/>
    <x v="1"/>
    <s v="6170055"/>
    <n v="9"/>
    <n v="14"/>
    <n v="2"/>
  </r>
  <r>
    <s v="COMM"/>
    <x v="6"/>
    <x v="7"/>
    <x v="0"/>
    <x v="2"/>
    <n v="7"/>
    <n v="7"/>
    <n v="2"/>
    <s v="W"/>
    <s v="70"/>
    <x v="17"/>
    <s v="6170028"/>
    <n v="9"/>
    <n v="14"/>
    <n v="2"/>
  </r>
  <r>
    <s v="COMM"/>
    <x v="6"/>
    <x v="7"/>
    <x v="0"/>
    <x v="1"/>
    <n v="7"/>
    <n v="7"/>
    <n v="2"/>
    <s v="W"/>
    <s v="73"/>
    <x v="18"/>
    <s v="6170040"/>
    <n v="9"/>
    <n v="7"/>
    <n v="1"/>
  </r>
  <r>
    <s v="COMM"/>
    <x v="6"/>
    <x v="7"/>
    <x v="0"/>
    <x v="2"/>
    <n v="7"/>
    <n v="14"/>
    <n v="1"/>
    <s v="W"/>
    <s v="71"/>
    <x v="1"/>
    <s v="6170055"/>
    <n v="9"/>
    <n v="7"/>
    <n v="1"/>
  </r>
  <r>
    <s v="COMM"/>
    <x v="6"/>
    <x v="7"/>
    <x v="0"/>
    <x v="2"/>
    <n v="7"/>
    <n v="14"/>
    <n v="2"/>
    <s v="W"/>
    <s v="73"/>
    <x v="18"/>
    <s v="6170040"/>
    <n v="9"/>
    <n v="14"/>
    <n v="2"/>
  </r>
  <r>
    <s v="COMM"/>
    <x v="6"/>
    <x v="7"/>
    <x v="0"/>
    <x v="2"/>
    <n v="8"/>
    <n v="8"/>
    <n v="1"/>
    <s v="W"/>
    <s v="7B"/>
    <x v="20"/>
    <s v="6080060"/>
    <n v="6"/>
    <n v="8"/>
    <n v="1"/>
  </r>
  <r>
    <s v="COMM"/>
    <x v="6"/>
    <x v="7"/>
    <x v="0"/>
    <x v="3"/>
    <n v="8"/>
    <n v="8"/>
    <n v="1"/>
    <s v="W"/>
    <s v="71"/>
    <x v="1"/>
    <s v="6170005"/>
    <n v="9"/>
    <n v="8"/>
    <n v="1"/>
  </r>
  <r>
    <s v="COMM"/>
    <x v="6"/>
    <x v="7"/>
    <x v="0"/>
    <x v="2"/>
    <n v="8"/>
    <n v="8"/>
    <n v="1"/>
    <s v="W"/>
    <s v="71"/>
    <x v="1"/>
    <s v="6170055"/>
    <n v="9"/>
    <n v="32"/>
    <n v="4"/>
  </r>
  <r>
    <s v="COMM"/>
    <x v="6"/>
    <x v="7"/>
    <x v="0"/>
    <x v="2"/>
    <n v="8"/>
    <n v="16"/>
    <n v="1"/>
    <s v="W"/>
    <s v="73"/>
    <x v="18"/>
    <s v="6170040"/>
    <n v="9"/>
    <n v="8"/>
    <n v="1"/>
  </r>
  <r>
    <s v="COMM"/>
    <x v="6"/>
    <x v="7"/>
    <x v="0"/>
    <x v="2"/>
    <n v="9"/>
    <n v="9"/>
    <n v="1"/>
    <s v="W"/>
    <s v="7B"/>
    <x v="20"/>
    <s v="6080060"/>
    <n v="6"/>
    <n v="9"/>
    <n v="1"/>
  </r>
  <r>
    <s v="COMM"/>
    <x v="6"/>
    <x v="7"/>
    <x v="0"/>
    <x v="1"/>
    <n v="9"/>
    <n v="9"/>
    <n v="1"/>
    <s v="W"/>
    <s v="71"/>
    <x v="1"/>
    <s v="6170005"/>
    <n v="9"/>
    <n v="9"/>
    <n v="1"/>
  </r>
  <r>
    <s v="COMM"/>
    <x v="6"/>
    <x v="7"/>
    <x v="0"/>
    <x v="2"/>
    <n v="9"/>
    <n v="9"/>
    <n v="1"/>
    <s v="W"/>
    <s v="71"/>
    <x v="1"/>
    <s v="6170055"/>
    <n v="9"/>
    <n v="9"/>
    <n v="1"/>
  </r>
  <r>
    <s v="IND"/>
    <x v="6"/>
    <x v="7"/>
    <x v="0"/>
    <x v="2"/>
    <n v="9"/>
    <n v="16"/>
    <n v="1"/>
    <s v="W"/>
    <s v="75"/>
    <x v="22"/>
    <s v="6170015"/>
    <n v="9"/>
    <n v="9"/>
    <n v="1"/>
  </r>
  <r>
    <s v="COMM"/>
    <x v="6"/>
    <x v="7"/>
    <x v="0"/>
    <x v="2"/>
    <n v="10"/>
    <n v="10"/>
    <n v="1"/>
    <s v="W"/>
    <s v="7B"/>
    <x v="20"/>
    <s v="6080060"/>
    <n v="6"/>
    <n v="10"/>
    <n v="1"/>
  </r>
  <r>
    <s v="COMM"/>
    <x v="6"/>
    <x v="7"/>
    <x v="0"/>
    <x v="2"/>
    <n v="10"/>
    <n v="10"/>
    <n v="2"/>
    <s v="W"/>
    <s v="70"/>
    <x v="17"/>
    <s v="6170028"/>
    <n v="9"/>
    <n v="10"/>
    <n v="1"/>
  </r>
  <r>
    <s v="COMM"/>
    <x v="6"/>
    <x v="7"/>
    <x v="0"/>
    <x v="2"/>
    <n v="10"/>
    <n v="15"/>
    <n v="2"/>
    <s v="W"/>
    <s v="73"/>
    <x v="18"/>
    <s v="6170040"/>
    <n v="9"/>
    <n v="10"/>
    <n v="1"/>
  </r>
  <r>
    <s v="COMM"/>
    <x v="6"/>
    <x v="7"/>
    <x v="0"/>
    <x v="2"/>
    <n v="11"/>
    <n v="11"/>
    <n v="1"/>
    <s v="W"/>
    <s v="71"/>
    <x v="1"/>
    <s v="6170055"/>
    <n v="9"/>
    <n v="11"/>
    <n v="1"/>
  </r>
  <r>
    <s v="COMM"/>
    <x v="6"/>
    <x v="7"/>
    <x v="0"/>
    <x v="2"/>
    <n v="13"/>
    <n v="26"/>
    <n v="2"/>
    <s v="W"/>
    <s v="73"/>
    <x v="18"/>
    <s v="6170040"/>
    <n v="9"/>
    <n v="13"/>
    <n v="1"/>
  </r>
  <r>
    <s v="IND"/>
    <x v="6"/>
    <x v="7"/>
    <x v="0"/>
    <x v="1"/>
    <n v="14"/>
    <n v="14"/>
    <n v="1"/>
    <s v="W"/>
    <s v="71"/>
    <x v="1"/>
    <s v="6170005"/>
    <n v="9"/>
    <n v="14"/>
    <n v="1"/>
  </r>
  <r>
    <s v="COMM"/>
    <x v="6"/>
    <x v="7"/>
    <x v="0"/>
    <x v="2"/>
    <n v="14"/>
    <n v="14"/>
    <n v="2"/>
    <s v="W"/>
    <s v="72"/>
    <x v="21"/>
    <s v="6170004"/>
    <n v="9"/>
    <n v="14"/>
    <n v="1"/>
  </r>
  <r>
    <s v="COMM"/>
    <x v="6"/>
    <x v="7"/>
    <x v="0"/>
    <x v="2"/>
    <n v="14"/>
    <n v="28"/>
    <n v="2"/>
    <s v="W"/>
    <s v="70"/>
    <x v="17"/>
    <s v="6170028"/>
    <n v="9"/>
    <n v="14"/>
    <n v="1"/>
  </r>
  <r>
    <s v="COMM"/>
    <x v="6"/>
    <x v="7"/>
    <x v="0"/>
    <x v="2"/>
    <n v="14"/>
    <n v="28"/>
    <n v="2"/>
    <s v="W"/>
    <s v="73"/>
    <x v="18"/>
    <s v="6170040"/>
    <n v="9"/>
    <n v="14"/>
    <n v="1"/>
  </r>
  <r>
    <s v="COMM"/>
    <x v="6"/>
    <x v="7"/>
    <x v="0"/>
    <x v="1"/>
    <n v="15"/>
    <n v="15"/>
    <n v="1"/>
    <s v="W"/>
    <s v="7C"/>
    <x v="19"/>
    <s v="6080004"/>
    <n v="4"/>
    <n v="15"/>
    <n v="1"/>
  </r>
  <r>
    <s v="COMM"/>
    <x v="6"/>
    <x v="7"/>
    <x v="0"/>
    <x v="2"/>
    <n v="15"/>
    <n v="15"/>
    <n v="1"/>
    <s v="W"/>
    <s v="71"/>
    <x v="1"/>
    <s v="6170055"/>
    <n v="9"/>
    <n v="30"/>
    <n v="2"/>
  </r>
  <r>
    <s v="COMM"/>
    <x v="6"/>
    <x v="7"/>
    <x v="0"/>
    <x v="2"/>
    <n v="15"/>
    <n v="15"/>
    <n v="2"/>
    <s v="W"/>
    <s v="70"/>
    <x v="17"/>
    <s v="6170028"/>
    <n v="9"/>
    <n v="15"/>
    <n v="1"/>
  </r>
  <r>
    <s v="COMM"/>
    <x v="6"/>
    <x v="7"/>
    <x v="0"/>
    <x v="2"/>
    <n v="15"/>
    <n v="28"/>
    <n v="2"/>
    <s v="W"/>
    <s v="73"/>
    <x v="18"/>
    <s v="6170040"/>
    <n v="9"/>
    <n v="15"/>
    <n v="1"/>
  </r>
  <r>
    <s v="COMM"/>
    <x v="6"/>
    <x v="7"/>
    <x v="0"/>
    <x v="1"/>
    <n v="16"/>
    <n v="16"/>
    <n v="2"/>
    <s v="W"/>
    <s v="73"/>
    <x v="18"/>
    <s v="6170040"/>
    <n v="9"/>
    <n v="16"/>
    <n v="1"/>
  </r>
  <r>
    <s v="IND"/>
    <x v="6"/>
    <x v="7"/>
    <x v="0"/>
    <x v="2"/>
    <n v="17"/>
    <n v="0"/>
    <n v="0"/>
    <m/>
    <s v="71"/>
    <x v="1"/>
    <s v="6170055"/>
    <n v="9"/>
    <n v="17"/>
    <n v="1"/>
  </r>
  <r>
    <s v="COMM"/>
    <x v="6"/>
    <x v="7"/>
    <x v="0"/>
    <x v="2"/>
    <n v="17"/>
    <n v="17"/>
    <n v="1"/>
    <s v="W"/>
    <s v="75"/>
    <x v="22"/>
    <s v="6170015"/>
    <n v="9"/>
    <n v="17"/>
    <n v="1"/>
  </r>
  <r>
    <s v="COMM"/>
    <x v="6"/>
    <x v="7"/>
    <x v="0"/>
    <x v="2"/>
    <n v="18"/>
    <n v="18"/>
    <n v="2"/>
    <s v="W"/>
    <s v="72"/>
    <x v="21"/>
    <s v="6170004"/>
    <n v="9"/>
    <n v="18"/>
    <n v="1"/>
  </r>
  <r>
    <s v="COMM"/>
    <x v="6"/>
    <x v="7"/>
    <x v="0"/>
    <x v="1"/>
    <n v="19"/>
    <n v="19"/>
    <n v="1"/>
    <s v="W"/>
    <s v="7C"/>
    <x v="19"/>
    <s v="6080004"/>
    <n v="4"/>
    <n v="19"/>
    <n v="1"/>
  </r>
  <r>
    <s v="COMM"/>
    <x v="6"/>
    <x v="7"/>
    <x v="0"/>
    <x v="2"/>
    <n v="19"/>
    <n v="19"/>
    <n v="2"/>
    <s v="W"/>
    <s v="72"/>
    <x v="21"/>
    <s v="6170004"/>
    <n v="9"/>
    <n v="19"/>
    <n v="1"/>
  </r>
  <r>
    <s v="COMM"/>
    <x v="6"/>
    <x v="7"/>
    <x v="0"/>
    <x v="2"/>
    <n v="21"/>
    <n v="21"/>
    <n v="1"/>
    <s v="W"/>
    <s v="71"/>
    <x v="1"/>
    <s v="6170055"/>
    <n v="9"/>
    <n v="42"/>
    <n v="2"/>
  </r>
  <r>
    <s v="COMM"/>
    <x v="6"/>
    <x v="7"/>
    <x v="0"/>
    <x v="2"/>
    <n v="21"/>
    <n v="42"/>
    <n v="1"/>
    <s v="W"/>
    <s v="7B"/>
    <x v="20"/>
    <s v="6080060"/>
    <n v="6"/>
    <n v="21"/>
    <n v="1"/>
  </r>
  <r>
    <s v="COMM"/>
    <x v="6"/>
    <x v="7"/>
    <x v="0"/>
    <x v="8"/>
    <n v="26"/>
    <n v="26"/>
    <n v="1"/>
    <s v="W"/>
    <s v="71"/>
    <x v="1"/>
    <s v="6170055"/>
    <n v="9"/>
    <n v="26"/>
    <n v="1"/>
  </r>
  <r>
    <s v="COMM"/>
    <x v="6"/>
    <x v="7"/>
    <x v="0"/>
    <x v="2"/>
    <n v="27"/>
    <n v="27"/>
    <n v="1"/>
    <s v="W"/>
    <s v="71"/>
    <x v="1"/>
    <s v="6170055"/>
    <n v="9"/>
    <n v="27"/>
    <n v="1"/>
  </r>
  <r>
    <s v="COMM"/>
    <x v="6"/>
    <x v="7"/>
    <x v="0"/>
    <x v="2"/>
    <n v="29"/>
    <n v="29"/>
    <n v="2"/>
    <s v="W"/>
    <s v="70"/>
    <x v="17"/>
    <s v="6170028"/>
    <n v="9"/>
    <n v="29"/>
    <n v="1"/>
  </r>
  <r>
    <s v="COMM"/>
    <x v="6"/>
    <x v="7"/>
    <x v="0"/>
    <x v="2"/>
    <n v="30"/>
    <n v="30"/>
    <n v="1"/>
    <s v="W"/>
    <s v="7B"/>
    <x v="20"/>
    <s v="6080060"/>
    <n v="6"/>
    <n v="30"/>
    <n v="1"/>
  </r>
  <r>
    <s v="COMM"/>
    <x v="6"/>
    <x v="7"/>
    <x v="0"/>
    <x v="2"/>
    <n v="36"/>
    <n v="36"/>
    <n v="1"/>
    <s v="W"/>
    <s v="71"/>
    <x v="1"/>
    <s v="6170055"/>
    <n v="9"/>
    <n v="36"/>
    <n v="1"/>
  </r>
  <r>
    <s v="COMM"/>
    <x v="6"/>
    <x v="7"/>
    <x v="0"/>
    <x v="2"/>
    <n v="39"/>
    <n v="39"/>
    <n v="1"/>
    <s v="W"/>
    <s v="7A"/>
    <x v="24"/>
    <s v="6170022"/>
    <n v="9"/>
    <n v="39"/>
    <n v="1"/>
  </r>
  <r>
    <s v="COMM"/>
    <x v="6"/>
    <x v="7"/>
    <x v="0"/>
    <x v="2"/>
    <n v="51"/>
    <n v="51"/>
    <n v="1"/>
    <s v="W"/>
    <s v="71"/>
    <x v="1"/>
    <s v="6170055"/>
    <n v="9"/>
    <n v="51"/>
    <n v="1"/>
  </r>
  <r>
    <s v="COMM"/>
    <x v="6"/>
    <x v="7"/>
    <x v="0"/>
    <x v="2"/>
    <n v="52"/>
    <n v="104"/>
    <n v="1"/>
    <s v="W"/>
    <s v="7B"/>
    <x v="20"/>
    <s v="6080060"/>
    <n v="6"/>
    <n v="52"/>
    <n v="1"/>
  </r>
  <r>
    <s v="COMM"/>
    <x v="6"/>
    <x v="7"/>
    <x v="0"/>
    <x v="2"/>
    <n v="86"/>
    <n v="86"/>
    <n v="2"/>
    <s v="W"/>
    <s v="70"/>
    <x v="17"/>
    <s v="6170028"/>
    <n v="9"/>
    <n v="86"/>
    <n v="1"/>
  </r>
  <r>
    <s v="COMM"/>
    <x v="6"/>
    <x v="26"/>
    <x v="0"/>
    <x v="2"/>
    <n v="2"/>
    <n v="2"/>
    <n v="1"/>
    <s v="W"/>
    <s v="71"/>
    <x v="1"/>
    <s v="6170055"/>
    <n v="9"/>
    <n v="2"/>
    <n v="1"/>
  </r>
  <r>
    <s v="COMM"/>
    <x v="6"/>
    <x v="26"/>
    <x v="0"/>
    <x v="2"/>
    <n v="3"/>
    <n v="3"/>
    <n v="1"/>
    <s v="W"/>
    <s v="71"/>
    <x v="1"/>
    <s v="6170055"/>
    <n v="9"/>
    <n v="69"/>
    <n v="23"/>
  </r>
  <r>
    <s v="COMM"/>
    <x v="6"/>
    <x v="26"/>
    <x v="0"/>
    <x v="2"/>
    <n v="4"/>
    <n v="4"/>
    <n v="1"/>
    <s v="W"/>
    <s v="71"/>
    <x v="1"/>
    <s v="6170055"/>
    <n v="9"/>
    <n v="64"/>
    <n v="16"/>
  </r>
  <r>
    <s v="COMM"/>
    <x v="6"/>
    <x v="26"/>
    <x v="0"/>
    <x v="2"/>
    <n v="5"/>
    <n v="5"/>
    <n v="1"/>
    <s v="W"/>
    <s v="71"/>
    <x v="1"/>
    <s v="6170055"/>
    <n v="9"/>
    <n v="65"/>
    <n v="13"/>
  </r>
  <r>
    <s v="COMM"/>
    <x v="6"/>
    <x v="26"/>
    <x v="0"/>
    <x v="2"/>
    <n v="6"/>
    <n v="6"/>
    <n v="1"/>
    <s v="W"/>
    <s v="71"/>
    <x v="1"/>
    <s v="6170055"/>
    <n v="9"/>
    <n v="96"/>
    <n v="16"/>
  </r>
  <r>
    <s v="COMM"/>
    <x v="6"/>
    <x v="26"/>
    <x v="0"/>
    <x v="2"/>
    <n v="7"/>
    <n v="7"/>
    <n v="1"/>
    <s v="W"/>
    <s v="71"/>
    <x v="1"/>
    <s v="6170055"/>
    <n v="9"/>
    <n v="42"/>
    <n v="6"/>
  </r>
  <r>
    <s v="COMM"/>
    <x v="6"/>
    <x v="26"/>
    <x v="0"/>
    <x v="8"/>
    <n v="7"/>
    <n v="7"/>
    <n v="1"/>
    <s v="W"/>
    <s v="71"/>
    <x v="1"/>
    <s v="6170055"/>
    <n v="9"/>
    <n v="7"/>
    <n v="1"/>
  </r>
  <r>
    <s v="COMM"/>
    <x v="6"/>
    <x v="26"/>
    <x v="0"/>
    <x v="2"/>
    <n v="8"/>
    <n v="8"/>
    <n v="1"/>
    <s v="W"/>
    <s v="71"/>
    <x v="1"/>
    <s v="6170055"/>
    <n v="9"/>
    <n v="72"/>
    <n v="9"/>
  </r>
  <r>
    <s v="COMM"/>
    <x v="6"/>
    <x v="26"/>
    <x v="0"/>
    <x v="2"/>
    <n v="9"/>
    <n v="9"/>
    <n v="1"/>
    <s v="W"/>
    <s v="71"/>
    <x v="1"/>
    <s v="6170055"/>
    <n v="9"/>
    <n v="126"/>
    <n v="14"/>
  </r>
  <r>
    <s v="COMM"/>
    <x v="6"/>
    <x v="26"/>
    <x v="0"/>
    <x v="2"/>
    <n v="10"/>
    <n v="10"/>
    <n v="1"/>
    <s v="W"/>
    <s v="71"/>
    <x v="1"/>
    <s v="6170055"/>
    <n v="9"/>
    <n v="80"/>
    <n v="8"/>
  </r>
  <r>
    <s v="COMM"/>
    <x v="6"/>
    <x v="26"/>
    <x v="0"/>
    <x v="2"/>
    <n v="11"/>
    <n v="11"/>
    <n v="1"/>
    <s v="W"/>
    <s v="71"/>
    <x v="1"/>
    <s v="6170055"/>
    <n v="9"/>
    <n v="33"/>
    <n v="3"/>
  </r>
  <r>
    <s v="COMM"/>
    <x v="6"/>
    <x v="26"/>
    <x v="0"/>
    <x v="2"/>
    <n v="12"/>
    <n v="12"/>
    <n v="1"/>
    <s v="W"/>
    <s v="71"/>
    <x v="1"/>
    <s v="6170055"/>
    <n v="9"/>
    <n v="120"/>
    <n v="10"/>
  </r>
  <r>
    <s v="COMM"/>
    <x v="6"/>
    <x v="26"/>
    <x v="0"/>
    <x v="2"/>
    <n v="13"/>
    <n v="13"/>
    <n v="1"/>
    <s v="W"/>
    <s v="71"/>
    <x v="1"/>
    <s v="6170055"/>
    <n v="9"/>
    <n v="13"/>
    <n v="1"/>
  </r>
  <r>
    <s v="COMM"/>
    <x v="6"/>
    <x v="26"/>
    <x v="0"/>
    <x v="2"/>
    <n v="13"/>
    <n v="26"/>
    <n v="1"/>
    <s v="W"/>
    <s v="71"/>
    <x v="1"/>
    <s v="6170055"/>
    <n v="9"/>
    <n v="13"/>
    <n v="1"/>
  </r>
  <r>
    <s v="COMM"/>
    <x v="6"/>
    <x v="26"/>
    <x v="0"/>
    <x v="2"/>
    <n v="14"/>
    <n v="14"/>
    <n v="1"/>
    <s v="W"/>
    <s v="71"/>
    <x v="1"/>
    <s v="6170055"/>
    <n v="9"/>
    <n v="28"/>
    <n v="2"/>
  </r>
  <r>
    <s v="COMM"/>
    <x v="6"/>
    <x v="26"/>
    <x v="0"/>
    <x v="2"/>
    <n v="15"/>
    <n v="15"/>
    <n v="1"/>
    <s v="W"/>
    <s v="71"/>
    <x v="1"/>
    <s v="6170055"/>
    <n v="9"/>
    <n v="45"/>
    <n v="3"/>
  </r>
  <r>
    <s v="COMM"/>
    <x v="6"/>
    <x v="26"/>
    <x v="0"/>
    <x v="2"/>
    <n v="16"/>
    <n v="16"/>
    <n v="1"/>
    <s v="W"/>
    <s v="71"/>
    <x v="1"/>
    <s v="6170055"/>
    <n v="9"/>
    <n v="16"/>
    <n v="1"/>
  </r>
  <r>
    <s v="COMM"/>
    <x v="6"/>
    <x v="26"/>
    <x v="0"/>
    <x v="2"/>
    <n v="16"/>
    <n v="32"/>
    <n v="1"/>
    <s v="W"/>
    <s v="71"/>
    <x v="1"/>
    <s v="6170055"/>
    <n v="9"/>
    <n v="16"/>
    <n v="1"/>
  </r>
  <r>
    <s v="COMM"/>
    <x v="6"/>
    <x v="26"/>
    <x v="0"/>
    <x v="2"/>
    <n v="17"/>
    <n v="17"/>
    <n v="1"/>
    <s v="W"/>
    <s v="71"/>
    <x v="1"/>
    <s v="6170055"/>
    <n v="9"/>
    <n v="34"/>
    <n v="2"/>
  </r>
  <r>
    <s v="COMM"/>
    <x v="6"/>
    <x v="26"/>
    <x v="0"/>
    <x v="2"/>
    <n v="18"/>
    <n v="18"/>
    <n v="1"/>
    <s v="W"/>
    <s v="71"/>
    <x v="1"/>
    <s v="6170055"/>
    <n v="9"/>
    <n v="54"/>
    <n v="3"/>
  </r>
  <r>
    <s v="COMM"/>
    <x v="6"/>
    <x v="26"/>
    <x v="0"/>
    <x v="2"/>
    <n v="19"/>
    <n v="38"/>
    <n v="1"/>
    <s v="W"/>
    <s v="71"/>
    <x v="1"/>
    <s v="6170055"/>
    <n v="9"/>
    <n v="19"/>
    <n v="1"/>
  </r>
  <r>
    <s v="COMM"/>
    <x v="6"/>
    <x v="26"/>
    <x v="0"/>
    <x v="2"/>
    <n v="21"/>
    <n v="21"/>
    <n v="1"/>
    <s v="W"/>
    <s v="71"/>
    <x v="1"/>
    <s v="6170055"/>
    <n v="9"/>
    <n v="21"/>
    <n v="1"/>
  </r>
  <r>
    <s v="COMM"/>
    <x v="6"/>
    <x v="26"/>
    <x v="0"/>
    <x v="2"/>
    <n v="21"/>
    <n v="42"/>
    <n v="1"/>
    <s v="W"/>
    <s v="71"/>
    <x v="1"/>
    <s v="6170055"/>
    <n v="9"/>
    <n v="21"/>
    <n v="1"/>
  </r>
  <r>
    <s v="COMM"/>
    <x v="6"/>
    <x v="26"/>
    <x v="0"/>
    <x v="2"/>
    <n v="22"/>
    <n v="22"/>
    <n v="1"/>
    <s v="W"/>
    <s v="71"/>
    <x v="1"/>
    <s v="6170055"/>
    <n v="9"/>
    <n v="22"/>
    <n v="1"/>
  </r>
  <r>
    <s v="COMM"/>
    <x v="6"/>
    <x v="26"/>
    <x v="0"/>
    <x v="2"/>
    <n v="22"/>
    <n v="44"/>
    <n v="1"/>
    <s v="W"/>
    <s v="71"/>
    <x v="1"/>
    <s v="6170055"/>
    <n v="9"/>
    <n v="22"/>
    <n v="1"/>
  </r>
  <r>
    <s v="COMM"/>
    <x v="6"/>
    <x v="26"/>
    <x v="0"/>
    <x v="2"/>
    <n v="23"/>
    <n v="23"/>
    <n v="1"/>
    <s v="W"/>
    <s v="71"/>
    <x v="1"/>
    <s v="6170055"/>
    <n v="9"/>
    <n v="23"/>
    <n v="1"/>
  </r>
  <r>
    <s v="COMM"/>
    <x v="6"/>
    <x v="26"/>
    <x v="0"/>
    <x v="2"/>
    <n v="24"/>
    <n v="24"/>
    <n v="1"/>
    <s v="W"/>
    <s v="71"/>
    <x v="1"/>
    <s v="6170055"/>
    <n v="9"/>
    <n v="72"/>
    <n v="3"/>
  </r>
  <r>
    <s v="COMM"/>
    <x v="6"/>
    <x v="26"/>
    <x v="0"/>
    <x v="2"/>
    <n v="25"/>
    <n v="25"/>
    <n v="1"/>
    <s v="W"/>
    <s v="71"/>
    <x v="1"/>
    <s v="6170055"/>
    <n v="9"/>
    <n v="25"/>
    <n v="1"/>
  </r>
  <r>
    <s v="COMM"/>
    <x v="6"/>
    <x v="26"/>
    <x v="0"/>
    <x v="2"/>
    <n v="26"/>
    <n v="26"/>
    <n v="1"/>
    <s v="W"/>
    <s v="71"/>
    <x v="1"/>
    <s v="6170055"/>
    <n v="9"/>
    <n v="26"/>
    <n v="1"/>
  </r>
  <r>
    <s v="COMM"/>
    <x v="6"/>
    <x v="26"/>
    <x v="0"/>
    <x v="2"/>
    <n v="27"/>
    <n v="27"/>
    <n v="1"/>
    <s v="W"/>
    <s v="71"/>
    <x v="1"/>
    <s v="6170055"/>
    <n v="9"/>
    <n v="54"/>
    <n v="2"/>
  </r>
  <r>
    <s v="COMM"/>
    <x v="6"/>
    <x v="26"/>
    <x v="0"/>
    <x v="2"/>
    <n v="28"/>
    <n v="28"/>
    <n v="1"/>
    <s v="W"/>
    <s v="71"/>
    <x v="1"/>
    <s v="6170055"/>
    <n v="9"/>
    <n v="28"/>
    <n v="1"/>
  </r>
  <r>
    <s v="COMM"/>
    <x v="6"/>
    <x v="26"/>
    <x v="0"/>
    <x v="2"/>
    <n v="28"/>
    <n v="56"/>
    <n v="1"/>
    <s v="W"/>
    <s v="71"/>
    <x v="1"/>
    <s v="6170055"/>
    <n v="9"/>
    <n v="28"/>
    <n v="1"/>
  </r>
  <r>
    <s v="COMM"/>
    <x v="6"/>
    <x v="26"/>
    <x v="0"/>
    <x v="2"/>
    <n v="30"/>
    <n v="30"/>
    <n v="1"/>
    <s v="W"/>
    <s v="71"/>
    <x v="1"/>
    <s v="6170055"/>
    <n v="9"/>
    <n v="60"/>
    <n v="2"/>
  </r>
  <r>
    <s v="COMM"/>
    <x v="6"/>
    <x v="26"/>
    <x v="0"/>
    <x v="2"/>
    <n v="31"/>
    <n v="31"/>
    <n v="1"/>
    <s v="W"/>
    <s v="71"/>
    <x v="1"/>
    <s v="6170055"/>
    <n v="9"/>
    <n v="62"/>
    <n v="2"/>
  </r>
  <r>
    <s v="COMM"/>
    <x v="6"/>
    <x v="26"/>
    <x v="0"/>
    <x v="2"/>
    <n v="34"/>
    <n v="34"/>
    <n v="1"/>
    <s v="W"/>
    <s v="71"/>
    <x v="1"/>
    <s v="6170055"/>
    <n v="9"/>
    <n v="34"/>
    <n v="1"/>
  </r>
  <r>
    <s v="COMM"/>
    <x v="6"/>
    <x v="26"/>
    <x v="0"/>
    <x v="2"/>
    <n v="35"/>
    <n v="35"/>
    <n v="1"/>
    <s v="W"/>
    <s v="71"/>
    <x v="1"/>
    <s v="6170055"/>
    <n v="9"/>
    <n v="35"/>
    <n v="1"/>
  </r>
  <r>
    <s v="COMM"/>
    <x v="6"/>
    <x v="26"/>
    <x v="0"/>
    <x v="2"/>
    <n v="44"/>
    <n v="44"/>
    <n v="1"/>
    <s v="W"/>
    <s v="71"/>
    <x v="1"/>
    <s v="6170055"/>
    <n v="9"/>
    <n v="44"/>
    <n v="1"/>
  </r>
  <r>
    <s v="COMM"/>
    <x v="6"/>
    <x v="26"/>
    <x v="0"/>
    <x v="2"/>
    <n v="56"/>
    <n v="56"/>
    <n v="1"/>
    <s v="W"/>
    <s v="71"/>
    <x v="1"/>
    <s v="6170055"/>
    <n v="9"/>
    <n v="56"/>
    <n v="1"/>
  </r>
  <r>
    <s v="COMM"/>
    <x v="6"/>
    <x v="26"/>
    <x v="0"/>
    <x v="2"/>
    <n v="63"/>
    <n v="126"/>
    <n v="1"/>
    <s v="W"/>
    <s v="71"/>
    <x v="1"/>
    <s v="6170055"/>
    <n v="9"/>
    <n v="63"/>
    <n v="1"/>
  </r>
  <r>
    <s v="COMM"/>
    <x v="6"/>
    <x v="26"/>
    <x v="0"/>
    <x v="2"/>
    <n v="66"/>
    <n v="66"/>
    <n v="1"/>
    <s v="W"/>
    <s v="71"/>
    <x v="1"/>
    <s v="6170055"/>
    <n v="9"/>
    <n v="66"/>
    <n v="1"/>
  </r>
  <r>
    <s v="COMM"/>
    <x v="6"/>
    <x v="26"/>
    <x v="0"/>
    <x v="2"/>
    <n v="67"/>
    <n v="67"/>
    <n v="1"/>
    <s v="W"/>
    <s v="71"/>
    <x v="1"/>
    <s v="6170055"/>
    <n v="9"/>
    <n v="67"/>
    <n v="1"/>
  </r>
  <r>
    <s v="IND"/>
    <x v="7"/>
    <x v="19"/>
    <x v="0"/>
    <x v="3"/>
    <n v="1"/>
    <n v="0"/>
    <n v="0"/>
    <m/>
    <s v="21"/>
    <x v="26"/>
    <s v="5970005"/>
    <n v="8"/>
    <n v="1"/>
    <n v="1"/>
  </r>
  <r>
    <s v="COMM"/>
    <x v="7"/>
    <x v="19"/>
    <x v="1"/>
    <x v="3"/>
    <n v="1"/>
    <n v="0"/>
    <n v="0"/>
    <m/>
    <s v="21"/>
    <x v="26"/>
    <s v="5970005"/>
    <n v="8"/>
    <n v="1"/>
    <n v="1"/>
  </r>
  <r>
    <s v="IND"/>
    <x v="7"/>
    <x v="19"/>
    <x v="1"/>
    <x v="3"/>
    <n v="1"/>
    <n v="1"/>
    <n v="2"/>
    <s v="W"/>
    <s v="23"/>
    <x v="32"/>
    <s v="5970040"/>
    <n v="8"/>
    <n v="1"/>
    <n v="1"/>
  </r>
  <r>
    <s v="IND"/>
    <x v="7"/>
    <x v="20"/>
    <x v="0"/>
    <x v="3"/>
    <n v="1"/>
    <n v="0"/>
    <n v="0"/>
    <m/>
    <s v="21"/>
    <x v="26"/>
    <s v="5970005"/>
    <n v="8"/>
    <n v="1"/>
    <n v="1"/>
  </r>
  <r>
    <s v="IND"/>
    <x v="7"/>
    <x v="20"/>
    <x v="0"/>
    <x v="3"/>
    <n v="1"/>
    <n v="0"/>
    <n v="0"/>
    <m/>
    <s v="23"/>
    <x v="32"/>
    <s v="5970040"/>
    <n v="8"/>
    <n v="1"/>
    <n v="1"/>
  </r>
  <r>
    <s v="IND"/>
    <x v="7"/>
    <x v="20"/>
    <x v="0"/>
    <x v="5"/>
    <n v="2"/>
    <n v="0"/>
    <n v="0"/>
    <m/>
    <s v="21"/>
    <x v="26"/>
    <s v="5970005"/>
    <n v="8"/>
    <n v="2"/>
    <n v="1"/>
  </r>
  <r>
    <s v="IND"/>
    <x v="7"/>
    <x v="20"/>
    <x v="0"/>
    <x v="18"/>
    <n v="4"/>
    <n v="0"/>
    <n v="0"/>
    <m/>
    <s v="21"/>
    <x v="26"/>
    <s v="5970005"/>
    <n v="8"/>
    <n v="4"/>
    <n v="1"/>
  </r>
  <r>
    <s v="IND"/>
    <x v="7"/>
    <x v="20"/>
    <x v="0"/>
    <x v="5"/>
    <n v="4"/>
    <n v="0"/>
    <n v="0"/>
    <m/>
    <s v="21"/>
    <x v="26"/>
    <s v="5970005"/>
    <n v="8"/>
    <n v="4"/>
    <n v="1"/>
  </r>
  <r>
    <s v="COMM"/>
    <x v="7"/>
    <x v="21"/>
    <x v="0"/>
    <x v="3"/>
    <n v="1"/>
    <n v="0"/>
    <n v="0"/>
    <m/>
    <s v="21"/>
    <x v="26"/>
    <s v="5970005"/>
    <n v="8"/>
    <n v="1"/>
    <n v="1"/>
  </r>
  <r>
    <s v="IND"/>
    <x v="7"/>
    <x v="21"/>
    <x v="0"/>
    <x v="3"/>
    <n v="1"/>
    <n v="0"/>
    <n v="0"/>
    <m/>
    <s v="21"/>
    <x v="26"/>
    <s v="5970005"/>
    <n v="8"/>
    <n v="2"/>
    <n v="2"/>
  </r>
  <r>
    <s v="IND"/>
    <x v="7"/>
    <x v="21"/>
    <x v="0"/>
    <x v="2"/>
    <n v="1"/>
    <n v="0"/>
    <n v="0"/>
    <m/>
    <s v="21"/>
    <x v="26"/>
    <s v="6170055"/>
    <n v="9"/>
    <n v="1"/>
    <n v="1"/>
  </r>
  <r>
    <s v="IND"/>
    <x v="7"/>
    <x v="21"/>
    <x v="1"/>
    <x v="3"/>
    <n v="1"/>
    <n v="1"/>
    <n v="1"/>
    <s v="W"/>
    <s v="21"/>
    <x v="26"/>
    <s v="5970005"/>
    <n v="8"/>
    <n v="1"/>
    <n v="1"/>
  </r>
  <r>
    <s v="IND"/>
    <x v="7"/>
    <x v="21"/>
    <x v="1"/>
    <x v="3"/>
    <n v="1"/>
    <n v="1"/>
    <n v="1"/>
    <s v="W"/>
    <s v="23"/>
    <x v="32"/>
    <s v="5970040"/>
    <n v="8"/>
    <n v="1"/>
    <n v="1"/>
  </r>
  <r>
    <s v="IND"/>
    <x v="7"/>
    <x v="21"/>
    <x v="1"/>
    <x v="2"/>
    <n v="1"/>
    <n v="1"/>
    <n v="1"/>
    <s v="W"/>
    <s v="23"/>
    <x v="32"/>
    <s v="5970040"/>
    <n v="8"/>
    <n v="1"/>
    <n v="1"/>
  </r>
  <r>
    <s v="IND"/>
    <x v="7"/>
    <x v="21"/>
    <x v="1"/>
    <x v="3"/>
    <n v="1"/>
    <n v="1"/>
    <n v="2"/>
    <s v="W"/>
    <s v="22"/>
    <x v="34"/>
    <s v="5970004"/>
    <n v="8"/>
    <n v="1"/>
    <n v="1"/>
  </r>
  <r>
    <s v="IND"/>
    <x v="7"/>
    <x v="21"/>
    <x v="1"/>
    <x v="3"/>
    <n v="1"/>
    <n v="1"/>
    <n v="2"/>
    <s v="W"/>
    <s v="21"/>
    <x v="26"/>
    <s v="5970005"/>
    <n v="8"/>
    <n v="3"/>
    <n v="3"/>
  </r>
  <r>
    <s v="IND"/>
    <x v="7"/>
    <x v="21"/>
    <x v="1"/>
    <x v="3"/>
    <n v="1"/>
    <n v="1"/>
    <n v="4"/>
    <s v="W"/>
    <s v="21"/>
    <x v="26"/>
    <s v="5970005"/>
    <n v="8"/>
    <n v="2"/>
    <n v="2"/>
  </r>
  <r>
    <s v="IND"/>
    <x v="7"/>
    <x v="22"/>
    <x v="1"/>
    <x v="3"/>
    <n v="1"/>
    <n v="0"/>
    <n v="0"/>
    <m/>
    <s v="22"/>
    <x v="34"/>
    <s v="5970004"/>
    <n v="8"/>
    <n v="1"/>
    <n v="1"/>
  </r>
  <r>
    <s v="COMM"/>
    <x v="7"/>
    <x v="22"/>
    <x v="0"/>
    <x v="3"/>
    <n v="1"/>
    <n v="0"/>
    <n v="0"/>
    <m/>
    <s v="21"/>
    <x v="26"/>
    <s v="5970005"/>
    <n v="8"/>
    <n v="2"/>
    <n v="2"/>
  </r>
  <r>
    <s v="IND"/>
    <x v="7"/>
    <x v="22"/>
    <x v="0"/>
    <x v="3"/>
    <n v="1"/>
    <n v="0"/>
    <n v="0"/>
    <m/>
    <s v="21"/>
    <x v="26"/>
    <s v="5970005"/>
    <n v="8"/>
    <n v="6"/>
    <n v="6"/>
  </r>
  <r>
    <s v="IND"/>
    <x v="7"/>
    <x v="22"/>
    <x v="1"/>
    <x v="3"/>
    <n v="1"/>
    <n v="0"/>
    <n v="0"/>
    <m/>
    <s v="21"/>
    <x v="26"/>
    <s v="5970005"/>
    <n v="8"/>
    <n v="10"/>
    <n v="10"/>
  </r>
  <r>
    <s v="IND"/>
    <x v="7"/>
    <x v="22"/>
    <x v="1"/>
    <x v="3"/>
    <n v="1"/>
    <n v="0"/>
    <n v="0"/>
    <m/>
    <s v="20"/>
    <x v="27"/>
    <s v="5970028"/>
    <n v="8"/>
    <n v="2"/>
    <n v="2"/>
  </r>
  <r>
    <s v="IND"/>
    <x v="7"/>
    <x v="22"/>
    <x v="0"/>
    <x v="3"/>
    <n v="1"/>
    <n v="0"/>
    <n v="0"/>
    <m/>
    <s v="23"/>
    <x v="32"/>
    <s v="5970040"/>
    <n v="8"/>
    <n v="1"/>
    <n v="1"/>
  </r>
  <r>
    <s v="IND"/>
    <x v="7"/>
    <x v="22"/>
    <x v="1"/>
    <x v="3"/>
    <n v="1"/>
    <n v="0"/>
    <n v="0"/>
    <m/>
    <s v="23"/>
    <x v="32"/>
    <s v="5970040"/>
    <n v="8"/>
    <n v="1"/>
    <n v="1"/>
  </r>
  <r>
    <s v="COMM"/>
    <x v="7"/>
    <x v="22"/>
    <x v="1"/>
    <x v="3"/>
    <n v="1"/>
    <n v="0"/>
    <n v="0"/>
    <m/>
    <s v="2C"/>
    <x v="35"/>
    <s v="6080004"/>
    <n v="4"/>
    <n v="2"/>
    <n v="2"/>
  </r>
  <r>
    <s v="IND"/>
    <x v="7"/>
    <x v="22"/>
    <x v="0"/>
    <x v="3"/>
    <n v="1"/>
    <n v="0"/>
    <n v="0"/>
    <m/>
    <s v="2C"/>
    <x v="35"/>
    <s v="6080008"/>
    <n v="1"/>
    <n v="1"/>
    <n v="1"/>
  </r>
  <r>
    <s v="COMM"/>
    <x v="7"/>
    <x v="22"/>
    <x v="1"/>
    <x v="3"/>
    <n v="1"/>
    <n v="0"/>
    <n v="0"/>
    <m/>
    <s v="2B"/>
    <x v="27"/>
    <s v="6080040"/>
    <n v="4"/>
    <n v="1"/>
    <n v="1"/>
  </r>
  <r>
    <s v="COMM"/>
    <x v="7"/>
    <x v="22"/>
    <x v="1"/>
    <x v="3"/>
    <n v="1"/>
    <n v="0"/>
    <n v="0"/>
    <m/>
    <s v="25"/>
    <x v="31"/>
    <s v="6170015"/>
    <n v="9"/>
    <n v="2"/>
    <n v="2"/>
  </r>
  <r>
    <s v="IND"/>
    <x v="7"/>
    <x v="22"/>
    <x v="0"/>
    <x v="3"/>
    <n v="1"/>
    <n v="0"/>
    <n v="0"/>
    <m/>
    <s v="25"/>
    <x v="31"/>
    <s v="6170015"/>
    <n v="9"/>
    <n v="2"/>
    <n v="2"/>
  </r>
  <r>
    <s v="IND"/>
    <x v="7"/>
    <x v="22"/>
    <x v="1"/>
    <x v="3"/>
    <n v="1"/>
    <n v="0"/>
    <n v="0"/>
    <m/>
    <s v="25"/>
    <x v="31"/>
    <s v="6170015"/>
    <n v="9"/>
    <n v="1"/>
    <n v="1"/>
  </r>
  <r>
    <s v="IND"/>
    <x v="7"/>
    <x v="22"/>
    <x v="1"/>
    <x v="2"/>
    <n v="1"/>
    <n v="0"/>
    <n v="0"/>
    <m/>
    <s v="21"/>
    <x v="26"/>
    <s v="6170055"/>
    <n v="9"/>
    <n v="2"/>
    <n v="2"/>
  </r>
  <r>
    <s v="COMM"/>
    <x v="7"/>
    <x v="22"/>
    <x v="1"/>
    <x v="3"/>
    <n v="1"/>
    <n v="1"/>
    <n v="1"/>
    <s v="W"/>
    <s v="21"/>
    <x v="26"/>
    <s v="5970005"/>
    <n v="8"/>
    <n v="1"/>
    <n v="1"/>
  </r>
  <r>
    <s v="IND"/>
    <x v="7"/>
    <x v="22"/>
    <x v="1"/>
    <x v="3"/>
    <n v="1"/>
    <n v="1"/>
    <n v="1"/>
    <s v="W"/>
    <s v="21"/>
    <x v="26"/>
    <s v="5970005"/>
    <n v="8"/>
    <n v="6"/>
    <n v="6"/>
  </r>
  <r>
    <s v="COMM"/>
    <x v="7"/>
    <x v="22"/>
    <x v="1"/>
    <x v="2"/>
    <n v="1"/>
    <n v="1"/>
    <n v="1"/>
    <s v="W"/>
    <s v="2B"/>
    <x v="27"/>
    <s v="6080060"/>
    <n v="6"/>
    <n v="1"/>
    <n v="1"/>
  </r>
  <r>
    <s v="COMM"/>
    <x v="7"/>
    <x v="22"/>
    <x v="1"/>
    <x v="2"/>
    <n v="1"/>
    <n v="1"/>
    <n v="1"/>
    <s v="W"/>
    <s v="25"/>
    <x v="31"/>
    <s v="6170015"/>
    <n v="9"/>
    <n v="1"/>
    <n v="1"/>
  </r>
  <r>
    <s v="IND"/>
    <x v="7"/>
    <x v="22"/>
    <x v="1"/>
    <x v="2"/>
    <n v="1"/>
    <n v="1"/>
    <n v="1"/>
    <s v="W"/>
    <s v="21"/>
    <x v="26"/>
    <s v="6170055"/>
    <n v="9"/>
    <n v="3"/>
    <n v="3"/>
  </r>
  <r>
    <s v="IND"/>
    <x v="7"/>
    <x v="22"/>
    <x v="1"/>
    <x v="9"/>
    <n v="1"/>
    <n v="1"/>
    <n v="2"/>
    <s v="W"/>
    <s v="21"/>
    <x v="26"/>
    <s v="5970005"/>
    <n v="8"/>
    <n v="2"/>
    <n v="2"/>
  </r>
  <r>
    <s v="IND"/>
    <x v="7"/>
    <x v="22"/>
    <x v="1"/>
    <x v="3"/>
    <n v="1"/>
    <n v="1"/>
    <n v="2"/>
    <s v="W"/>
    <s v="21"/>
    <x v="26"/>
    <s v="5970005"/>
    <n v="8"/>
    <n v="2"/>
    <n v="2"/>
  </r>
  <r>
    <s v="COMM"/>
    <x v="7"/>
    <x v="22"/>
    <x v="1"/>
    <x v="2"/>
    <n v="1"/>
    <n v="1"/>
    <n v="2"/>
    <s v="W"/>
    <s v="2B"/>
    <x v="27"/>
    <s v="6080060"/>
    <n v="6"/>
    <n v="1"/>
    <n v="1"/>
  </r>
  <r>
    <s v="COMM"/>
    <x v="7"/>
    <x v="22"/>
    <x v="1"/>
    <x v="2"/>
    <n v="1"/>
    <n v="1"/>
    <n v="2"/>
    <s v="W"/>
    <s v="21"/>
    <x v="26"/>
    <s v="6170055"/>
    <n v="9"/>
    <n v="1"/>
    <n v="1"/>
  </r>
  <r>
    <s v="IND"/>
    <x v="7"/>
    <x v="22"/>
    <x v="1"/>
    <x v="3"/>
    <n v="1"/>
    <n v="1"/>
    <n v="3"/>
    <s v="W"/>
    <s v="21"/>
    <x v="26"/>
    <s v="5970005"/>
    <n v="8"/>
    <n v="1"/>
    <n v="1"/>
  </r>
  <r>
    <s v="IND"/>
    <x v="7"/>
    <x v="22"/>
    <x v="1"/>
    <x v="3"/>
    <n v="1"/>
    <n v="1"/>
    <n v="4"/>
    <s v="W"/>
    <s v="21"/>
    <x v="26"/>
    <s v="5970005"/>
    <n v="8"/>
    <n v="1"/>
    <n v="1"/>
  </r>
  <r>
    <s v="IND"/>
    <x v="7"/>
    <x v="22"/>
    <x v="1"/>
    <x v="3"/>
    <n v="1"/>
    <n v="2"/>
    <n v="1"/>
    <s v="W"/>
    <s v="21"/>
    <x v="26"/>
    <s v="5970005"/>
    <n v="8"/>
    <n v="1"/>
    <n v="1"/>
  </r>
  <r>
    <s v="IND"/>
    <x v="7"/>
    <x v="23"/>
    <x v="0"/>
    <x v="9"/>
    <n v="1"/>
    <n v="0"/>
    <n v="0"/>
    <m/>
    <s v="21"/>
    <x v="26"/>
    <s v="5970005"/>
    <n v="8"/>
    <n v="1"/>
    <n v="1"/>
  </r>
  <r>
    <s v="IND"/>
    <x v="7"/>
    <x v="23"/>
    <x v="1"/>
    <x v="3"/>
    <n v="1"/>
    <n v="0"/>
    <n v="0"/>
    <m/>
    <s v="21"/>
    <x v="26"/>
    <s v="5970005"/>
    <n v="8"/>
    <n v="6"/>
    <n v="6"/>
  </r>
  <r>
    <s v="COMM"/>
    <x v="7"/>
    <x v="23"/>
    <x v="0"/>
    <x v="3"/>
    <n v="1"/>
    <n v="0"/>
    <n v="0"/>
    <m/>
    <s v="21"/>
    <x v="26"/>
    <s v="5970005"/>
    <n v="8"/>
    <n v="6"/>
    <n v="6"/>
  </r>
  <r>
    <s v="IND"/>
    <x v="7"/>
    <x v="23"/>
    <x v="0"/>
    <x v="3"/>
    <n v="1"/>
    <n v="0"/>
    <n v="0"/>
    <m/>
    <s v="21"/>
    <x v="26"/>
    <s v="5970005"/>
    <n v="8"/>
    <n v="12"/>
    <n v="12"/>
  </r>
  <r>
    <s v="IND"/>
    <x v="7"/>
    <x v="23"/>
    <x v="1"/>
    <x v="9"/>
    <n v="1"/>
    <n v="0"/>
    <n v="0"/>
    <m/>
    <s v="21"/>
    <x v="26"/>
    <s v="5970005"/>
    <n v="8"/>
    <n v="1"/>
    <n v="1"/>
  </r>
  <r>
    <s v="IND"/>
    <x v="7"/>
    <x v="23"/>
    <x v="0"/>
    <x v="3"/>
    <n v="1"/>
    <n v="0"/>
    <n v="0"/>
    <m/>
    <s v="26"/>
    <x v="33"/>
    <s v="5970006"/>
    <n v="8"/>
    <n v="1"/>
    <n v="1"/>
  </r>
  <r>
    <s v="IND"/>
    <x v="7"/>
    <x v="23"/>
    <x v="0"/>
    <x v="3"/>
    <n v="1"/>
    <n v="0"/>
    <n v="0"/>
    <m/>
    <s v="23"/>
    <x v="32"/>
    <s v="5970040"/>
    <n v="8"/>
    <n v="1"/>
    <n v="1"/>
  </r>
  <r>
    <s v="IND"/>
    <x v="7"/>
    <x v="23"/>
    <x v="0"/>
    <x v="3"/>
    <n v="1"/>
    <n v="0"/>
    <n v="0"/>
    <m/>
    <s v="2C"/>
    <x v="35"/>
    <s v="6080004"/>
    <n v="4"/>
    <n v="1"/>
    <n v="1"/>
  </r>
  <r>
    <s v="IND"/>
    <x v="7"/>
    <x v="23"/>
    <x v="1"/>
    <x v="3"/>
    <n v="1"/>
    <n v="0"/>
    <n v="0"/>
    <m/>
    <s v="2C"/>
    <x v="35"/>
    <s v="6080004"/>
    <n v="4"/>
    <n v="1"/>
    <n v="1"/>
  </r>
  <r>
    <s v="COMM"/>
    <x v="7"/>
    <x v="23"/>
    <x v="1"/>
    <x v="3"/>
    <n v="1"/>
    <n v="0"/>
    <n v="0"/>
    <m/>
    <s v="2B"/>
    <x v="27"/>
    <s v="6080040"/>
    <n v="4"/>
    <n v="1"/>
    <n v="1"/>
  </r>
  <r>
    <s v="COMM"/>
    <x v="7"/>
    <x v="23"/>
    <x v="0"/>
    <x v="3"/>
    <n v="1"/>
    <n v="0"/>
    <n v="0"/>
    <m/>
    <s v="25"/>
    <x v="31"/>
    <s v="6170015"/>
    <n v="9"/>
    <n v="1"/>
    <n v="1"/>
  </r>
  <r>
    <s v="COMM"/>
    <x v="7"/>
    <x v="23"/>
    <x v="0"/>
    <x v="2"/>
    <n v="1"/>
    <n v="0"/>
    <n v="0"/>
    <m/>
    <s v="21"/>
    <x v="26"/>
    <s v="6170055"/>
    <n v="9"/>
    <n v="2"/>
    <n v="2"/>
  </r>
  <r>
    <s v="IND"/>
    <x v="7"/>
    <x v="23"/>
    <x v="1"/>
    <x v="2"/>
    <n v="1"/>
    <n v="0"/>
    <n v="0"/>
    <m/>
    <s v="21"/>
    <x v="26"/>
    <s v="6170055"/>
    <n v="9"/>
    <n v="1"/>
    <n v="1"/>
  </r>
  <r>
    <s v="IND"/>
    <x v="7"/>
    <x v="23"/>
    <x v="0"/>
    <x v="2"/>
    <n v="1"/>
    <n v="0"/>
    <n v="0"/>
    <m/>
    <s v="21"/>
    <x v="26"/>
    <s v="6170055"/>
    <n v="9"/>
    <n v="1"/>
    <n v="1"/>
  </r>
  <r>
    <s v="COMM"/>
    <x v="7"/>
    <x v="23"/>
    <x v="1"/>
    <x v="3"/>
    <n v="1"/>
    <n v="1"/>
    <n v="1"/>
    <s v="W"/>
    <s v="21"/>
    <x v="26"/>
    <s v="5970005"/>
    <n v="8"/>
    <n v="1"/>
    <n v="1"/>
  </r>
  <r>
    <s v="COMM"/>
    <x v="7"/>
    <x v="23"/>
    <x v="0"/>
    <x v="3"/>
    <n v="1"/>
    <n v="1"/>
    <n v="1"/>
    <s v="W"/>
    <s v="21"/>
    <x v="26"/>
    <s v="5970005"/>
    <n v="8"/>
    <n v="1"/>
    <n v="1"/>
  </r>
  <r>
    <s v="IND"/>
    <x v="7"/>
    <x v="23"/>
    <x v="0"/>
    <x v="3"/>
    <n v="1"/>
    <n v="1"/>
    <n v="1"/>
    <s v="W"/>
    <s v="21"/>
    <x v="26"/>
    <s v="5970005"/>
    <n v="8"/>
    <n v="2"/>
    <n v="2"/>
  </r>
  <r>
    <s v="IND"/>
    <x v="7"/>
    <x v="23"/>
    <x v="1"/>
    <x v="3"/>
    <n v="1"/>
    <n v="1"/>
    <n v="1"/>
    <s v="W"/>
    <s v="21"/>
    <x v="26"/>
    <s v="5970005"/>
    <n v="8"/>
    <n v="8"/>
    <n v="8"/>
  </r>
  <r>
    <s v="IND"/>
    <x v="7"/>
    <x v="23"/>
    <x v="1"/>
    <x v="9"/>
    <n v="1"/>
    <n v="1"/>
    <n v="1"/>
    <s v="W"/>
    <s v="21"/>
    <x v="26"/>
    <s v="5970005"/>
    <n v="8"/>
    <n v="1"/>
    <n v="1"/>
  </r>
  <r>
    <s v="IND"/>
    <x v="7"/>
    <x v="23"/>
    <x v="0"/>
    <x v="3"/>
    <n v="1"/>
    <n v="1"/>
    <n v="1"/>
    <s v="W"/>
    <s v="23"/>
    <x v="32"/>
    <s v="5970040"/>
    <n v="8"/>
    <n v="1"/>
    <n v="1"/>
  </r>
  <r>
    <s v="IND"/>
    <x v="7"/>
    <x v="23"/>
    <x v="1"/>
    <x v="3"/>
    <n v="1"/>
    <n v="1"/>
    <n v="1"/>
    <s v="W"/>
    <s v="23"/>
    <x v="32"/>
    <s v="5970040"/>
    <n v="8"/>
    <n v="2"/>
    <n v="2"/>
  </r>
  <r>
    <s v="IND"/>
    <x v="7"/>
    <x v="23"/>
    <x v="1"/>
    <x v="2"/>
    <n v="1"/>
    <n v="1"/>
    <n v="1"/>
    <s v="W"/>
    <s v="23"/>
    <x v="32"/>
    <s v="5970040"/>
    <n v="8"/>
    <n v="1"/>
    <n v="1"/>
  </r>
  <r>
    <s v="IND"/>
    <x v="7"/>
    <x v="23"/>
    <x v="1"/>
    <x v="2"/>
    <n v="1"/>
    <n v="1"/>
    <n v="1"/>
    <s v="W"/>
    <s v="21"/>
    <x v="26"/>
    <s v="6170055"/>
    <n v="9"/>
    <n v="4"/>
    <n v="4"/>
  </r>
  <r>
    <s v="IND"/>
    <x v="7"/>
    <x v="23"/>
    <x v="0"/>
    <x v="3"/>
    <n v="1"/>
    <n v="1"/>
    <n v="2"/>
    <s v="W"/>
    <s v="21"/>
    <x v="26"/>
    <s v="5970005"/>
    <n v="8"/>
    <n v="1"/>
    <n v="1"/>
  </r>
  <r>
    <s v="IND"/>
    <x v="7"/>
    <x v="23"/>
    <x v="1"/>
    <x v="3"/>
    <n v="1"/>
    <n v="1"/>
    <n v="2"/>
    <s v="W"/>
    <s v="21"/>
    <x v="26"/>
    <s v="5970005"/>
    <n v="8"/>
    <n v="2"/>
    <n v="2"/>
  </r>
  <r>
    <s v="COMM"/>
    <x v="7"/>
    <x v="23"/>
    <x v="1"/>
    <x v="3"/>
    <n v="1"/>
    <n v="1"/>
    <n v="2"/>
    <s v="W"/>
    <s v="21"/>
    <x v="26"/>
    <s v="5970005"/>
    <n v="8"/>
    <n v="2"/>
    <n v="2"/>
  </r>
  <r>
    <s v="IND"/>
    <x v="7"/>
    <x v="23"/>
    <x v="1"/>
    <x v="3"/>
    <n v="1"/>
    <n v="1"/>
    <n v="3"/>
    <s v="W"/>
    <s v="21"/>
    <x v="26"/>
    <s v="5970005"/>
    <n v="8"/>
    <n v="1"/>
    <n v="1"/>
  </r>
  <r>
    <s v="IND"/>
    <x v="7"/>
    <x v="23"/>
    <x v="1"/>
    <x v="3"/>
    <n v="1"/>
    <n v="1"/>
    <n v="4"/>
    <s v="W"/>
    <s v="21"/>
    <x v="26"/>
    <s v="5970005"/>
    <n v="8"/>
    <n v="3"/>
    <n v="3"/>
  </r>
  <r>
    <s v="IND"/>
    <x v="7"/>
    <x v="23"/>
    <x v="1"/>
    <x v="3"/>
    <n v="1"/>
    <n v="1"/>
    <n v="4"/>
    <s v="W"/>
    <s v="23"/>
    <x v="32"/>
    <s v="5970040"/>
    <n v="8"/>
    <n v="1"/>
    <n v="1"/>
  </r>
  <r>
    <s v="COMM"/>
    <x v="7"/>
    <x v="23"/>
    <x v="0"/>
    <x v="3"/>
    <n v="1"/>
    <n v="2"/>
    <n v="1"/>
    <s v="W"/>
    <s v="21"/>
    <x v="26"/>
    <s v="5970005"/>
    <n v="8"/>
    <n v="1"/>
    <n v="1"/>
  </r>
  <r>
    <s v="IND"/>
    <x v="7"/>
    <x v="23"/>
    <x v="0"/>
    <x v="3"/>
    <n v="1"/>
    <n v="2"/>
    <n v="1"/>
    <s v="W"/>
    <s v="21"/>
    <x v="26"/>
    <s v="5970005"/>
    <n v="8"/>
    <n v="1"/>
    <n v="1"/>
  </r>
  <r>
    <s v="IND"/>
    <x v="7"/>
    <x v="23"/>
    <x v="1"/>
    <x v="2"/>
    <n v="1"/>
    <n v="2"/>
    <n v="1"/>
    <s v="W"/>
    <s v="21"/>
    <x v="26"/>
    <s v="6170055"/>
    <n v="9"/>
    <n v="1"/>
    <n v="1"/>
  </r>
  <r>
    <s v="IND"/>
    <x v="7"/>
    <x v="23"/>
    <x v="1"/>
    <x v="6"/>
    <n v="1"/>
    <n v="3"/>
    <n v="1"/>
    <s v="W"/>
    <s v="21"/>
    <x v="26"/>
    <s v="5970005"/>
    <n v="8"/>
    <n v="1"/>
    <n v="1"/>
  </r>
  <r>
    <s v="IND"/>
    <x v="7"/>
    <x v="23"/>
    <x v="0"/>
    <x v="9"/>
    <n v="1"/>
    <n v="3"/>
    <n v="1"/>
    <s v="W"/>
    <s v="23"/>
    <x v="32"/>
    <s v="5970040"/>
    <n v="8"/>
    <n v="1"/>
    <n v="1"/>
  </r>
  <r>
    <s v="IND"/>
    <x v="7"/>
    <x v="23"/>
    <x v="1"/>
    <x v="3"/>
    <n v="1"/>
    <n v="3"/>
    <n v="2"/>
    <s v="W"/>
    <s v="21"/>
    <x v="26"/>
    <s v="5970005"/>
    <n v="8"/>
    <n v="2"/>
    <n v="2"/>
  </r>
  <r>
    <s v="IND"/>
    <x v="7"/>
    <x v="23"/>
    <x v="0"/>
    <x v="3"/>
    <n v="1"/>
    <n v="6"/>
    <n v="1"/>
    <s v="W"/>
    <s v="21"/>
    <x v="26"/>
    <s v="5970005"/>
    <n v="8"/>
    <n v="1"/>
    <n v="1"/>
  </r>
  <r>
    <s v="IND"/>
    <x v="7"/>
    <x v="24"/>
    <x v="0"/>
    <x v="3"/>
    <n v="1"/>
    <n v="0"/>
    <n v="0"/>
    <m/>
    <s v="21"/>
    <x v="26"/>
    <m/>
    <n v="0"/>
    <n v="2"/>
    <n v="2"/>
  </r>
  <r>
    <s v="IND"/>
    <x v="7"/>
    <x v="24"/>
    <x v="1"/>
    <x v="3"/>
    <n v="1"/>
    <n v="0"/>
    <n v="0"/>
    <m/>
    <s v="21"/>
    <x v="26"/>
    <m/>
    <n v="0"/>
    <n v="1"/>
    <n v="1"/>
  </r>
  <r>
    <s v="IND"/>
    <x v="7"/>
    <x v="24"/>
    <x v="1"/>
    <x v="3"/>
    <n v="1"/>
    <n v="0"/>
    <n v="0"/>
    <m/>
    <s v="22"/>
    <x v="34"/>
    <s v="5970004"/>
    <n v="8"/>
    <n v="1"/>
    <n v="1"/>
  </r>
  <r>
    <s v="COMM"/>
    <x v="7"/>
    <x v="24"/>
    <x v="0"/>
    <x v="3"/>
    <n v="1"/>
    <n v="0"/>
    <n v="0"/>
    <m/>
    <s v="21"/>
    <x v="26"/>
    <s v="5970005"/>
    <n v="8"/>
    <n v="1"/>
    <n v="1"/>
  </r>
  <r>
    <s v="IND"/>
    <x v="7"/>
    <x v="24"/>
    <x v="0"/>
    <x v="3"/>
    <n v="1"/>
    <n v="0"/>
    <n v="0"/>
    <m/>
    <s v="21"/>
    <x v="26"/>
    <s v="5970005"/>
    <n v="8"/>
    <n v="1"/>
    <n v="1"/>
  </r>
  <r>
    <s v="IND"/>
    <x v="7"/>
    <x v="24"/>
    <x v="1"/>
    <x v="3"/>
    <n v="1"/>
    <n v="0"/>
    <n v="0"/>
    <m/>
    <s v="21"/>
    <x v="26"/>
    <s v="5970005"/>
    <n v="8"/>
    <n v="10"/>
    <n v="10"/>
  </r>
  <r>
    <s v="IND"/>
    <x v="7"/>
    <x v="24"/>
    <x v="0"/>
    <x v="3"/>
    <n v="1"/>
    <n v="0"/>
    <n v="0"/>
    <m/>
    <s v="20"/>
    <x v="27"/>
    <s v="5970028"/>
    <n v="8"/>
    <n v="1"/>
    <n v="1"/>
  </r>
  <r>
    <s v="IND"/>
    <x v="7"/>
    <x v="24"/>
    <x v="1"/>
    <x v="2"/>
    <n v="1"/>
    <n v="0"/>
    <n v="0"/>
    <m/>
    <s v="20"/>
    <x v="27"/>
    <s v="5970028"/>
    <n v="8"/>
    <n v="1"/>
    <n v="1"/>
  </r>
  <r>
    <s v="COMM"/>
    <x v="7"/>
    <x v="24"/>
    <x v="1"/>
    <x v="3"/>
    <n v="1"/>
    <n v="0"/>
    <n v="0"/>
    <m/>
    <s v="2C"/>
    <x v="35"/>
    <s v="6080004"/>
    <n v="4"/>
    <n v="1"/>
    <n v="1"/>
  </r>
  <r>
    <s v="IND"/>
    <x v="7"/>
    <x v="24"/>
    <x v="1"/>
    <x v="3"/>
    <n v="1"/>
    <n v="0"/>
    <n v="0"/>
    <m/>
    <s v="2B"/>
    <x v="27"/>
    <s v="6080040"/>
    <n v="4"/>
    <n v="1"/>
    <n v="1"/>
  </r>
  <r>
    <s v="COMM"/>
    <x v="7"/>
    <x v="24"/>
    <x v="0"/>
    <x v="3"/>
    <n v="1"/>
    <n v="0"/>
    <n v="0"/>
    <m/>
    <s v="2B"/>
    <x v="27"/>
    <s v="6080040"/>
    <n v="4"/>
    <n v="1"/>
    <n v="1"/>
  </r>
  <r>
    <s v="COMM"/>
    <x v="7"/>
    <x v="24"/>
    <x v="1"/>
    <x v="3"/>
    <n v="1"/>
    <n v="0"/>
    <n v="0"/>
    <m/>
    <s v="2B"/>
    <x v="27"/>
    <s v="6080040"/>
    <n v="4"/>
    <n v="1"/>
    <n v="1"/>
  </r>
  <r>
    <s v="IND"/>
    <x v="7"/>
    <x v="24"/>
    <x v="1"/>
    <x v="3"/>
    <n v="1"/>
    <n v="0"/>
    <n v="0"/>
    <m/>
    <s v="25"/>
    <x v="31"/>
    <s v="6170015"/>
    <n v="9"/>
    <n v="1"/>
    <n v="1"/>
  </r>
  <r>
    <s v="COMM"/>
    <x v="7"/>
    <x v="24"/>
    <x v="0"/>
    <x v="3"/>
    <n v="1"/>
    <n v="0"/>
    <n v="0"/>
    <m/>
    <s v="25"/>
    <x v="31"/>
    <s v="6170015"/>
    <n v="9"/>
    <n v="1"/>
    <n v="1"/>
  </r>
  <r>
    <s v="COMM"/>
    <x v="7"/>
    <x v="24"/>
    <x v="1"/>
    <x v="3"/>
    <n v="1"/>
    <n v="1"/>
    <n v="1"/>
    <s v="W"/>
    <s v="21"/>
    <x v="26"/>
    <s v="5970005"/>
    <n v="8"/>
    <n v="1"/>
    <n v="1"/>
  </r>
  <r>
    <s v="IND"/>
    <x v="7"/>
    <x v="24"/>
    <x v="1"/>
    <x v="3"/>
    <n v="1"/>
    <n v="1"/>
    <n v="1"/>
    <s v="W"/>
    <s v="21"/>
    <x v="26"/>
    <s v="5970005"/>
    <n v="8"/>
    <n v="6"/>
    <n v="6"/>
  </r>
  <r>
    <s v="IND"/>
    <x v="7"/>
    <x v="24"/>
    <x v="1"/>
    <x v="2"/>
    <n v="1"/>
    <n v="1"/>
    <n v="1"/>
    <s v="W"/>
    <s v="23"/>
    <x v="32"/>
    <s v="5970040"/>
    <n v="8"/>
    <n v="1"/>
    <n v="1"/>
  </r>
  <r>
    <s v="COMM"/>
    <x v="7"/>
    <x v="24"/>
    <x v="1"/>
    <x v="2"/>
    <n v="1"/>
    <n v="1"/>
    <n v="1"/>
    <s v="W"/>
    <s v="2B"/>
    <x v="27"/>
    <s v="6080060"/>
    <n v="6"/>
    <n v="1"/>
    <n v="1"/>
  </r>
  <r>
    <s v="COMM"/>
    <x v="7"/>
    <x v="24"/>
    <x v="1"/>
    <x v="3"/>
    <n v="1"/>
    <n v="1"/>
    <n v="1"/>
    <s v="W"/>
    <s v="21"/>
    <x v="26"/>
    <s v="6170005"/>
    <n v="9"/>
    <n v="1"/>
    <n v="1"/>
  </r>
  <r>
    <s v="IND"/>
    <x v="7"/>
    <x v="24"/>
    <x v="1"/>
    <x v="2"/>
    <n v="1"/>
    <n v="1"/>
    <n v="1"/>
    <s v="W"/>
    <s v="25"/>
    <x v="31"/>
    <s v="6170015"/>
    <n v="9"/>
    <n v="1"/>
    <n v="1"/>
  </r>
  <r>
    <s v="COMM"/>
    <x v="7"/>
    <x v="24"/>
    <x v="1"/>
    <x v="2"/>
    <n v="1"/>
    <n v="1"/>
    <n v="1"/>
    <s v="W"/>
    <s v="21"/>
    <x v="26"/>
    <s v="6170055"/>
    <n v="9"/>
    <n v="2"/>
    <n v="2"/>
  </r>
  <r>
    <s v="IND"/>
    <x v="7"/>
    <x v="24"/>
    <x v="1"/>
    <x v="2"/>
    <n v="1"/>
    <n v="1"/>
    <n v="1"/>
    <s v="W"/>
    <s v="21"/>
    <x v="26"/>
    <s v="6170055"/>
    <n v="9"/>
    <n v="1"/>
    <n v="1"/>
  </r>
  <r>
    <s v="IND"/>
    <x v="7"/>
    <x v="24"/>
    <x v="1"/>
    <x v="3"/>
    <n v="1"/>
    <n v="1"/>
    <n v="2"/>
    <s v="W"/>
    <s v="22"/>
    <x v="34"/>
    <s v="5970004"/>
    <n v="8"/>
    <n v="1"/>
    <n v="1"/>
  </r>
  <r>
    <s v="IND"/>
    <x v="7"/>
    <x v="24"/>
    <x v="1"/>
    <x v="9"/>
    <n v="1"/>
    <n v="1"/>
    <n v="2"/>
    <s v="W"/>
    <s v="21"/>
    <x v="26"/>
    <s v="5970005"/>
    <n v="8"/>
    <n v="1"/>
    <n v="1"/>
  </r>
  <r>
    <s v="IND"/>
    <x v="7"/>
    <x v="24"/>
    <x v="1"/>
    <x v="3"/>
    <n v="1"/>
    <n v="1"/>
    <n v="2"/>
    <s v="W"/>
    <s v="21"/>
    <x v="26"/>
    <s v="5970005"/>
    <n v="8"/>
    <n v="3"/>
    <n v="3"/>
  </r>
  <r>
    <s v="COMM"/>
    <x v="7"/>
    <x v="24"/>
    <x v="1"/>
    <x v="2"/>
    <n v="1"/>
    <n v="1"/>
    <n v="2"/>
    <s v="W"/>
    <s v="20"/>
    <x v="27"/>
    <s v="5970028"/>
    <n v="8"/>
    <n v="1"/>
    <n v="1"/>
  </r>
  <r>
    <s v="IND"/>
    <x v="7"/>
    <x v="24"/>
    <x v="1"/>
    <x v="2"/>
    <n v="1"/>
    <n v="1"/>
    <n v="2"/>
    <s v="W"/>
    <s v="21"/>
    <x v="26"/>
    <s v="6170055"/>
    <n v="9"/>
    <n v="1"/>
    <n v="1"/>
  </r>
  <r>
    <s v="IND"/>
    <x v="7"/>
    <x v="24"/>
    <x v="1"/>
    <x v="3"/>
    <n v="1"/>
    <n v="1"/>
    <n v="3"/>
    <s v="W"/>
    <s v="21"/>
    <x v="26"/>
    <s v="5970005"/>
    <n v="8"/>
    <n v="1"/>
    <n v="1"/>
  </r>
  <r>
    <s v="IND"/>
    <x v="7"/>
    <x v="24"/>
    <x v="1"/>
    <x v="3"/>
    <n v="1"/>
    <n v="1"/>
    <n v="3"/>
    <s v="W"/>
    <s v="23"/>
    <x v="32"/>
    <s v="5970040"/>
    <n v="8"/>
    <n v="1"/>
    <n v="1"/>
  </r>
  <r>
    <s v="IND"/>
    <x v="7"/>
    <x v="24"/>
    <x v="1"/>
    <x v="3"/>
    <n v="1"/>
    <n v="1"/>
    <n v="4"/>
    <s v="W"/>
    <s v="21"/>
    <x v="26"/>
    <s v="5970005"/>
    <n v="8"/>
    <n v="3"/>
    <n v="3"/>
  </r>
  <r>
    <s v="IND"/>
    <x v="7"/>
    <x v="24"/>
    <x v="1"/>
    <x v="9"/>
    <n v="1"/>
    <n v="1"/>
    <n v="4"/>
    <s v="W"/>
    <s v="21"/>
    <x v="26"/>
    <s v="5970005"/>
    <n v="8"/>
    <n v="1"/>
    <n v="1"/>
  </r>
  <r>
    <s v="IND"/>
    <x v="7"/>
    <x v="24"/>
    <x v="1"/>
    <x v="3"/>
    <n v="1"/>
    <n v="2"/>
    <n v="3"/>
    <s v="W"/>
    <s v="21"/>
    <x v="26"/>
    <s v="5970005"/>
    <n v="8"/>
    <n v="2"/>
    <n v="2"/>
  </r>
  <r>
    <s v="COMM"/>
    <x v="7"/>
    <x v="24"/>
    <x v="1"/>
    <x v="3"/>
    <n v="1"/>
    <n v="2"/>
    <n v="3"/>
    <s v="W"/>
    <s v="2C"/>
    <x v="35"/>
    <s v="6080004"/>
    <n v="4"/>
    <n v="1"/>
    <n v="1"/>
  </r>
  <r>
    <s v="IND"/>
    <x v="7"/>
    <x v="24"/>
    <x v="1"/>
    <x v="3"/>
    <n v="1"/>
    <n v="6"/>
    <n v="1"/>
    <s v="W"/>
    <s v="21"/>
    <x v="26"/>
    <s v="5970005"/>
    <n v="8"/>
    <n v="1"/>
    <n v="1"/>
  </r>
  <r>
    <s v="IND"/>
    <x v="7"/>
    <x v="25"/>
    <x v="1"/>
    <x v="3"/>
    <n v="1"/>
    <n v="0"/>
    <n v="0"/>
    <m/>
    <s v="21"/>
    <x v="26"/>
    <m/>
    <n v="0"/>
    <n v="1"/>
    <n v="1"/>
  </r>
  <r>
    <s v="IND"/>
    <x v="7"/>
    <x v="25"/>
    <x v="1"/>
    <x v="3"/>
    <n v="1"/>
    <n v="0"/>
    <n v="0"/>
    <m/>
    <s v="22"/>
    <x v="34"/>
    <s v="5970004"/>
    <n v="8"/>
    <n v="1"/>
    <n v="1"/>
  </r>
  <r>
    <s v="IND"/>
    <x v="7"/>
    <x v="25"/>
    <x v="1"/>
    <x v="3"/>
    <n v="1"/>
    <n v="0"/>
    <n v="0"/>
    <m/>
    <s v="21"/>
    <x v="26"/>
    <s v="5970005"/>
    <n v="8"/>
    <n v="2"/>
    <n v="2"/>
  </r>
  <r>
    <s v="IND"/>
    <x v="7"/>
    <x v="25"/>
    <x v="0"/>
    <x v="3"/>
    <n v="1"/>
    <n v="0"/>
    <n v="0"/>
    <m/>
    <s v="21"/>
    <x v="26"/>
    <s v="5970005"/>
    <n v="8"/>
    <n v="6"/>
    <n v="6"/>
  </r>
  <r>
    <s v="IND"/>
    <x v="7"/>
    <x v="25"/>
    <x v="0"/>
    <x v="9"/>
    <n v="1"/>
    <n v="0"/>
    <n v="0"/>
    <m/>
    <s v="21"/>
    <x v="26"/>
    <s v="5970005"/>
    <n v="8"/>
    <n v="1"/>
    <n v="1"/>
  </r>
  <r>
    <s v="IND"/>
    <x v="7"/>
    <x v="25"/>
    <x v="0"/>
    <x v="3"/>
    <n v="1"/>
    <n v="0"/>
    <n v="0"/>
    <m/>
    <s v="20"/>
    <x v="27"/>
    <s v="5970028"/>
    <n v="8"/>
    <n v="1"/>
    <n v="1"/>
  </r>
  <r>
    <s v="IND"/>
    <x v="7"/>
    <x v="25"/>
    <x v="0"/>
    <x v="3"/>
    <n v="1"/>
    <n v="0"/>
    <n v="0"/>
    <m/>
    <s v="23"/>
    <x v="32"/>
    <s v="5970040"/>
    <n v="8"/>
    <n v="2"/>
    <n v="2"/>
  </r>
  <r>
    <s v="COMM"/>
    <x v="7"/>
    <x v="25"/>
    <x v="1"/>
    <x v="3"/>
    <n v="1"/>
    <n v="0"/>
    <n v="0"/>
    <m/>
    <s v="2C"/>
    <x v="35"/>
    <s v="6080004"/>
    <n v="4"/>
    <n v="1"/>
    <n v="1"/>
  </r>
  <r>
    <s v="COMM"/>
    <x v="7"/>
    <x v="25"/>
    <x v="0"/>
    <x v="3"/>
    <n v="1"/>
    <n v="0"/>
    <n v="0"/>
    <m/>
    <s v="25"/>
    <x v="31"/>
    <s v="6170015"/>
    <n v="9"/>
    <n v="1"/>
    <n v="1"/>
  </r>
  <r>
    <s v="IND"/>
    <x v="7"/>
    <x v="25"/>
    <x v="0"/>
    <x v="3"/>
    <n v="1"/>
    <n v="1"/>
    <n v="1"/>
    <s v="W"/>
    <s v="21"/>
    <x v="26"/>
    <s v="5970005"/>
    <n v="8"/>
    <n v="1"/>
    <n v="1"/>
  </r>
  <r>
    <s v="IND"/>
    <x v="7"/>
    <x v="25"/>
    <x v="1"/>
    <x v="3"/>
    <n v="1"/>
    <n v="3"/>
    <n v="1"/>
    <s v="W"/>
    <s v="21"/>
    <x v="26"/>
    <s v="5970005"/>
    <n v="8"/>
    <n v="1"/>
    <n v="1"/>
  </r>
  <r>
    <s v="IND"/>
    <x v="7"/>
    <x v="25"/>
    <x v="0"/>
    <x v="3"/>
    <n v="2"/>
    <n v="0"/>
    <n v="0"/>
    <m/>
    <s v="21"/>
    <x v="26"/>
    <s v="5970005"/>
    <n v="8"/>
    <n v="2"/>
    <n v="1"/>
  </r>
  <r>
    <s v="COMM"/>
    <x v="7"/>
    <x v="25"/>
    <x v="0"/>
    <x v="3"/>
    <n v="5"/>
    <n v="17"/>
    <n v="1"/>
    <s v="W"/>
    <s v="2B"/>
    <x v="27"/>
    <s v="6080040"/>
    <n v="4"/>
    <n v="5"/>
    <n v="1"/>
  </r>
  <r>
    <s v="IND"/>
    <x v="8"/>
    <x v="14"/>
    <x v="0"/>
    <x v="9"/>
    <n v="1"/>
    <n v="0"/>
    <n v="0"/>
    <m/>
    <s v="70"/>
    <x v="17"/>
    <s v="5970028"/>
    <n v="8"/>
    <n v="1"/>
    <n v="1"/>
  </r>
  <r>
    <s v="COMM"/>
    <x v="8"/>
    <x v="14"/>
    <x v="0"/>
    <x v="9"/>
    <n v="1"/>
    <n v="0"/>
    <n v="0"/>
    <m/>
    <s v="1A"/>
    <x v="13"/>
    <s v="6170022"/>
    <n v="9"/>
    <n v="1"/>
    <n v="1"/>
  </r>
  <r>
    <s v="IND"/>
    <x v="8"/>
    <x v="16"/>
    <x v="0"/>
    <x v="9"/>
    <n v="1"/>
    <n v="0"/>
    <n v="0"/>
    <m/>
    <s v="21"/>
    <x v="26"/>
    <s v="5970005"/>
    <n v="8"/>
    <n v="1"/>
    <n v="1"/>
  </r>
  <r>
    <s v="IND"/>
    <x v="8"/>
    <x v="16"/>
    <x v="0"/>
    <x v="9"/>
    <n v="1"/>
    <n v="0"/>
    <n v="0"/>
    <m/>
    <s v="70"/>
    <x v="17"/>
    <s v="5970005"/>
    <n v="8"/>
    <n v="1"/>
    <n v="1"/>
  </r>
  <r>
    <s v="COMM"/>
    <x v="8"/>
    <x v="16"/>
    <x v="0"/>
    <x v="9"/>
    <n v="1"/>
    <n v="0"/>
    <n v="0"/>
    <m/>
    <s v="7C"/>
    <x v="19"/>
    <s v="6080008"/>
    <n v="1"/>
    <n v="1"/>
    <n v="1"/>
  </r>
  <r>
    <s v="IND"/>
    <x v="8"/>
    <x v="17"/>
    <x v="0"/>
    <x v="9"/>
    <n v="1"/>
    <n v="0"/>
    <n v="0"/>
    <m/>
    <s v="76"/>
    <x v="25"/>
    <s v="5970006"/>
    <n v="8"/>
    <n v="1"/>
    <n v="1"/>
  </r>
  <r>
    <s v="IND"/>
    <x v="8"/>
    <x v="17"/>
    <x v="0"/>
    <x v="9"/>
    <n v="1"/>
    <n v="0"/>
    <n v="0"/>
    <m/>
    <s v="7A"/>
    <x v="24"/>
    <s v="6080240"/>
    <n v="4"/>
    <n v="1"/>
    <n v="1"/>
  </r>
  <r>
    <s v="COMM"/>
    <x v="8"/>
    <x v="17"/>
    <x v="0"/>
    <x v="9"/>
    <n v="1"/>
    <n v="0"/>
    <n v="0"/>
    <m/>
    <s v="71"/>
    <x v="1"/>
    <s v="6170005"/>
    <n v="9"/>
    <n v="2"/>
    <n v="2"/>
  </r>
  <r>
    <s v="IND"/>
    <x v="8"/>
    <x v="17"/>
    <x v="0"/>
    <x v="9"/>
    <n v="1"/>
    <n v="0"/>
    <n v="0"/>
    <m/>
    <s v="70"/>
    <x v="17"/>
    <s v="6170008"/>
    <n v="9"/>
    <n v="1"/>
    <n v="1"/>
  </r>
  <r>
    <s v="COMM"/>
    <x v="8"/>
    <x v="17"/>
    <x v="0"/>
    <x v="9"/>
    <n v="1"/>
    <n v="0"/>
    <n v="0"/>
    <m/>
    <s v="71"/>
    <x v="1"/>
    <s v="6170040"/>
    <n v="9"/>
    <n v="1"/>
    <n v="1"/>
  </r>
  <r>
    <s v="IND"/>
    <x v="9"/>
    <x v="27"/>
    <x v="1"/>
    <x v="3"/>
    <n v="1"/>
    <n v="0"/>
    <n v="0"/>
    <m/>
    <s v="21"/>
    <x v="26"/>
    <s v="6170055"/>
    <n v="9"/>
    <n v="1"/>
    <n v="1"/>
  </r>
  <r>
    <s v="COMM"/>
    <x v="10"/>
    <x v="28"/>
    <x v="0"/>
    <x v="2"/>
    <n v="2"/>
    <n v="0"/>
    <n v="0"/>
    <m/>
    <s v="10"/>
    <x v="14"/>
    <s v="6170028"/>
    <n v="9"/>
    <n v="2"/>
    <n v="1"/>
  </r>
  <r>
    <s v="COMM"/>
    <x v="10"/>
    <x v="28"/>
    <x v="0"/>
    <x v="2"/>
    <n v="2"/>
    <n v="0"/>
    <n v="0"/>
    <m/>
    <s v="71"/>
    <x v="1"/>
    <s v="6170055"/>
    <n v="9"/>
    <n v="2"/>
    <n v="1"/>
  </r>
  <r>
    <s v="COMM"/>
    <x v="10"/>
    <x v="28"/>
    <x v="0"/>
    <x v="2"/>
    <n v="3"/>
    <n v="0"/>
    <n v="0"/>
    <m/>
    <s v="71"/>
    <x v="1"/>
    <s v="6170055"/>
    <n v="9"/>
    <n v="3"/>
    <n v="1"/>
  </r>
  <r>
    <s v="COMM"/>
    <x v="10"/>
    <x v="28"/>
    <x v="0"/>
    <x v="2"/>
    <n v="4"/>
    <n v="0"/>
    <n v="0"/>
    <m/>
    <s v="70"/>
    <x v="17"/>
    <s v="6170028"/>
    <n v="9"/>
    <n v="4"/>
    <n v="1"/>
  </r>
  <r>
    <s v="COMM"/>
    <x v="10"/>
    <x v="28"/>
    <x v="0"/>
    <x v="2"/>
    <n v="4"/>
    <n v="0"/>
    <n v="0"/>
    <m/>
    <s v="10"/>
    <x v="14"/>
    <s v="6170028"/>
    <n v="9"/>
    <n v="44"/>
    <n v="11"/>
  </r>
  <r>
    <s v="COMM"/>
    <x v="10"/>
    <x v="28"/>
    <x v="0"/>
    <x v="2"/>
    <n v="4"/>
    <n v="0"/>
    <n v="0"/>
    <m/>
    <s v="73"/>
    <x v="18"/>
    <s v="6170040"/>
    <n v="9"/>
    <n v="4"/>
    <n v="1"/>
  </r>
  <r>
    <s v="COMM"/>
    <x v="10"/>
    <x v="28"/>
    <x v="0"/>
    <x v="2"/>
    <n v="4"/>
    <n v="0"/>
    <n v="0"/>
    <m/>
    <s v="71"/>
    <x v="1"/>
    <s v="6170055"/>
    <n v="9"/>
    <n v="24"/>
    <n v="6"/>
  </r>
  <r>
    <s v="COMM"/>
    <x v="10"/>
    <x v="28"/>
    <x v="0"/>
    <x v="2"/>
    <n v="5"/>
    <n v="0"/>
    <n v="0"/>
    <m/>
    <s v="1C"/>
    <x v="6"/>
    <s v="6080004"/>
    <n v="4"/>
    <n v="10"/>
    <n v="2"/>
  </r>
  <r>
    <s v="COMM"/>
    <x v="10"/>
    <x v="28"/>
    <x v="0"/>
    <x v="2"/>
    <n v="5"/>
    <n v="0"/>
    <n v="0"/>
    <m/>
    <s v="7C"/>
    <x v="19"/>
    <s v="6080004"/>
    <n v="4"/>
    <n v="5"/>
    <n v="1"/>
  </r>
  <r>
    <s v="COMM"/>
    <x v="10"/>
    <x v="28"/>
    <x v="0"/>
    <x v="2"/>
    <n v="5"/>
    <n v="0"/>
    <n v="0"/>
    <m/>
    <s v="10"/>
    <x v="14"/>
    <s v="6170028"/>
    <n v="9"/>
    <n v="5"/>
    <n v="1"/>
  </r>
  <r>
    <s v="COMM"/>
    <x v="10"/>
    <x v="28"/>
    <x v="0"/>
    <x v="2"/>
    <n v="5"/>
    <n v="0"/>
    <n v="0"/>
    <m/>
    <s v="73"/>
    <x v="18"/>
    <s v="6170040"/>
    <n v="9"/>
    <n v="5"/>
    <n v="1"/>
  </r>
  <r>
    <s v="COMM"/>
    <x v="10"/>
    <x v="28"/>
    <x v="0"/>
    <x v="2"/>
    <n v="5"/>
    <n v="0"/>
    <n v="0"/>
    <m/>
    <s v="11"/>
    <x v="11"/>
    <s v="6170055"/>
    <n v="9"/>
    <n v="5"/>
    <n v="1"/>
  </r>
  <r>
    <s v="COMM"/>
    <x v="10"/>
    <x v="28"/>
    <x v="0"/>
    <x v="2"/>
    <n v="5"/>
    <n v="0"/>
    <n v="0"/>
    <m/>
    <s v="71"/>
    <x v="1"/>
    <s v="6170055"/>
    <n v="9"/>
    <n v="15"/>
    <n v="3"/>
  </r>
  <r>
    <s v="COMM"/>
    <x v="10"/>
    <x v="28"/>
    <x v="0"/>
    <x v="2"/>
    <n v="6"/>
    <n v="0"/>
    <n v="0"/>
    <m/>
    <s v="1C"/>
    <x v="6"/>
    <s v="6080004"/>
    <n v="4"/>
    <n v="6"/>
    <n v="1"/>
  </r>
  <r>
    <s v="COMM"/>
    <x v="10"/>
    <x v="28"/>
    <x v="0"/>
    <x v="2"/>
    <n v="6"/>
    <n v="0"/>
    <n v="0"/>
    <m/>
    <s v="10"/>
    <x v="14"/>
    <s v="6170028"/>
    <n v="9"/>
    <n v="12"/>
    <n v="2"/>
  </r>
  <r>
    <s v="COMM"/>
    <x v="10"/>
    <x v="28"/>
    <x v="0"/>
    <x v="2"/>
    <n v="6"/>
    <n v="0"/>
    <n v="0"/>
    <m/>
    <s v="13"/>
    <x v="15"/>
    <s v="6170040"/>
    <n v="9"/>
    <n v="6"/>
    <n v="1"/>
  </r>
  <r>
    <s v="COMM"/>
    <x v="10"/>
    <x v="28"/>
    <x v="0"/>
    <x v="2"/>
    <n v="6"/>
    <n v="0"/>
    <n v="0"/>
    <m/>
    <s v="11"/>
    <x v="11"/>
    <s v="6170055"/>
    <n v="9"/>
    <n v="18"/>
    <n v="3"/>
  </r>
  <r>
    <s v="COMM"/>
    <x v="10"/>
    <x v="28"/>
    <x v="0"/>
    <x v="2"/>
    <n v="6"/>
    <n v="0"/>
    <n v="0"/>
    <m/>
    <s v="71"/>
    <x v="1"/>
    <s v="6170055"/>
    <n v="9"/>
    <n v="48"/>
    <n v="8"/>
  </r>
  <r>
    <s v="COMM"/>
    <x v="10"/>
    <x v="28"/>
    <x v="0"/>
    <x v="2"/>
    <n v="7"/>
    <n v="0"/>
    <n v="0"/>
    <m/>
    <s v="1C"/>
    <x v="6"/>
    <s v="6080004"/>
    <n v="4"/>
    <n v="7"/>
    <n v="1"/>
  </r>
  <r>
    <s v="COMM"/>
    <x v="10"/>
    <x v="28"/>
    <x v="0"/>
    <x v="2"/>
    <n v="7"/>
    <n v="0"/>
    <n v="0"/>
    <m/>
    <s v="7C"/>
    <x v="19"/>
    <s v="6080004"/>
    <n v="4"/>
    <n v="7"/>
    <n v="1"/>
  </r>
  <r>
    <s v="COMM"/>
    <x v="10"/>
    <x v="28"/>
    <x v="0"/>
    <x v="2"/>
    <n v="7"/>
    <n v="0"/>
    <n v="0"/>
    <m/>
    <s v="72"/>
    <x v="21"/>
    <s v="6170004"/>
    <n v="9"/>
    <n v="7"/>
    <n v="1"/>
  </r>
  <r>
    <s v="COMM"/>
    <x v="10"/>
    <x v="28"/>
    <x v="0"/>
    <x v="2"/>
    <n v="7"/>
    <n v="0"/>
    <n v="0"/>
    <m/>
    <s v="10"/>
    <x v="14"/>
    <s v="6170028"/>
    <n v="9"/>
    <n v="7"/>
    <n v="1"/>
  </r>
  <r>
    <s v="COMM"/>
    <x v="10"/>
    <x v="28"/>
    <x v="0"/>
    <x v="2"/>
    <n v="7"/>
    <n v="0"/>
    <n v="0"/>
    <m/>
    <s v="11"/>
    <x v="11"/>
    <s v="6170055"/>
    <n v="9"/>
    <n v="7"/>
    <n v="1"/>
  </r>
  <r>
    <s v="COMM"/>
    <x v="10"/>
    <x v="28"/>
    <x v="0"/>
    <x v="2"/>
    <n v="7"/>
    <n v="0"/>
    <n v="0"/>
    <m/>
    <s v="71"/>
    <x v="1"/>
    <s v="6170055"/>
    <n v="9"/>
    <n v="21"/>
    <n v="3"/>
  </r>
  <r>
    <s v="COMM"/>
    <x v="10"/>
    <x v="28"/>
    <x v="0"/>
    <x v="2"/>
    <n v="8"/>
    <n v="0"/>
    <n v="0"/>
    <m/>
    <s v="7C"/>
    <x v="19"/>
    <s v="6080004"/>
    <n v="4"/>
    <n v="8"/>
    <n v="1"/>
  </r>
  <r>
    <s v="COMM"/>
    <x v="10"/>
    <x v="28"/>
    <x v="0"/>
    <x v="2"/>
    <n v="8"/>
    <n v="0"/>
    <n v="0"/>
    <m/>
    <s v="1C"/>
    <x v="6"/>
    <s v="6080004"/>
    <n v="4"/>
    <n v="24"/>
    <n v="3"/>
  </r>
  <r>
    <s v="COMM"/>
    <x v="10"/>
    <x v="28"/>
    <x v="0"/>
    <x v="2"/>
    <n v="8"/>
    <n v="0"/>
    <n v="0"/>
    <m/>
    <s v="10"/>
    <x v="14"/>
    <s v="6170028"/>
    <n v="9"/>
    <n v="24"/>
    <n v="3"/>
  </r>
  <r>
    <s v="COMM"/>
    <x v="10"/>
    <x v="28"/>
    <x v="0"/>
    <x v="2"/>
    <n v="8"/>
    <n v="0"/>
    <n v="0"/>
    <m/>
    <s v="73"/>
    <x v="18"/>
    <s v="6170040"/>
    <n v="9"/>
    <n v="8"/>
    <n v="1"/>
  </r>
  <r>
    <s v="COMM"/>
    <x v="10"/>
    <x v="28"/>
    <x v="0"/>
    <x v="2"/>
    <n v="8"/>
    <n v="0"/>
    <n v="0"/>
    <m/>
    <s v="11"/>
    <x v="11"/>
    <s v="6170055"/>
    <n v="9"/>
    <n v="32"/>
    <n v="4"/>
  </r>
  <r>
    <s v="COMM"/>
    <x v="10"/>
    <x v="28"/>
    <x v="0"/>
    <x v="2"/>
    <n v="8"/>
    <n v="0"/>
    <n v="0"/>
    <m/>
    <s v="71"/>
    <x v="1"/>
    <s v="6170055"/>
    <n v="9"/>
    <n v="40"/>
    <n v="5"/>
  </r>
  <r>
    <s v="COMM"/>
    <x v="10"/>
    <x v="28"/>
    <x v="0"/>
    <x v="2"/>
    <n v="9"/>
    <n v="0"/>
    <n v="0"/>
    <m/>
    <s v="10"/>
    <x v="14"/>
    <s v="6170028"/>
    <n v="9"/>
    <n v="9"/>
    <n v="1"/>
  </r>
  <r>
    <s v="COMM"/>
    <x v="10"/>
    <x v="28"/>
    <x v="0"/>
    <x v="2"/>
    <n v="9"/>
    <n v="0"/>
    <n v="0"/>
    <m/>
    <s v="13"/>
    <x v="15"/>
    <s v="6170040"/>
    <n v="9"/>
    <n v="18"/>
    <n v="2"/>
  </r>
  <r>
    <s v="COMM"/>
    <x v="10"/>
    <x v="28"/>
    <x v="0"/>
    <x v="2"/>
    <n v="9"/>
    <n v="0"/>
    <n v="0"/>
    <m/>
    <s v="73"/>
    <x v="18"/>
    <s v="6170040"/>
    <n v="9"/>
    <n v="18"/>
    <n v="2"/>
  </r>
  <r>
    <s v="COMM"/>
    <x v="10"/>
    <x v="28"/>
    <x v="0"/>
    <x v="2"/>
    <n v="9"/>
    <n v="0"/>
    <n v="0"/>
    <m/>
    <s v="11"/>
    <x v="11"/>
    <s v="6170055"/>
    <n v="9"/>
    <n v="18"/>
    <n v="2"/>
  </r>
  <r>
    <s v="COMM"/>
    <x v="10"/>
    <x v="28"/>
    <x v="0"/>
    <x v="2"/>
    <n v="9"/>
    <n v="0"/>
    <n v="0"/>
    <m/>
    <s v="71"/>
    <x v="1"/>
    <s v="6170055"/>
    <n v="9"/>
    <n v="18"/>
    <n v="2"/>
  </r>
  <r>
    <s v="COMM"/>
    <x v="10"/>
    <x v="28"/>
    <x v="0"/>
    <x v="2"/>
    <n v="10"/>
    <n v="0"/>
    <n v="0"/>
    <m/>
    <s v="72"/>
    <x v="21"/>
    <s v="6170004"/>
    <n v="9"/>
    <n v="20"/>
    <n v="2"/>
  </r>
  <r>
    <s v="COMM"/>
    <x v="10"/>
    <x v="28"/>
    <x v="0"/>
    <x v="2"/>
    <n v="10"/>
    <n v="0"/>
    <n v="0"/>
    <m/>
    <s v="10"/>
    <x v="14"/>
    <s v="6170028"/>
    <n v="9"/>
    <n v="10"/>
    <n v="1"/>
  </r>
  <r>
    <s v="COMM"/>
    <x v="10"/>
    <x v="28"/>
    <x v="0"/>
    <x v="2"/>
    <n v="10"/>
    <n v="0"/>
    <n v="0"/>
    <m/>
    <s v="13"/>
    <x v="15"/>
    <s v="6170040"/>
    <n v="9"/>
    <n v="10"/>
    <n v="1"/>
  </r>
  <r>
    <s v="COMM"/>
    <x v="10"/>
    <x v="28"/>
    <x v="0"/>
    <x v="2"/>
    <n v="10"/>
    <n v="0"/>
    <n v="0"/>
    <m/>
    <s v="71"/>
    <x v="1"/>
    <s v="6170055"/>
    <n v="9"/>
    <n v="70"/>
    <n v="7"/>
  </r>
  <r>
    <s v="COMM"/>
    <x v="10"/>
    <x v="28"/>
    <x v="0"/>
    <x v="1"/>
    <n v="10"/>
    <n v="0"/>
    <n v="0"/>
    <m/>
    <s v="71"/>
    <x v="1"/>
    <s v="6170055"/>
    <n v="9"/>
    <n v="10"/>
    <n v="1"/>
  </r>
  <r>
    <s v="COMM"/>
    <x v="10"/>
    <x v="28"/>
    <x v="0"/>
    <x v="2"/>
    <n v="10"/>
    <n v="0"/>
    <n v="0"/>
    <m/>
    <s v="11"/>
    <x v="11"/>
    <s v="6170055"/>
    <n v="9"/>
    <n v="30"/>
    <n v="3"/>
  </r>
  <r>
    <s v="COMM"/>
    <x v="10"/>
    <x v="28"/>
    <x v="0"/>
    <x v="2"/>
    <n v="11"/>
    <n v="0"/>
    <n v="0"/>
    <m/>
    <s v="72"/>
    <x v="21"/>
    <s v="6170004"/>
    <n v="9"/>
    <n v="11"/>
    <n v="1"/>
  </r>
  <r>
    <s v="COMM"/>
    <x v="10"/>
    <x v="28"/>
    <x v="0"/>
    <x v="2"/>
    <n v="11"/>
    <n v="0"/>
    <n v="0"/>
    <m/>
    <s v="71"/>
    <x v="1"/>
    <s v="6170005"/>
    <n v="9"/>
    <n v="11"/>
    <n v="1"/>
  </r>
  <r>
    <s v="COMM"/>
    <x v="10"/>
    <x v="28"/>
    <x v="0"/>
    <x v="2"/>
    <n v="11"/>
    <n v="0"/>
    <n v="0"/>
    <m/>
    <s v="71"/>
    <x v="1"/>
    <s v="6170055"/>
    <n v="9"/>
    <n v="11"/>
    <n v="1"/>
  </r>
  <r>
    <s v="COMM"/>
    <x v="10"/>
    <x v="28"/>
    <x v="0"/>
    <x v="2"/>
    <n v="11"/>
    <n v="0"/>
    <n v="0"/>
    <s v="W"/>
    <s v="11"/>
    <x v="11"/>
    <s v="6170055"/>
    <n v="9"/>
    <n v="22"/>
    <n v="2"/>
  </r>
  <r>
    <s v="COMM"/>
    <x v="10"/>
    <x v="28"/>
    <x v="0"/>
    <x v="2"/>
    <n v="12"/>
    <n v="0"/>
    <n v="0"/>
    <m/>
    <s v="10"/>
    <x v="14"/>
    <s v="6170028"/>
    <n v="9"/>
    <n v="12"/>
    <n v="1"/>
  </r>
  <r>
    <s v="COMM"/>
    <x v="10"/>
    <x v="28"/>
    <x v="0"/>
    <x v="2"/>
    <n v="12"/>
    <n v="0"/>
    <n v="0"/>
    <m/>
    <s v="13"/>
    <x v="15"/>
    <s v="6170040"/>
    <n v="9"/>
    <n v="12"/>
    <n v="1"/>
  </r>
  <r>
    <s v="COMM"/>
    <x v="10"/>
    <x v="28"/>
    <x v="0"/>
    <x v="2"/>
    <n v="12"/>
    <n v="0"/>
    <n v="0"/>
    <m/>
    <s v="11"/>
    <x v="11"/>
    <s v="6170055"/>
    <n v="9"/>
    <n v="36"/>
    <n v="3"/>
  </r>
  <r>
    <s v="COMM"/>
    <x v="10"/>
    <x v="28"/>
    <x v="0"/>
    <x v="2"/>
    <n v="12"/>
    <n v="0"/>
    <n v="0"/>
    <s v="W"/>
    <s v="11"/>
    <x v="11"/>
    <s v="6170055"/>
    <n v="9"/>
    <n v="84"/>
    <n v="7"/>
  </r>
  <r>
    <s v="COMM"/>
    <x v="10"/>
    <x v="28"/>
    <x v="0"/>
    <x v="2"/>
    <n v="13"/>
    <n v="0"/>
    <n v="0"/>
    <m/>
    <s v="1C"/>
    <x v="6"/>
    <s v="6080004"/>
    <n v="4"/>
    <n v="13"/>
    <n v="1"/>
  </r>
  <r>
    <s v="COMM"/>
    <x v="10"/>
    <x v="28"/>
    <x v="0"/>
    <x v="2"/>
    <n v="13"/>
    <n v="0"/>
    <n v="0"/>
    <m/>
    <s v="7C"/>
    <x v="19"/>
    <s v="6080004"/>
    <n v="4"/>
    <n v="13"/>
    <n v="1"/>
  </r>
  <r>
    <s v="COMM"/>
    <x v="10"/>
    <x v="28"/>
    <x v="0"/>
    <x v="2"/>
    <n v="13"/>
    <n v="0"/>
    <n v="0"/>
    <m/>
    <s v="10"/>
    <x v="14"/>
    <s v="6170028"/>
    <n v="9"/>
    <n v="13"/>
    <n v="1"/>
  </r>
  <r>
    <s v="COMM"/>
    <x v="10"/>
    <x v="28"/>
    <x v="0"/>
    <x v="2"/>
    <n v="14"/>
    <n v="0"/>
    <n v="0"/>
    <m/>
    <s v="72"/>
    <x v="21"/>
    <s v="6170040"/>
    <n v="9"/>
    <n v="14"/>
    <n v="1"/>
  </r>
  <r>
    <s v="COMM"/>
    <x v="10"/>
    <x v="28"/>
    <x v="0"/>
    <x v="2"/>
    <n v="14"/>
    <n v="0"/>
    <n v="0"/>
    <m/>
    <s v="11"/>
    <x v="11"/>
    <s v="6170055"/>
    <n v="9"/>
    <n v="14"/>
    <n v="1"/>
  </r>
  <r>
    <s v="COMM"/>
    <x v="10"/>
    <x v="28"/>
    <x v="0"/>
    <x v="2"/>
    <n v="14"/>
    <n v="0"/>
    <n v="0"/>
    <s v="W"/>
    <s v="11"/>
    <x v="11"/>
    <s v="6170055"/>
    <n v="9"/>
    <n v="14"/>
    <n v="1"/>
  </r>
  <r>
    <s v="COMM"/>
    <x v="10"/>
    <x v="28"/>
    <x v="0"/>
    <x v="2"/>
    <n v="15"/>
    <n v="0"/>
    <n v="0"/>
    <m/>
    <s v="1C"/>
    <x v="6"/>
    <s v="6080004"/>
    <n v="4"/>
    <n v="15"/>
    <n v="1"/>
  </r>
  <r>
    <s v="COMM"/>
    <x v="10"/>
    <x v="28"/>
    <x v="0"/>
    <x v="2"/>
    <n v="15"/>
    <n v="0"/>
    <n v="0"/>
    <m/>
    <s v="10"/>
    <x v="14"/>
    <s v="6170028"/>
    <n v="9"/>
    <n v="15"/>
    <n v="1"/>
  </r>
  <r>
    <s v="COMM"/>
    <x v="10"/>
    <x v="28"/>
    <x v="0"/>
    <x v="2"/>
    <n v="15"/>
    <n v="0"/>
    <n v="0"/>
    <m/>
    <s v="11"/>
    <x v="11"/>
    <s v="6170055"/>
    <n v="9"/>
    <n v="60"/>
    <n v="4"/>
  </r>
  <r>
    <s v="COMM"/>
    <x v="10"/>
    <x v="28"/>
    <x v="0"/>
    <x v="2"/>
    <n v="15"/>
    <n v="0"/>
    <n v="0"/>
    <m/>
    <s v="71"/>
    <x v="1"/>
    <s v="6170055"/>
    <n v="9"/>
    <n v="15"/>
    <n v="1"/>
  </r>
  <r>
    <s v="COMM"/>
    <x v="10"/>
    <x v="28"/>
    <x v="0"/>
    <x v="2"/>
    <n v="15"/>
    <n v="0"/>
    <n v="0"/>
    <s v="W"/>
    <s v="11"/>
    <x v="11"/>
    <s v="6170055"/>
    <n v="9"/>
    <n v="30"/>
    <n v="2"/>
  </r>
  <r>
    <s v="COMM"/>
    <x v="10"/>
    <x v="28"/>
    <x v="0"/>
    <x v="2"/>
    <n v="16"/>
    <n v="0"/>
    <n v="0"/>
    <m/>
    <s v="10"/>
    <x v="14"/>
    <s v="6170028"/>
    <n v="9"/>
    <n v="32"/>
    <n v="2"/>
  </r>
  <r>
    <s v="COMM"/>
    <x v="10"/>
    <x v="28"/>
    <x v="0"/>
    <x v="2"/>
    <n v="16"/>
    <n v="0"/>
    <n v="0"/>
    <m/>
    <s v="11"/>
    <x v="11"/>
    <s v="6170055"/>
    <n v="9"/>
    <n v="80"/>
    <n v="5"/>
  </r>
  <r>
    <s v="COMM"/>
    <x v="10"/>
    <x v="28"/>
    <x v="0"/>
    <x v="2"/>
    <n v="16"/>
    <n v="0"/>
    <n v="0"/>
    <m/>
    <s v="71"/>
    <x v="1"/>
    <s v="6170055"/>
    <n v="9"/>
    <n v="16"/>
    <n v="1"/>
  </r>
  <r>
    <s v="COMM"/>
    <x v="10"/>
    <x v="28"/>
    <x v="0"/>
    <x v="2"/>
    <n v="17"/>
    <n v="0"/>
    <n v="0"/>
    <m/>
    <s v="10"/>
    <x v="14"/>
    <s v="6170028"/>
    <n v="9"/>
    <n v="34"/>
    <n v="2"/>
  </r>
  <r>
    <s v="COMM"/>
    <x v="10"/>
    <x v="28"/>
    <x v="0"/>
    <x v="2"/>
    <n v="17"/>
    <n v="0"/>
    <n v="0"/>
    <m/>
    <s v="11"/>
    <x v="11"/>
    <s v="6170055"/>
    <n v="9"/>
    <n v="17"/>
    <n v="1"/>
  </r>
  <r>
    <s v="COMM"/>
    <x v="10"/>
    <x v="28"/>
    <x v="0"/>
    <x v="2"/>
    <n v="17"/>
    <n v="0"/>
    <n v="0"/>
    <s v="W"/>
    <s v="11"/>
    <x v="11"/>
    <s v="6170055"/>
    <n v="9"/>
    <n v="34"/>
    <n v="2"/>
  </r>
  <r>
    <s v="COMM"/>
    <x v="10"/>
    <x v="28"/>
    <x v="0"/>
    <x v="2"/>
    <n v="18"/>
    <n v="0"/>
    <n v="0"/>
    <m/>
    <s v="75"/>
    <x v="22"/>
    <s v="6170015"/>
    <n v="9"/>
    <n v="18"/>
    <n v="1"/>
  </r>
  <r>
    <s v="COMM"/>
    <x v="10"/>
    <x v="28"/>
    <x v="0"/>
    <x v="2"/>
    <n v="18"/>
    <n v="0"/>
    <n v="0"/>
    <m/>
    <s v="10"/>
    <x v="14"/>
    <s v="6170028"/>
    <n v="9"/>
    <n v="36"/>
    <n v="2"/>
  </r>
  <r>
    <s v="COMM"/>
    <x v="10"/>
    <x v="28"/>
    <x v="0"/>
    <x v="2"/>
    <n v="18"/>
    <n v="0"/>
    <n v="0"/>
    <m/>
    <s v="11"/>
    <x v="11"/>
    <s v="6170055"/>
    <n v="9"/>
    <n v="54"/>
    <n v="3"/>
  </r>
  <r>
    <s v="COMM"/>
    <x v="10"/>
    <x v="28"/>
    <x v="0"/>
    <x v="2"/>
    <n v="18"/>
    <n v="0"/>
    <n v="0"/>
    <s v="W"/>
    <s v="11"/>
    <x v="11"/>
    <s v="6170055"/>
    <n v="9"/>
    <n v="108"/>
    <n v="6"/>
  </r>
  <r>
    <s v="COMM"/>
    <x v="10"/>
    <x v="28"/>
    <x v="0"/>
    <x v="2"/>
    <n v="19"/>
    <n v="0"/>
    <n v="0"/>
    <m/>
    <s v="10"/>
    <x v="14"/>
    <s v="6170028"/>
    <n v="9"/>
    <n v="19"/>
    <n v="1"/>
  </r>
  <r>
    <s v="COMM"/>
    <x v="10"/>
    <x v="28"/>
    <x v="0"/>
    <x v="2"/>
    <n v="19"/>
    <n v="0"/>
    <n v="0"/>
    <m/>
    <s v="11"/>
    <x v="11"/>
    <s v="6170055"/>
    <n v="9"/>
    <n v="19"/>
    <n v="1"/>
  </r>
  <r>
    <s v="COMM"/>
    <x v="10"/>
    <x v="28"/>
    <x v="0"/>
    <x v="2"/>
    <n v="20"/>
    <n v="0"/>
    <n v="0"/>
    <m/>
    <s v="1C"/>
    <x v="6"/>
    <s v="6080004"/>
    <n v="4"/>
    <n v="20"/>
    <n v="1"/>
  </r>
  <r>
    <s v="COMM"/>
    <x v="10"/>
    <x v="28"/>
    <x v="0"/>
    <x v="2"/>
    <n v="20"/>
    <n v="0"/>
    <n v="0"/>
    <m/>
    <s v="72"/>
    <x v="21"/>
    <s v="6170004"/>
    <n v="9"/>
    <n v="20"/>
    <n v="1"/>
  </r>
  <r>
    <s v="COMM"/>
    <x v="10"/>
    <x v="28"/>
    <x v="0"/>
    <x v="2"/>
    <n v="20"/>
    <n v="0"/>
    <n v="0"/>
    <m/>
    <s v="11"/>
    <x v="11"/>
    <s v="6170055"/>
    <n v="9"/>
    <n v="80"/>
    <n v="4"/>
  </r>
  <r>
    <s v="COMM"/>
    <x v="10"/>
    <x v="28"/>
    <x v="0"/>
    <x v="2"/>
    <n v="20"/>
    <n v="0"/>
    <n v="0"/>
    <m/>
    <s v="71"/>
    <x v="1"/>
    <s v="6170055"/>
    <n v="9"/>
    <n v="20"/>
    <n v="1"/>
  </r>
  <r>
    <s v="COMM"/>
    <x v="10"/>
    <x v="28"/>
    <x v="0"/>
    <x v="2"/>
    <n v="20"/>
    <n v="0"/>
    <n v="0"/>
    <s v="W"/>
    <s v="11"/>
    <x v="11"/>
    <s v="6170055"/>
    <n v="9"/>
    <n v="100"/>
    <n v="5"/>
  </r>
  <r>
    <s v="COMM"/>
    <x v="10"/>
    <x v="28"/>
    <x v="0"/>
    <x v="2"/>
    <n v="21"/>
    <n v="0"/>
    <n v="0"/>
    <m/>
    <s v="72"/>
    <x v="21"/>
    <s v="6170004"/>
    <n v="9"/>
    <n v="21"/>
    <n v="1"/>
  </r>
  <r>
    <s v="COMM"/>
    <x v="10"/>
    <x v="28"/>
    <x v="0"/>
    <x v="2"/>
    <n v="21"/>
    <n v="0"/>
    <n v="0"/>
    <m/>
    <s v="10"/>
    <x v="14"/>
    <s v="6170028"/>
    <n v="9"/>
    <n v="21"/>
    <n v="1"/>
  </r>
  <r>
    <s v="COMM"/>
    <x v="10"/>
    <x v="28"/>
    <x v="0"/>
    <x v="2"/>
    <n v="21"/>
    <n v="0"/>
    <n v="0"/>
    <m/>
    <s v="73"/>
    <x v="18"/>
    <s v="6170055"/>
    <n v="9"/>
    <n v="21"/>
    <n v="1"/>
  </r>
  <r>
    <s v="COMM"/>
    <x v="10"/>
    <x v="28"/>
    <x v="0"/>
    <x v="2"/>
    <n v="21"/>
    <n v="0"/>
    <n v="0"/>
    <s v="W"/>
    <s v="11"/>
    <x v="11"/>
    <s v="6170055"/>
    <n v="9"/>
    <n v="42"/>
    <n v="2"/>
  </r>
  <r>
    <s v="COMM"/>
    <x v="10"/>
    <x v="28"/>
    <x v="0"/>
    <x v="2"/>
    <n v="22"/>
    <n v="0"/>
    <n v="0"/>
    <m/>
    <s v="13"/>
    <x v="15"/>
    <s v="6170040"/>
    <n v="9"/>
    <n v="22"/>
    <n v="1"/>
  </r>
  <r>
    <s v="COMM"/>
    <x v="10"/>
    <x v="28"/>
    <x v="0"/>
    <x v="2"/>
    <n v="22"/>
    <n v="0"/>
    <n v="0"/>
    <m/>
    <s v="11"/>
    <x v="11"/>
    <s v="6170055"/>
    <n v="9"/>
    <n v="44"/>
    <n v="2"/>
  </r>
  <r>
    <s v="COMM"/>
    <x v="10"/>
    <x v="28"/>
    <x v="0"/>
    <x v="2"/>
    <n v="22"/>
    <n v="0"/>
    <n v="0"/>
    <s v="W"/>
    <s v="11"/>
    <x v="11"/>
    <s v="6170055"/>
    <n v="9"/>
    <n v="66"/>
    <n v="3"/>
  </r>
  <r>
    <s v="COMM"/>
    <x v="10"/>
    <x v="28"/>
    <x v="0"/>
    <x v="2"/>
    <n v="23"/>
    <n v="0"/>
    <n v="0"/>
    <m/>
    <s v="12"/>
    <x v="10"/>
    <s v="6170004"/>
    <n v="9"/>
    <n v="23"/>
    <n v="1"/>
  </r>
  <r>
    <s v="COMM"/>
    <x v="10"/>
    <x v="28"/>
    <x v="0"/>
    <x v="2"/>
    <n v="23"/>
    <n v="0"/>
    <n v="0"/>
    <m/>
    <s v="73"/>
    <x v="18"/>
    <s v="6170040"/>
    <n v="9"/>
    <n v="46"/>
    <n v="2"/>
  </r>
  <r>
    <s v="COMM"/>
    <x v="10"/>
    <x v="28"/>
    <x v="0"/>
    <x v="2"/>
    <n v="23"/>
    <n v="0"/>
    <n v="0"/>
    <m/>
    <s v="13"/>
    <x v="15"/>
    <s v="6170040"/>
    <n v="9"/>
    <n v="23"/>
    <n v="1"/>
  </r>
  <r>
    <s v="COMM"/>
    <x v="10"/>
    <x v="28"/>
    <x v="0"/>
    <x v="2"/>
    <n v="23"/>
    <n v="0"/>
    <n v="0"/>
    <s v="W"/>
    <s v="11"/>
    <x v="11"/>
    <s v="6170055"/>
    <n v="9"/>
    <n v="46"/>
    <n v="2"/>
  </r>
  <r>
    <s v="COMM"/>
    <x v="10"/>
    <x v="28"/>
    <x v="0"/>
    <x v="2"/>
    <n v="24"/>
    <n v="0"/>
    <n v="0"/>
    <m/>
    <s v="10"/>
    <x v="14"/>
    <s v="6170028"/>
    <n v="9"/>
    <n v="72"/>
    <n v="3"/>
  </r>
  <r>
    <s v="COMM"/>
    <x v="10"/>
    <x v="28"/>
    <x v="0"/>
    <x v="2"/>
    <n v="24"/>
    <n v="0"/>
    <n v="0"/>
    <m/>
    <s v="11"/>
    <x v="11"/>
    <s v="6170055"/>
    <n v="9"/>
    <n v="72"/>
    <n v="3"/>
  </r>
  <r>
    <s v="COMM"/>
    <x v="10"/>
    <x v="28"/>
    <x v="0"/>
    <x v="2"/>
    <n v="24"/>
    <n v="0"/>
    <n v="0"/>
    <m/>
    <s v="71"/>
    <x v="1"/>
    <s v="6170055"/>
    <n v="9"/>
    <n v="24"/>
    <n v="1"/>
  </r>
  <r>
    <s v="COMM"/>
    <x v="10"/>
    <x v="28"/>
    <x v="0"/>
    <x v="2"/>
    <n v="24"/>
    <n v="0"/>
    <n v="0"/>
    <s v="W"/>
    <s v="11"/>
    <x v="11"/>
    <s v="6170055"/>
    <n v="9"/>
    <n v="216"/>
    <n v="9"/>
  </r>
  <r>
    <s v="COMM"/>
    <x v="10"/>
    <x v="28"/>
    <x v="0"/>
    <x v="2"/>
    <n v="25"/>
    <n v="0"/>
    <n v="0"/>
    <m/>
    <s v="12"/>
    <x v="10"/>
    <s v="6170004"/>
    <n v="9"/>
    <n v="25"/>
    <n v="1"/>
  </r>
  <r>
    <s v="COMM"/>
    <x v="10"/>
    <x v="28"/>
    <x v="0"/>
    <x v="2"/>
    <n v="25"/>
    <n v="0"/>
    <n v="0"/>
    <m/>
    <s v="13"/>
    <x v="15"/>
    <s v="6170040"/>
    <n v="9"/>
    <n v="75"/>
    <n v="3"/>
  </r>
  <r>
    <s v="COMM"/>
    <x v="10"/>
    <x v="28"/>
    <x v="0"/>
    <x v="2"/>
    <n v="25"/>
    <n v="0"/>
    <n v="0"/>
    <m/>
    <s v="11"/>
    <x v="11"/>
    <s v="6170055"/>
    <n v="9"/>
    <n v="25"/>
    <n v="1"/>
  </r>
  <r>
    <s v="COMM"/>
    <x v="10"/>
    <x v="28"/>
    <x v="0"/>
    <x v="2"/>
    <n v="25"/>
    <n v="0"/>
    <n v="0"/>
    <s v="W"/>
    <s v="11"/>
    <x v="11"/>
    <s v="6170055"/>
    <n v="9"/>
    <n v="25"/>
    <n v="1"/>
  </r>
  <r>
    <s v="COMM"/>
    <x v="10"/>
    <x v="28"/>
    <x v="0"/>
    <x v="2"/>
    <n v="26"/>
    <n v="0"/>
    <n v="0"/>
    <m/>
    <s v="10"/>
    <x v="14"/>
    <s v="6170028"/>
    <n v="9"/>
    <n v="26"/>
    <n v="1"/>
  </r>
  <r>
    <s v="COMM"/>
    <x v="10"/>
    <x v="28"/>
    <x v="0"/>
    <x v="2"/>
    <n v="26"/>
    <n v="0"/>
    <n v="0"/>
    <m/>
    <s v="11"/>
    <x v="11"/>
    <s v="6170055"/>
    <n v="9"/>
    <n v="52"/>
    <n v="2"/>
  </r>
  <r>
    <s v="COMM"/>
    <x v="10"/>
    <x v="28"/>
    <x v="0"/>
    <x v="2"/>
    <n v="26"/>
    <n v="0"/>
    <n v="0"/>
    <s v="W"/>
    <s v="11"/>
    <x v="11"/>
    <s v="6170055"/>
    <n v="9"/>
    <n v="26"/>
    <n v="1"/>
  </r>
  <r>
    <s v="COMM"/>
    <x v="10"/>
    <x v="28"/>
    <x v="0"/>
    <x v="2"/>
    <n v="27"/>
    <n v="0"/>
    <n v="0"/>
    <m/>
    <s v="70"/>
    <x v="17"/>
    <s v="6170028"/>
    <n v="9"/>
    <n v="27"/>
    <n v="1"/>
  </r>
  <r>
    <s v="COMM"/>
    <x v="10"/>
    <x v="28"/>
    <x v="0"/>
    <x v="2"/>
    <n v="27"/>
    <n v="0"/>
    <n v="0"/>
    <m/>
    <s v="73"/>
    <x v="18"/>
    <s v="6170040"/>
    <n v="9"/>
    <n v="27"/>
    <n v="1"/>
  </r>
  <r>
    <s v="COMM"/>
    <x v="10"/>
    <x v="28"/>
    <x v="0"/>
    <x v="2"/>
    <n v="27"/>
    <n v="0"/>
    <n v="0"/>
    <m/>
    <s v="11"/>
    <x v="11"/>
    <s v="6170055"/>
    <n v="9"/>
    <n v="27"/>
    <n v="1"/>
  </r>
  <r>
    <s v="COMM"/>
    <x v="10"/>
    <x v="28"/>
    <x v="0"/>
    <x v="2"/>
    <n v="27"/>
    <n v="0"/>
    <n v="0"/>
    <s v="W"/>
    <s v="11"/>
    <x v="11"/>
    <s v="6170055"/>
    <n v="9"/>
    <n v="27"/>
    <n v="1"/>
  </r>
  <r>
    <s v="COMM"/>
    <x v="10"/>
    <x v="28"/>
    <x v="0"/>
    <x v="2"/>
    <n v="28"/>
    <n v="0"/>
    <n v="0"/>
    <m/>
    <s v="1C"/>
    <x v="6"/>
    <s v="6080004"/>
    <n v="4"/>
    <n v="28"/>
    <n v="1"/>
  </r>
  <r>
    <s v="COMM"/>
    <x v="10"/>
    <x v="28"/>
    <x v="0"/>
    <x v="2"/>
    <n v="28"/>
    <n v="0"/>
    <n v="0"/>
    <m/>
    <s v="7C"/>
    <x v="19"/>
    <s v="6080004"/>
    <n v="4"/>
    <n v="28"/>
    <n v="1"/>
  </r>
  <r>
    <s v="COMM"/>
    <x v="10"/>
    <x v="28"/>
    <x v="0"/>
    <x v="2"/>
    <n v="28"/>
    <n v="0"/>
    <n v="0"/>
    <m/>
    <s v="7B"/>
    <x v="20"/>
    <s v="6080060"/>
    <n v="6"/>
    <n v="28"/>
    <n v="1"/>
  </r>
  <r>
    <s v="COMM"/>
    <x v="10"/>
    <x v="28"/>
    <x v="0"/>
    <x v="2"/>
    <n v="28"/>
    <n v="0"/>
    <n v="0"/>
    <m/>
    <s v="10"/>
    <x v="14"/>
    <s v="6170028"/>
    <n v="9"/>
    <n v="56"/>
    <n v="2"/>
  </r>
  <r>
    <s v="COMM"/>
    <x v="10"/>
    <x v="28"/>
    <x v="0"/>
    <x v="2"/>
    <n v="28"/>
    <n v="0"/>
    <n v="0"/>
    <s v="W"/>
    <s v="11"/>
    <x v="11"/>
    <s v="6170055"/>
    <n v="9"/>
    <n v="84"/>
    <n v="3"/>
  </r>
  <r>
    <s v="COMM"/>
    <x v="10"/>
    <x v="28"/>
    <x v="0"/>
    <x v="2"/>
    <n v="29"/>
    <n v="0"/>
    <n v="0"/>
    <m/>
    <s v="11"/>
    <x v="11"/>
    <s v="6170055"/>
    <n v="9"/>
    <n v="29"/>
    <n v="1"/>
  </r>
  <r>
    <s v="COMM"/>
    <x v="10"/>
    <x v="28"/>
    <x v="0"/>
    <x v="2"/>
    <n v="30"/>
    <n v="0"/>
    <n v="0"/>
    <m/>
    <s v="72"/>
    <x v="21"/>
    <s v="6170004"/>
    <n v="9"/>
    <n v="30"/>
    <n v="1"/>
  </r>
  <r>
    <s v="COMM"/>
    <x v="10"/>
    <x v="28"/>
    <x v="0"/>
    <x v="2"/>
    <n v="30"/>
    <n v="0"/>
    <n v="0"/>
    <m/>
    <s v="10"/>
    <x v="14"/>
    <s v="6170028"/>
    <n v="9"/>
    <n v="90"/>
    <n v="3"/>
  </r>
  <r>
    <s v="COMM"/>
    <x v="10"/>
    <x v="28"/>
    <x v="0"/>
    <x v="2"/>
    <n v="30"/>
    <n v="0"/>
    <n v="0"/>
    <m/>
    <s v="11"/>
    <x v="11"/>
    <s v="6170055"/>
    <n v="9"/>
    <n v="150"/>
    <n v="5"/>
  </r>
  <r>
    <s v="COMM"/>
    <x v="10"/>
    <x v="28"/>
    <x v="0"/>
    <x v="2"/>
    <n v="30"/>
    <n v="0"/>
    <n v="0"/>
    <s v="W"/>
    <s v="11"/>
    <x v="11"/>
    <s v="6170055"/>
    <n v="9"/>
    <n v="120"/>
    <n v="4"/>
  </r>
  <r>
    <s v="COMM"/>
    <x v="10"/>
    <x v="28"/>
    <x v="0"/>
    <x v="2"/>
    <n v="31"/>
    <n v="0"/>
    <n v="0"/>
    <m/>
    <s v="11"/>
    <x v="11"/>
    <s v="6170055"/>
    <n v="9"/>
    <n v="31"/>
    <n v="1"/>
  </r>
  <r>
    <s v="COMM"/>
    <x v="10"/>
    <x v="28"/>
    <x v="0"/>
    <x v="2"/>
    <n v="31"/>
    <n v="0"/>
    <n v="0"/>
    <m/>
    <s v="71"/>
    <x v="1"/>
    <s v="6170055"/>
    <n v="9"/>
    <n v="31"/>
    <n v="1"/>
  </r>
  <r>
    <s v="COMM"/>
    <x v="10"/>
    <x v="28"/>
    <x v="0"/>
    <x v="2"/>
    <n v="32"/>
    <n v="0"/>
    <n v="0"/>
    <m/>
    <s v="10"/>
    <x v="14"/>
    <s v="6170028"/>
    <n v="9"/>
    <n v="32"/>
    <n v="1"/>
  </r>
  <r>
    <s v="COMM"/>
    <x v="10"/>
    <x v="28"/>
    <x v="0"/>
    <x v="2"/>
    <n v="32"/>
    <n v="0"/>
    <n v="0"/>
    <m/>
    <s v="73"/>
    <x v="18"/>
    <s v="6170040"/>
    <n v="9"/>
    <n v="32"/>
    <n v="1"/>
  </r>
  <r>
    <s v="COMM"/>
    <x v="10"/>
    <x v="28"/>
    <x v="0"/>
    <x v="2"/>
    <n v="32"/>
    <n v="0"/>
    <n v="0"/>
    <m/>
    <s v="71"/>
    <x v="1"/>
    <s v="6170055"/>
    <n v="9"/>
    <n v="32"/>
    <n v="1"/>
  </r>
  <r>
    <s v="COMM"/>
    <x v="10"/>
    <x v="28"/>
    <x v="0"/>
    <x v="2"/>
    <n v="32"/>
    <n v="0"/>
    <n v="0"/>
    <m/>
    <s v="11"/>
    <x v="11"/>
    <s v="6170055"/>
    <n v="9"/>
    <n v="96"/>
    <n v="3"/>
  </r>
  <r>
    <s v="COMM"/>
    <x v="10"/>
    <x v="28"/>
    <x v="0"/>
    <x v="2"/>
    <n v="32"/>
    <n v="0"/>
    <n v="0"/>
    <s v="W"/>
    <s v="11"/>
    <x v="11"/>
    <s v="6170055"/>
    <n v="9"/>
    <n v="128"/>
    <n v="4"/>
  </r>
  <r>
    <s v="COMM"/>
    <x v="10"/>
    <x v="28"/>
    <x v="0"/>
    <x v="2"/>
    <n v="33"/>
    <n v="0"/>
    <n v="0"/>
    <m/>
    <s v="10"/>
    <x v="14"/>
    <s v="6170028"/>
    <n v="9"/>
    <n v="33"/>
    <n v="1"/>
  </r>
  <r>
    <s v="COMM"/>
    <x v="10"/>
    <x v="28"/>
    <x v="0"/>
    <x v="2"/>
    <n v="33"/>
    <n v="0"/>
    <n v="0"/>
    <m/>
    <s v="70"/>
    <x v="17"/>
    <s v="6170028"/>
    <n v="9"/>
    <n v="33"/>
    <n v="1"/>
  </r>
  <r>
    <s v="COMM"/>
    <x v="10"/>
    <x v="28"/>
    <x v="0"/>
    <x v="2"/>
    <n v="33"/>
    <n v="0"/>
    <n v="0"/>
    <m/>
    <s v="11"/>
    <x v="11"/>
    <s v="6170055"/>
    <n v="9"/>
    <n v="33"/>
    <n v="1"/>
  </r>
  <r>
    <s v="COMM"/>
    <x v="10"/>
    <x v="28"/>
    <x v="0"/>
    <x v="2"/>
    <n v="33"/>
    <n v="0"/>
    <n v="0"/>
    <m/>
    <s v="71"/>
    <x v="1"/>
    <s v="6170055"/>
    <n v="9"/>
    <n v="33"/>
    <n v="1"/>
  </r>
  <r>
    <s v="COMM"/>
    <x v="10"/>
    <x v="28"/>
    <x v="0"/>
    <x v="2"/>
    <n v="33"/>
    <n v="0"/>
    <n v="0"/>
    <s v="W"/>
    <s v="11"/>
    <x v="11"/>
    <s v="6170055"/>
    <n v="9"/>
    <n v="33"/>
    <n v="1"/>
  </r>
  <r>
    <s v="COMM"/>
    <x v="10"/>
    <x v="28"/>
    <x v="0"/>
    <x v="2"/>
    <n v="34"/>
    <n v="0"/>
    <n v="0"/>
    <m/>
    <s v="1C"/>
    <x v="6"/>
    <s v="6080004"/>
    <n v="4"/>
    <n v="34"/>
    <n v="1"/>
  </r>
  <r>
    <s v="COMM"/>
    <x v="10"/>
    <x v="28"/>
    <x v="0"/>
    <x v="2"/>
    <n v="34"/>
    <n v="0"/>
    <n v="0"/>
    <m/>
    <s v="10"/>
    <x v="14"/>
    <s v="6170028"/>
    <n v="9"/>
    <n v="34"/>
    <n v="1"/>
  </r>
  <r>
    <s v="COMM"/>
    <x v="10"/>
    <x v="28"/>
    <x v="0"/>
    <x v="2"/>
    <n v="34"/>
    <n v="0"/>
    <n v="0"/>
    <m/>
    <s v="11"/>
    <x v="11"/>
    <s v="6170055"/>
    <n v="9"/>
    <n v="68"/>
    <n v="2"/>
  </r>
  <r>
    <s v="COMM"/>
    <x v="10"/>
    <x v="28"/>
    <x v="0"/>
    <x v="2"/>
    <n v="35"/>
    <n v="0"/>
    <n v="0"/>
    <m/>
    <s v="13"/>
    <x v="15"/>
    <s v="6170040"/>
    <n v="9"/>
    <n v="70"/>
    <n v="2"/>
  </r>
  <r>
    <s v="COMM"/>
    <x v="10"/>
    <x v="28"/>
    <x v="0"/>
    <x v="2"/>
    <n v="36"/>
    <n v="0"/>
    <n v="0"/>
    <m/>
    <s v="75"/>
    <x v="22"/>
    <s v="6170015"/>
    <n v="9"/>
    <n v="36"/>
    <n v="1"/>
  </r>
  <r>
    <s v="COMM"/>
    <x v="10"/>
    <x v="28"/>
    <x v="0"/>
    <x v="2"/>
    <n v="36"/>
    <n v="0"/>
    <n v="0"/>
    <m/>
    <s v="73"/>
    <x v="18"/>
    <s v="6170040"/>
    <n v="9"/>
    <n v="36"/>
    <n v="1"/>
  </r>
  <r>
    <s v="COMM"/>
    <x v="10"/>
    <x v="28"/>
    <x v="0"/>
    <x v="2"/>
    <n v="36"/>
    <n v="0"/>
    <n v="0"/>
    <m/>
    <s v="11"/>
    <x v="11"/>
    <s v="6170055"/>
    <n v="9"/>
    <n v="36"/>
    <n v="1"/>
  </r>
  <r>
    <s v="COMM"/>
    <x v="10"/>
    <x v="28"/>
    <x v="0"/>
    <x v="2"/>
    <n v="36"/>
    <n v="0"/>
    <n v="0"/>
    <s v="W"/>
    <s v="11"/>
    <x v="11"/>
    <s v="6170055"/>
    <n v="9"/>
    <n v="72"/>
    <n v="2"/>
  </r>
  <r>
    <s v="COMM"/>
    <x v="10"/>
    <x v="28"/>
    <x v="0"/>
    <x v="2"/>
    <n v="37"/>
    <n v="0"/>
    <n v="0"/>
    <m/>
    <s v="10"/>
    <x v="14"/>
    <s v="6170028"/>
    <n v="9"/>
    <n v="37"/>
    <n v="1"/>
  </r>
  <r>
    <s v="COMM"/>
    <x v="10"/>
    <x v="28"/>
    <x v="0"/>
    <x v="2"/>
    <n v="38"/>
    <n v="0"/>
    <n v="0"/>
    <m/>
    <s v="71"/>
    <x v="1"/>
    <s v="6170055"/>
    <n v="9"/>
    <n v="76"/>
    <n v="2"/>
  </r>
  <r>
    <s v="COMM"/>
    <x v="10"/>
    <x v="28"/>
    <x v="0"/>
    <x v="2"/>
    <n v="38"/>
    <n v="0"/>
    <n v="0"/>
    <s v="W"/>
    <s v="11"/>
    <x v="11"/>
    <s v="6170055"/>
    <n v="9"/>
    <n v="38"/>
    <n v="1"/>
  </r>
  <r>
    <s v="COMM"/>
    <x v="10"/>
    <x v="28"/>
    <x v="0"/>
    <x v="2"/>
    <n v="39"/>
    <n v="0"/>
    <n v="0"/>
    <m/>
    <s v="11"/>
    <x v="11"/>
    <s v="6170055"/>
    <n v="9"/>
    <n v="39"/>
    <n v="1"/>
  </r>
  <r>
    <s v="COMM"/>
    <x v="10"/>
    <x v="28"/>
    <x v="0"/>
    <x v="2"/>
    <n v="39"/>
    <n v="0"/>
    <n v="0"/>
    <s v="W"/>
    <s v="11"/>
    <x v="11"/>
    <s v="6170055"/>
    <n v="9"/>
    <n v="39"/>
    <n v="1"/>
  </r>
  <r>
    <s v="COMM"/>
    <x v="10"/>
    <x v="28"/>
    <x v="0"/>
    <x v="2"/>
    <n v="40"/>
    <n v="0"/>
    <n v="0"/>
    <m/>
    <s v="1C"/>
    <x v="6"/>
    <s v="6080004"/>
    <n v="4"/>
    <n v="40"/>
    <n v="1"/>
  </r>
  <r>
    <s v="COMM"/>
    <x v="10"/>
    <x v="28"/>
    <x v="0"/>
    <x v="2"/>
    <n v="40"/>
    <n v="0"/>
    <n v="0"/>
    <m/>
    <s v="13"/>
    <x v="15"/>
    <s v="6170040"/>
    <n v="9"/>
    <n v="40"/>
    <n v="1"/>
  </r>
  <r>
    <s v="COMM"/>
    <x v="10"/>
    <x v="28"/>
    <x v="0"/>
    <x v="2"/>
    <n v="40"/>
    <n v="0"/>
    <n v="0"/>
    <m/>
    <s v="11"/>
    <x v="11"/>
    <s v="6170055"/>
    <n v="9"/>
    <n v="160"/>
    <n v="4"/>
  </r>
  <r>
    <s v="COMM"/>
    <x v="10"/>
    <x v="28"/>
    <x v="0"/>
    <x v="2"/>
    <n v="40"/>
    <n v="0"/>
    <n v="0"/>
    <m/>
    <s v="71"/>
    <x v="1"/>
    <s v="6170055"/>
    <n v="9"/>
    <n v="40"/>
    <n v="1"/>
  </r>
  <r>
    <s v="COMM"/>
    <x v="10"/>
    <x v="28"/>
    <x v="0"/>
    <x v="2"/>
    <n v="40"/>
    <n v="0"/>
    <n v="0"/>
    <s v="W"/>
    <s v="11"/>
    <x v="11"/>
    <s v="6170055"/>
    <n v="9"/>
    <n v="280"/>
    <n v="7"/>
  </r>
  <r>
    <s v="COMM"/>
    <x v="10"/>
    <x v="28"/>
    <x v="0"/>
    <x v="2"/>
    <n v="42"/>
    <n v="0"/>
    <n v="0"/>
    <m/>
    <s v="10"/>
    <x v="14"/>
    <s v="6170028"/>
    <n v="9"/>
    <n v="84"/>
    <n v="2"/>
  </r>
  <r>
    <s v="COMM"/>
    <x v="10"/>
    <x v="28"/>
    <x v="0"/>
    <x v="2"/>
    <n v="42"/>
    <n v="0"/>
    <n v="0"/>
    <m/>
    <s v="11"/>
    <x v="11"/>
    <s v="6170055"/>
    <n v="9"/>
    <n v="84"/>
    <n v="2"/>
  </r>
  <r>
    <s v="COMM"/>
    <x v="10"/>
    <x v="28"/>
    <x v="0"/>
    <x v="2"/>
    <n v="42"/>
    <n v="0"/>
    <n v="0"/>
    <s v="W"/>
    <s v="11"/>
    <x v="11"/>
    <s v="6170055"/>
    <n v="9"/>
    <n v="42"/>
    <n v="1"/>
  </r>
  <r>
    <s v="COMM"/>
    <x v="10"/>
    <x v="28"/>
    <x v="0"/>
    <x v="2"/>
    <n v="43"/>
    <n v="0"/>
    <n v="0"/>
    <s v="W"/>
    <s v="11"/>
    <x v="11"/>
    <s v="6170055"/>
    <n v="9"/>
    <n v="43"/>
    <n v="1"/>
  </r>
  <r>
    <s v="COMM"/>
    <x v="10"/>
    <x v="28"/>
    <x v="0"/>
    <x v="2"/>
    <n v="44"/>
    <n v="0"/>
    <n v="0"/>
    <m/>
    <s v="11"/>
    <x v="11"/>
    <s v="6170055"/>
    <n v="9"/>
    <n v="44"/>
    <n v="1"/>
  </r>
  <r>
    <s v="COMM"/>
    <x v="10"/>
    <x v="28"/>
    <x v="0"/>
    <x v="2"/>
    <n v="44"/>
    <n v="0"/>
    <n v="0"/>
    <s v="W"/>
    <s v="11"/>
    <x v="11"/>
    <s v="6170055"/>
    <n v="9"/>
    <n v="88"/>
    <n v="2"/>
  </r>
  <r>
    <s v="COMM"/>
    <x v="10"/>
    <x v="28"/>
    <x v="0"/>
    <x v="2"/>
    <n v="45"/>
    <n v="0"/>
    <n v="0"/>
    <s v="W"/>
    <s v="11"/>
    <x v="11"/>
    <s v="6170055"/>
    <n v="9"/>
    <n v="90"/>
    <n v="2"/>
  </r>
  <r>
    <s v="COMM"/>
    <x v="10"/>
    <x v="28"/>
    <x v="0"/>
    <x v="2"/>
    <n v="46"/>
    <n v="0"/>
    <n v="0"/>
    <m/>
    <s v="72"/>
    <x v="21"/>
    <s v="6170004"/>
    <n v="9"/>
    <n v="46"/>
    <n v="1"/>
  </r>
  <r>
    <s v="COMM"/>
    <x v="10"/>
    <x v="28"/>
    <x v="0"/>
    <x v="2"/>
    <n v="46"/>
    <n v="0"/>
    <n v="0"/>
    <m/>
    <s v="10"/>
    <x v="14"/>
    <s v="6170028"/>
    <n v="9"/>
    <n v="46"/>
    <n v="1"/>
  </r>
  <r>
    <s v="COMM"/>
    <x v="10"/>
    <x v="28"/>
    <x v="0"/>
    <x v="2"/>
    <n v="46"/>
    <n v="0"/>
    <n v="0"/>
    <m/>
    <s v="11"/>
    <x v="11"/>
    <s v="6170055"/>
    <n v="9"/>
    <n v="46"/>
    <n v="1"/>
  </r>
  <r>
    <s v="COMM"/>
    <x v="10"/>
    <x v="28"/>
    <x v="0"/>
    <x v="2"/>
    <n v="46"/>
    <n v="0"/>
    <n v="0"/>
    <s v="W"/>
    <s v="11"/>
    <x v="11"/>
    <s v="6170055"/>
    <n v="9"/>
    <n v="46"/>
    <n v="1"/>
  </r>
  <r>
    <s v="COMM"/>
    <x v="10"/>
    <x v="28"/>
    <x v="0"/>
    <x v="2"/>
    <n v="47"/>
    <n v="0"/>
    <n v="0"/>
    <m/>
    <s v="1B"/>
    <x v="14"/>
    <s v="6080060"/>
    <n v="6"/>
    <n v="47"/>
    <n v="1"/>
  </r>
  <r>
    <s v="COMM"/>
    <x v="10"/>
    <x v="28"/>
    <x v="0"/>
    <x v="2"/>
    <n v="47"/>
    <n v="0"/>
    <n v="0"/>
    <m/>
    <s v="10"/>
    <x v="14"/>
    <s v="6170028"/>
    <n v="9"/>
    <n v="47"/>
    <n v="1"/>
  </r>
  <r>
    <s v="COMM"/>
    <x v="10"/>
    <x v="28"/>
    <x v="0"/>
    <x v="2"/>
    <n v="47"/>
    <n v="0"/>
    <n v="0"/>
    <m/>
    <s v="11"/>
    <x v="11"/>
    <s v="6170055"/>
    <n v="9"/>
    <n v="47"/>
    <n v="1"/>
  </r>
  <r>
    <s v="COMM"/>
    <x v="10"/>
    <x v="28"/>
    <x v="0"/>
    <x v="2"/>
    <n v="48"/>
    <n v="0"/>
    <n v="0"/>
    <m/>
    <s v="1C"/>
    <x v="6"/>
    <s v="6080004"/>
    <n v="4"/>
    <n v="48"/>
    <n v="1"/>
  </r>
  <r>
    <s v="COMM"/>
    <x v="10"/>
    <x v="28"/>
    <x v="0"/>
    <x v="2"/>
    <n v="48"/>
    <n v="0"/>
    <n v="0"/>
    <m/>
    <s v="11"/>
    <x v="11"/>
    <s v="6170055"/>
    <n v="9"/>
    <n v="144"/>
    <n v="3"/>
  </r>
  <r>
    <s v="COMM"/>
    <x v="10"/>
    <x v="28"/>
    <x v="0"/>
    <x v="2"/>
    <n v="48"/>
    <n v="0"/>
    <n v="0"/>
    <s v="W"/>
    <s v="11"/>
    <x v="11"/>
    <s v="6170055"/>
    <n v="9"/>
    <n v="144"/>
    <n v="3"/>
  </r>
  <r>
    <s v="COMM"/>
    <x v="10"/>
    <x v="28"/>
    <x v="0"/>
    <x v="2"/>
    <n v="49"/>
    <n v="0"/>
    <n v="0"/>
    <m/>
    <s v="71"/>
    <x v="1"/>
    <s v="6170055"/>
    <n v="9"/>
    <n v="49"/>
    <n v="1"/>
  </r>
  <r>
    <s v="COMM"/>
    <x v="10"/>
    <x v="28"/>
    <x v="0"/>
    <x v="2"/>
    <n v="50"/>
    <n v="0"/>
    <n v="0"/>
    <m/>
    <s v="7B"/>
    <x v="20"/>
    <s v="6080060"/>
    <n v="6"/>
    <n v="50"/>
    <n v="1"/>
  </r>
  <r>
    <s v="COMM"/>
    <x v="10"/>
    <x v="28"/>
    <x v="0"/>
    <x v="2"/>
    <n v="50"/>
    <n v="0"/>
    <n v="0"/>
    <m/>
    <s v="12"/>
    <x v="10"/>
    <s v="6170004"/>
    <n v="9"/>
    <n v="50"/>
    <n v="1"/>
  </r>
  <r>
    <s v="COMM"/>
    <x v="10"/>
    <x v="28"/>
    <x v="0"/>
    <x v="2"/>
    <n v="50"/>
    <n v="0"/>
    <n v="0"/>
    <m/>
    <s v="11"/>
    <x v="11"/>
    <s v="6170055"/>
    <n v="9"/>
    <n v="50"/>
    <n v="1"/>
  </r>
  <r>
    <s v="COMM"/>
    <x v="10"/>
    <x v="28"/>
    <x v="0"/>
    <x v="2"/>
    <n v="50"/>
    <n v="0"/>
    <n v="0"/>
    <s v="W"/>
    <s v="11"/>
    <x v="11"/>
    <s v="6170055"/>
    <n v="9"/>
    <n v="50"/>
    <n v="1"/>
  </r>
  <r>
    <s v="COMM"/>
    <x v="10"/>
    <x v="28"/>
    <x v="0"/>
    <x v="2"/>
    <n v="51"/>
    <n v="0"/>
    <n v="0"/>
    <m/>
    <s v="10"/>
    <x v="14"/>
    <s v="6170028"/>
    <n v="9"/>
    <n v="51"/>
    <n v="1"/>
  </r>
  <r>
    <s v="COMM"/>
    <x v="10"/>
    <x v="28"/>
    <x v="0"/>
    <x v="2"/>
    <n v="51"/>
    <n v="0"/>
    <n v="0"/>
    <m/>
    <s v="11"/>
    <x v="11"/>
    <s v="6170055"/>
    <n v="9"/>
    <n v="255"/>
    <n v="5"/>
  </r>
  <r>
    <s v="COMM"/>
    <x v="10"/>
    <x v="28"/>
    <x v="0"/>
    <x v="2"/>
    <n v="52"/>
    <n v="0"/>
    <n v="0"/>
    <m/>
    <s v="7B"/>
    <x v="20"/>
    <s v="6080060"/>
    <n v="6"/>
    <n v="52"/>
    <n v="1"/>
  </r>
  <r>
    <s v="COMM"/>
    <x v="10"/>
    <x v="28"/>
    <x v="0"/>
    <x v="2"/>
    <n v="52"/>
    <n v="0"/>
    <n v="0"/>
    <m/>
    <s v="10"/>
    <x v="14"/>
    <s v="6170028"/>
    <n v="9"/>
    <n v="52"/>
    <n v="1"/>
  </r>
  <r>
    <s v="COMM"/>
    <x v="10"/>
    <x v="28"/>
    <x v="0"/>
    <x v="2"/>
    <n v="52"/>
    <n v="0"/>
    <n v="0"/>
    <m/>
    <s v="13"/>
    <x v="15"/>
    <s v="6170040"/>
    <n v="9"/>
    <n v="52"/>
    <n v="1"/>
  </r>
  <r>
    <s v="COMM"/>
    <x v="10"/>
    <x v="28"/>
    <x v="0"/>
    <x v="2"/>
    <n v="52"/>
    <n v="0"/>
    <n v="0"/>
    <m/>
    <s v="11"/>
    <x v="11"/>
    <s v="6170055"/>
    <n v="9"/>
    <n v="104"/>
    <n v="2"/>
  </r>
  <r>
    <s v="COMM"/>
    <x v="10"/>
    <x v="28"/>
    <x v="0"/>
    <x v="2"/>
    <n v="52"/>
    <n v="0"/>
    <n v="0"/>
    <s v="W"/>
    <s v="11"/>
    <x v="11"/>
    <s v="6170055"/>
    <n v="9"/>
    <n v="156"/>
    <n v="3"/>
  </r>
  <r>
    <s v="COMM"/>
    <x v="10"/>
    <x v="28"/>
    <x v="0"/>
    <x v="2"/>
    <n v="53"/>
    <n v="0"/>
    <n v="0"/>
    <m/>
    <s v="1A"/>
    <x v="13"/>
    <s v="6170022"/>
    <n v="9"/>
    <n v="53"/>
    <n v="1"/>
  </r>
  <r>
    <s v="COMM"/>
    <x v="10"/>
    <x v="28"/>
    <x v="0"/>
    <x v="2"/>
    <n v="53"/>
    <n v="0"/>
    <n v="0"/>
    <s v="W"/>
    <s v="11"/>
    <x v="11"/>
    <s v="6170055"/>
    <n v="9"/>
    <n v="53"/>
    <n v="1"/>
  </r>
  <r>
    <s v="COMM"/>
    <x v="10"/>
    <x v="28"/>
    <x v="0"/>
    <x v="2"/>
    <n v="54"/>
    <n v="0"/>
    <n v="0"/>
    <m/>
    <s v="10"/>
    <x v="14"/>
    <s v="6170028"/>
    <n v="9"/>
    <n v="54"/>
    <n v="1"/>
  </r>
  <r>
    <s v="COMM"/>
    <x v="10"/>
    <x v="28"/>
    <x v="0"/>
    <x v="2"/>
    <n v="54"/>
    <n v="0"/>
    <n v="0"/>
    <m/>
    <s v="11"/>
    <x v="11"/>
    <s v="6170055"/>
    <n v="9"/>
    <n v="54"/>
    <n v="1"/>
  </r>
  <r>
    <s v="COMM"/>
    <x v="10"/>
    <x v="28"/>
    <x v="0"/>
    <x v="2"/>
    <n v="54"/>
    <n v="0"/>
    <n v="0"/>
    <s v="W"/>
    <s v="11"/>
    <x v="11"/>
    <s v="6170055"/>
    <n v="9"/>
    <n v="54"/>
    <n v="1"/>
  </r>
  <r>
    <s v="COMM"/>
    <x v="10"/>
    <x v="28"/>
    <x v="0"/>
    <x v="2"/>
    <n v="55"/>
    <n v="0"/>
    <n v="0"/>
    <m/>
    <s v="11"/>
    <x v="11"/>
    <s v="6170055"/>
    <n v="9"/>
    <n v="55"/>
    <n v="1"/>
  </r>
  <r>
    <s v="COMM"/>
    <x v="10"/>
    <x v="28"/>
    <x v="0"/>
    <x v="2"/>
    <n v="56"/>
    <n v="0"/>
    <n v="0"/>
    <m/>
    <s v="11"/>
    <x v="11"/>
    <s v="6170055"/>
    <n v="9"/>
    <n v="56"/>
    <n v="1"/>
  </r>
  <r>
    <s v="COMM"/>
    <x v="10"/>
    <x v="28"/>
    <x v="0"/>
    <x v="2"/>
    <n v="56"/>
    <n v="0"/>
    <n v="0"/>
    <m/>
    <s v="71"/>
    <x v="1"/>
    <s v="6170055"/>
    <n v="9"/>
    <n v="56"/>
    <n v="1"/>
  </r>
  <r>
    <s v="COMM"/>
    <x v="10"/>
    <x v="28"/>
    <x v="0"/>
    <x v="2"/>
    <n v="57"/>
    <n v="0"/>
    <n v="0"/>
    <m/>
    <s v="10"/>
    <x v="14"/>
    <s v="6170028"/>
    <n v="9"/>
    <n v="114"/>
    <n v="2"/>
  </r>
  <r>
    <s v="COMM"/>
    <x v="10"/>
    <x v="28"/>
    <x v="0"/>
    <x v="2"/>
    <n v="57"/>
    <n v="0"/>
    <n v="0"/>
    <m/>
    <s v="11"/>
    <x v="11"/>
    <s v="6170055"/>
    <n v="9"/>
    <n v="57"/>
    <n v="1"/>
  </r>
  <r>
    <s v="COMM"/>
    <x v="10"/>
    <x v="28"/>
    <x v="0"/>
    <x v="2"/>
    <n v="57"/>
    <n v="0"/>
    <n v="0"/>
    <m/>
    <s v="71"/>
    <x v="1"/>
    <s v="6170055"/>
    <n v="9"/>
    <n v="57"/>
    <n v="1"/>
  </r>
  <r>
    <s v="COMM"/>
    <x v="10"/>
    <x v="28"/>
    <x v="0"/>
    <x v="2"/>
    <n v="57"/>
    <n v="0"/>
    <n v="0"/>
    <s v="W"/>
    <s v="11"/>
    <x v="11"/>
    <s v="6170055"/>
    <n v="9"/>
    <n v="57"/>
    <n v="1"/>
  </r>
  <r>
    <s v="COMM"/>
    <x v="10"/>
    <x v="28"/>
    <x v="0"/>
    <x v="2"/>
    <n v="59"/>
    <n v="0"/>
    <n v="0"/>
    <s v="W"/>
    <s v="11"/>
    <x v="11"/>
    <s v="6170055"/>
    <n v="9"/>
    <n v="59"/>
    <n v="1"/>
  </r>
  <r>
    <s v="COMM"/>
    <x v="10"/>
    <x v="28"/>
    <x v="0"/>
    <x v="2"/>
    <n v="60"/>
    <n v="0"/>
    <n v="0"/>
    <m/>
    <s v="13"/>
    <x v="15"/>
    <s v="6170040"/>
    <n v="9"/>
    <n v="60"/>
    <n v="1"/>
  </r>
  <r>
    <s v="COMM"/>
    <x v="10"/>
    <x v="28"/>
    <x v="0"/>
    <x v="2"/>
    <n v="60"/>
    <n v="0"/>
    <n v="0"/>
    <m/>
    <s v="11"/>
    <x v="11"/>
    <s v="6170055"/>
    <n v="9"/>
    <n v="180"/>
    <n v="3"/>
  </r>
  <r>
    <s v="COMM"/>
    <x v="10"/>
    <x v="28"/>
    <x v="0"/>
    <x v="2"/>
    <n v="60"/>
    <n v="0"/>
    <n v="0"/>
    <s v="W"/>
    <s v="11"/>
    <x v="11"/>
    <s v="6170055"/>
    <n v="9"/>
    <n v="120"/>
    <n v="2"/>
  </r>
  <r>
    <s v="COMM"/>
    <x v="10"/>
    <x v="28"/>
    <x v="0"/>
    <x v="2"/>
    <n v="61"/>
    <n v="0"/>
    <n v="0"/>
    <s v="W"/>
    <s v="11"/>
    <x v="11"/>
    <s v="6170055"/>
    <n v="9"/>
    <n v="61"/>
    <n v="1"/>
  </r>
  <r>
    <s v="COMM"/>
    <x v="10"/>
    <x v="28"/>
    <x v="0"/>
    <x v="2"/>
    <n v="62"/>
    <n v="0"/>
    <n v="0"/>
    <m/>
    <s v="11"/>
    <x v="11"/>
    <s v="6170055"/>
    <n v="9"/>
    <n v="124"/>
    <n v="2"/>
  </r>
  <r>
    <s v="COMM"/>
    <x v="10"/>
    <x v="28"/>
    <x v="0"/>
    <x v="2"/>
    <n v="64"/>
    <n v="0"/>
    <n v="0"/>
    <m/>
    <s v="73"/>
    <x v="18"/>
    <s v="6170040"/>
    <n v="9"/>
    <n v="64"/>
    <n v="1"/>
  </r>
  <r>
    <s v="COMM"/>
    <x v="10"/>
    <x v="28"/>
    <x v="0"/>
    <x v="2"/>
    <n v="64"/>
    <n v="0"/>
    <n v="0"/>
    <m/>
    <s v="11"/>
    <x v="11"/>
    <s v="6170055"/>
    <n v="9"/>
    <n v="64"/>
    <n v="1"/>
  </r>
  <r>
    <s v="COMM"/>
    <x v="10"/>
    <x v="28"/>
    <x v="0"/>
    <x v="2"/>
    <n v="64"/>
    <n v="0"/>
    <n v="0"/>
    <s v="W"/>
    <s v="11"/>
    <x v="11"/>
    <s v="6170055"/>
    <n v="9"/>
    <n v="64"/>
    <n v="1"/>
  </r>
  <r>
    <s v="COMM"/>
    <x v="10"/>
    <x v="28"/>
    <x v="0"/>
    <x v="2"/>
    <n v="65"/>
    <n v="0"/>
    <n v="0"/>
    <m/>
    <s v="10"/>
    <x v="14"/>
    <s v="6170028"/>
    <n v="9"/>
    <n v="65"/>
    <n v="1"/>
  </r>
  <r>
    <s v="COMM"/>
    <x v="10"/>
    <x v="28"/>
    <x v="0"/>
    <x v="2"/>
    <n v="65"/>
    <n v="0"/>
    <n v="0"/>
    <s v="W"/>
    <s v="11"/>
    <x v="11"/>
    <s v="6170055"/>
    <n v="9"/>
    <n v="65"/>
    <n v="1"/>
  </r>
  <r>
    <s v="COMM"/>
    <x v="10"/>
    <x v="28"/>
    <x v="0"/>
    <x v="2"/>
    <n v="66"/>
    <n v="0"/>
    <n v="0"/>
    <m/>
    <s v="11"/>
    <x v="11"/>
    <s v="6170055"/>
    <n v="9"/>
    <n v="66"/>
    <n v="1"/>
  </r>
  <r>
    <s v="COMM"/>
    <x v="10"/>
    <x v="28"/>
    <x v="0"/>
    <x v="2"/>
    <n v="67"/>
    <n v="0"/>
    <n v="0"/>
    <m/>
    <s v="11"/>
    <x v="11"/>
    <s v="6170055"/>
    <n v="9"/>
    <n v="67"/>
    <n v="1"/>
  </r>
  <r>
    <s v="COMM"/>
    <x v="10"/>
    <x v="28"/>
    <x v="0"/>
    <x v="2"/>
    <n v="68"/>
    <n v="0"/>
    <n v="0"/>
    <m/>
    <s v="11"/>
    <x v="11"/>
    <s v="6170055"/>
    <n v="9"/>
    <n v="68"/>
    <n v="1"/>
  </r>
  <r>
    <s v="COMM"/>
    <x v="10"/>
    <x v="28"/>
    <x v="0"/>
    <x v="2"/>
    <n v="68"/>
    <n v="0"/>
    <n v="0"/>
    <s v="W"/>
    <s v="11"/>
    <x v="11"/>
    <s v="6170055"/>
    <n v="9"/>
    <n v="136"/>
    <n v="2"/>
  </r>
  <r>
    <s v="COMM"/>
    <x v="10"/>
    <x v="28"/>
    <x v="0"/>
    <x v="2"/>
    <n v="69"/>
    <n v="0"/>
    <n v="0"/>
    <m/>
    <s v="73"/>
    <x v="18"/>
    <s v="6170040"/>
    <n v="9"/>
    <n v="69"/>
    <n v="1"/>
  </r>
  <r>
    <s v="COMM"/>
    <x v="10"/>
    <x v="28"/>
    <x v="0"/>
    <x v="2"/>
    <n v="70"/>
    <n v="0"/>
    <n v="0"/>
    <m/>
    <s v="11"/>
    <x v="11"/>
    <s v="6170055"/>
    <n v="9"/>
    <n v="70"/>
    <n v="1"/>
  </r>
  <r>
    <s v="COMM"/>
    <x v="10"/>
    <x v="28"/>
    <x v="0"/>
    <x v="2"/>
    <n v="70"/>
    <n v="0"/>
    <n v="0"/>
    <s v="W"/>
    <s v="11"/>
    <x v="11"/>
    <s v="6170055"/>
    <n v="9"/>
    <n v="70"/>
    <n v="1"/>
  </r>
  <r>
    <s v="COMM"/>
    <x v="10"/>
    <x v="28"/>
    <x v="0"/>
    <x v="2"/>
    <n v="71"/>
    <n v="0"/>
    <n v="0"/>
    <m/>
    <s v="10"/>
    <x v="14"/>
    <s v="6170028"/>
    <n v="9"/>
    <n v="71"/>
    <n v="1"/>
  </r>
  <r>
    <s v="COMM"/>
    <x v="10"/>
    <x v="28"/>
    <x v="0"/>
    <x v="2"/>
    <n v="71"/>
    <n v="0"/>
    <n v="0"/>
    <m/>
    <s v="11"/>
    <x v="11"/>
    <s v="6170055"/>
    <n v="9"/>
    <n v="71"/>
    <n v="1"/>
  </r>
  <r>
    <s v="COMM"/>
    <x v="10"/>
    <x v="28"/>
    <x v="0"/>
    <x v="2"/>
    <n v="72"/>
    <n v="0"/>
    <n v="0"/>
    <m/>
    <s v="72"/>
    <x v="21"/>
    <s v="6170004"/>
    <n v="9"/>
    <n v="72"/>
    <n v="1"/>
  </r>
  <r>
    <s v="COMM"/>
    <x v="10"/>
    <x v="28"/>
    <x v="0"/>
    <x v="2"/>
    <n v="72"/>
    <n v="0"/>
    <n v="0"/>
    <m/>
    <s v="10"/>
    <x v="14"/>
    <s v="6170028"/>
    <n v="9"/>
    <n v="72"/>
    <n v="1"/>
  </r>
  <r>
    <s v="COMM"/>
    <x v="10"/>
    <x v="28"/>
    <x v="0"/>
    <x v="2"/>
    <n v="72"/>
    <n v="0"/>
    <n v="0"/>
    <m/>
    <s v="73"/>
    <x v="18"/>
    <s v="6170040"/>
    <n v="9"/>
    <n v="72"/>
    <n v="1"/>
  </r>
  <r>
    <s v="COMM"/>
    <x v="10"/>
    <x v="28"/>
    <x v="0"/>
    <x v="2"/>
    <n v="72"/>
    <n v="0"/>
    <n v="0"/>
    <m/>
    <s v="71"/>
    <x v="1"/>
    <s v="6170055"/>
    <n v="9"/>
    <n v="72"/>
    <n v="1"/>
  </r>
  <r>
    <s v="COMM"/>
    <x v="10"/>
    <x v="28"/>
    <x v="0"/>
    <x v="2"/>
    <n v="72"/>
    <n v="0"/>
    <n v="0"/>
    <s v="W"/>
    <s v="11"/>
    <x v="11"/>
    <s v="6170055"/>
    <n v="9"/>
    <n v="216"/>
    <n v="3"/>
  </r>
  <r>
    <s v="COMM"/>
    <x v="10"/>
    <x v="28"/>
    <x v="0"/>
    <x v="2"/>
    <n v="74"/>
    <n v="0"/>
    <n v="0"/>
    <m/>
    <s v="11"/>
    <x v="11"/>
    <s v="6170055"/>
    <n v="9"/>
    <n v="74"/>
    <n v="1"/>
  </r>
  <r>
    <s v="COMM"/>
    <x v="10"/>
    <x v="28"/>
    <x v="0"/>
    <x v="2"/>
    <n v="75"/>
    <n v="0"/>
    <n v="0"/>
    <m/>
    <s v="10"/>
    <x v="14"/>
    <s v="6170028"/>
    <n v="9"/>
    <n v="75"/>
    <n v="1"/>
  </r>
  <r>
    <s v="COMM"/>
    <x v="10"/>
    <x v="28"/>
    <x v="0"/>
    <x v="2"/>
    <n v="75"/>
    <n v="0"/>
    <n v="0"/>
    <s v="W"/>
    <s v="11"/>
    <x v="11"/>
    <s v="6170055"/>
    <n v="9"/>
    <n v="75"/>
    <n v="1"/>
  </r>
  <r>
    <s v="COMM"/>
    <x v="10"/>
    <x v="28"/>
    <x v="0"/>
    <x v="2"/>
    <n v="76"/>
    <n v="0"/>
    <n v="0"/>
    <m/>
    <s v="11"/>
    <x v="11"/>
    <s v="6170055"/>
    <n v="9"/>
    <n v="76"/>
    <n v="1"/>
  </r>
  <r>
    <s v="COMM"/>
    <x v="10"/>
    <x v="28"/>
    <x v="0"/>
    <x v="2"/>
    <n v="76"/>
    <n v="0"/>
    <n v="0"/>
    <s v="W"/>
    <s v="11"/>
    <x v="11"/>
    <s v="6170055"/>
    <n v="9"/>
    <n v="76"/>
    <n v="1"/>
  </r>
  <r>
    <s v="COMM"/>
    <x v="10"/>
    <x v="28"/>
    <x v="0"/>
    <x v="2"/>
    <n v="78"/>
    <n v="0"/>
    <n v="0"/>
    <m/>
    <s v="10"/>
    <x v="14"/>
    <s v="6170028"/>
    <n v="9"/>
    <n v="156"/>
    <n v="2"/>
  </r>
  <r>
    <s v="COMM"/>
    <x v="10"/>
    <x v="28"/>
    <x v="0"/>
    <x v="2"/>
    <n v="78"/>
    <n v="0"/>
    <n v="0"/>
    <m/>
    <s v="11"/>
    <x v="11"/>
    <s v="6170055"/>
    <n v="9"/>
    <n v="78"/>
    <n v="1"/>
  </r>
  <r>
    <s v="COMM"/>
    <x v="10"/>
    <x v="28"/>
    <x v="0"/>
    <x v="2"/>
    <n v="79"/>
    <n v="0"/>
    <n v="0"/>
    <s v="W"/>
    <s v="11"/>
    <x v="11"/>
    <s v="6170055"/>
    <n v="9"/>
    <n v="79"/>
    <n v="1"/>
  </r>
  <r>
    <s v="COMM"/>
    <x v="10"/>
    <x v="28"/>
    <x v="0"/>
    <x v="2"/>
    <n v="80"/>
    <n v="0"/>
    <n v="0"/>
    <m/>
    <s v="11"/>
    <x v="11"/>
    <s v="6170055"/>
    <n v="9"/>
    <n v="80"/>
    <n v="1"/>
  </r>
  <r>
    <s v="COMM"/>
    <x v="10"/>
    <x v="28"/>
    <x v="0"/>
    <x v="2"/>
    <n v="82"/>
    <n v="0"/>
    <n v="0"/>
    <m/>
    <s v="11"/>
    <x v="11"/>
    <s v="6170055"/>
    <n v="9"/>
    <n v="82"/>
    <n v="1"/>
  </r>
  <r>
    <s v="COMM"/>
    <x v="10"/>
    <x v="28"/>
    <x v="0"/>
    <x v="2"/>
    <n v="85"/>
    <n v="0"/>
    <n v="0"/>
    <s v="W"/>
    <s v="11"/>
    <x v="11"/>
    <s v="6170055"/>
    <n v="9"/>
    <n v="85"/>
    <n v="1"/>
  </r>
  <r>
    <s v="COMM"/>
    <x v="10"/>
    <x v="28"/>
    <x v="0"/>
    <x v="2"/>
    <n v="86"/>
    <n v="0"/>
    <n v="0"/>
    <m/>
    <s v="10"/>
    <x v="14"/>
    <s v="6170028"/>
    <n v="9"/>
    <n v="86"/>
    <n v="1"/>
  </r>
  <r>
    <s v="COMM"/>
    <x v="10"/>
    <x v="28"/>
    <x v="0"/>
    <x v="2"/>
    <n v="88"/>
    <n v="0"/>
    <n v="0"/>
    <m/>
    <s v="11"/>
    <x v="11"/>
    <s v="6170055"/>
    <n v="9"/>
    <n v="88"/>
    <n v="1"/>
  </r>
  <r>
    <s v="COMM"/>
    <x v="10"/>
    <x v="28"/>
    <x v="0"/>
    <x v="2"/>
    <n v="88"/>
    <n v="0"/>
    <n v="0"/>
    <m/>
    <s v="71"/>
    <x v="1"/>
    <s v="6170055"/>
    <n v="9"/>
    <n v="88"/>
    <n v="1"/>
  </r>
  <r>
    <s v="COMM"/>
    <x v="10"/>
    <x v="28"/>
    <x v="0"/>
    <x v="2"/>
    <n v="89"/>
    <n v="0"/>
    <n v="0"/>
    <m/>
    <s v="13"/>
    <x v="15"/>
    <s v="6170040"/>
    <n v="9"/>
    <n v="89"/>
    <n v="1"/>
  </r>
  <r>
    <s v="COMM"/>
    <x v="10"/>
    <x v="28"/>
    <x v="0"/>
    <x v="2"/>
    <n v="90"/>
    <n v="0"/>
    <n v="0"/>
    <m/>
    <s v="11"/>
    <x v="11"/>
    <s v="6170055"/>
    <n v="9"/>
    <n v="90"/>
    <n v="1"/>
  </r>
  <r>
    <s v="COMM"/>
    <x v="10"/>
    <x v="28"/>
    <x v="0"/>
    <x v="2"/>
    <n v="92"/>
    <n v="0"/>
    <n v="0"/>
    <m/>
    <s v="11"/>
    <x v="11"/>
    <s v="6170055"/>
    <n v="9"/>
    <n v="92"/>
    <n v="1"/>
  </r>
  <r>
    <s v="COMM"/>
    <x v="10"/>
    <x v="28"/>
    <x v="0"/>
    <x v="2"/>
    <n v="94"/>
    <n v="0"/>
    <n v="0"/>
    <m/>
    <s v="11"/>
    <x v="11"/>
    <s v="6170055"/>
    <n v="9"/>
    <n v="94"/>
    <n v="1"/>
  </r>
  <r>
    <s v="COMM"/>
    <x v="10"/>
    <x v="28"/>
    <x v="0"/>
    <x v="2"/>
    <n v="96"/>
    <n v="0"/>
    <n v="0"/>
    <m/>
    <s v="10"/>
    <x v="14"/>
    <s v="6170028"/>
    <n v="9"/>
    <n v="96"/>
    <n v="1"/>
  </r>
  <r>
    <s v="COMM"/>
    <x v="10"/>
    <x v="28"/>
    <x v="0"/>
    <x v="2"/>
    <n v="96"/>
    <n v="0"/>
    <n v="0"/>
    <m/>
    <s v="71"/>
    <x v="1"/>
    <s v="6170055"/>
    <n v="9"/>
    <n v="96"/>
    <n v="1"/>
  </r>
  <r>
    <s v="COMM"/>
    <x v="10"/>
    <x v="28"/>
    <x v="0"/>
    <x v="2"/>
    <n v="96"/>
    <n v="0"/>
    <n v="0"/>
    <s v="W"/>
    <s v="11"/>
    <x v="11"/>
    <s v="6170055"/>
    <n v="9"/>
    <n v="96"/>
    <n v="1"/>
  </r>
  <r>
    <s v="COMM"/>
    <x v="10"/>
    <x v="28"/>
    <x v="0"/>
    <x v="2"/>
    <n v="98"/>
    <n v="0"/>
    <n v="0"/>
    <m/>
    <s v="75"/>
    <x v="22"/>
    <s v="6170015"/>
    <n v="9"/>
    <n v="98"/>
    <n v="1"/>
  </r>
  <r>
    <s v="COMM"/>
    <x v="10"/>
    <x v="28"/>
    <x v="0"/>
    <x v="2"/>
    <n v="98"/>
    <n v="0"/>
    <n v="0"/>
    <m/>
    <s v="11"/>
    <x v="11"/>
    <s v="6170055"/>
    <n v="9"/>
    <n v="98"/>
    <n v="1"/>
  </r>
  <r>
    <s v="COMM"/>
    <x v="10"/>
    <x v="28"/>
    <x v="0"/>
    <x v="2"/>
    <n v="99"/>
    <n v="0"/>
    <n v="0"/>
    <m/>
    <s v="11"/>
    <x v="11"/>
    <s v="6170055"/>
    <n v="9"/>
    <n v="99"/>
    <n v="1"/>
  </r>
  <r>
    <s v="COMM"/>
    <x v="10"/>
    <x v="28"/>
    <x v="0"/>
    <x v="2"/>
    <n v="101"/>
    <n v="0"/>
    <n v="0"/>
    <m/>
    <s v="71"/>
    <x v="1"/>
    <s v="6170055"/>
    <n v="9"/>
    <n v="101"/>
    <n v="1"/>
  </r>
  <r>
    <s v="COMM"/>
    <x v="10"/>
    <x v="28"/>
    <x v="0"/>
    <x v="2"/>
    <n v="102"/>
    <n v="0"/>
    <n v="0"/>
    <m/>
    <s v="11"/>
    <x v="11"/>
    <s v="6170055"/>
    <n v="9"/>
    <n v="102"/>
    <n v="1"/>
  </r>
  <r>
    <s v="COMM"/>
    <x v="10"/>
    <x v="28"/>
    <x v="0"/>
    <x v="2"/>
    <n v="103"/>
    <n v="0"/>
    <n v="0"/>
    <m/>
    <s v="71"/>
    <x v="1"/>
    <s v="6170055"/>
    <n v="9"/>
    <n v="103"/>
    <n v="1"/>
  </r>
  <r>
    <s v="COMM"/>
    <x v="10"/>
    <x v="28"/>
    <x v="0"/>
    <x v="2"/>
    <n v="105"/>
    <n v="0"/>
    <n v="0"/>
    <m/>
    <s v="72"/>
    <x v="21"/>
    <s v="6170004"/>
    <n v="9"/>
    <n v="105"/>
    <n v="1"/>
  </r>
  <r>
    <s v="COMM"/>
    <x v="10"/>
    <x v="28"/>
    <x v="0"/>
    <x v="2"/>
    <n v="105"/>
    <n v="0"/>
    <n v="0"/>
    <m/>
    <s v="11"/>
    <x v="11"/>
    <s v="6170055"/>
    <n v="9"/>
    <n v="105"/>
    <n v="1"/>
  </r>
  <r>
    <s v="COMM"/>
    <x v="10"/>
    <x v="28"/>
    <x v="0"/>
    <x v="2"/>
    <n v="106"/>
    <n v="0"/>
    <n v="0"/>
    <m/>
    <s v="75"/>
    <x v="22"/>
    <s v="6170015"/>
    <n v="9"/>
    <n v="106"/>
    <n v="1"/>
  </r>
  <r>
    <s v="COMM"/>
    <x v="10"/>
    <x v="28"/>
    <x v="0"/>
    <x v="2"/>
    <n v="108"/>
    <n v="0"/>
    <n v="0"/>
    <m/>
    <s v="72"/>
    <x v="21"/>
    <s v="6170004"/>
    <n v="9"/>
    <n v="108"/>
    <n v="1"/>
  </r>
  <r>
    <s v="COMM"/>
    <x v="10"/>
    <x v="28"/>
    <x v="0"/>
    <x v="2"/>
    <n v="108"/>
    <n v="0"/>
    <n v="0"/>
    <m/>
    <s v="11"/>
    <x v="11"/>
    <s v="6170055"/>
    <n v="9"/>
    <n v="108"/>
    <n v="1"/>
  </r>
  <r>
    <s v="COMM"/>
    <x v="10"/>
    <x v="28"/>
    <x v="0"/>
    <x v="2"/>
    <n v="108"/>
    <n v="0"/>
    <n v="0"/>
    <s v="W"/>
    <s v="11"/>
    <x v="11"/>
    <s v="6170055"/>
    <n v="9"/>
    <n v="216"/>
    <n v="2"/>
  </r>
  <r>
    <s v="COMM"/>
    <x v="10"/>
    <x v="28"/>
    <x v="0"/>
    <x v="2"/>
    <n v="110"/>
    <n v="0"/>
    <n v="0"/>
    <m/>
    <s v="11"/>
    <x v="11"/>
    <s v="6170055"/>
    <n v="9"/>
    <n v="110"/>
    <n v="1"/>
  </r>
  <r>
    <s v="COMM"/>
    <x v="10"/>
    <x v="28"/>
    <x v="0"/>
    <x v="2"/>
    <n v="112"/>
    <n v="0"/>
    <n v="0"/>
    <m/>
    <s v="11"/>
    <x v="11"/>
    <s v="6170055"/>
    <n v="9"/>
    <n v="112"/>
    <n v="1"/>
  </r>
  <r>
    <s v="COMM"/>
    <x v="10"/>
    <x v="28"/>
    <x v="0"/>
    <x v="2"/>
    <n v="114"/>
    <n v="0"/>
    <n v="0"/>
    <m/>
    <s v="73"/>
    <x v="18"/>
    <s v="6170040"/>
    <n v="9"/>
    <n v="114"/>
    <n v="1"/>
  </r>
  <r>
    <s v="COMM"/>
    <x v="10"/>
    <x v="28"/>
    <x v="0"/>
    <x v="2"/>
    <n v="114"/>
    <n v="0"/>
    <n v="0"/>
    <m/>
    <s v="71"/>
    <x v="1"/>
    <s v="6170055"/>
    <n v="9"/>
    <n v="114"/>
    <n v="1"/>
  </r>
  <r>
    <s v="COMM"/>
    <x v="10"/>
    <x v="28"/>
    <x v="0"/>
    <x v="2"/>
    <n v="114"/>
    <n v="0"/>
    <n v="0"/>
    <s v="W"/>
    <s v="11"/>
    <x v="11"/>
    <s v="6170055"/>
    <n v="9"/>
    <n v="114"/>
    <n v="1"/>
  </r>
  <r>
    <s v="COMM"/>
    <x v="10"/>
    <x v="28"/>
    <x v="0"/>
    <x v="2"/>
    <n v="116"/>
    <n v="0"/>
    <n v="0"/>
    <s v="W"/>
    <s v="11"/>
    <x v="11"/>
    <s v="6170055"/>
    <n v="9"/>
    <n v="116"/>
    <n v="1"/>
  </r>
  <r>
    <s v="COMM"/>
    <x v="10"/>
    <x v="28"/>
    <x v="0"/>
    <x v="2"/>
    <n v="118"/>
    <n v="0"/>
    <n v="0"/>
    <m/>
    <s v="11"/>
    <x v="11"/>
    <s v="6170055"/>
    <n v="9"/>
    <n v="118"/>
    <n v="1"/>
  </r>
  <r>
    <s v="IND"/>
    <x v="10"/>
    <x v="28"/>
    <x v="0"/>
    <x v="2"/>
    <n v="118"/>
    <n v="0"/>
    <n v="0"/>
    <m/>
    <s v="71"/>
    <x v="1"/>
    <s v="6170055"/>
    <n v="9"/>
    <n v="118"/>
    <n v="1"/>
  </r>
  <r>
    <s v="COMM"/>
    <x v="10"/>
    <x v="28"/>
    <x v="0"/>
    <x v="2"/>
    <n v="119"/>
    <n v="0"/>
    <n v="0"/>
    <s v="W"/>
    <s v="11"/>
    <x v="11"/>
    <s v="6170055"/>
    <n v="9"/>
    <n v="119"/>
    <n v="1"/>
  </r>
  <r>
    <s v="COMM"/>
    <x v="10"/>
    <x v="28"/>
    <x v="0"/>
    <x v="2"/>
    <n v="120"/>
    <n v="0"/>
    <n v="0"/>
    <s v="W"/>
    <s v="11"/>
    <x v="11"/>
    <s v="6170055"/>
    <n v="9"/>
    <n v="120"/>
    <n v="1"/>
  </r>
  <r>
    <s v="COMM"/>
    <x v="10"/>
    <x v="28"/>
    <x v="0"/>
    <x v="2"/>
    <n v="122"/>
    <n v="0"/>
    <n v="0"/>
    <m/>
    <s v="11"/>
    <x v="11"/>
    <s v="6170055"/>
    <n v="9"/>
    <n v="122"/>
    <n v="1"/>
  </r>
  <r>
    <s v="COMM"/>
    <x v="10"/>
    <x v="28"/>
    <x v="0"/>
    <x v="2"/>
    <n v="122"/>
    <n v="0"/>
    <n v="0"/>
    <m/>
    <s v="71"/>
    <x v="1"/>
    <s v="6170055"/>
    <n v="9"/>
    <n v="122"/>
    <n v="1"/>
  </r>
  <r>
    <s v="COMM"/>
    <x v="10"/>
    <x v="28"/>
    <x v="0"/>
    <x v="2"/>
    <n v="123"/>
    <n v="0"/>
    <n v="0"/>
    <m/>
    <s v="11"/>
    <x v="11"/>
    <s v="6170055"/>
    <n v="9"/>
    <n v="123"/>
    <n v="1"/>
  </r>
  <r>
    <s v="COMM"/>
    <x v="10"/>
    <x v="28"/>
    <x v="0"/>
    <x v="2"/>
    <n v="125"/>
    <n v="0"/>
    <n v="0"/>
    <m/>
    <s v="11"/>
    <x v="11"/>
    <s v="6170055"/>
    <n v="9"/>
    <n v="125"/>
    <n v="1"/>
  </r>
  <r>
    <s v="COMM"/>
    <x v="10"/>
    <x v="28"/>
    <x v="0"/>
    <x v="2"/>
    <n v="127"/>
    <n v="0"/>
    <n v="0"/>
    <m/>
    <s v="11"/>
    <x v="11"/>
    <s v="6170055"/>
    <n v="9"/>
    <n v="254"/>
    <n v="2"/>
  </r>
  <r>
    <s v="COMM"/>
    <x v="10"/>
    <x v="28"/>
    <x v="0"/>
    <x v="2"/>
    <n v="128"/>
    <n v="0"/>
    <n v="0"/>
    <m/>
    <s v="2B"/>
    <x v="27"/>
    <s v="6080060"/>
    <n v="6"/>
    <n v="128"/>
    <n v="1"/>
  </r>
  <r>
    <s v="COMM"/>
    <x v="10"/>
    <x v="28"/>
    <x v="0"/>
    <x v="2"/>
    <n v="128"/>
    <n v="0"/>
    <n v="0"/>
    <m/>
    <s v="11"/>
    <x v="11"/>
    <s v="6170055"/>
    <n v="9"/>
    <n v="256"/>
    <n v="2"/>
  </r>
  <r>
    <s v="COMM"/>
    <x v="10"/>
    <x v="28"/>
    <x v="0"/>
    <x v="2"/>
    <n v="128"/>
    <n v="0"/>
    <n v="0"/>
    <s v="W"/>
    <s v="11"/>
    <x v="11"/>
    <s v="6170055"/>
    <n v="9"/>
    <n v="128"/>
    <n v="1"/>
  </r>
  <r>
    <s v="COMM"/>
    <x v="10"/>
    <x v="28"/>
    <x v="0"/>
    <x v="2"/>
    <n v="129"/>
    <n v="0"/>
    <n v="0"/>
    <m/>
    <s v="11"/>
    <x v="11"/>
    <s v="6170055"/>
    <n v="9"/>
    <n v="129"/>
    <n v="1"/>
  </r>
  <r>
    <s v="COMM"/>
    <x v="10"/>
    <x v="28"/>
    <x v="0"/>
    <x v="2"/>
    <n v="130"/>
    <n v="0"/>
    <n v="0"/>
    <m/>
    <s v="10"/>
    <x v="14"/>
    <s v="6170028"/>
    <n v="9"/>
    <n v="130"/>
    <n v="1"/>
  </r>
  <r>
    <s v="COMM"/>
    <x v="10"/>
    <x v="28"/>
    <x v="0"/>
    <x v="2"/>
    <n v="130"/>
    <n v="0"/>
    <n v="0"/>
    <s v="W"/>
    <s v="11"/>
    <x v="11"/>
    <s v="6170055"/>
    <n v="9"/>
    <n v="130"/>
    <n v="1"/>
  </r>
  <r>
    <s v="COMM"/>
    <x v="10"/>
    <x v="28"/>
    <x v="0"/>
    <x v="2"/>
    <n v="132"/>
    <n v="0"/>
    <n v="0"/>
    <s v="W"/>
    <s v="11"/>
    <x v="11"/>
    <s v="6170055"/>
    <n v="9"/>
    <n v="132"/>
    <n v="1"/>
  </r>
  <r>
    <s v="COMM"/>
    <x v="10"/>
    <x v="28"/>
    <x v="0"/>
    <x v="2"/>
    <n v="136"/>
    <n v="0"/>
    <n v="0"/>
    <m/>
    <s v="11"/>
    <x v="11"/>
    <s v="6170055"/>
    <n v="9"/>
    <n v="136"/>
    <n v="1"/>
  </r>
  <r>
    <s v="IND"/>
    <x v="10"/>
    <x v="28"/>
    <x v="0"/>
    <x v="2"/>
    <n v="140"/>
    <n v="0"/>
    <n v="0"/>
    <m/>
    <s v="11"/>
    <x v="11"/>
    <s v="6170055"/>
    <n v="9"/>
    <n v="140"/>
    <n v="1"/>
  </r>
  <r>
    <s v="COMM"/>
    <x v="10"/>
    <x v="28"/>
    <x v="0"/>
    <x v="2"/>
    <n v="144"/>
    <n v="0"/>
    <n v="0"/>
    <m/>
    <s v="11"/>
    <x v="11"/>
    <s v="6170055"/>
    <n v="9"/>
    <n v="144"/>
    <n v="1"/>
  </r>
  <r>
    <s v="COMM"/>
    <x v="10"/>
    <x v="28"/>
    <x v="0"/>
    <x v="2"/>
    <n v="145"/>
    <n v="0"/>
    <n v="0"/>
    <m/>
    <s v="71"/>
    <x v="1"/>
    <s v="6170055"/>
    <n v="9"/>
    <n v="145"/>
    <n v="1"/>
  </r>
  <r>
    <s v="IND"/>
    <x v="10"/>
    <x v="28"/>
    <x v="0"/>
    <x v="2"/>
    <n v="148"/>
    <n v="0"/>
    <n v="0"/>
    <m/>
    <s v="71"/>
    <x v="1"/>
    <s v="6170055"/>
    <n v="9"/>
    <n v="148"/>
    <n v="1"/>
  </r>
  <r>
    <s v="COMM"/>
    <x v="10"/>
    <x v="28"/>
    <x v="0"/>
    <x v="2"/>
    <n v="148"/>
    <n v="0"/>
    <n v="0"/>
    <s v="W"/>
    <s v="11"/>
    <x v="11"/>
    <s v="6170055"/>
    <n v="9"/>
    <n v="148"/>
    <n v="1"/>
  </r>
  <r>
    <s v="COMM"/>
    <x v="10"/>
    <x v="28"/>
    <x v="0"/>
    <x v="2"/>
    <n v="150"/>
    <n v="0"/>
    <n v="0"/>
    <m/>
    <s v="71"/>
    <x v="1"/>
    <s v="6170055"/>
    <n v="9"/>
    <n v="150"/>
    <n v="1"/>
  </r>
  <r>
    <s v="IND"/>
    <x v="10"/>
    <x v="28"/>
    <x v="0"/>
    <x v="2"/>
    <n v="152"/>
    <n v="0"/>
    <n v="0"/>
    <m/>
    <s v="11"/>
    <x v="11"/>
    <s v="6170055"/>
    <n v="9"/>
    <n v="152"/>
    <n v="1"/>
  </r>
  <r>
    <s v="IND"/>
    <x v="10"/>
    <x v="28"/>
    <x v="0"/>
    <x v="2"/>
    <n v="153"/>
    <n v="0"/>
    <n v="0"/>
    <m/>
    <s v="71"/>
    <x v="1"/>
    <s v="6170055"/>
    <n v="9"/>
    <n v="153"/>
    <n v="1"/>
  </r>
  <r>
    <s v="COMM"/>
    <x v="10"/>
    <x v="28"/>
    <x v="0"/>
    <x v="2"/>
    <n v="153"/>
    <n v="0"/>
    <n v="0"/>
    <s v="W"/>
    <s v="11"/>
    <x v="11"/>
    <s v="6170055"/>
    <n v="9"/>
    <n v="153"/>
    <n v="1"/>
  </r>
  <r>
    <s v="COMM"/>
    <x v="10"/>
    <x v="28"/>
    <x v="0"/>
    <x v="2"/>
    <n v="155"/>
    <n v="0"/>
    <n v="0"/>
    <m/>
    <s v="11"/>
    <x v="11"/>
    <s v="6170055"/>
    <n v="9"/>
    <n v="155"/>
    <n v="1"/>
  </r>
  <r>
    <s v="COMM"/>
    <x v="10"/>
    <x v="28"/>
    <x v="0"/>
    <x v="2"/>
    <n v="158"/>
    <n v="0"/>
    <n v="0"/>
    <m/>
    <s v="2B"/>
    <x v="27"/>
    <s v="6080060"/>
    <n v="6"/>
    <n v="158"/>
    <n v="1"/>
  </r>
  <r>
    <s v="COMM"/>
    <x v="10"/>
    <x v="28"/>
    <x v="0"/>
    <x v="2"/>
    <n v="159"/>
    <n v="0"/>
    <n v="0"/>
    <m/>
    <s v="25"/>
    <x v="31"/>
    <s v="6170015"/>
    <n v="9"/>
    <n v="159"/>
    <n v="1"/>
  </r>
  <r>
    <s v="COMM"/>
    <x v="10"/>
    <x v="28"/>
    <x v="0"/>
    <x v="2"/>
    <n v="162"/>
    <n v="0"/>
    <n v="0"/>
    <m/>
    <s v="7A"/>
    <x v="24"/>
    <s v="6170022"/>
    <n v="9"/>
    <n v="162"/>
    <n v="1"/>
  </r>
  <r>
    <s v="COMM"/>
    <x v="10"/>
    <x v="28"/>
    <x v="0"/>
    <x v="2"/>
    <n v="163"/>
    <n v="0"/>
    <n v="0"/>
    <m/>
    <s v="70"/>
    <x v="17"/>
    <s v="6170028"/>
    <n v="9"/>
    <n v="163"/>
    <n v="1"/>
  </r>
  <r>
    <s v="IND"/>
    <x v="10"/>
    <x v="28"/>
    <x v="0"/>
    <x v="2"/>
    <n v="166"/>
    <n v="0"/>
    <n v="0"/>
    <m/>
    <s v="73"/>
    <x v="18"/>
    <s v="6170040"/>
    <n v="9"/>
    <n v="166"/>
    <n v="1"/>
  </r>
  <r>
    <s v="COMM"/>
    <x v="10"/>
    <x v="28"/>
    <x v="0"/>
    <x v="2"/>
    <n v="166"/>
    <n v="0"/>
    <n v="0"/>
    <m/>
    <s v="11"/>
    <x v="11"/>
    <s v="6170055"/>
    <n v="9"/>
    <n v="166"/>
    <n v="1"/>
  </r>
  <r>
    <s v="COMM"/>
    <x v="10"/>
    <x v="28"/>
    <x v="0"/>
    <x v="2"/>
    <n v="168"/>
    <n v="0"/>
    <n v="0"/>
    <s v="W"/>
    <s v="11"/>
    <x v="11"/>
    <s v="6170055"/>
    <n v="9"/>
    <n v="168"/>
    <n v="1"/>
  </r>
  <r>
    <s v="COMM"/>
    <x v="10"/>
    <x v="28"/>
    <x v="0"/>
    <x v="2"/>
    <n v="171"/>
    <n v="0"/>
    <n v="0"/>
    <m/>
    <s v="11"/>
    <x v="11"/>
    <s v="6170055"/>
    <n v="9"/>
    <n v="171"/>
    <n v="1"/>
  </r>
  <r>
    <s v="IND"/>
    <x v="10"/>
    <x v="28"/>
    <x v="0"/>
    <x v="2"/>
    <n v="174"/>
    <n v="0"/>
    <n v="0"/>
    <m/>
    <s v="71"/>
    <x v="1"/>
    <s v="6170055"/>
    <n v="9"/>
    <n v="174"/>
    <n v="1"/>
  </r>
  <r>
    <s v="COMM"/>
    <x v="10"/>
    <x v="28"/>
    <x v="0"/>
    <x v="2"/>
    <n v="176"/>
    <n v="0"/>
    <n v="0"/>
    <m/>
    <s v="11"/>
    <x v="11"/>
    <s v="6170055"/>
    <n v="9"/>
    <n v="176"/>
    <n v="1"/>
  </r>
  <r>
    <s v="COMM"/>
    <x v="10"/>
    <x v="28"/>
    <x v="0"/>
    <x v="2"/>
    <n v="180"/>
    <n v="0"/>
    <n v="0"/>
    <m/>
    <s v="10"/>
    <x v="14"/>
    <s v="6170028"/>
    <n v="9"/>
    <n v="180"/>
    <n v="1"/>
  </r>
  <r>
    <s v="COMM"/>
    <x v="10"/>
    <x v="28"/>
    <x v="0"/>
    <x v="2"/>
    <n v="180"/>
    <n v="0"/>
    <n v="0"/>
    <m/>
    <s v="71"/>
    <x v="1"/>
    <s v="6170055"/>
    <n v="9"/>
    <n v="360"/>
    <n v="2"/>
  </r>
  <r>
    <s v="COMM"/>
    <x v="10"/>
    <x v="28"/>
    <x v="0"/>
    <x v="2"/>
    <n v="180"/>
    <n v="0"/>
    <n v="0"/>
    <s v="W"/>
    <s v="11"/>
    <x v="11"/>
    <s v="6170055"/>
    <n v="9"/>
    <n v="180"/>
    <n v="1"/>
  </r>
  <r>
    <s v="COMM"/>
    <x v="10"/>
    <x v="28"/>
    <x v="0"/>
    <x v="2"/>
    <n v="184"/>
    <n v="0"/>
    <n v="0"/>
    <m/>
    <s v="71"/>
    <x v="1"/>
    <s v="6170055"/>
    <n v="9"/>
    <n v="184"/>
    <n v="1"/>
  </r>
  <r>
    <s v="COMM"/>
    <x v="10"/>
    <x v="28"/>
    <x v="0"/>
    <x v="2"/>
    <n v="184"/>
    <n v="0"/>
    <n v="0"/>
    <s v="W"/>
    <s v="11"/>
    <x v="11"/>
    <s v="6170055"/>
    <n v="9"/>
    <n v="184"/>
    <n v="1"/>
  </r>
  <r>
    <s v="COMM"/>
    <x v="10"/>
    <x v="28"/>
    <x v="0"/>
    <x v="2"/>
    <n v="191"/>
    <n v="0"/>
    <n v="0"/>
    <m/>
    <s v="11"/>
    <x v="11"/>
    <s v="6170055"/>
    <n v="9"/>
    <n v="764"/>
    <n v="4"/>
  </r>
  <r>
    <s v="COMM"/>
    <x v="10"/>
    <x v="28"/>
    <x v="0"/>
    <x v="2"/>
    <n v="191"/>
    <n v="0"/>
    <n v="0"/>
    <m/>
    <s v="71"/>
    <x v="1"/>
    <s v="6170055"/>
    <n v="9"/>
    <n v="191"/>
    <n v="1"/>
  </r>
  <r>
    <s v="COMM"/>
    <x v="10"/>
    <x v="28"/>
    <x v="0"/>
    <x v="2"/>
    <n v="192"/>
    <n v="0"/>
    <n v="0"/>
    <m/>
    <s v="11"/>
    <x v="11"/>
    <s v="6170055"/>
    <n v="9"/>
    <n v="192"/>
    <n v="1"/>
  </r>
  <r>
    <s v="COMM"/>
    <x v="10"/>
    <x v="28"/>
    <x v="0"/>
    <x v="2"/>
    <n v="192"/>
    <n v="0"/>
    <n v="0"/>
    <m/>
    <s v="71"/>
    <x v="1"/>
    <s v="6170055"/>
    <n v="9"/>
    <n v="192"/>
    <n v="1"/>
  </r>
  <r>
    <s v="COMM"/>
    <x v="10"/>
    <x v="28"/>
    <x v="0"/>
    <x v="2"/>
    <n v="198"/>
    <n v="0"/>
    <n v="0"/>
    <m/>
    <s v="11"/>
    <x v="11"/>
    <s v="6170055"/>
    <n v="9"/>
    <n v="396"/>
    <n v="2"/>
  </r>
  <r>
    <s v="COMM"/>
    <x v="10"/>
    <x v="28"/>
    <x v="0"/>
    <x v="2"/>
    <n v="202"/>
    <n v="0"/>
    <n v="0"/>
    <m/>
    <s v="11"/>
    <x v="11"/>
    <s v="6170055"/>
    <n v="9"/>
    <n v="202"/>
    <n v="1"/>
  </r>
  <r>
    <s v="IND"/>
    <x v="10"/>
    <x v="28"/>
    <x v="0"/>
    <x v="2"/>
    <n v="204"/>
    <n v="0"/>
    <n v="0"/>
    <m/>
    <s v="71"/>
    <x v="1"/>
    <s v="6170055"/>
    <n v="9"/>
    <n v="204"/>
    <n v="1"/>
  </r>
  <r>
    <s v="COMM"/>
    <x v="10"/>
    <x v="28"/>
    <x v="0"/>
    <x v="2"/>
    <n v="206"/>
    <n v="0"/>
    <n v="0"/>
    <m/>
    <s v="71"/>
    <x v="1"/>
    <s v="6170055"/>
    <n v="9"/>
    <n v="206"/>
    <n v="1"/>
  </r>
  <r>
    <s v="COMM"/>
    <x v="10"/>
    <x v="28"/>
    <x v="0"/>
    <x v="2"/>
    <n v="209"/>
    <n v="0"/>
    <n v="0"/>
    <m/>
    <s v="11"/>
    <x v="11"/>
    <s v="6170055"/>
    <n v="9"/>
    <n v="209"/>
    <n v="1"/>
  </r>
  <r>
    <s v="COMM"/>
    <x v="10"/>
    <x v="28"/>
    <x v="0"/>
    <x v="2"/>
    <n v="216"/>
    <n v="0"/>
    <n v="0"/>
    <m/>
    <s v="11"/>
    <x v="11"/>
    <s v="6170055"/>
    <n v="9"/>
    <n v="216"/>
    <n v="1"/>
  </r>
  <r>
    <s v="COMM"/>
    <x v="10"/>
    <x v="28"/>
    <x v="0"/>
    <x v="2"/>
    <n v="220"/>
    <n v="0"/>
    <n v="0"/>
    <m/>
    <s v="71"/>
    <x v="1"/>
    <s v="6170055"/>
    <n v="9"/>
    <n v="220"/>
    <n v="1"/>
  </r>
  <r>
    <s v="COMM"/>
    <x v="10"/>
    <x v="28"/>
    <x v="0"/>
    <x v="2"/>
    <n v="224"/>
    <n v="0"/>
    <n v="0"/>
    <s v="W"/>
    <s v="11"/>
    <x v="11"/>
    <s v="6170055"/>
    <n v="9"/>
    <n v="224"/>
    <n v="1"/>
  </r>
  <r>
    <s v="COMM"/>
    <x v="10"/>
    <x v="28"/>
    <x v="0"/>
    <x v="2"/>
    <n v="227"/>
    <n v="0"/>
    <n v="0"/>
    <m/>
    <s v="11"/>
    <x v="11"/>
    <s v="6170055"/>
    <n v="9"/>
    <n v="227"/>
    <n v="1"/>
  </r>
  <r>
    <s v="COMM"/>
    <x v="10"/>
    <x v="28"/>
    <x v="0"/>
    <x v="2"/>
    <n v="233"/>
    <n v="0"/>
    <n v="0"/>
    <m/>
    <s v="1C"/>
    <x v="6"/>
    <s v="6080004"/>
    <n v="4"/>
    <n v="233"/>
    <n v="1"/>
  </r>
  <r>
    <s v="COMM"/>
    <x v="10"/>
    <x v="28"/>
    <x v="0"/>
    <x v="2"/>
    <n v="240"/>
    <n v="0"/>
    <n v="0"/>
    <m/>
    <s v="11"/>
    <x v="11"/>
    <s v="6170055"/>
    <n v="9"/>
    <n v="240"/>
    <n v="1"/>
  </r>
  <r>
    <s v="COMM"/>
    <x v="10"/>
    <x v="28"/>
    <x v="0"/>
    <x v="2"/>
    <n v="240"/>
    <n v="0"/>
    <n v="0"/>
    <m/>
    <s v="71"/>
    <x v="1"/>
    <s v="6170055"/>
    <n v="9"/>
    <n v="240"/>
    <n v="1"/>
  </r>
  <r>
    <s v="COMM"/>
    <x v="10"/>
    <x v="28"/>
    <x v="0"/>
    <x v="2"/>
    <n v="240"/>
    <n v="0"/>
    <n v="0"/>
    <s v="W"/>
    <s v="11"/>
    <x v="11"/>
    <s v="6170055"/>
    <n v="9"/>
    <n v="240"/>
    <n v="1"/>
  </r>
  <r>
    <s v="COMM"/>
    <x v="10"/>
    <x v="28"/>
    <x v="0"/>
    <x v="2"/>
    <n v="244"/>
    <n v="0"/>
    <n v="0"/>
    <m/>
    <s v="11"/>
    <x v="11"/>
    <s v="6170055"/>
    <n v="9"/>
    <n v="244"/>
    <n v="1"/>
  </r>
  <r>
    <s v="COMM"/>
    <x v="10"/>
    <x v="28"/>
    <x v="0"/>
    <x v="2"/>
    <n v="244"/>
    <n v="0"/>
    <n v="0"/>
    <s v="W"/>
    <s v="11"/>
    <x v="11"/>
    <s v="6170055"/>
    <n v="9"/>
    <n v="244"/>
    <n v="1"/>
  </r>
  <r>
    <s v="COMM"/>
    <x v="10"/>
    <x v="28"/>
    <x v="0"/>
    <x v="2"/>
    <n v="247"/>
    <n v="0"/>
    <n v="0"/>
    <s v="W"/>
    <s v="11"/>
    <x v="11"/>
    <s v="6170055"/>
    <n v="9"/>
    <n v="247"/>
    <n v="1"/>
  </r>
  <r>
    <s v="COMM"/>
    <x v="10"/>
    <x v="28"/>
    <x v="0"/>
    <x v="2"/>
    <n v="248"/>
    <n v="0"/>
    <n v="0"/>
    <m/>
    <s v="11"/>
    <x v="11"/>
    <s v="6170055"/>
    <n v="9"/>
    <n v="248"/>
    <n v="1"/>
  </r>
  <r>
    <s v="IND"/>
    <x v="10"/>
    <x v="28"/>
    <x v="0"/>
    <x v="2"/>
    <n v="250"/>
    <n v="0"/>
    <n v="0"/>
    <m/>
    <s v="71"/>
    <x v="1"/>
    <s v="6170055"/>
    <n v="9"/>
    <n v="250"/>
    <n v="1"/>
  </r>
  <r>
    <s v="IND"/>
    <x v="10"/>
    <x v="28"/>
    <x v="0"/>
    <x v="2"/>
    <n v="266"/>
    <n v="0"/>
    <n v="0"/>
    <m/>
    <s v="25"/>
    <x v="31"/>
    <s v="6170015"/>
    <n v="9"/>
    <n v="266"/>
    <n v="1"/>
  </r>
  <r>
    <s v="COMM"/>
    <x v="10"/>
    <x v="28"/>
    <x v="0"/>
    <x v="2"/>
    <n v="299"/>
    <n v="0"/>
    <n v="0"/>
    <m/>
    <s v="71"/>
    <x v="1"/>
    <s v="6170055"/>
    <n v="9"/>
    <n v="299"/>
    <n v="1"/>
  </r>
  <r>
    <s v="COMM"/>
    <x v="10"/>
    <x v="28"/>
    <x v="0"/>
    <x v="2"/>
    <n v="300"/>
    <n v="0"/>
    <n v="0"/>
    <m/>
    <s v="71"/>
    <x v="1"/>
    <s v="6170055"/>
    <n v="9"/>
    <n v="300"/>
    <n v="1"/>
  </r>
  <r>
    <s v="COMM"/>
    <x v="10"/>
    <x v="28"/>
    <x v="0"/>
    <x v="2"/>
    <n v="326"/>
    <n v="0"/>
    <n v="0"/>
    <s v="W"/>
    <s v="11"/>
    <x v="11"/>
    <s v="6170055"/>
    <n v="9"/>
    <n v="326"/>
    <n v="1"/>
  </r>
  <r>
    <s v="COMM"/>
    <x v="10"/>
    <x v="28"/>
    <x v="0"/>
    <x v="2"/>
    <n v="334"/>
    <n v="0"/>
    <n v="0"/>
    <m/>
    <s v="71"/>
    <x v="1"/>
    <s v="6170055"/>
    <n v="9"/>
    <n v="334"/>
    <n v="1"/>
  </r>
  <r>
    <s v="COMM"/>
    <x v="10"/>
    <x v="28"/>
    <x v="0"/>
    <x v="2"/>
    <n v="368"/>
    <n v="0"/>
    <n v="0"/>
    <m/>
    <s v="71"/>
    <x v="1"/>
    <s v="6170055"/>
    <n v="9"/>
    <n v="368"/>
    <n v="1"/>
  </r>
  <r>
    <s v="IND"/>
    <x v="10"/>
    <x v="28"/>
    <x v="0"/>
    <x v="2"/>
    <n v="384"/>
    <n v="0"/>
    <n v="0"/>
    <m/>
    <s v="71"/>
    <x v="1"/>
    <s v="6170055"/>
    <n v="9"/>
    <n v="384"/>
    <n v="1"/>
  </r>
  <r>
    <s v="IND"/>
    <x v="10"/>
    <x v="28"/>
    <x v="0"/>
    <x v="2"/>
    <n v="396"/>
    <n v="0"/>
    <n v="0"/>
    <m/>
    <s v="71"/>
    <x v="1"/>
    <s v="6170055"/>
    <n v="9"/>
    <n v="396"/>
    <n v="1"/>
  </r>
  <r>
    <s v="COMM"/>
    <x v="10"/>
    <x v="28"/>
    <x v="0"/>
    <x v="2"/>
    <n v="397"/>
    <n v="0"/>
    <n v="0"/>
    <m/>
    <s v="71"/>
    <x v="1"/>
    <s v="6170055"/>
    <n v="9"/>
    <n v="397"/>
    <n v="1"/>
  </r>
  <r>
    <s v="COMM"/>
    <x v="10"/>
    <x v="28"/>
    <x v="0"/>
    <x v="2"/>
    <n v="400"/>
    <n v="0"/>
    <n v="0"/>
    <m/>
    <s v="11"/>
    <x v="11"/>
    <s v="6170055"/>
    <n v="9"/>
    <n v="400"/>
    <n v="1"/>
  </r>
  <r>
    <s v="IND"/>
    <x v="10"/>
    <x v="28"/>
    <x v="0"/>
    <x v="2"/>
    <n v="449"/>
    <n v="0"/>
    <n v="0"/>
    <m/>
    <s v="71"/>
    <x v="1"/>
    <s v="6170055"/>
    <n v="9"/>
    <n v="449"/>
    <n v="1"/>
  </r>
  <r>
    <s v="COMM"/>
    <x v="10"/>
    <x v="28"/>
    <x v="0"/>
    <x v="2"/>
    <n v="539"/>
    <n v="0"/>
    <n v="0"/>
    <m/>
    <s v="71"/>
    <x v="1"/>
    <s v="6170055"/>
    <n v="9"/>
    <n v="539"/>
    <n v="1"/>
  </r>
  <r>
    <s v="IND"/>
    <x v="10"/>
    <x v="28"/>
    <x v="0"/>
    <x v="2"/>
    <n v="624"/>
    <n v="0"/>
    <n v="0"/>
    <m/>
    <s v="71"/>
    <x v="1"/>
    <s v="6170055"/>
    <n v="9"/>
    <n v="624"/>
    <n v="1"/>
  </r>
  <r>
    <s v="COMM"/>
    <x v="10"/>
    <x v="28"/>
    <x v="0"/>
    <x v="2"/>
    <n v="645"/>
    <n v="0"/>
    <n v="0"/>
    <m/>
    <s v="13"/>
    <x v="15"/>
    <s v="6170040"/>
    <n v="9"/>
    <n v="645"/>
    <n v="1"/>
  </r>
  <r>
    <s v="RESI"/>
    <x v="11"/>
    <x v="29"/>
    <x v="0"/>
    <x v="0"/>
    <n v="1"/>
    <n v="1"/>
    <n v="1"/>
    <s v="W"/>
    <s v="31"/>
    <x v="3"/>
    <s v="6110005"/>
    <n v="1"/>
    <n v="9"/>
    <n v="9"/>
  </r>
  <r>
    <s v="RESI"/>
    <x v="11"/>
    <x v="29"/>
    <x v="0"/>
    <x v="0"/>
    <n v="1"/>
    <n v="1"/>
    <n v="1"/>
    <s v="W"/>
    <s v="31"/>
    <x v="3"/>
    <s v="6120005"/>
    <n v="2"/>
    <n v="5"/>
    <n v="5"/>
  </r>
  <r>
    <s v="RESI"/>
    <x v="11"/>
    <x v="29"/>
    <x v="0"/>
    <x v="0"/>
    <n v="1"/>
    <n v="1"/>
    <n v="1"/>
    <s v="W"/>
    <s v="31"/>
    <x v="3"/>
    <s v="6130005"/>
    <n v="3"/>
    <n v="7"/>
    <n v="7"/>
  </r>
  <r>
    <s v="RESI"/>
    <x v="11"/>
    <x v="3"/>
    <x v="0"/>
    <x v="0"/>
    <n v="1"/>
    <n v="1"/>
    <n v="1"/>
    <s v="W"/>
    <s v="3B"/>
    <x v="2"/>
    <s v="6080001"/>
    <n v="1"/>
    <n v="40"/>
    <n v="40"/>
  </r>
  <r>
    <s v="RESI"/>
    <x v="11"/>
    <x v="3"/>
    <x v="0"/>
    <x v="0"/>
    <n v="1"/>
    <n v="1"/>
    <n v="1"/>
    <s v="W"/>
    <s v="3C"/>
    <x v="5"/>
    <s v="6080004"/>
    <n v="1"/>
    <n v="1"/>
    <n v="1"/>
  </r>
  <r>
    <s v="RESI"/>
    <x v="11"/>
    <x v="3"/>
    <x v="0"/>
    <x v="0"/>
    <n v="1"/>
    <n v="1"/>
    <n v="1"/>
    <s v="W"/>
    <s v="3C"/>
    <x v="5"/>
    <s v="6080004"/>
    <n v="3"/>
    <n v="2"/>
    <n v="2"/>
  </r>
  <r>
    <s v="RESI"/>
    <x v="11"/>
    <x v="3"/>
    <x v="0"/>
    <x v="0"/>
    <n v="1"/>
    <n v="1"/>
    <n v="1"/>
    <s v="W"/>
    <s v="3B"/>
    <x v="2"/>
    <s v="6080020"/>
    <n v="2"/>
    <n v="59"/>
    <n v="59"/>
  </r>
  <r>
    <s v="RESI"/>
    <x v="11"/>
    <x v="3"/>
    <x v="0"/>
    <x v="0"/>
    <n v="1"/>
    <n v="1"/>
    <n v="1"/>
    <s v="W"/>
    <s v="3B"/>
    <x v="2"/>
    <s v="6080050"/>
    <n v="5"/>
    <n v="44"/>
    <n v="44"/>
  </r>
  <r>
    <s v="RESI"/>
    <x v="11"/>
    <x v="3"/>
    <x v="0"/>
    <x v="0"/>
    <n v="1"/>
    <n v="1"/>
    <n v="1"/>
    <s v="W"/>
    <s v="32"/>
    <x v="7"/>
    <s v="6110004"/>
    <n v="1"/>
    <n v="89"/>
    <n v="89"/>
  </r>
  <r>
    <s v="RESI"/>
    <x v="11"/>
    <x v="3"/>
    <x v="0"/>
    <x v="3"/>
    <n v="1"/>
    <n v="1"/>
    <n v="1"/>
    <s v="W"/>
    <s v="32"/>
    <x v="7"/>
    <s v="6110004"/>
    <n v="1"/>
    <n v="45"/>
    <n v="45"/>
  </r>
  <r>
    <s v="RESI"/>
    <x v="11"/>
    <x v="3"/>
    <x v="0"/>
    <x v="0"/>
    <n v="1"/>
    <n v="1"/>
    <n v="1"/>
    <s v="W"/>
    <s v="31"/>
    <x v="3"/>
    <s v="6110005"/>
    <n v="1"/>
    <n v="121"/>
    <n v="121"/>
  </r>
  <r>
    <s v="RESI"/>
    <x v="11"/>
    <x v="3"/>
    <x v="0"/>
    <x v="3"/>
    <n v="1"/>
    <n v="1"/>
    <n v="1"/>
    <s v="W"/>
    <s v="31"/>
    <x v="3"/>
    <s v="6110005"/>
    <n v="1"/>
    <n v="16"/>
    <n v="16"/>
  </r>
  <r>
    <s v="RESI"/>
    <x v="11"/>
    <x v="3"/>
    <x v="0"/>
    <x v="0"/>
    <n v="1"/>
    <n v="1"/>
    <n v="1"/>
    <s v="W"/>
    <s v="36"/>
    <x v="8"/>
    <s v="6110006"/>
    <n v="1"/>
    <n v="13"/>
    <n v="13"/>
  </r>
  <r>
    <s v="RESI"/>
    <x v="11"/>
    <x v="3"/>
    <x v="0"/>
    <x v="3"/>
    <n v="1"/>
    <n v="1"/>
    <n v="1"/>
    <s v="W"/>
    <s v="36"/>
    <x v="8"/>
    <s v="6110006"/>
    <n v="1"/>
    <n v="1"/>
    <n v="1"/>
  </r>
  <r>
    <s v="RESI"/>
    <x v="11"/>
    <x v="3"/>
    <x v="0"/>
    <x v="0"/>
    <n v="1"/>
    <n v="1"/>
    <n v="1"/>
    <s v="W"/>
    <s v="30"/>
    <x v="2"/>
    <s v="6110008"/>
    <n v="1"/>
    <n v="3"/>
    <n v="3"/>
  </r>
  <r>
    <s v="RESI"/>
    <x v="11"/>
    <x v="3"/>
    <x v="0"/>
    <x v="3"/>
    <n v="1"/>
    <n v="1"/>
    <n v="1"/>
    <s v="W"/>
    <s v="30"/>
    <x v="2"/>
    <s v="6110008"/>
    <n v="1"/>
    <n v="6"/>
    <n v="6"/>
  </r>
  <r>
    <s v="RESI"/>
    <x v="11"/>
    <x v="3"/>
    <x v="0"/>
    <x v="0"/>
    <n v="1"/>
    <n v="1"/>
    <n v="1"/>
    <s v="W"/>
    <s v="30"/>
    <x v="2"/>
    <s v="6110009"/>
    <n v="1"/>
    <n v="6"/>
    <n v="6"/>
  </r>
  <r>
    <s v="RESI"/>
    <x v="11"/>
    <x v="3"/>
    <x v="0"/>
    <x v="3"/>
    <n v="1"/>
    <n v="1"/>
    <n v="1"/>
    <s v="W"/>
    <s v="30"/>
    <x v="2"/>
    <s v="6110009"/>
    <n v="1"/>
    <n v="1"/>
    <n v="1"/>
  </r>
  <r>
    <s v="RESI"/>
    <x v="11"/>
    <x v="3"/>
    <x v="0"/>
    <x v="0"/>
    <n v="1"/>
    <n v="1"/>
    <n v="1"/>
    <s v="W"/>
    <s v="35"/>
    <x v="4"/>
    <s v="6110015"/>
    <n v="1"/>
    <n v="113"/>
    <n v="113"/>
  </r>
  <r>
    <s v="RESI"/>
    <x v="11"/>
    <x v="3"/>
    <x v="0"/>
    <x v="0"/>
    <n v="1"/>
    <n v="1"/>
    <n v="1"/>
    <s v="W"/>
    <s v="30"/>
    <x v="2"/>
    <s v="6110028"/>
    <n v="1"/>
    <n v="142"/>
    <n v="142"/>
  </r>
  <r>
    <s v="RESI"/>
    <x v="11"/>
    <x v="3"/>
    <x v="0"/>
    <x v="3"/>
    <n v="1"/>
    <n v="1"/>
    <n v="1"/>
    <s v="W"/>
    <s v="30"/>
    <x v="2"/>
    <s v="6110028"/>
    <n v="1"/>
    <n v="27"/>
    <n v="27"/>
  </r>
  <r>
    <s v="RESI"/>
    <x v="11"/>
    <x v="3"/>
    <x v="0"/>
    <x v="0"/>
    <n v="1"/>
    <n v="1"/>
    <n v="1"/>
    <s v="W"/>
    <s v="30"/>
    <x v="2"/>
    <s v="6120002"/>
    <n v="2"/>
    <n v="1"/>
    <n v="1"/>
  </r>
  <r>
    <s v="RESI"/>
    <x v="11"/>
    <x v="3"/>
    <x v="0"/>
    <x v="0"/>
    <n v="1"/>
    <n v="1"/>
    <n v="1"/>
    <s v="W"/>
    <s v="30"/>
    <x v="2"/>
    <s v="6120003"/>
    <n v="2"/>
    <n v="1"/>
    <n v="1"/>
  </r>
  <r>
    <s v="RESI"/>
    <x v="11"/>
    <x v="3"/>
    <x v="0"/>
    <x v="0"/>
    <n v="1"/>
    <n v="1"/>
    <n v="1"/>
    <s v="W"/>
    <s v="32"/>
    <x v="7"/>
    <s v="6120004"/>
    <n v="2"/>
    <n v="80"/>
    <n v="80"/>
  </r>
  <r>
    <s v="RESI"/>
    <x v="11"/>
    <x v="3"/>
    <x v="0"/>
    <x v="3"/>
    <n v="1"/>
    <n v="1"/>
    <n v="1"/>
    <s v="W"/>
    <s v="32"/>
    <x v="7"/>
    <s v="6120004"/>
    <n v="2"/>
    <n v="36"/>
    <n v="36"/>
  </r>
  <r>
    <s v="RESI"/>
    <x v="11"/>
    <x v="3"/>
    <x v="0"/>
    <x v="0"/>
    <n v="1"/>
    <n v="1"/>
    <n v="1"/>
    <s v="W"/>
    <s v="31"/>
    <x v="3"/>
    <s v="6120005"/>
    <n v="2"/>
    <n v="93"/>
    <n v="93"/>
  </r>
  <r>
    <s v="RESI"/>
    <x v="11"/>
    <x v="3"/>
    <x v="0"/>
    <x v="3"/>
    <n v="1"/>
    <n v="1"/>
    <n v="1"/>
    <s v="W"/>
    <s v="31"/>
    <x v="3"/>
    <s v="6120005"/>
    <n v="2"/>
    <n v="16"/>
    <n v="16"/>
  </r>
  <r>
    <s v="RESI"/>
    <x v="11"/>
    <x v="3"/>
    <x v="0"/>
    <x v="3"/>
    <n v="1"/>
    <n v="1"/>
    <n v="1"/>
    <s v="W"/>
    <s v="36"/>
    <x v="8"/>
    <s v="6120006"/>
    <n v="2"/>
    <n v="4"/>
    <n v="4"/>
  </r>
  <r>
    <s v="RESI"/>
    <x v="11"/>
    <x v="3"/>
    <x v="0"/>
    <x v="0"/>
    <n v="1"/>
    <n v="1"/>
    <n v="1"/>
    <s v="W"/>
    <s v="36"/>
    <x v="8"/>
    <s v="6120006"/>
    <n v="2"/>
    <n v="10"/>
    <n v="10"/>
  </r>
  <r>
    <s v="RESI"/>
    <x v="11"/>
    <x v="3"/>
    <x v="0"/>
    <x v="0"/>
    <n v="1"/>
    <n v="1"/>
    <n v="1"/>
    <s v="W"/>
    <s v="30"/>
    <x v="2"/>
    <s v="6120008"/>
    <n v="2"/>
    <n v="9"/>
    <n v="9"/>
  </r>
  <r>
    <s v="RESI"/>
    <x v="11"/>
    <x v="3"/>
    <x v="0"/>
    <x v="3"/>
    <n v="1"/>
    <n v="1"/>
    <n v="1"/>
    <s v="W"/>
    <s v="30"/>
    <x v="2"/>
    <s v="6120008"/>
    <n v="2"/>
    <n v="2"/>
    <n v="2"/>
  </r>
  <r>
    <s v="RESI"/>
    <x v="11"/>
    <x v="3"/>
    <x v="0"/>
    <x v="0"/>
    <n v="1"/>
    <n v="1"/>
    <n v="1"/>
    <s v="W"/>
    <s v="30"/>
    <x v="2"/>
    <s v="6120009"/>
    <n v="2"/>
    <n v="3"/>
    <n v="3"/>
  </r>
  <r>
    <s v="RESI"/>
    <x v="11"/>
    <x v="3"/>
    <x v="0"/>
    <x v="3"/>
    <n v="1"/>
    <n v="1"/>
    <n v="1"/>
    <s v="W"/>
    <s v="30"/>
    <x v="2"/>
    <s v="6120009"/>
    <n v="2"/>
    <n v="2"/>
    <n v="2"/>
  </r>
  <r>
    <s v="RESI"/>
    <x v="11"/>
    <x v="3"/>
    <x v="0"/>
    <x v="0"/>
    <n v="1"/>
    <n v="1"/>
    <n v="1"/>
    <s v="W"/>
    <s v="35"/>
    <x v="4"/>
    <s v="6120015"/>
    <n v="2"/>
    <n v="123"/>
    <n v="123"/>
  </r>
  <r>
    <s v="RESI"/>
    <x v="11"/>
    <x v="3"/>
    <x v="0"/>
    <x v="0"/>
    <n v="1"/>
    <n v="1"/>
    <n v="1"/>
    <s v="W"/>
    <s v="30"/>
    <x v="2"/>
    <s v="6120028"/>
    <n v="2"/>
    <n v="142"/>
    <n v="142"/>
  </r>
  <r>
    <s v="RESI"/>
    <x v="11"/>
    <x v="3"/>
    <x v="0"/>
    <x v="3"/>
    <n v="1"/>
    <n v="1"/>
    <n v="1"/>
    <s v="W"/>
    <s v="30"/>
    <x v="2"/>
    <s v="6120028"/>
    <n v="2"/>
    <n v="18"/>
    <n v="18"/>
  </r>
  <r>
    <s v="RESI"/>
    <x v="11"/>
    <x v="3"/>
    <x v="0"/>
    <x v="0"/>
    <n v="1"/>
    <n v="1"/>
    <n v="1"/>
    <s v="W"/>
    <s v="33"/>
    <x v="9"/>
    <s v="6120040"/>
    <n v="2"/>
    <n v="24"/>
    <n v="24"/>
  </r>
  <r>
    <s v="RESI"/>
    <x v="11"/>
    <x v="3"/>
    <x v="0"/>
    <x v="3"/>
    <n v="1"/>
    <n v="1"/>
    <n v="1"/>
    <s v="W"/>
    <s v="33"/>
    <x v="9"/>
    <s v="6120040"/>
    <n v="2"/>
    <n v="4"/>
    <n v="4"/>
  </r>
  <r>
    <s v="RESI"/>
    <x v="11"/>
    <x v="3"/>
    <x v="0"/>
    <x v="0"/>
    <n v="1"/>
    <n v="1"/>
    <n v="1"/>
    <s v="W"/>
    <s v="30"/>
    <x v="2"/>
    <s v="6130002"/>
    <n v="3"/>
    <n v="1"/>
    <n v="1"/>
  </r>
  <r>
    <s v="RESI"/>
    <x v="11"/>
    <x v="3"/>
    <x v="0"/>
    <x v="0"/>
    <n v="1"/>
    <n v="1"/>
    <n v="1"/>
    <s v="W"/>
    <s v="32"/>
    <x v="7"/>
    <s v="6130004"/>
    <n v="3"/>
    <n v="111"/>
    <n v="111"/>
  </r>
  <r>
    <s v="RESI"/>
    <x v="11"/>
    <x v="3"/>
    <x v="0"/>
    <x v="3"/>
    <n v="1"/>
    <n v="1"/>
    <n v="1"/>
    <s v="W"/>
    <s v="32"/>
    <x v="7"/>
    <s v="6130004"/>
    <n v="3"/>
    <n v="49"/>
    <n v="49"/>
  </r>
  <r>
    <s v="RESI"/>
    <x v="11"/>
    <x v="3"/>
    <x v="0"/>
    <x v="0"/>
    <n v="1"/>
    <n v="1"/>
    <n v="1"/>
    <s v="W"/>
    <s v="31"/>
    <x v="3"/>
    <s v="6130005"/>
    <n v="3"/>
    <n v="66"/>
    <n v="66"/>
  </r>
  <r>
    <s v="RESI"/>
    <x v="11"/>
    <x v="3"/>
    <x v="0"/>
    <x v="3"/>
    <n v="1"/>
    <n v="1"/>
    <n v="1"/>
    <s v="W"/>
    <s v="31"/>
    <x v="3"/>
    <s v="6130005"/>
    <n v="3"/>
    <n v="21"/>
    <n v="21"/>
  </r>
  <r>
    <s v="RESI"/>
    <x v="11"/>
    <x v="3"/>
    <x v="0"/>
    <x v="0"/>
    <n v="1"/>
    <n v="1"/>
    <n v="1"/>
    <s v="W"/>
    <s v="36"/>
    <x v="8"/>
    <s v="6130006"/>
    <n v="3"/>
    <n v="7"/>
    <n v="7"/>
  </r>
  <r>
    <s v="RESI"/>
    <x v="11"/>
    <x v="3"/>
    <x v="0"/>
    <x v="3"/>
    <n v="1"/>
    <n v="1"/>
    <n v="1"/>
    <s v="W"/>
    <s v="36"/>
    <x v="8"/>
    <s v="6130006"/>
    <n v="3"/>
    <n v="4"/>
    <n v="4"/>
  </r>
  <r>
    <s v="RESI"/>
    <x v="11"/>
    <x v="3"/>
    <x v="0"/>
    <x v="3"/>
    <n v="1"/>
    <n v="1"/>
    <n v="1"/>
    <s v="W"/>
    <s v="30"/>
    <x v="2"/>
    <s v="6130008"/>
    <n v="3"/>
    <n v="3"/>
    <n v="3"/>
  </r>
  <r>
    <s v="RESI"/>
    <x v="11"/>
    <x v="3"/>
    <x v="0"/>
    <x v="0"/>
    <n v="1"/>
    <n v="1"/>
    <n v="1"/>
    <s v="W"/>
    <s v="30"/>
    <x v="2"/>
    <s v="6130008"/>
    <n v="3"/>
    <n v="7"/>
    <n v="7"/>
  </r>
  <r>
    <s v="RESI"/>
    <x v="11"/>
    <x v="3"/>
    <x v="0"/>
    <x v="0"/>
    <n v="1"/>
    <n v="1"/>
    <n v="1"/>
    <s v="W"/>
    <s v="30"/>
    <x v="2"/>
    <s v="6130009"/>
    <n v="3"/>
    <n v="6"/>
    <n v="6"/>
  </r>
  <r>
    <s v="RESI"/>
    <x v="11"/>
    <x v="3"/>
    <x v="0"/>
    <x v="3"/>
    <n v="1"/>
    <n v="1"/>
    <n v="1"/>
    <s v="W"/>
    <s v="30"/>
    <x v="2"/>
    <s v="6130009"/>
    <n v="3"/>
    <n v="3"/>
    <n v="3"/>
  </r>
  <r>
    <s v="RESI"/>
    <x v="11"/>
    <x v="3"/>
    <x v="0"/>
    <x v="0"/>
    <n v="1"/>
    <n v="1"/>
    <n v="1"/>
    <s v="W"/>
    <s v="35"/>
    <x v="4"/>
    <s v="6130015"/>
    <n v="3"/>
    <n v="116"/>
    <n v="116"/>
  </r>
  <r>
    <s v="RESI"/>
    <x v="11"/>
    <x v="3"/>
    <x v="0"/>
    <x v="0"/>
    <n v="1"/>
    <n v="1"/>
    <n v="1"/>
    <s v="W"/>
    <s v="3A"/>
    <x v="0"/>
    <s v="6130022"/>
    <n v="3"/>
    <n v="6"/>
    <n v="6"/>
  </r>
  <r>
    <s v="RESI"/>
    <x v="11"/>
    <x v="3"/>
    <x v="0"/>
    <x v="0"/>
    <n v="1"/>
    <n v="1"/>
    <n v="1"/>
    <s v="W"/>
    <s v="30"/>
    <x v="2"/>
    <s v="6130028"/>
    <n v="3"/>
    <n v="155"/>
    <n v="155"/>
  </r>
  <r>
    <s v="RESI"/>
    <x v="11"/>
    <x v="3"/>
    <x v="0"/>
    <x v="3"/>
    <n v="1"/>
    <n v="1"/>
    <n v="1"/>
    <s v="W"/>
    <s v="30"/>
    <x v="2"/>
    <s v="6130028"/>
    <n v="3"/>
    <n v="26"/>
    <n v="26"/>
  </r>
  <r>
    <s v="COMM"/>
    <x v="11"/>
    <x v="3"/>
    <x v="0"/>
    <x v="4"/>
    <n v="1"/>
    <n v="1"/>
    <n v="1"/>
    <s v="W"/>
    <s v="16"/>
    <x v="16"/>
    <s v="6170006"/>
    <n v="9"/>
    <n v="1"/>
    <n v="1"/>
  </r>
  <r>
    <s v="RESI"/>
    <x v="11"/>
    <x v="3"/>
    <x v="0"/>
    <x v="0"/>
    <n v="1"/>
    <n v="1"/>
    <n v="2"/>
    <s v="W"/>
    <s v="30"/>
    <x v="2"/>
    <s v="6110003"/>
    <n v="1"/>
    <n v="2"/>
    <n v="2"/>
  </r>
  <r>
    <s v="RESI"/>
    <x v="11"/>
    <x v="3"/>
    <x v="0"/>
    <x v="3"/>
    <n v="1"/>
    <n v="1"/>
    <n v="2"/>
    <s v="W"/>
    <s v="30"/>
    <x v="2"/>
    <s v="6110003"/>
    <n v="1"/>
    <n v="1"/>
    <n v="1"/>
  </r>
  <r>
    <s v="RESI"/>
    <x v="11"/>
    <x v="3"/>
    <x v="0"/>
    <x v="0"/>
    <n v="1"/>
    <n v="1"/>
    <n v="2"/>
    <s v="W"/>
    <s v="30"/>
    <x v="2"/>
    <s v="6120003"/>
    <n v="2"/>
    <n v="1"/>
    <n v="1"/>
  </r>
  <r>
    <s v="RESI"/>
    <x v="11"/>
    <x v="3"/>
    <x v="0"/>
    <x v="0"/>
    <n v="1"/>
    <n v="1"/>
    <n v="2"/>
    <s v="W"/>
    <s v="30"/>
    <x v="2"/>
    <s v="6130003"/>
    <n v="3"/>
    <n v="5"/>
    <n v="5"/>
  </r>
  <r>
    <s v="RESI"/>
    <x v="11"/>
    <x v="3"/>
    <x v="0"/>
    <x v="3"/>
    <n v="5"/>
    <n v="5"/>
    <n v="1"/>
    <s v="W"/>
    <s v="32"/>
    <x v="7"/>
    <s v="6130004"/>
    <n v="3"/>
    <n v="5"/>
    <n v="1"/>
  </r>
  <r>
    <s v="RESI"/>
    <x v="11"/>
    <x v="5"/>
    <x v="0"/>
    <x v="0"/>
    <n v="1"/>
    <n v="1"/>
    <n v="1"/>
    <s v="W"/>
    <s v="3B"/>
    <x v="2"/>
    <s v="6080001"/>
    <n v="1"/>
    <n v="2"/>
    <n v="2"/>
  </r>
  <r>
    <s v="RESI"/>
    <x v="11"/>
    <x v="5"/>
    <x v="0"/>
    <x v="0"/>
    <n v="1"/>
    <n v="1"/>
    <n v="1"/>
    <s v="W"/>
    <s v="3C"/>
    <x v="5"/>
    <s v="6080004"/>
    <n v="1"/>
    <n v="5"/>
    <n v="5"/>
  </r>
  <r>
    <s v="RESI"/>
    <x v="11"/>
    <x v="5"/>
    <x v="0"/>
    <x v="0"/>
    <n v="1"/>
    <n v="1"/>
    <n v="1"/>
    <s v="W"/>
    <s v="3C"/>
    <x v="5"/>
    <s v="6080004"/>
    <n v="3"/>
    <n v="17"/>
    <n v="17"/>
  </r>
  <r>
    <s v="RESI"/>
    <x v="11"/>
    <x v="5"/>
    <x v="0"/>
    <x v="0"/>
    <n v="1"/>
    <n v="1"/>
    <n v="1"/>
    <s v="W"/>
    <s v="3B"/>
    <x v="2"/>
    <s v="6080020"/>
    <n v="2"/>
    <n v="3"/>
    <n v="3"/>
  </r>
  <r>
    <s v="RESI"/>
    <x v="11"/>
    <x v="5"/>
    <x v="0"/>
    <x v="0"/>
    <n v="1"/>
    <n v="1"/>
    <n v="1"/>
    <s v="W"/>
    <s v="3B"/>
    <x v="2"/>
    <s v="6080050"/>
    <n v="5"/>
    <n v="5"/>
    <n v="5"/>
  </r>
  <r>
    <s v="RESI"/>
    <x v="11"/>
    <x v="5"/>
    <x v="0"/>
    <x v="0"/>
    <n v="1"/>
    <n v="1"/>
    <n v="1"/>
    <s v="W"/>
    <s v="30"/>
    <x v="2"/>
    <s v="6110003"/>
    <n v="1"/>
    <n v="1"/>
    <n v="1"/>
  </r>
  <r>
    <s v="RESI"/>
    <x v="11"/>
    <x v="5"/>
    <x v="0"/>
    <x v="0"/>
    <n v="1"/>
    <n v="1"/>
    <n v="1"/>
    <s v="W"/>
    <s v="32"/>
    <x v="7"/>
    <s v="6110004"/>
    <n v="1"/>
    <n v="5"/>
    <n v="5"/>
  </r>
  <r>
    <s v="RESI"/>
    <x v="11"/>
    <x v="5"/>
    <x v="0"/>
    <x v="0"/>
    <n v="1"/>
    <n v="1"/>
    <n v="1"/>
    <s v="W"/>
    <s v="31"/>
    <x v="3"/>
    <s v="6110005"/>
    <n v="1"/>
    <n v="78"/>
    <n v="78"/>
  </r>
  <r>
    <s v="RESI"/>
    <x v="11"/>
    <x v="5"/>
    <x v="0"/>
    <x v="3"/>
    <n v="1"/>
    <n v="1"/>
    <n v="1"/>
    <s v="W"/>
    <s v="31"/>
    <x v="3"/>
    <s v="6110005"/>
    <n v="1"/>
    <n v="2"/>
    <n v="2"/>
  </r>
  <r>
    <s v="RESI"/>
    <x v="11"/>
    <x v="5"/>
    <x v="0"/>
    <x v="0"/>
    <n v="1"/>
    <n v="1"/>
    <n v="1"/>
    <s v="W"/>
    <s v="36"/>
    <x v="8"/>
    <s v="6110006"/>
    <n v="1"/>
    <n v="3"/>
    <n v="3"/>
  </r>
  <r>
    <s v="RESI"/>
    <x v="11"/>
    <x v="5"/>
    <x v="0"/>
    <x v="0"/>
    <n v="1"/>
    <n v="1"/>
    <n v="1"/>
    <s v="W"/>
    <s v="35"/>
    <x v="4"/>
    <s v="6110015"/>
    <n v="1"/>
    <n v="13"/>
    <n v="13"/>
  </r>
  <r>
    <s v="RESI"/>
    <x v="11"/>
    <x v="5"/>
    <x v="0"/>
    <x v="0"/>
    <n v="1"/>
    <n v="1"/>
    <n v="1"/>
    <s v="W"/>
    <s v="30"/>
    <x v="2"/>
    <s v="6110028"/>
    <n v="1"/>
    <n v="2"/>
    <n v="2"/>
  </r>
  <r>
    <s v="RESI"/>
    <x v="11"/>
    <x v="5"/>
    <x v="0"/>
    <x v="0"/>
    <n v="1"/>
    <n v="1"/>
    <n v="1"/>
    <s v="W"/>
    <s v="32"/>
    <x v="7"/>
    <s v="6120004"/>
    <n v="2"/>
    <n v="2"/>
    <n v="2"/>
  </r>
  <r>
    <s v="RESI"/>
    <x v="11"/>
    <x v="5"/>
    <x v="0"/>
    <x v="0"/>
    <n v="1"/>
    <n v="1"/>
    <n v="1"/>
    <s v="W"/>
    <s v="31"/>
    <x v="3"/>
    <s v="6120005"/>
    <n v="2"/>
    <n v="109"/>
    <n v="109"/>
  </r>
  <r>
    <s v="RESI"/>
    <x v="11"/>
    <x v="5"/>
    <x v="0"/>
    <x v="3"/>
    <n v="1"/>
    <n v="1"/>
    <n v="1"/>
    <s v="W"/>
    <s v="31"/>
    <x v="3"/>
    <s v="6120005"/>
    <n v="2"/>
    <n v="3"/>
    <n v="3"/>
  </r>
  <r>
    <s v="RESI"/>
    <x v="11"/>
    <x v="5"/>
    <x v="0"/>
    <x v="3"/>
    <n v="1"/>
    <n v="1"/>
    <n v="1"/>
    <s v="W"/>
    <s v="36"/>
    <x v="8"/>
    <s v="6120006"/>
    <n v="2"/>
    <n v="1"/>
    <n v="1"/>
  </r>
  <r>
    <s v="RESI"/>
    <x v="11"/>
    <x v="5"/>
    <x v="0"/>
    <x v="0"/>
    <n v="1"/>
    <n v="1"/>
    <n v="1"/>
    <s v="W"/>
    <s v="30"/>
    <x v="2"/>
    <s v="6120008"/>
    <n v="2"/>
    <n v="1"/>
    <n v="1"/>
  </r>
  <r>
    <s v="RESI"/>
    <x v="11"/>
    <x v="5"/>
    <x v="0"/>
    <x v="0"/>
    <n v="1"/>
    <n v="1"/>
    <n v="1"/>
    <s v="W"/>
    <s v="35"/>
    <x v="4"/>
    <s v="6120015"/>
    <n v="2"/>
    <n v="9"/>
    <n v="9"/>
  </r>
  <r>
    <s v="RESI"/>
    <x v="11"/>
    <x v="5"/>
    <x v="0"/>
    <x v="0"/>
    <n v="1"/>
    <n v="1"/>
    <n v="1"/>
    <s v="W"/>
    <s v="30"/>
    <x v="2"/>
    <s v="6120028"/>
    <n v="2"/>
    <n v="3"/>
    <n v="3"/>
  </r>
  <r>
    <s v="RESI"/>
    <x v="11"/>
    <x v="5"/>
    <x v="0"/>
    <x v="3"/>
    <n v="1"/>
    <n v="1"/>
    <n v="1"/>
    <s v="W"/>
    <s v="30"/>
    <x v="2"/>
    <s v="6120028"/>
    <n v="2"/>
    <n v="1"/>
    <n v="1"/>
  </r>
  <r>
    <s v="RESI"/>
    <x v="11"/>
    <x v="5"/>
    <x v="0"/>
    <x v="0"/>
    <n v="1"/>
    <n v="1"/>
    <n v="1"/>
    <s v="W"/>
    <s v="33"/>
    <x v="9"/>
    <s v="6120040"/>
    <n v="2"/>
    <n v="18"/>
    <n v="18"/>
  </r>
  <r>
    <s v="RESI"/>
    <x v="11"/>
    <x v="5"/>
    <x v="0"/>
    <x v="3"/>
    <n v="1"/>
    <n v="1"/>
    <n v="1"/>
    <s v="W"/>
    <s v="33"/>
    <x v="9"/>
    <s v="6120040"/>
    <n v="2"/>
    <n v="1"/>
    <n v="1"/>
  </r>
  <r>
    <s v="RESI"/>
    <x v="11"/>
    <x v="5"/>
    <x v="0"/>
    <x v="0"/>
    <n v="1"/>
    <n v="1"/>
    <n v="1"/>
    <s v="W"/>
    <s v="32"/>
    <x v="7"/>
    <s v="6130004"/>
    <n v="3"/>
    <n v="5"/>
    <n v="5"/>
  </r>
  <r>
    <s v="RESI"/>
    <x v="11"/>
    <x v="5"/>
    <x v="0"/>
    <x v="0"/>
    <n v="1"/>
    <n v="1"/>
    <n v="1"/>
    <s v="W"/>
    <s v="31"/>
    <x v="3"/>
    <s v="6130005"/>
    <n v="3"/>
    <n v="66"/>
    <n v="66"/>
  </r>
  <r>
    <s v="RESI"/>
    <x v="11"/>
    <x v="5"/>
    <x v="0"/>
    <x v="3"/>
    <n v="1"/>
    <n v="1"/>
    <n v="1"/>
    <s v="W"/>
    <s v="31"/>
    <x v="3"/>
    <s v="6130005"/>
    <n v="3"/>
    <n v="2"/>
    <n v="2"/>
  </r>
  <r>
    <s v="RESI"/>
    <x v="11"/>
    <x v="5"/>
    <x v="0"/>
    <x v="0"/>
    <n v="1"/>
    <n v="1"/>
    <n v="1"/>
    <s v="W"/>
    <s v="36"/>
    <x v="8"/>
    <s v="6130006"/>
    <n v="3"/>
    <n v="1"/>
    <n v="1"/>
  </r>
  <r>
    <s v="RESI"/>
    <x v="11"/>
    <x v="5"/>
    <x v="0"/>
    <x v="0"/>
    <n v="1"/>
    <n v="1"/>
    <n v="1"/>
    <s v="W"/>
    <s v="30"/>
    <x v="2"/>
    <s v="6130008"/>
    <n v="3"/>
    <n v="2"/>
    <n v="2"/>
  </r>
  <r>
    <s v="RESI"/>
    <x v="11"/>
    <x v="5"/>
    <x v="0"/>
    <x v="0"/>
    <n v="1"/>
    <n v="1"/>
    <n v="1"/>
    <s v="W"/>
    <s v="30"/>
    <x v="2"/>
    <s v="6130009"/>
    <n v="3"/>
    <n v="1"/>
    <n v="1"/>
  </r>
  <r>
    <s v="RESI"/>
    <x v="11"/>
    <x v="5"/>
    <x v="0"/>
    <x v="0"/>
    <n v="1"/>
    <n v="1"/>
    <n v="1"/>
    <s v="W"/>
    <s v="35"/>
    <x v="4"/>
    <s v="6130015"/>
    <n v="3"/>
    <n v="14"/>
    <n v="14"/>
  </r>
  <r>
    <s v="RESI"/>
    <x v="11"/>
    <x v="5"/>
    <x v="0"/>
    <x v="0"/>
    <n v="1"/>
    <n v="1"/>
    <n v="1"/>
    <s v="W"/>
    <s v="3A"/>
    <x v="0"/>
    <s v="6130022"/>
    <n v="3"/>
    <n v="1"/>
    <n v="1"/>
  </r>
  <r>
    <s v="RESI"/>
    <x v="11"/>
    <x v="5"/>
    <x v="0"/>
    <x v="0"/>
    <n v="1"/>
    <n v="1"/>
    <n v="1"/>
    <s v="W"/>
    <s v="30"/>
    <x v="2"/>
    <s v="6130028"/>
    <n v="3"/>
    <n v="6"/>
    <n v="6"/>
  </r>
  <r>
    <s v="RESI"/>
    <x v="11"/>
    <x v="5"/>
    <x v="0"/>
    <x v="3"/>
    <n v="1"/>
    <n v="1"/>
    <n v="1"/>
    <s v="W"/>
    <s v="30"/>
    <x v="2"/>
    <s v="6130028"/>
    <n v="3"/>
    <n v="1"/>
    <n v="1"/>
  </r>
  <r>
    <s v="COMM"/>
    <x v="11"/>
    <x v="5"/>
    <x v="0"/>
    <x v="2"/>
    <n v="1"/>
    <n v="1"/>
    <n v="1"/>
    <s v="W"/>
    <s v="71"/>
    <x v="1"/>
    <s v="6170055"/>
    <n v="9"/>
    <n v="1"/>
    <n v="1"/>
  </r>
  <r>
    <s v="RESI"/>
    <x v="11"/>
    <x v="5"/>
    <x v="0"/>
    <x v="0"/>
    <n v="2"/>
    <n v="2"/>
    <n v="1"/>
    <s v="W"/>
    <s v="31"/>
    <x v="3"/>
    <s v="6110005"/>
    <n v="1"/>
    <n v="6"/>
    <n v="3"/>
  </r>
  <r>
    <s v="RESI"/>
    <x v="11"/>
    <x v="5"/>
    <x v="0"/>
    <x v="3"/>
    <n v="2"/>
    <n v="2"/>
    <n v="1"/>
    <s v="W"/>
    <s v="31"/>
    <x v="3"/>
    <s v="6110005"/>
    <n v="1"/>
    <n v="2"/>
    <n v="1"/>
  </r>
  <r>
    <s v="RESI"/>
    <x v="11"/>
    <x v="5"/>
    <x v="0"/>
    <x v="0"/>
    <n v="2"/>
    <n v="2"/>
    <n v="1"/>
    <s v="W"/>
    <s v="31"/>
    <x v="3"/>
    <s v="6120005"/>
    <n v="2"/>
    <n v="4"/>
    <n v="2"/>
  </r>
  <r>
    <s v="RESI"/>
    <x v="11"/>
    <x v="5"/>
    <x v="0"/>
    <x v="0"/>
    <n v="2"/>
    <n v="2"/>
    <n v="1"/>
    <s v="W"/>
    <s v="33"/>
    <x v="9"/>
    <s v="6120040"/>
    <n v="2"/>
    <n v="2"/>
    <n v="1"/>
  </r>
  <r>
    <s v="RESI"/>
    <x v="11"/>
    <x v="5"/>
    <x v="0"/>
    <x v="3"/>
    <n v="2"/>
    <n v="2"/>
    <n v="1"/>
    <s v="W"/>
    <s v="33"/>
    <x v="9"/>
    <s v="6120040"/>
    <n v="2"/>
    <n v="2"/>
    <n v="1"/>
  </r>
  <r>
    <s v="RESI"/>
    <x v="11"/>
    <x v="5"/>
    <x v="0"/>
    <x v="0"/>
    <n v="3"/>
    <n v="3"/>
    <n v="1"/>
    <s v="W"/>
    <s v="33"/>
    <x v="9"/>
    <s v="6120040"/>
    <n v="2"/>
    <n v="9"/>
    <n v="3"/>
  </r>
  <r>
    <s v="RESI"/>
    <x v="11"/>
    <x v="6"/>
    <x v="0"/>
    <x v="0"/>
    <n v="1"/>
    <n v="1"/>
    <n v="1"/>
    <s v="W"/>
    <s v="31"/>
    <x v="3"/>
    <s v="6110005"/>
    <n v="1"/>
    <n v="2"/>
    <n v="2"/>
  </r>
  <r>
    <s v="RESI"/>
    <x v="11"/>
    <x v="6"/>
    <x v="0"/>
    <x v="0"/>
    <n v="1"/>
    <n v="1"/>
    <n v="1"/>
    <s v="W"/>
    <s v="31"/>
    <x v="3"/>
    <s v="6120005"/>
    <n v="2"/>
    <n v="1"/>
    <n v="1"/>
  </r>
  <r>
    <s v="RESI"/>
    <x v="11"/>
    <x v="6"/>
    <x v="0"/>
    <x v="0"/>
    <n v="1"/>
    <n v="1"/>
    <n v="1"/>
    <s v="W"/>
    <s v="31"/>
    <x v="3"/>
    <s v="6130005"/>
    <n v="3"/>
    <n v="1"/>
    <n v="1"/>
  </r>
  <r>
    <s v="RESI"/>
    <x v="11"/>
    <x v="7"/>
    <x v="0"/>
    <x v="0"/>
    <n v="1"/>
    <n v="1"/>
    <n v="1"/>
    <s v="W"/>
    <s v="3B"/>
    <x v="2"/>
    <s v="6080001"/>
    <n v="1"/>
    <n v="650"/>
    <n v="650"/>
  </r>
  <r>
    <s v="RESI"/>
    <x v="11"/>
    <x v="7"/>
    <x v="0"/>
    <x v="0"/>
    <n v="1"/>
    <n v="1"/>
    <n v="1"/>
    <s v="W"/>
    <s v="3C"/>
    <x v="5"/>
    <s v="6080004"/>
    <n v="1"/>
    <n v="428"/>
    <n v="428"/>
  </r>
  <r>
    <s v="RESI"/>
    <x v="11"/>
    <x v="7"/>
    <x v="0"/>
    <x v="0"/>
    <n v="1"/>
    <n v="1"/>
    <n v="1"/>
    <s v="W"/>
    <s v="3C"/>
    <x v="5"/>
    <s v="6080004"/>
    <n v="3"/>
    <n v="730"/>
    <n v="730"/>
  </r>
  <r>
    <s v="RESI"/>
    <x v="11"/>
    <x v="7"/>
    <x v="0"/>
    <x v="0"/>
    <n v="1"/>
    <n v="1"/>
    <n v="1"/>
    <s v="W"/>
    <s v="3B"/>
    <x v="2"/>
    <s v="6080020"/>
    <n v="2"/>
    <n v="637"/>
    <n v="637"/>
  </r>
  <r>
    <s v="RESI"/>
    <x v="11"/>
    <x v="7"/>
    <x v="0"/>
    <x v="0"/>
    <n v="1"/>
    <n v="1"/>
    <n v="1"/>
    <s v="W"/>
    <s v="3B"/>
    <x v="2"/>
    <s v="6080050"/>
    <n v="5"/>
    <n v="652"/>
    <n v="652"/>
  </r>
  <r>
    <s v="RESI"/>
    <x v="11"/>
    <x v="7"/>
    <x v="0"/>
    <x v="0"/>
    <n v="1"/>
    <n v="1"/>
    <n v="1"/>
    <s v="W"/>
    <s v="30"/>
    <x v="2"/>
    <s v="6110002"/>
    <n v="1"/>
    <n v="18"/>
    <n v="18"/>
  </r>
  <r>
    <s v="RESI"/>
    <x v="11"/>
    <x v="7"/>
    <x v="0"/>
    <x v="3"/>
    <n v="1"/>
    <n v="1"/>
    <n v="1"/>
    <s v="W"/>
    <s v="30"/>
    <x v="2"/>
    <s v="6110002"/>
    <n v="1"/>
    <n v="10"/>
    <n v="10"/>
  </r>
  <r>
    <s v="RESI"/>
    <x v="11"/>
    <x v="7"/>
    <x v="0"/>
    <x v="0"/>
    <n v="1"/>
    <n v="1"/>
    <n v="1"/>
    <s v="W"/>
    <s v="30"/>
    <x v="2"/>
    <s v="6110003"/>
    <n v="1"/>
    <n v="2"/>
    <n v="2"/>
  </r>
  <r>
    <s v="RESI"/>
    <x v="11"/>
    <x v="7"/>
    <x v="0"/>
    <x v="0"/>
    <n v="1"/>
    <n v="1"/>
    <n v="1"/>
    <s v="W"/>
    <s v="32"/>
    <x v="7"/>
    <s v="6110004"/>
    <n v="1"/>
    <n v="819"/>
    <n v="819"/>
  </r>
  <r>
    <s v="RESI"/>
    <x v="11"/>
    <x v="7"/>
    <x v="0"/>
    <x v="3"/>
    <n v="1"/>
    <n v="1"/>
    <n v="1"/>
    <s v="W"/>
    <s v="32"/>
    <x v="7"/>
    <s v="6110004"/>
    <n v="1"/>
    <n v="193"/>
    <n v="193"/>
  </r>
  <r>
    <s v="RESI"/>
    <x v="11"/>
    <x v="7"/>
    <x v="0"/>
    <x v="0"/>
    <n v="1"/>
    <n v="1"/>
    <n v="1"/>
    <s v="W"/>
    <s v="31"/>
    <x v="3"/>
    <s v="6110005"/>
    <n v="1"/>
    <n v="6194"/>
    <n v="6194"/>
  </r>
  <r>
    <s v="RESI"/>
    <x v="11"/>
    <x v="7"/>
    <x v="0"/>
    <x v="0"/>
    <n v="1"/>
    <n v="1"/>
    <n v="1"/>
    <s v="W"/>
    <s v="32"/>
    <x v="7"/>
    <s v="6110005"/>
    <n v="1"/>
    <n v="1"/>
    <n v="1"/>
  </r>
  <r>
    <s v="RESI"/>
    <x v="11"/>
    <x v="7"/>
    <x v="0"/>
    <x v="0"/>
    <n v="1"/>
    <n v="1"/>
    <n v="1"/>
    <s v="W"/>
    <s v="35"/>
    <x v="4"/>
    <s v="6110005"/>
    <n v="1"/>
    <n v="1"/>
    <n v="1"/>
  </r>
  <r>
    <s v="RESI"/>
    <x v="11"/>
    <x v="7"/>
    <x v="0"/>
    <x v="3"/>
    <n v="1"/>
    <n v="1"/>
    <n v="1"/>
    <s v="W"/>
    <s v="31"/>
    <x v="3"/>
    <s v="6110005"/>
    <n v="1"/>
    <n v="2655"/>
    <n v="2655"/>
  </r>
  <r>
    <s v="RESI"/>
    <x v="11"/>
    <x v="7"/>
    <x v="0"/>
    <x v="0"/>
    <n v="1"/>
    <n v="1"/>
    <n v="1"/>
    <s v="W"/>
    <s v="36"/>
    <x v="8"/>
    <s v="6110006"/>
    <n v="1"/>
    <n v="152"/>
    <n v="152"/>
  </r>
  <r>
    <s v="RESI"/>
    <x v="11"/>
    <x v="7"/>
    <x v="0"/>
    <x v="3"/>
    <n v="1"/>
    <n v="1"/>
    <n v="1"/>
    <s v="W"/>
    <s v="36"/>
    <x v="8"/>
    <s v="6110006"/>
    <n v="1"/>
    <n v="47"/>
    <n v="47"/>
  </r>
  <r>
    <s v="RESI"/>
    <x v="11"/>
    <x v="7"/>
    <x v="0"/>
    <x v="0"/>
    <n v="1"/>
    <n v="1"/>
    <n v="1"/>
    <s v="W"/>
    <s v="30"/>
    <x v="2"/>
    <s v="6110008"/>
    <n v="1"/>
    <n v="129"/>
    <n v="129"/>
  </r>
  <r>
    <s v="RESI"/>
    <x v="11"/>
    <x v="7"/>
    <x v="0"/>
    <x v="3"/>
    <n v="1"/>
    <n v="1"/>
    <n v="1"/>
    <s v="W"/>
    <s v="30"/>
    <x v="2"/>
    <s v="6110008"/>
    <n v="1"/>
    <n v="40"/>
    <n v="40"/>
  </r>
  <r>
    <s v="RESI"/>
    <x v="11"/>
    <x v="7"/>
    <x v="0"/>
    <x v="0"/>
    <n v="1"/>
    <n v="1"/>
    <n v="1"/>
    <s v="W"/>
    <s v="30"/>
    <x v="2"/>
    <s v="6110009"/>
    <n v="1"/>
    <n v="55"/>
    <n v="55"/>
  </r>
  <r>
    <s v="RESI"/>
    <x v="11"/>
    <x v="7"/>
    <x v="0"/>
    <x v="3"/>
    <n v="1"/>
    <n v="1"/>
    <n v="1"/>
    <s v="W"/>
    <s v="30"/>
    <x v="2"/>
    <s v="6110009"/>
    <n v="1"/>
    <n v="12"/>
    <n v="12"/>
  </r>
  <r>
    <s v="RESI"/>
    <x v="11"/>
    <x v="7"/>
    <x v="0"/>
    <x v="0"/>
    <n v="1"/>
    <n v="1"/>
    <n v="1"/>
    <s v="W"/>
    <s v="35"/>
    <x v="4"/>
    <s v="6110015"/>
    <n v="1"/>
    <n v="1515"/>
    <n v="1515"/>
  </r>
  <r>
    <s v="RESI"/>
    <x v="11"/>
    <x v="7"/>
    <x v="0"/>
    <x v="3"/>
    <n v="1"/>
    <n v="1"/>
    <n v="1"/>
    <s v="W"/>
    <s v="30"/>
    <x v="2"/>
    <s v="6110028"/>
    <n v="1"/>
    <n v="186"/>
    <n v="186"/>
  </r>
  <r>
    <s v="RESI"/>
    <x v="11"/>
    <x v="7"/>
    <x v="0"/>
    <x v="0"/>
    <n v="1"/>
    <n v="1"/>
    <n v="1"/>
    <s v="W"/>
    <s v="30"/>
    <x v="2"/>
    <s v="6110028"/>
    <n v="1"/>
    <n v="794"/>
    <n v="794"/>
  </r>
  <r>
    <s v="RESI"/>
    <x v="11"/>
    <x v="7"/>
    <x v="0"/>
    <x v="3"/>
    <n v="1"/>
    <n v="1"/>
    <n v="1"/>
    <s v="W"/>
    <s v="30"/>
    <x v="2"/>
    <s v="6120002"/>
    <n v="2"/>
    <n v="6"/>
    <n v="6"/>
  </r>
  <r>
    <s v="RESI"/>
    <x v="11"/>
    <x v="7"/>
    <x v="0"/>
    <x v="0"/>
    <n v="1"/>
    <n v="1"/>
    <n v="1"/>
    <s v="W"/>
    <s v="30"/>
    <x v="2"/>
    <s v="6120002"/>
    <n v="2"/>
    <n v="16"/>
    <n v="16"/>
  </r>
  <r>
    <s v="RESI"/>
    <x v="11"/>
    <x v="7"/>
    <x v="0"/>
    <x v="0"/>
    <n v="1"/>
    <n v="1"/>
    <n v="1"/>
    <s v="W"/>
    <s v="30"/>
    <x v="2"/>
    <s v="6120003"/>
    <n v="2"/>
    <n v="2"/>
    <n v="2"/>
  </r>
  <r>
    <s v="RESI"/>
    <x v="11"/>
    <x v="7"/>
    <x v="0"/>
    <x v="3"/>
    <n v="1"/>
    <n v="1"/>
    <n v="1"/>
    <s v="W"/>
    <s v="30"/>
    <x v="2"/>
    <s v="6120003"/>
    <n v="2"/>
    <n v="1"/>
    <n v="1"/>
  </r>
  <r>
    <s v="RESI"/>
    <x v="11"/>
    <x v="7"/>
    <x v="0"/>
    <x v="0"/>
    <n v="1"/>
    <n v="1"/>
    <n v="1"/>
    <s v="W"/>
    <s v="32"/>
    <x v="7"/>
    <s v="6120004"/>
    <n v="2"/>
    <n v="871"/>
    <n v="871"/>
  </r>
  <r>
    <s v="RESI"/>
    <x v="11"/>
    <x v="7"/>
    <x v="0"/>
    <x v="3"/>
    <n v="1"/>
    <n v="1"/>
    <n v="1"/>
    <s v="W"/>
    <s v="32"/>
    <x v="7"/>
    <s v="6120004"/>
    <n v="2"/>
    <n v="169"/>
    <n v="169"/>
  </r>
  <r>
    <s v="RESI"/>
    <x v="11"/>
    <x v="7"/>
    <x v="0"/>
    <x v="0"/>
    <n v="1"/>
    <n v="1"/>
    <n v="1"/>
    <s v="W"/>
    <s v="31"/>
    <x v="3"/>
    <s v="6120005"/>
    <n v="2"/>
    <n v="6416"/>
    <n v="6416"/>
  </r>
  <r>
    <s v="RESI"/>
    <x v="11"/>
    <x v="7"/>
    <x v="0"/>
    <x v="3"/>
    <n v="1"/>
    <n v="1"/>
    <n v="1"/>
    <s v="W"/>
    <s v="31"/>
    <x v="3"/>
    <s v="6120005"/>
    <n v="2"/>
    <n v="1562"/>
    <n v="1562"/>
  </r>
  <r>
    <s v="RESI"/>
    <x v="11"/>
    <x v="7"/>
    <x v="0"/>
    <x v="0"/>
    <n v="1"/>
    <n v="1"/>
    <n v="1"/>
    <s v="W"/>
    <s v="36"/>
    <x v="8"/>
    <s v="6120006"/>
    <n v="2"/>
    <n v="157"/>
    <n v="157"/>
  </r>
  <r>
    <s v="RESI"/>
    <x v="11"/>
    <x v="7"/>
    <x v="0"/>
    <x v="3"/>
    <n v="1"/>
    <n v="1"/>
    <n v="1"/>
    <s v="W"/>
    <s v="36"/>
    <x v="8"/>
    <s v="6120006"/>
    <n v="2"/>
    <n v="74"/>
    <n v="74"/>
  </r>
  <r>
    <s v="RESI"/>
    <x v="11"/>
    <x v="7"/>
    <x v="0"/>
    <x v="0"/>
    <n v="1"/>
    <n v="1"/>
    <n v="1"/>
    <s v="W"/>
    <s v="30"/>
    <x v="2"/>
    <s v="6120008"/>
    <n v="2"/>
    <n v="165"/>
    <n v="165"/>
  </r>
  <r>
    <s v="RESI"/>
    <x v="11"/>
    <x v="7"/>
    <x v="0"/>
    <x v="3"/>
    <n v="1"/>
    <n v="1"/>
    <n v="1"/>
    <s v="W"/>
    <s v="30"/>
    <x v="2"/>
    <s v="6120008"/>
    <n v="2"/>
    <n v="69"/>
    <n v="69"/>
  </r>
  <r>
    <s v="RESI"/>
    <x v="11"/>
    <x v="7"/>
    <x v="0"/>
    <x v="0"/>
    <n v="1"/>
    <n v="1"/>
    <n v="1"/>
    <s v="W"/>
    <s v="30"/>
    <x v="2"/>
    <s v="6120009"/>
    <n v="2"/>
    <n v="62"/>
    <n v="62"/>
  </r>
  <r>
    <s v="RESI"/>
    <x v="11"/>
    <x v="7"/>
    <x v="0"/>
    <x v="3"/>
    <n v="1"/>
    <n v="1"/>
    <n v="1"/>
    <s v="W"/>
    <s v="30"/>
    <x v="2"/>
    <s v="6120009"/>
    <n v="2"/>
    <n v="22"/>
    <n v="22"/>
  </r>
  <r>
    <s v="RESI"/>
    <x v="11"/>
    <x v="7"/>
    <x v="0"/>
    <x v="0"/>
    <n v="1"/>
    <n v="1"/>
    <n v="1"/>
    <s v="W"/>
    <s v="35"/>
    <x v="4"/>
    <s v="6120015"/>
    <n v="2"/>
    <n v="1444"/>
    <n v="1444"/>
  </r>
  <r>
    <s v="RESI"/>
    <x v="11"/>
    <x v="7"/>
    <x v="0"/>
    <x v="0"/>
    <n v="1"/>
    <n v="1"/>
    <n v="1"/>
    <s v="W"/>
    <s v="30"/>
    <x v="2"/>
    <s v="6120028"/>
    <n v="2"/>
    <n v="734"/>
    <n v="734"/>
  </r>
  <r>
    <s v="RESI"/>
    <x v="11"/>
    <x v="7"/>
    <x v="0"/>
    <x v="3"/>
    <n v="1"/>
    <n v="1"/>
    <n v="1"/>
    <s v="W"/>
    <s v="30"/>
    <x v="2"/>
    <s v="6120028"/>
    <n v="2"/>
    <n v="149"/>
    <n v="149"/>
  </r>
  <r>
    <s v="RESI"/>
    <x v="11"/>
    <x v="7"/>
    <x v="0"/>
    <x v="0"/>
    <n v="1"/>
    <n v="1"/>
    <n v="1"/>
    <s v="W"/>
    <s v="31"/>
    <x v="3"/>
    <s v="6120040"/>
    <n v="2"/>
    <n v="1"/>
    <n v="1"/>
  </r>
  <r>
    <s v="RESI"/>
    <x v="11"/>
    <x v="7"/>
    <x v="0"/>
    <x v="0"/>
    <n v="1"/>
    <n v="1"/>
    <n v="1"/>
    <s v="W"/>
    <s v="32"/>
    <x v="7"/>
    <s v="6120040"/>
    <n v="2"/>
    <n v="2"/>
    <n v="2"/>
  </r>
  <r>
    <s v="RESI"/>
    <x v="11"/>
    <x v="7"/>
    <x v="0"/>
    <x v="0"/>
    <n v="1"/>
    <n v="1"/>
    <n v="1"/>
    <s v="W"/>
    <s v="33"/>
    <x v="9"/>
    <s v="6120040"/>
    <n v="2"/>
    <n v="2724"/>
    <n v="2724"/>
  </r>
  <r>
    <s v="RESI"/>
    <x v="11"/>
    <x v="7"/>
    <x v="0"/>
    <x v="3"/>
    <n v="1"/>
    <n v="1"/>
    <n v="1"/>
    <s v="W"/>
    <s v="33"/>
    <x v="9"/>
    <s v="6120040"/>
    <n v="2"/>
    <n v="742"/>
    <n v="742"/>
  </r>
  <r>
    <s v="RESI"/>
    <x v="11"/>
    <x v="7"/>
    <x v="0"/>
    <x v="0"/>
    <n v="1"/>
    <n v="1"/>
    <n v="1"/>
    <s v="W"/>
    <s v="30"/>
    <x v="2"/>
    <s v="6130002"/>
    <n v="3"/>
    <n v="16"/>
    <n v="16"/>
  </r>
  <r>
    <s v="RESI"/>
    <x v="11"/>
    <x v="7"/>
    <x v="0"/>
    <x v="3"/>
    <n v="1"/>
    <n v="1"/>
    <n v="1"/>
    <s v="W"/>
    <s v="30"/>
    <x v="2"/>
    <s v="6130002"/>
    <n v="3"/>
    <n v="4"/>
    <n v="4"/>
  </r>
  <r>
    <s v="RESI"/>
    <x v="11"/>
    <x v="7"/>
    <x v="0"/>
    <x v="0"/>
    <n v="1"/>
    <n v="1"/>
    <n v="1"/>
    <s v="W"/>
    <s v="30"/>
    <x v="2"/>
    <s v="6130003"/>
    <n v="3"/>
    <n v="2"/>
    <n v="2"/>
  </r>
  <r>
    <s v="RESI"/>
    <x v="11"/>
    <x v="7"/>
    <x v="0"/>
    <x v="0"/>
    <n v="1"/>
    <n v="1"/>
    <n v="1"/>
    <s v="W"/>
    <s v="31"/>
    <x v="3"/>
    <s v="6130004"/>
    <n v="3"/>
    <n v="1"/>
    <n v="1"/>
  </r>
  <r>
    <s v="RESI"/>
    <x v="11"/>
    <x v="7"/>
    <x v="0"/>
    <x v="0"/>
    <n v="1"/>
    <n v="1"/>
    <n v="1"/>
    <s v="W"/>
    <s v="32"/>
    <x v="7"/>
    <s v="6130004"/>
    <n v="3"/>
    <n v="1072"/>
    <n v="1072"/>
  </r>
  <r>
    <s v="RESI"/>
    <x v="11"/>
    <x v="7"/>
    <x v="0"/>
    <x v="3"/>
    <n v="1"/>
    <n v="1"/>
    <n v="1"/>
    <s v="W"/>
    <s v="32"/>
    <x v="7"/>
    <s v="6130004"/>
    <n v="3"/>
    <n v="318"/>
    <n v="318"/>
  </r>
  <r>
    <s v="RESI"/>
    <x v="11"/>
    <x v="7"/>
    <x v="0"/>
    <x v="0"/>
    <n v="1"/>
    <n v="1"/>
    <n v="1"/>
    <s v="W"/>
    <s v="31"/>
    <x v="3"/>
    <s v="6130005"/>
    <n v="3"/>
    <n v="5861"/>
    <n v="5861"/>
  </r>
  <r>
    <s v="RESI"/>
    <x v="11"/>
    <x v="7"/>
    <x v="0"/>
    <x v="3"/>
    <n v="1"/>
    <n v="1"/>
    <n v="1"/>
    <s v="W"/>
    <s v="31"/>
    <x v="3"/>
    <s v="6130005"/>
    <n v="3"/>
    <n v="1870"/>
    <n v="1870"/>
  </r>
  <r>
    <s v="RESI"/>
    <x v="11"/>
    <x v="7"/>
    <x v="0"/>
    <x v="3"/>
    <n v="1"/>
    <n v="1"/>
    <n v="1"/>
    <s v="W"/>
    <s v="36"/>
    <x v="8"/>
    <s v="6130006"/>
    <n v="3"/>
    <n v="53"/>
    <n v="53"/>
  </r>
  <r>
    <s v="RESI"/>
    <x v="11"/>
    <x v="7"/>
    <x v="0"/>
    <x v="0"/>
    <n v="1"/>
    <n v="1"/>
    <n v="1"/>
    <s v="W"/>
    <s v="36"/>
    <x v="8"/>
    <s v="6130006"/>
    <n v="3"/>
    <n v="161"/>
    <n v="161"/>
  </r>
  <r>
    <s v="RESI"/>
    <x v="11"/>
    <x v="7"/>
    <x v="0"/>
    <x v="0"/>
    <n v="1"/>
    <n v="1"/>
    <n v="1"/>
    <s v="W"/>
    <s v="30"/>
    <x v="2"/>
    <s v="6130008"/>
    <n v="3"/>
    <n v="171"/>
    <n v="171"/>
  </r>
  <r>
    <s v="RESI"/>
    <x v="11"/>
    <x v="7"/>
    <x v="0"/>
    <x v="3"/>
    <n v="1"/>
    <n v="1"/>
    <n v="1"/>
    <s v="W"/>
    <s v="30"/>
    <x v="2"/>
    <s v="6130008"/>
    <n v="3"/>
    <n v="42"/>
    <n v="42"/>
  </r>
  <r>
    <s v="RESI"/>
    <x v="11"/>
    <x v="7"/>
    <x v="0"/>
    <x v="3"/>
    <n v="1"/>
    <n v="1"/>
    <n v="1"/>
    <s v="W"/>
    <s v="30"/>
    <x v="2"/>
    <s v="6130009"/>
    <n v="3"/>
    <n v="14"/>
    <n v="14"/>
  </r>
  <r>
    <s v="RESI"/>
    <x v="11"/>
    <x v="7"/>
    <x v="0"/>
    <x v="0"/>
    <n v="1"/>
    <n v="1"/>
    <n v="1"/>
    <s v="W"/>
    <s v="30"/>
    <x v="2"/>
    <s v="6130009"/>
    <n v="3"/>
    <n v="64"/>
    <n v="64"/>
  </r>
  <r>
    <s v="RESI"/>
    <x v="11"/>
    <x v="7"/>
    <x v="0"/>
    <x v="0"/>
    <n v="1"/>
    <n v="1"/>
    <n v="1"/>
    <s v="W"/>
    <s v="35"/>
    <x v="4"/>
    <s v="6130015"/>
    <n v="3"/>
    <n v="1509"/>
    <n v="1509"/>
  </r>
  <r>
    <s v="RESI"/>
    <x v="11"/>
    <x v="7"/>
    <x v="0"/>
    <x v="0"/>
    <n v="1"/>
    <n v="1"/>
    <n v="1"/>
    <s v="W"/>
    <s v="3A"/>
    <x v="0"/>
    <s v="6130022"/>
    <n v="3"/>
    <n v="778"/>
    <n v="778"/>
  </r>
  <r>
    <s v="RESI"/>
    <x v="11"/>
    <x v="7"/>
    <x v="0"/>
    <x v="0"/>
    <n v="1"/>
    <n v="1"/>
    <n v="1"/>
    <s v="W"/>
    <s v="3B"/>
    <x v="2"/>
    <s v="6130022"/>
    <n v="3"/>
    <n v="1"/>
    <n v="1"/>
  </r>
  <r>
    <s v="RESI"/>
    <x v="11"/>
    <x v="7"/>
    <x v="0"/>
    <x v="0"/>
    <n v="1"/>
    <n v="1"/>
    <n v="1"/>
    <s v="W"/>
    <s v="30"/>
    <x v="2"/>
    <s v="6130028"/>
    <n v="3"/>
    <n v="890"/>
    <n v="890"/>
  </r>
  <r>
    <s v="RESI"/>
    <x v="11"/>
    <x v="7"/>
    <x v="0"/>
    <x v="3"/>
    <n v="1"/>
    <n v="1"/>
    <n v="1"/>
    <s v="W"/>
    <s v="30"/>
    <x v="2"/>
    <s v="6130028"/>
    <n v="3"/>
    <n v="254"/>
    <n v="254"/>
  </r>
  <r>
    <s v="RESI"/>
    <x v="11"/>
    <x v="7"/>
    <x v="0"/>
    <x v="0"/>
    <n v="1"/>
    <n v="1"/>
    <n v="2"/>
    <s v="W"/>
    <s v="3C"/>
    <x v="5"/>
    <s v="6080004"/>
    <n v="1"/>
    <n v="51"/>
    <n v="51"/>
  </r>
  <r>
    <s v="RESI"/>
    <x v="11"/>
    <x v="7"/>
    <x v="0"/>
    <x v="0"/>
    <n v="1"/>
    <n v="1"/>
    <n v="2"/>
    <s v="W"/>
    <s v="30"/>
    <x v="2"/>
    <s v="6110003"/>
    <n v="1"/>
    <n v="18"/>
    <n v="18"/>
  </r>
  <r>
    <s v="RESI"/>
    <x v="11"/>
    <x v="7"/>
    <x v="0"/>
    <x v="3"/>
    <n v="1"/>
    <n v="1"/>
    <n v="2"/>
    <s v="W"/>
    <s v="30"/>
    <x v="2"/>
    <s v="6110003"/>
    <n v="1"/>
    <n v="2"/>
    <n v="2"/>
  </r>
  <r>
    <s v="RESI"/>
    <x v="11"/>
    <x v="7"/>
    <x v="0"/>
    <x v="0"/>
    <n v="1"/>
    <n v="1"/>
    <n v="2"/>
    <s v="W"/>
    <s v="30"/>
    <x v="2"/>
    <s v="6120003"/>
    <n v="2"/>
    <n v="11"/>
    <n v="11"/>
  </r>
  <r>
    <s v="RESI"/>
    <x v="11"/>
    <x v="7"/>
    <x v="0"/>
    <x v="3"/>
    <n v="1"/>
    <n v="1"/>
    <n v="2"/>
    <s v="W"/>
    <s v="30"/>
    <x v="2"/>
    <s v="6120003"/>
    <n v="2"/>
    <n v="9"/>
    <n v="9"/>
  </r>
  <r>
    <s v="RESI"/>
    <x v="11"/>
    <x v="7"/>
    <x v="0"/>
    <x v="0"/>
    <n v="1"/>
    <n v="1"/>
    <n v="2"/>
    <s v="W"/>
    <s v="30"/>
    <x v="2"/>
    <s v="6130003"/>
    <n v="3"/>
    <n v="22"/>
    <n v="22"/>
  </r>
  <r>
    <s v="RESI"/>
    <x v="11"/>
    <x v="7"/>
    <x v="0"/>
    <x v="3"/>
    <n v="1"/>
    <n v="1"/>
    <n v="2"/>
    <s v="W"/>
    <s v="30"/>
    <x v="2"/>
    <s v="6130003"/>
    <n v="3"/>
    <n v="2"/>
    <n v="2"/>
  </r>
  <r>
    <s v="RESI"/>
    <x v="11"/>
    <x v="7"/>
    <x v="0"/>
    <x v="0"/>
    <n v="1"/>
    <n v="1"/>
    <n v="2"/>
    <s v="W"/>
    <s v="30"/>
    <x v="2"/>
    <s v="6130028"/>
    <n v="3"/>
    <n v="1"/>
    <n v="1"/>
  </r>
  <r>
    <s v="RESI"/>
    <x v="11"/>
    <x v="7"/>
    <x v="0"/>
    <x v="0"/>
    <n v="1"/>
    <n v="2"/>
    <n v="1"/>
    <s v="W"/>
    <s v="30"/>
    <x v="2"/>
    <s v="6110003"/>
    <n v="1"/>
    <n v="1"/>
    <n v="1"/>
  </r>
  <r>
    <s v="RESI"/>
    <x v="11"/>
    <x v="7"/>
    <x v="0"/>
    <x v="0"/>
    <n v="1"/>
    <n v="2"/>
    <n v="1"/>
    <s v="W"/>
    <s v="31"/>
    <x v="3"/>
    <s v="6110005"/>
    <n v="1"/>
    <n v="3"/>
    <n v="3"/>
  </r>
  <r>
    <s v="RESI"/>
    <x v="11"/>
    <x v="7"/>
    <x v="0"/>
    <x v="0"/>
    <n v="1"/>
    <n v="2"/>
    <n v="1"/>
    <s v="W"/>
    <s v="36"/>
    <x v="8"/>
    <s v="6110006"/>
    <n v="1"/>
    <n v="1"/>
    <n v="1"/>
  </r>
  <r>
    <s v="RESI"/>
    <x v="11"/>
    <x v="7"/>
    <x v="0"/>
    <x v="0"/>
    <n v="1"/>
    <n v="2"/>
    <n v="1"/>
    <s v="W"/>
    <s v="31"/>
    <x v="3"/>
    <s v="6120005"/>
    <n v="2"/>
    <n v="1"/>
    <n v="1"/>
  </r>
  <r>
    <s v="RESI"/>
    <x v="11"/>
    <x v="7"/>
    <x v="0"/>
    <x v="0"/>
    <n v="1"/>
    <n v="2"/>
    <n v="1"/>
    <s v="W"/>
    <s v="30"/>
    <x v="2"/>
    <s v="6120009"/>
    <n v="2"/>
    <n v="1"/>
    <n v="1"/>
  </r>
  <r>
    <s v="RESI"/>
    <x v="11"/>
    <x v="7"/>
    <x v="0"/>
    <x v="0"/>
    <n v="1"/>
    <n v="2"/>
    <n v="1"/>
    <s v="W"/>
    <s v="33"/>
    <x v="9"/>
    <s v="6120040"/>
    <n v="2"/>
    <n v="4"/>
    <n v="4"/>
  </r>
  <r>
    <s v="RESI"/>
    <x v="11"/>
    <x v="7"/>
    <x v="0"/>
    <x v="3"/>
    <n v="1"/>
    <n v="2"/>
    <n v="1"/>
    <s v="W"/>
    <s v="32"/>
    <x v="7"/>
    <s v="6130004"/>
    <n v="3"/>
    <n v="1"/>
    <n v="1"/>
  </r>
  <r>
    <s v="RESI"/>
    <x v="11"/>
    <x v="7"/>
    <x v="0"/>
    <x v="0"/>
    <n v="1"/>
    <n v="2"/>
    <n v="1"/>
    <s v="W"/>
    <s v="31"/>
    <x v="3"/>
    <s v="6130005"/>
    <n v="3"/>
    <n v="5"/>
    <n v="5"/>
  </r>
  <r>
    <s v="RESI"/>
    <x v="11"/>
    <x v="7"/>
    <x v="0"/>
    <x v="3"/>
    <n v="1"/>
    <n v="2"/>
    <n v="1"/>
    <s v="W"/>
    <s v="31"/>
    <x v="3"/>
    <s v="6130005"/>
    <n v="3"/>
    <n v="1"/>
    <n v="1"/>
  </r>
  <r>
    <s v="RESI"/>
    <x v="11"/>
    <x v="7"/>
    <x v="0"/>
    <x v="0"/>
    <n v="1"/>
    <n v="2"/>
    <n v="2"/>
    <s v="W"/>
    <s v="33"/>
    <x v="9"/>
    <s v="6120040"/>
    <n v="2"/>
    <n v="1"/>
    <n v="1"/>
  </r>
  <r>
    <s v="RESI"/>
    <x v="11"/>
    <x v="7"/>
    <x v="0"/>
    <x v="0"/>
    <n v="1"/>
    <n v="3"/>
    <n v="1"/>
    <s v="W"/>
    <s v="30"/>
    <x v="2"/>
    <s v="6110028"/>
    <n v="1"/>
    <n v="1"/>
    <n v="1"/>
  </r>
  <r>
    <s v="RESI"/>
    <x v="11"/>
    <x v="7"/>
    <x v="0"/>
    <x v="0"/>
    <n v="1"/>
    <n v="3"/>
    <n v="1"/>
    <s v="W"/>
    <s v="33"/>
    <x v="9"/>
    <s v="6120040"/>
    <n v="2"/>
    <n v="2"/>
    <n v="2"/>
  </r>
  <r>
    <s v="RESI"/>
    <x v="11"/>
    <x v="7"/>
    <x v="0"/>
    <x v="0"/>
    <n v="1"/>
    <n v="14"/>
    <n v="1"/>
    <s v="W"/>
    <s v="3C"/>
    <x v="5"/>
    <s v="6080004"/>
    <n v="1"/>
    <n v="1"/>
    <n v="1"/>
  </r>
  <r>
    <s v="RESI"/>
    <x v="11"/>
    <x v="7"/>
    <x v="0"/>
    <x v="0"/>
    <n v="2"/>
    <n v="1"/>
    <n v="1"/>
    <s v="W"/>
    <s v="3B"/>
    <x v="2"/>
    <s v="6080020"/>
    <n v="2"/>
    <n v="2"/>
    <n v="1"/>
  </r>
  <r>
    <s v="RESI"/>
    <x v="11"/>
    <x v="7"/>
    <x v="0"/>
    <x v="0"/>
    <n v="2"/>
    <n v="1"/>
    <n v="1"/>
    <s v="W"/>
    <s v="35"/>
    <x v="4"/>
    <s v="6110015"/>
    <n v="1"/>
    <n v="2"/>
    <n v="1"/>
  </r>
  <r>
    <s v="RESI"/>
    <x v="11"/>
    <x v="7"/>
    <x v="0"/>
    <x v="0"/>
    <n v="2"/>
    <n v="1"/>
    <n v="1"/>
    <s v="W"/>
    <s v="36"/>
    <x v="8"/>
    <s v="6120006"/>
    <n v="2"/>
    <n v="2"/>
    <n v="1"/>
  </r>
  <r>
    <s v="RESI"/>
    <x v="11"/>
    <x v="7"/>
    <x v="0"/>
    <x v="3"/>
    <n v="2"/>
    <n v="1"/>
    <n v="1"/>
    <s v="W"/>
    <s v="30"/>
    <x v="2"/>
    <s v="6120008"/>
    <n v="2"/>
    <n v="2"/>
    <n v="1"/>
  </r>
  <r>
    <s v="RESI"/>
    <x v="11"/>
    <x v="7"/>
    <x v="0"/>
    <x v="0"/>
    <n v="2"/>
    <n v="1"/>
    <n v="1"/>
    <s v="W"/>
    <s v="35"/>
    <x v="4"/>
    <s v="6120015"/>
    <n v="2"/>
    <n v="4"/>
    <n v="2"/>
  </r>
  <r>
    <s v="RESI"/>
    <x v="11"/>
    <x v="7"/>
    <x v="0"/>
    <x v="3"/>
    <n v="2"/>
    <n v="1"/>
    <n v="1"/>
    <s v="W"/>
    <s v="33"/>
    <x v="9"/>
    <s v="6120040"/>
    <n v="2"/>
    <n v="2"/>
    <n v="1"/>
  </r>
  <r>
    <s v="RESI"/>
    <x v="11"/>
    <x v="7"/>
    <x v="0"/>
    <x v="0"/>
    <n v="2"/>
    <n v="1"/>
    <n v="1"/>
    <s v="W"/>
    <s v="33"/>
    <x v="9"/>
    <s v="6120040"/>
    <n v="2"/>
    <n v="34"/>
    <n v="17"/>
  </r>
  <r>
    <s v="RESI"/>
    <x v="11"/>
    <x v="7"/>
    <x v="0"/>
    <x v="0"/>
    <n v="2"/>
    <n v="1"/>
    <n v="1"/>
    <s v="W"/>
    <s v="36"/>
    <x v="8"/>
    <s v="6130006"/>
    <n v="3"/>
    <n v="2"/>
    <n v="1"/>
  </r>
  <r>
    <s v="RESI"/>
    <x v="11"/>
    <x v="7"/>
    <x v="0"/>
    <x v="0"/>
    <n v="2"/>
    <n v="2"/>
    <n v="1"/>
    <s v="W"/>
    <s v="3B"/>
    <x v="2"/>
    <s v="6080001"/>
    <n v="1"/>
    <n v="24"/>
    <n v="12"/>
  </r>
  <r>
    <s v="RESI"/>
    <x v="11"/>
    <x v="7"/>
    <x v="0"/>
    <x v="0"/>
    <n v="2"/>
    <n v="2"/>
    <n v="1"/>
    <s v="W"/>
    <s v="3C"/>
    <x v="5"/>
    <s v="6080004"/>
    <n v="1"/>
    <n v="16"/>
    <n v="8"/>
  </r>
  <r>
    <s v="RESI"/>
    <x v="11"/>
    <x v="7"/>
    <x v="0"/>
    <x v="0"/>
    <n v="2"/>
    <n v="2"/>
    <n v="1"/>
    <s v="W"/>
    <s v="3C"/>
    <x v="5"/>
    <s v="6080004"/>
    <n v="3"/>
    <n v="30"/>
    <n v="15"/>
  </r>
  <r>
    <s v="RESI"/>
    <x v="11"/>
    <x v="7"/>
    <x v="0"/>
    <x v="0"/>
    <n v="2"/>
    <n v="2"/>
    <n v="1"/>
    <s v="W"/>
    <s v="3B"/>
    <x v="2"/>
    <s v="6080020"/>
    <n v="2"/>
    <n v="12"/>
    <n v="6"/>
  </r>
  <r>
    <s v="RESI"/>
    <x v="11"/>
    <x v="7"/>
    <x v="0"/>
    <x v="0"/>
    <n v="2"/>
    <n v="2"/>
    <n v="1"/>
    <s v="W"/>
    <s v="3B"/>
    <x v="2"/>
    <s v="6080050"/>
    <n v="5"/>
    <n v="10"/>
    <n v="5"/>
  </r>
  <r>
    <s v="RESI"/>
    <x v="11"/>
    <x v="7"/>
    <x v="0"/>
    <x v="0"/>
    <n v="2"/>
    <n v="2"/>
    <n v="1"/>
    <s v="W"/>
    <s v="30"/>
    <x v="2"/>
    <s v="6110002"/>
    <n v="1"/>
    <n v="4"/>
    <n v="2"/>
  </r>
  <r>
    <s v="RESI"/>
    <x v="11"/>
    <x v="7"/>
    <x v="0"/>
    <x v="0"/>
    <n v="2"/>
    <n v="2"/>
    <n v="1"/>
    <s v="W"/>
    <s v="30"/>
    <x v="2"/>
    <s v="6110003"/>
    <n v="1"/>
    <n v="2"/>
    <n v="1"/>
  </r>
  <r>
    <s v="RESI"/>
    <x v="11"/>
    <x v="7"/>
    <x v="0"/>
    <x v="0"/>
    <n v="2"/>
    <n v="2"/>
    <n v="1"/>
    <s v="W"/>
    <s v="32"/>
    <x v="7"/>
    <s v="6110004"/>
    <n v="1"/>
    <n v="18"/>
    <n v="9"/>
  </r>
  <r>
    <s v="RESI"/>
    <x v="11"/>
    <x v="7"/>
    <x v="0"/>
    <x v="0"/>
    <n v="2"/>
    <n v="2"/>
    <n v="1"/>
    <s v="W"/>
    <s v="31"/>
    <x v="3"/>
    <s v="6110005"/>
    <n v="1"/>
    <n v="746"/>
    <n v="373"/>
  </r>
  <r>
    <s v="RESI"/>
    <x v="11"/>
    <x v="7"/>
    <x v="0"/>
    <x v="3"/>
    <n v="2"/>
    <n v="2"/>
    <n v="1"/>
    <s v="W"/>
    <s v="31"/>
    <x v="3"/>
    <s v="6110005"/>
    <n v="1"/>
    <n v="480"/>
    <n v="240"/>
  </r>
  <r>
    <s v="RESI"/>
    <x v="11"/>
    <x v="7"/>
    <x v="0"/>
    <x v="0"/>
    <n v="2"/>
    <n v="2"/>
    <n v="1"/>
    <s v="W"/>
    <s v="36"/>
    <x v="8"/>
    <s v="6110006"/>
    <n v="1"/>
    <n v="22"/>
    <n v="11"/>
  </r>
  <r>
    <s v="RESI"/>
    <x v="11"/>
    <x v="7"/>
    <x v="0"/>
    <x v="3"/>
    <n v="2"/>
    <n v="2"/>
    <n v="1"/>
    <s v="W"/>
    <s v="36"/>
    <x v="8"/>
    <s v="6110006"/>
    <n v="1"/>
    <n v="12"/>
    <n v="6"/>
  </r>
  <r>
    <s v="RESI"/>
    <x v="11"/>
    <x v="7"/>
    <x v="0"/>
    <x v="3"/>
    <n v="2"/>
    <n v="2"/>
    <n v="1"/>
    <s v="W"/>
    <s v="30"/>
    <x v="2"/>
    <s v="6110008"/>
    <n v="1"/>
    <n v="10"/>
    <n v="5"/>
  </r>
  <r>
    <s v="RESI"/>
    <x v="11"/>
    <x v="7"/>
    <x v="0"/>
    <x v="0"/>
    <n v="2"/>
    <n v="2"/>
    <n v="1"/>
    <s v="W"/>
    <s v="30"/>
    <x v="2"/>
    <s v="6110008"/>
    <n v="1"/>
    <n v="24"/>
    <n v="12"/>
  </r>
  <r>
    <s v="RESI"/>
    <x v="11"/>
    <x v="7"/>
    <x v="0"/>
    <x v="0"/>
    <n v="2"/>
    <n v="2"/>
    <n v="1"/>
    <s v="W"/>
    <s v="30"/>
    <x v="2"/>
    <s v="6110009"/>
    <n v="1"/>
    <n v="10"/>
    <n v="5"/>
  </r>
  <r>
    <s v="RESI"/>
    <x v="11"/>
    <x v="7"/>
    <x v="0"/>
    <x v="3"/>
    <n v="2"/>
    <n v="2"/>
    <n v="1"/>
    <s v="W"/>
    <s v="30"/>
    <x v="2"/>
    <s v="6110009"/>
    <n v="1"/>
    <n v="4"/>
    <n v="2"/>
  </r>
  <r>
    <s v="RESI"/>
    <x v="11"/>
    <x v="7"/>
    <x v="0"/>
    <x v="0"/>
    <n v="2"/>
    <n v="2"/>
    <n v="1"/>
    <s v="W"/>
    <s v="35"/>
    <x v="4"/>
    <s v="6110015"/>
    <n v="1"/>
    <n v="94"/>
    <n v="47"/>
  </r>
  <r>
    <s v="RESI"/>
    <x v="11"/>
    <x v="7"/>
    <x v="0"/>
    <x v="0"/>
    <n v="2"/>
    <n v="2"/>
    <n v="1"/>
    <s v="W"/>
    <s v="30"/>
    <x v="2"/>
    <s v="6110028"/>
    <n v="1"/>
    <n v="40"/>
    <n v="20"/>
  </r>
  <r>
    <s v="RESI"/>
    <x v="11"/>
    <x v="7"/>
    <x v="0"/>
    <x v="3"/>
    <n v="2"/>
    <n v="2"/>
    <n v="1"/>
    <s v="W"/>
    <s v="30"/>
    <x v="2"/>
    <s v="6110028"/>
    <n v="1"/>
    <n v="14"/>
    <n v="7"/>
  </r>
  <r>
    <s v="RESI"/>
    <x v="11"/>
    <x v="7"/>
    <x v="0"/>
    <x v="0"/>
    <n v="2"/>
    <n v="2"/>
    <n v="1"/>
    <s v="W"/>
    <s v="30"/>
    <x v="2"/>
    <s v="6120002"/>
    <n v="2"/>
    <n v="6"/>
    <n v="3"/>
  </r>
  <r>
    <s v="RESI"/>
    <x v="11"/>
    <x v="7"/>
    <x v="0"/>
    <x v="3"/>
    <n v="2"/>
    <n v="2"/>
    <n v="1"/>
    <s v="W"/>
    <s v="30"/>
    <x v="2"/>
    <s v="6120002"/>
    <n v="2"/>
    <n v="2"/>
    <n v="1"/>
  </r>
  <r>
    <s v="RESI"/>
    <x v="11"/>
    <x v="7"/>
    <x v="0"/>
    <x v="0"/>
    <n v="2"/>
    <n v="2"/>
    <n v="1"/>
    <s v="W"/>
    <s v="32"/>
    <x v="7"/>
    <s v="6120004"/>
    <n v="2"/>
    <n v="26"/>
    <n v="13"/>
  </r>
  <r>
    <s v="RESI"/>
    <x v="11"/>
    <x v="7"/>
    <x v="0"/>
    <x v="0"/>
    <n v="2"/>
    <n v="2"/>
    <n v="1"/>
    <s v="W"/>
    <s v="31"/>
    <x v="3"/>
    <s v="6120005"/>
    <n v="2"/>
    <n v="592"/>
    <n v="296"/>
  </r>
  <r>
    <s v="RESI"/>
    <x v="11"/>
    <x v="7"/>
    <x v="0"/>
    <x v="3"/>
    <n v="2"/>
    <n v="2"/>
    <n v="1"/>
    <s v="W"/>
    <s v="31"/>
    <x v="3"/>
    <s v="6120005"/>
    <n v="2"/>
    <n v="316"/>
    <n v="158"/>
  </r>
  <r>
    <s v="RESI"/>
    <x v="11"/>
    <x v="7"/>
    <x v="0"/>
    <x v="0"/>
    <n v="2"/>
    <n v="2"/>
    <n v="1"/>
    <s v="W"/>
    <s v="36"/>
    <x v="8"/>
    <s v="6120006"/>
    <n v="2"/>
    <n v="50"/>
    <n v="25"/>
  </r>
  <r>
    <s v="RESI"/>
    <x v="11"/>
    <x v="7"/>
    <x v="0"/>
    <x v="3"/>
    <n v="2"/>
    <n v="2"/>
    <n v="1"/>
    <s v="W"/>
    <s v="36"/>
    <x v="8"/>
    <s v="6120006"/>
    <n v="2"/>
    <n v="14"/>
    <n v="7"/>
  </r>
  <r>
    <s v="RESI"/>
    <x v="11"/>
    <x v="7"/>
    <x v="0"/>
    <x v="3"/>
    <n v="2"/>
    <n v="2"/>
    <n v="1"/>
    <s v="W"/>
    <s v="30"/>
    <x v="2"/>
    <s v="6120008"/>
    <n v="2"/>
    <n v="14"/>
    <n v="7"/>
  </r>
  <r>
    <s v="RESI"/>
    <x v="11"/>
    <x v="7"/>
    <x v="0"/>
    <x v="0"/>
    <n v="2"/>
    <n v="2"/>
    <n v="1"/>
    <s v="W"/>
    <s v="30"/>
    <x v="2"/>
    <s v="6120008"/>
    <n v="2"/>
    <n v="42"/>
    <n v="21"/>
  </r>
  <r>
    <s v="RESI"/>
    <x v="11"/>
    <x v="7"/>
    <x v="0"/>
    <x v="0"/>
    <n v="2"/>
    <n v="2"/>
    <n v="1"/>
    <s v="W"/>
    <s v="30"/>
    <x v="2"/>
    <s v="6120009"/>
    <n v="2"/>
    <n v="18"/>
    <n v="9"/>
  </r>
  <r>
    <s v="RESI"/>
    <x v="11"/>
    <x v="7"/>
    <x v="0"/>
    <x v="3"/>
    <n v="2"/>
    <n v="2"/>
    <n v="1"/>
    <s v="W"/>
    <s v="30"/>
    <x v="2"/>
    <s v="6120009"/>
    <n v="2"/>
    <n v="8"/>
    <n v="4"/>
  </r>
  <r>
    <s v="RESI"/>
    <x v="11"/>
    <x v="7"/>
    <x v="0"/>
    <x v="0"/>
    <n v="2"/>
    <n v="2"/>
    <n v="1"/>
    <s v="W"/>
    <s v="35"/>
    <x v="4"/>
    <s v="6120015"/>
    <n v="2"/>
    <n v="118"/>
    <n v="59"/>
  </r>
  <r>
    <s v="RESI"/>
    <x v="11"/>
    <x v="7"/>
    <x v="0"/>
    <x v="0"/>
    <n v="2"/>
    <n v="2"/>
    <n v="1"/>
    <s v="W"/>
    <s v="30"/>
    <x v="2"/>
    <s v="6120028"/>
    <n v="2"/>
    <n v="44"/>
    <n v="22"/>
  </r>
  <r>
    <s v="RESI"/>
    <x v="11"/>
    <x v="7"/>
    <x v="0"/>
    <x v="3"/>
    <n v="2"/>
    <n v="2"/>
    <n v="1"/>
    <s v="W"/>
    <s v="30"/>
    <x v="2"/>
    <s v="6120028"/>
    <n v="2"/>
    <n v="12"/>
    <n v="6"/>
  </r>
  <r>
    <s v="RESI"/>
    <x v="11"/>
    <x v="7"/>
    <x v="0"/>
    <x v="0"/>
    <n v="2"/>
    <n v="2"/>
    <n v="1"/>
    <s v="W"/>
    <s v="33"/>
    <x v="9"/>
    <s v="6120040"/>
    <n v="2"/>
    <n v="1786"/>
    <n v="893"/>
  </r>
  <r>
    <s v="RESI"/>
    <x v="11"/>
    <x v="7"/>
    <x v="0"/>
    <x v="3"/>
    <n v="2"/>
    <n v="2"/>
    <n v="1"/>
    <s v="W"/>
    <s v="33"/>
    <x v="9"/>
    <s v="6120040"/>
    <n v="2"/>
    <n v="850"/>
    <n v="425"/>
  </r>
  <r>
    <s v="RESI"/>
    <x v="11"/>
    <x v="7"/>
    <x v="0"/>
    <x v="0"/>
    <n v="2"/>
    <n v="2"/>
    <n v="1"/>
    <s v="W"/>
    <s v="30"/>
    <x v="2"/>
    <s v="6130002"/>
    <n v="3"/>
    <n v="4"/>
    <n v="2"/>
  </r>
  <r>
    <s v="RESI"/>
    <x v="11"/>
    <x v="7"/>
    <x v="0"/>
    <x v="3"/>
    <n v="2"/>
    <n v="2"/>
    <n v="1"/>
    <s v="W"/>
    <s v="30"/>
    <x v="2"/>
    <s v="6130002"/>
    <n v="3"/>
    <n v="2"/>
    <n v="1"/>
  </r>
  <r>
    <s v="RESI"/>
    <x v="11"/>
    <x v="7"/>
    <x v="0"/>
    <x v="0"/>
    <n v="2"/>
    <n v="2"/>
    <n v="1"/>
    <s v="W"/>
    <s v="30"/>
    <x v="2"/>
    <s v="6130003"/>
    <n v="3"/>
    <n v="2"/>
    <n v="1"/>
  </r>
  <r>
    <s v="RESI"/>
    <x v="11"/>
    <x v="7"/>
    <x v="0"/>
    <x v="0"/>
    <n v="2"/>
    <n v="2"/>
    <n v="1"/>
    <s v="W"/>
    <s v="32"/>
    <x v="7"/>
    <s v="6130004"/>
    <n v="3"/>
    <n v="28"/>
    <n v="14"/>
  </r>
  <r>
    <s v="RESI"/>
    <x v="11"/>
    <x v="7"/>
    <x v="0"/>
    <x v="3"/>
    <n v="2"/>
    <n v="2"/>
    <n v="1"/>
    <s v="W"/>
    <s v="32"/>
    <x v="7"/>
    <s v="6130004"/>
    <n v="3"/>
    <n v="4"/>
    <n v="2"/>
  </r>
  <r>
    <s v="RESI"/>
    <x v="11"/>
    <x v="7"/>
    <x v="0"/>
    <x v="0"/>
    <n v="2"/>
    <n v="2"/>
    <n v="1"/>
    <s v="W"/>
    <s v="31"/>
    <x v="3"/>
    <s v="6130005"/>
    <n v="3"/>
    <n v="642"/>
    <n v="321"/>
  </r>
  <r>
    <s v="RESI"/>
    <x v="11"/>
    <x v="7"/>
    <x v="0"/>
    <x v="3"/>
    <n v="2"/>
    <n v="2"/>
    <n v="1"/>
    <s v="W"/>
    <s v="31"/>
    <x v="3"/>
    <s v="6130005"/>
    <n v="3"/>
    <n v="318"/>
    <n v="159"/>
  </r>
  <r>
    <s v="RESI"/>
    <x v="11"/>
    <x v="7"/>
    <x v="0"/>
    <x v="0"/>
    <n v="2"/>
    <n v="2"/>
    <n v="1"/>
    <s v="W"/>
    <s v="36"/>
    <x v="8"/>
    <s v="6130006"/>
    <n v="3"/>
    <n v="44"/>
    <n v="22"/>
  </r>
  <r>
    <s v="RESI"/>
    <x v="11"/>
    <x v="7"/>
    <x v="0"/>
    <x v="3"/>
    <n v="2"/>
    <n v="2"/>
    <n v="1"/>
    <s v="W"/>
    <s v="36"/>
    <x v="8"/>
    <s v="6130006"/>
    <n v="3"/>
    <n v="24"/>
    <n v="12"/>
  </r>
  <r>
    <s v="RESI"/>
    <x v="11"/>
    <x v="7"/>
    <x v="0"/>
    <x v="0"/>
    <n v="2"/>
    <n v="2"/>
    <n v="1"/>
    <s v="W"/>
    <s v="30"/>
    <x v="2"/>
    <s v="6130008"/>
    <n v="3"/>
    <n v="28"/>
    <n v="14"/>
  </r>
  <r>
    <s v="RESI"/>
    <x v="11"/>
    <x v="7"/>
    <x v="0"/>
    <x v="3"/>
    <n v="2"/>
    <n v="2"/>
    <n v="1"/>
    <s v="W"/>
    <s v="30"/>
    <x v="2"/>
    <s v="6130008"/>
    <n v="3"/>
    <n v="2"/>
    <n v="1"/>
  </r>
  <r>
    <s v="RESI"/>
    <x v="11"/>
    <x v="7"/>
    <x v="0"/>
    <x v="0"/>
    <n v="2"/>
    <n v="2"/>
    <n v="1"/>
    <s v="W"/>
    <s v="30"/>
    <x v="2"/>
    <s v="6130009"/>
    <n v="3"/>
    <n v="12"/>
    <n v="6"/>
  </r>
  <r>
    <s v="RESI"/>
    <x v="11"/>
    <x v="7"/>
    <x v="0"/>
    <x v="3"/>
    <n v="2"/>
    <n v="2"/>
    <n v="1"/>
    <s v="W"/>
    <s v="30"/>
    <x v="2"/>
    <s v="6130009"/>
    <n v="3"/>
    <n v="4"/>
    <n v="2"/>
  </r>
  <r>
    <s v="RESI"/>
    <x v="11"/>
    <x v="7"/>
    <x v="0"/>
    <x v="0"/>
    <n v="2"/>
    <n v="2"/>
    <n v="1"/>
    <s v="W"/>
    <s v="35"/>
    <x v="4"/>
    <s v="6130015"/>
    <n v="3"/>
    <n v="108"/>
    <n v="54"/>
  </r>
  <r>
    <s v="RESI"/>
    <x v="11"/>
    <x v="7"/>
    <x v="0"/>
    <x v="0"/>
    <n v="2"/>
    <n v="2"/>
    <n v="1"/>
    <s v="W"/>
    <s v="3A"/>
    <x v="0"/>
    <s v="6130022"/>
    <n v="3"/>
    <n v="4"/>
    <n v="2"/>
  </r>
  <r>
    <s v="RESI"/>
    <x v="11"/>
    <x v="7"/>
    <x v="0"/>
    <x v="0"/>
    <n v="2"/>
    <n v="2"/>
    <n v="1"/>
    <s v="W"/>
    <s v="30"/>
    <x v="2"/>
    <s v="6130028"/>
    <n v="3"/>
    <n v="62"/>
    <n v="31"/>
  </r>
  <r>
    <s v="RESI"/>
    <x v="11"/>
    <x v="7"/>
    <x v="0"/>
    <x v="3"/>
    <n v="2"/>
    <n v="2"/>
    <n v="1"/>
    <s v="W"/>
    <s v="30"/>
    <x v="2"/>
    <s v="6130028"/>
    <n v="3"/>
    <n v="26"/>
    <n v="13"/>
  </r>
  <r>
    <s v="RESI"/>
    <x v="11"/>
    <x v="7"/>
    <x v="0"/>
    <x v="0"/>
    <n v="2"/>
    <n v="2"/>
    <n v="2"/>
    <s v="W"/>
    <s v="30"/>
    <x v="2"/>
    <s v="6110003"/>
    <n v="1"/>
    <n v="6"/>
    <n v="3"/>
  </r>
  <r>
    <s v="RESI"/>
    <x v="11"/>
    <x v="7"/>
    <x v="0"/>
    <x v="3"/>
    <n v="2"/>
    <n v="2"/>
    <n v="2"/>
    <s v="W"/>
    <s v="30"/>
    <x v="2"/>
    <s v="6110003"/>
    <n v="1"/>
    <n v="4"/>
    <n v="2"/>
  </r>
  <r>
    <s v="RESI"/>
    <x v="11"/>
    <x v="7"/>
    <x v="0"/>
    <x v="0"/>
    <n v="2"/>
    <n v="2"/>
    <n v="2"/>
    <s v="W"/>
    <s v="30"/>
    <x v="2"/>
    <s v="6120003"/>
    <n v="2"/>
    <n v="8"/>
    <n v="4"/>
  </r>
  <r>
    <s v="RESI"/>
    <x v="11"/>
    <x v="7"/>
    <x v="0"/>
    <x v="0"/>
    <n v="2"/>
    <n v="2"/>
    <n v="2"/>
    <s v="W"/>
    <s v="31"/>
    <x v="3"/>
    <s v="6120005"/>
    <n v="2"/>
    <n v="2"/>
    <n v="1"/>
  </r>
  <r>
    <s v="RESI"/>
    <x v="11"/>
    <x v="7"/>
    <x v="0"/>
    <x v="0"/>
    <n v="2"/>
    <n v="2"/>
    <n v="2"/>
    <s v="W"/>
    <s v="33"/>
    <x v="9"/>
    <s v="6120040"/>
    <n v="2"/>
    <n v="2"/>
    <n v="1"/>
  </r>
  <r>
    <s v="RESI"/>
    <x v="11"/>
    <x v="7"/>
    <x v="0"/>
    <x v="0"/>
    <n v="2"/>
    <n v="2"/>
    <n v="2"/>
    <s v="W"/>
    <s v="30"/>
    <x v="2"/>
    <s v="6130003"/>
    <n v="3"/>
    <n v="2"/>
    <n v="1"/>
  </r>
  <r>
    <s v="RESI"/>
    <x v="11"/>
    <x v="7"/>
    <x v="0"/>
    <x v="3"/>
    <n v="2"/>
    <n v="2"/>
    <n v="2"/>
    <s v="W"/>
    <s v="30"/>
    <x v="2"/>
    <s v="6130003"/>
    <n v="3"/>
    <n v="2"/>
    <n v="1"/>
  </r>
  <r>
    <s v="COMM"/>
    <x v="11"/>
    <x v="7"/>
    <x v="0"/>
    <x v="4"/>
    <n v="2"/>
    <n v="2"/>
    <n v="2"/>
    <s v="W"/>
    <s v="15"/>
    <x v="12"/>
    <s v="6170015"/>
    <n v="9"/>
    <n v="2"/>
    <n v="1"/>
  </r>
  <r>
    <s v="RESI"/>
    <x v="11"/>
    <x v="7"/>
    <x v="0"/>
    <x v="0"/>
    <n v="2"/>
    <n v="3"/>
    <n v="1"/>
    <s v="W"/>
    <s v="31"/>
    <x v="3"/>
    <s v="6120005"/>
    <n v="2"/>
    <n v="2"/>
    <n v="1"/>
  </r>
  <r>
    <s v="RESI"/>
    <x v="11"/>
    <x v="7"/>
    <x v="0"/>
    <x v="0"/>
    <n v="2"/>
    <n v="3"/>
    <n v="1"/>
    <s v="W"/>
    <s v="33"/>
    <x v="9"/>
    <s v="6120040"/>
    <n v="2"/>
    <n v="16"/>
    <n v="8"/>
  </r>
  <r>
    <s v="RESI"/>
    <x v="11"/>
    <x v="7"/>
    <x v="0"/>
    <x v="0"/>
    <n v="2"/>
    <n v="4"/>
    <n v="1"/>
    <s v="W"/>
    <s v="31"/>
    <x v="3"/>
    <s v="6110005"/>
    <n v="1"/>
    <n v="2"/>
    <n v="1"/>
  </r>
  <r>
    <s v="RESI"/>
    <x v="11"/>
    <x v="7"/>
    <x v="0"/>
    <x v="0"/>
    <n v="2"/>
    <n v="4"/>
    <n v="1"/>
    <s v="W"/>
    <s v="30"/>
    <x v="2"/>
    <s v="6110008"/>
    <n v="1"/>
    <n v="2"/>
    <n v="1"/>
  </r>
  <r>
    <s v="RESI"/>
    <x v="11"/>
    <x v="7"/>
    <x v="0"/>
    <x v="3"/>
    <n v="2"/>
    <n v="4"/>
    <n v="1"/>
    <s v="W"/>
    <s v="30"/>
    <x v="2"/>
    <s v="6120009"/>
    <n v="2"/>
    <n v="2"/>
    <n v="1"/>
  </r>
  <r>
    <s v="RESI"/>
    <x v="11"/>
    <x v="7"/>
    <x v="0"/>
    <x v="3"/>
    <n v="2"/>
    <n v="4"/>
    <n v="1"/>
    <s v="W"/>
    <s v="30"/>
    <x v="2"/>
    <s v="6130009"/>
    <n v="3"/>
    <n v="2"/>
    <n v="1"/>
  </r>
  <r>
    <s v="RESI"/>
    <x v="11"/>
    <x v="7"/>
    <x v="0"/>
    <x v="0"/>
    <n v="3"/>
    <n v="1"/>
    <n v="1"/>
    <s v="W"/>
    <s v="33"/>
    <x v="9"/>
    <s v="6120040"/>
    <n v="2"/>
    <n v="45"/>
    <n v="15"/>
  </r>
  <r>
    <s v="RESI"/>
    <x v="11"/>
    <x v="7"/>
    <x v="0"/>
    <x v="3"/>
    <n v="3"/>
    <n v="1"/>
    <n v="1"/>
    <s v="W"/>
    <s v="33"/>
    <x v="9"/>
    <s v="6120040"/>
    <n v="2"/>
    <n v="15"/>
    <n v="5"/>
  </r>
  <r>
    <s v="RESI"/>
    <x v="11"/>
    <x v="7"/>
    <x v="0"/>
    <x v="0"/>
    <n v="3"/>
    <n v="1"/>
    <n v="3"/>
    <s v="W"/>
    <s v="33"/>
    <x v="9"/>
    <s v="6120040"/>
    <n v="2"/>
    <n v="3"/>
    <n v="1"/>
  </r>
  <r>
    <s v="RESI"/>
    <x v="11"/>
    <x v="7"/>
    <x v="0"/>
    <x v="3"/>
    <n v="3"/>
    <n v="2"/>
    <n v="1"/>
    <s v="W"/>
    <s v="30"/>
    <x v="2"/>
    <s v="6110009"/>
    <n v="1"/>
    <n v="3"/>
    <n v="1"/>
  </r>
  <r>
    <s v="RESI"/>
    <x v="11"/>
    <x v="7"/>
    <x v="0"/>
    <x v="0"/>
    <n v="3"/>
    <n v="2"/>
    <n v="1"/>
    <s v="W"/>
    <s v="33"/>
    <x v="9"/>
    <s v="6120040"/>
    <n v="2"/>
    <n v="6"/>
    <n v="2"/>
  </r>
  <r>
    <s v="RESI"/>
    <x v="11"/>
    <x v="7"/>
    <x v="0"/>
    <x v="3"/>
    <n v="3"/>
    <n v="2"/>
    <n v="1"/>
    <s v="W"/>
    <s v="33"/>
    <x v="9"/>
    <s v="6120040"/>
    <n v="2"/>
    <n v="3"/>
    <n v="1"/>
  </r>
  <r>
    <s v="RESI"/>
    <x v="11"/>
    <x v="7"/>
    <x v="0"/>
    <x v="0"/>
    <n v="3"/>
    <n v="3"/>
    <n v="1"/>
    <s v="W"/>
    <s v="3B"/>
    <x v="2"/>
    <s v="6080001"/>
    <n v="1"/>
    <n v="9"/>
    <n v="3"/>
  </r>
  <r>
    <s v="RESI"/>
    <x v="11"/>
    <x v="7"/>
    <x v="0"/>
    <x v="0"/>
    <n v="3"/>
    <n v="3"/>
    <n v="1"/>
    <s v="W"/>
    <s v="3C"/>
    <x v="5"/>
    <s v="6080004"/>
    <n v="1"/>
    <n v="3"/>
    <n v="1"/>
  </r>
  <r>
    <s v="RESI"/>
    <x v="11"/>
    <x v="7"/>
    <x v="0"/>
    <x v="0"/>
    <n v="3"/>
    <n v="3"/>
    <n v="1"/>
    <s v="W"/>
    <s v="3C"/>
    <x v="5"/>
    <s v="6080004"/>
    <n v="3"/>
    <n v="18"/>
    <n v="6"/>
  </r>
  <r>
    <s v="RESI"/>
    <x v="11"/>
    <x v="7"/>
    <x v="0"/>
    <x v="0"/>
    <n v="3"/>
    <n v="3"/>
    <n v="1"/>
    <s v="W"/>
    <s v="3B"/>
    <x v="2"/>
    <s v="6080050"/>
    <n v="5"/>
    <n v="3"/>
    <n v="1"/>
  </r>
  <r>
    <s v="RESI"/>
    <x v="11"/>
    <x v="7"/>
    <x v="0"/>
    <x v="3"/>
    <n v="3"/>
    <n v="3"/>
    <n v="1"/>
    <s v="W"/>
    <s v="30"/>
    <x v="2"/>
    <s v="6110002"/>
    <n v="1"/>
    <n v="6"/>
    <n v="2"/>
  </r>
  <r>
    <s v="RESI"/>
    <x v="11"/>
    <x v="7"/>
    <x v="0"/>
    <x v="0"/>
    <n v="3"/>
    <n v="3"/>
    <n v="1"/>
    <s v="W"/>
    <s v="31"/>
    <x v="3"/>
    <s v="6110005"/>
    <n v="1"/>
    <n v="72"/>
    <n v="24"/>
  </r>
  <r>
    <s v="RESI"/>
    <x v="11"/>
    <x v="7"/>
    <x v="0"/>
    <x v="3"/>
    <n v="3"/>
    <n v="3"/>
    <n v="1"/>
    <s v="W"/>
    <s v="31"/>
    <x v="3"/>
    <s v="6110005"/>
    <n v="1"/>
    <n v="45"/>
    <n v="15"/>
  </r>
  <r>
    <s v="RESI"/>
    <x v="11"/>
    <x v="7"/>
    <x v="0"/>
    <x v="0"/>
    <n v="3"/>
    <n v="3"/>
    <n v="1"/>
    <s v="W"/>
    <s v="36"/>
    <x v="8"/>
    <s v="6110006"/>
    <n v="1"/>
    <n v="3"/>
    <n v="1"/>
  </r>
  <r>
    <s v="RESI"/>
    <x v="11"/>
    <x v="7"/>
    <x v="0"/>
    <x v="0"/>
    <n v="3"/>
    <n v="3"/>
    <n v="1"/>
    <s v="W"/>
    <s v="30"/>
    <x v="2"/>
    <s v="6110008"/>
    <n v="1"/>
    <n v="12"/>
    <n v="4"/>
  </r>
  <r>
    <s v="RESI"/>
    <x v="11"/>
    <x v="7"/>
    <x v="0"/>
    <x v="3"/>
    <n v="3"/>
    <n v="3"/>
    <n v="1"/>
    <s v="W"/>
    <s v="30"/>
    <x v="2"/>
    <s v="6110008"/>
    <n v="1"/>
    <n v="6"/>
    <n v="2"/>
  </r>
  <r>
    <s v="RESI"/>
    <x v="11"/>
    <x v="7"/>
    <x v="0"/>
    <x v="0"/>
    <n v="3"/>
    <n v="3"/>
    <n v="1"/>
    <s v="W"/>
    <s v="30"/>
    <x v="2"/>
    <s v="6110009"/>
    <n v="1"/>
    <n v="6"/>
    <n v="2"/>
  </r>
  <r>
    <s v="RESI"/>
    <x v="11"/>
    <x v="7"/>
    <x v="0"/>
    <x v="3"/>
    <n v="3"/>
    <n v="3"/>
    <n v="1"/>
    <s v="W"/>
    <s v="30"/>
    <x v="2"/>
    <s v="6110009"/>
    <n v="1"/>
    <n v="3"/>
    <n v="1"/>
  </r>
  <r>
    <s v="RESI"/>
    <x v="11"/>
    <x v="7"/>
    <x v="0"/>
    <x v="0"/>
    <n v="3"/>
    <n v="3"/>
    <n v="1"/>
    <s v="W"/>
    <s v="35"/>
    <x v="4"/>
    <s v="6110015"/>
    <n v="1"/>
    <n v="27"/>
    <n v="9"/>
  </r>
  <r>
    <s v="RESI"/>
    <x v="11"/>
    <x v="7"/>
    <x v="0"/>
    <x v="0"/>
    <n v="3"/>
    <n v="3"/>
    <n v="1"/>
    <s v="W"/>
    <s v="30"/>
    <x v="2"/>
    <s v="6110028"/>
    <n v="1"/>
    <n v="18"/>
    <n v="6"/>
  </r>
  <r>
    <s v="RESI"/>
    <x v="11"/>
    <x v="7"/>
    <x v="0"/>
    <x v="0"/>
    <n v="3"/>
    <n v="3"/>
    <n v="1"/>
    <s v="W"/>
    <s v="30"/>
    <x v="2"/>
    <s v="6120002"/>
    <n v="2"/>
    <n v="3"/>
    <n v="1"/>
  </r>
  <r>
    <s v="RESI"/>
    <x v="11"/>
    <x v="7"/>
    <x v="0"/>
    <x v="0"/>
    <n v="3"/>
    <n v="3"/>
    <n v="1"/>
    <s v="W"/>
    <s v="32"/>
    <x v="7"/>
    <s v="6120004"/>
    <n v="2"/>
    <n v="3"/>
    <n v="1"/>
  </r>
  <r>
    <s v="RESI"/>
    <x v="11"/>
    <x v="7"/>
    <x v="0"/>
    <x v="0"/>
    <n v="3"/>
    <n v="3"/>
    <n v="1"/>
    <s v="W"/>
    <s v="31"/>
    <x v="3"/>
    <s v="6120005"/>
    <n v="2"/>
    <n v="36"/>
    <n v="12"/>
  </r>
  <r>
    <s v="RESI"/>
    <x v="11"/>
    <x v="7"/>
    <x v="0"/>
    <x v="3"/>
    <n v="3"/>
    <n v="3"/>
    <n v="1"/>
    <s v="W"/>
    <s v="31"/>
    <x v="3"/>
    <s v="6120005"/>
    <n v="2"/>
    <n v="18"/>
    <n v="6"/>
  </r>
  <r>
    <s v="RESI"/>
    <x v="11"/>
    <x v="7"/>
    <x v="0"/>
    <x v="0"/>
    <n v="3"/>
    <n v="3"/>
    <n v="1"/>
    <s v="W"/>
    <s v="30"/>
    <x v="2"/>
    <s v="6120008"/>
    <n v="2"/>
    <n v="6"/>
    <n v="2"/>
  </r>
  <r>
    <s v="RESI"/>
    <x v="11"/>
    <x v="7"/>
    <x v="0"/>
    <x v="3"/>
    <n v="3"/>
    <n v="3"/>
    <n v="1"/>
    <s v="W"/>
    <s v="30"/>
    <x v="2"/>
    <s v="6120008"/>
    <n v="2"/>
    <n v="9"/>
    <n v="3"/>
  </r>
  <r>
    <s v="RESI"/>
    <x v="11"/>
    <x v="7"/>
    <x v="0"/>
    <x v="0"/>
    <n v="3"/>
    <n v="3"/>
    <n v="1"/>
    <s v="W"/>
    <s v="30"/>
    <x v="2"/>
    <s v="6120009"/>
    <n v="2"/>
    <n v="3"/>
    <n v="1"/>
  </r>
  <r>
    <s v="RESI"/>
    <x v="11"/>
    <x v="7"/>
    <x v="0"/>
    <x v="3"/>
    <n v="3"/>
    <n v="3"/>
    <n v="1"/>
    <s v="W"/>
    <s v="30"/>
    <x v="2"/>
    <s v="6120009"/>
    <n v="2"/>
    <n v="3"/>
    <n v="1"/>
  </r>
  <r>
    <s v="RESI"/>
    <x v="11"/>
    <x v="7"/>
    <x v="0"/>
    <x v="0"/>
    <n v="3"/>
    <n v="3"/>
    <n v="1"/>
    <s v="W"/>
    <s v="35"/>
    <x v="4"/>
    <s v="6120015"/>
    <n v="2"/>
    <n v="42"/>
    <n v="14"/>
  </r>
  <r>
    <s v="RESI"/>
    <x v="11"/>
    <x v="7"/>
    <x v="0"/>
    <x v="0"/>
    <n v="3"/>
    <n v="3"/>
    <n v="1"/>
    <s v="W"/>
    <s v="30"/>
    <x v="2"/>
    <s v="6120028"/>
    <n v="2"/>
    <n v="18"/>
    <n v="6"/>
  </r>
  <r>
    <s v="RESI"/>
    <x v="11"/>
    <x v="7"/>
    <x v="0"/>
    <x v="3"/>
    <n v="3"/>
    <n v="3"/>
    <n v="1"/>
    <s v="W"/>
    <s v="30"/>
    <x v="2"/>
    <s v="6120028"/>
    <n v="2"/>
    <n v="3"/>
    <n v="1"/>
  </r>
  <r>
    <s v="RESI"/>
    <x v="11"/>
    <x v="7"/>
    <x v="0"/>
    <x v="0"/>
    <n v="3"/>
    <n v="3"/>
    <n v="1"/>
    <s v="W"/>
    <s v="33"/>
    <x v="9"/>
    <s v="6120040"/>
    <n v="2"/>
    <n v="2568"/>
    <n v="856"/>
  </r>
  <r>
    <s v="RESI"/>
    <x v="11"/>
    <x v="7"/>
    <x v="0"/>
    <x v="3"/>
    <n v="3"/>
    <n v="3"/>
    <n v="1"/>
    <s v="W"/>
    <s v="33"/>
    <x v="9"/>
    <s v="6120040"/>
    <n v="2"/>
    <n v="1464"/>
    <n v="488"/>
  </r>
  <r>
    <s v="RESI"/>
    <x v="11"/>
    <x v="7"/>
    <x v="0"/>
    <x v="0"/>
    <n v="3"/>
    <n v="3"/>
    <n v="1"/>
    <s v="W"/>
    <s v="30"/>
    <x v="2"/>
    <s v="6130002"/>
    <n v="3"/>
    <n v="9"/>
    <n v="3"/>
  </r>
  <r>
    <s v="RESI"/>
    <x v="11"/>
    <x v="7"/>
    <x v="0"/>
    <x v="0"/>
    <n v="3"/>
    <n v="3"/>
    <n v="1"/>
    <s v="W"/>
    <s v="31"/>
    <x v="3"/>
    <s v="6130005"/>
    <n v="3"/>
    <n v="51"/>
    <n v="17"/>
  </r>
  <r>
    <s v="RESI"/>
    <x v="11"/>
    <x v="7"/>
    <x v="0"/>
    <x v="3"/>
    <n v="3"/>
    <n v="3"/>
    <n v="1"/>
    <s v="W"/>
    <s v="31"/>
    <x v="3"/>
    <s v="6130005"/>
    <n v="3"/>
    <n v="39"/>
    <n v="13"/>
  </r>
  <r>
    <s v="RESI"/>
    <x v="11"/>
    <x v="7"/>
    <x v="0"/>
    <x v="0"/>
    <n v="3"/>
    <n v="3"/>
    <n v="1"/>
    <s v="W"/>
    <s v="36"/>
    <x v="8"/>
    <s v="6130006"/>
    <n v="3"/>
    <n v="9"/>
    <n v="3"/>
  </r>
  <r>
    <s v="RESI"/>
    <x v="11"/>
    <x v="7"/>
    <x v="0"/>
    <x v="0"/>
    <n v="3"/>
    <n v="3"/>
    <n v="1"/>
    <s v="W"/>
    <s v="30"/>
    <x v="2"/>
    <s v="6130008"/>
    <n v="3"/>
    <n v="6"/>
    <n v="2"/>
  </r>
  <r>
    <s v="RESI"/>
    <x v="11"/>
    <x v="7"/>
    <x v="0"/>
    <x v="0"/>
    <n v="3"/>
    <n v="3"/>
    <n v="1"/>
    <s v="W"/>
    <s v="30"/>
    <x v="2"/>
    <s v="6130009"/>
    <n v="3"/>
    <n v="3"/>
    <n v="1"/>
  </r>
  <r>
    <s v="RESI"/>
    <x v="11"/>
    <x v="7"/>
    <x v="0"/>
    <x v="0"/>
    <n v="3"/>
    <n v="3"/>
    <n v="1"/>
    <s v="W"/>
    <s v="35"/>
    <x v="4"/>
    <s v="6130015"/>
    <n v="3"/>
    <n v="27"/>
    <n v="9"/>
  </r>
  <r>
    <s v="RESI"/>
    <x v="11"/>
    <x v="7"/>
    <x v="0"/>
    <x v="0"/>
    <n v="3"/>
    <n v="3"/>
    <n v="1"/>
    <s v="W"/>
    <s v="30"/>
    <x v="2"/>
    <s v="6130028"/>
    <n v="3"/>
    <n v="27"/>
    <n v="9"/>
  </r>
  <r>
    <s v="RESI"/>
    <x v="11"/>
    <x v="7"/>
    <x v="0"/>
    <x v="3"/>
    <n v="3"/>
    <n v="3"/>
    <n v="1"/>
    <s v="W"/>
    <s v="30"/>
    <x v="2"/>
    <s v="6130028"/>
    <n v="3"/>
    <n v="12"/>
    <n v="4"/>
  </r>
  <r>
    <s v="RESI"/>
    <x v="11"/>
    <x v="7"/>
    <x v="0"/>
    <x v="3"/>
    <n v="3"/>
    <n v="3"/>
    <n v="2"/>
    <s v="W"/>
    <s v="33"/>
    <x v="9"/>
    <s v="6120040"/>
    <n v="2"/>
    <n v="3"/>
    <n v="1"/>
  </r>
  <r>
    <s v="RESI"/>
    <x v="11"/>
    <x v="7"/>
    <x v="0"/>
    <x v="0"/>
    <n v="3"/>
    <n v="3"/>
    <n v="2"/>
    <s v="W"/>
    <s v="30"/>
    <x v="2"/>
    <s v="6130003"/>
    <n v="3"/>
    <n v="3"/>
    <n v="1"/>
  </r>
  <r>
    <s v="RESI"/>
    <x v="11"/>
    <x v="7"/>
    <x v="0"/>
    <x v="0"/>
    <n v="3"/>
    <n v="4"/>
    <n v="1"/>
    <s v="W"/>
    <s v="33"/>
    <x v="9"/>
    <s v="6120040"/>
    <n v="2"/>
    <n v="6"/>
    <n v="2"/>
  </r>
  <r>
    <s v="RESI"/>
    <x v="11"/>
    <x v="7"/>
    <x v="0"/>
    <x v="3"/>
    <n v="3"/>
    <n v="6"/>
    <n v="1"/>
    <s v="W"/>
    <s v="30"/>
    <x v="2"/>
    <s v="6130009"/>
    <n v="3"/>
    <n v="3"/>
    <n v="1"/>
  </r>
  <r>
    <s v="RESI"/>
    <x v="11"/>
    <x v="7"/>
    <x v="0"/>
    <x v="3"/>
    <n v="4"/>
    <n v="1"/>
    <n v="1"/>
    <s v="W"/>
    <s v="33"/>
    <x v="9"/>
    <s v="6120040"/>
    <n v="2"/>
    <n v="4"/>
    <n v="1"/>
  </r>
  <r>
    <s v="RESI"/>
    <x v="11"/>
    <x v="7"/>
    <x v="0"/>
    <x v="0"/>
    <n v="4"/>
    <n v="4"/>
    <n v="1"/>
    <s v="W"/>
    <s v="30"/>
    <x v="2"/>
    <s v="6110028"/>
    <n v="1"/>
    <n v="4"/>
    <n v="1"/>
  </r>
  <r>
    <s v="RESI"/>
    <x v="11"/>
    <x v="7"/>
    <x v="0"/>
    <x v="3"/>
    <n v="4"/>
    <n v="4"/>
    <n v="1"/>
    <s v="W"/>
    <s v="30"/>
    <x v="2"/>
    <s v="6110028"/>
    <n v="1"/>
    <n v="4"/>
    <n v="1"/>
  </r>
  <r>
    <s v="RESI"/>
    <x v="11"/>
    <x v="7"/>
    <x v="0"/>
    <x v="0"/>
    <n v="4"/>
    <n v="4"/>
    <n v="1"/>
    <s v="W"/>
    <s v="30"/>
    <x v="2"/>
    <s v="6120002"/>
    <n v="2"/>
    <n v="4"/>
    <n v="1"/>
  </r>
  <r>
    <s v="RESI"/>
    <x v="11"/>
    <x v="7"/>
    <x v="0"/>
    <x v="0"/>
    <n v="4"/>
    <n v="4"/>
    <n v="1"/>
    <s v="W"/>
    <s v="33"/>
    <x v="9"/>
    <s v="6120040"/>
    <n v="2"/>
    <n v="28"/>
    <n v="7"/>
  </r>
  <r>
    <s v="RESI"/>
    <x v="11"/>
    <x v="7"/>
    <x v="0"/>
    <x v="3"/>
    <n v="4"/>
    <n v="4"/>
    <n v="1"/>
    <s v="W"/>
    <s v="33"/>
    <x v="9"/>
    <s v="6120040"/>
    <n v="2"/>
    <n v="20"/>
    <n v="5"/>
  </r>
  <r>
    <s v="RESI"/>
    <x v="11"/>
    <x v="7"/>
    <x v="0"/>
    <x v="0"/>
    <n v="4"/>
    <n v="4"/>
    <n v="1"/>
    <s v="W"/>
    <s v="30"/>
    <x v="2"/>
    <s v="6130002"/>
    <n v="3"/>
    <n v="8"/>
    <n v="2"/>
  </r>
  <r>
    <s v="RESI"/>
    <x v="11"/>
    <x v="7"/>
    <x v="0"/>
    <x v="3"/>
    <n v="4"/>
    <n v="4"/>
    <n v="1"/>
    <s v="W"/>
    <s v="30"/>
    <x v="2"/>
    <s v="6130002"/>
    <n v="3"/>
    <n v="4"/>
    <n v="1"/>
  </r>
  <r>
    <s v="RESI"/>
    <x v="11"/>
    <x v="7"/>
    <x v="0"/>
    <x v="0"/>
    <n v="4"/>
    <n v="4"/>
    <n v="1"/>
    <s v="W"/>
    <s v="31"/>
    <x v="3"/>
    <s v="6130005"/>
    <n v="3"/>
    <n v="4"/>
    <n v="1"/>
  </r>
  <r>
    <s v="COMM"/>
    <x v="11"/>
    <x v="7"/>
    <x v="0"/>
    <x v="4"/>
    <n v="4"/>
    <n v="4"/>
    <n v="1"/>
    <s v="W"/>
    <s v="11"/>
    <x v="11"/>
    <s v="6170005"/>
    <n v="9"/>
    <n v="4"/>
    <n v="1"/>
  </r>
  <r>
    <s v="COMM"/>
    <x v="11"/>
    <x v="7"/>
    <x v="0"/>
    <x v="4"/>
    <n v="4"/>
    <n v="4"/>
    <n v="2"/>
    <s v="W"/>
    <s v="13"/>
    <x v="15"/>
    <s v="6170040"/>
    <n v="9"/>
    <n v="4"/>
    <n v="1"/>
  </r>
  <r>
    <s v="RESI"/>
    <x v="11"/>
    <x v="7"/>
    <x v="0"/>
    <x v="0"/>
    <n v="5"/>
    <n v="5"/>
    <n v="1"/>
    <s v="W"/>
    <s v="30"/>
    <x v="2"/>
    <s v="6110008"/>
    <n v="1"/>
    <n v="5"/>
    <n v="1"/>
  </r>
  <r>
    <s v="RESI"/>
    <x v="11"/>
    <x v="7"/>
    <x v="0"/>
    <x v="3"/>
    <n v="5"/>
    <n v="5"/>
    <n v="1"/>
    <s v="W"/>
    <s v="33"/>
    <x v="9"/>
    <s v="6120040"/>
    <n v="2"/>
    <n v="10"/>
    <n v="2"/>
  </r>
  <r>
    <s v="RESI"/>
    <x v="11"/>
    <x v="7"/>
    <x v="0"/>
    <x v="3"/>
    <n v="5"/>
    <n v="5"/>
    <n v="1"/>
    <s v="W"/>
    <s v="31"/>
    <x v="3"/>
    <s v="6130005"/>
    <n v="3"/>
    <n v="5"/>
    <n v="1"/>
  </r>
  <r>
    <s v="RESI"/>
    <x v="11"/>
    <x v="7"/>
    <x v="0"/>
    <x v="3"/>
    <n v="6"/>
    <n v="6"/>
    <n v="1"/>
    <s v="W"/>
    <s v="31"/>
    <x v="3"/>
    <s v="6120005"/>
    <n v="2"/>
    <n v="6"/>
    <n v="1"/>
  </r>
  <r>
    <s v="RESI"/>
    <x v="11"/>
    <x v="7"/>
    <x v="0"/>
    <x v="0"/>
    <n v="6"/>
    <n v="6"/>
    <n v="1"/>
    <s v="W"/>
    <s v="33"/>
    <x v="9"/>
    <s v="6120040"/>
    <n v="2"/>
    <n v="6"/>
    <n v="1"/>
  </r>
  <r>
    <s v="RESI"/>
    <x v="11"/>
    <x v="30"/>
    <x v="0"/>
    <x v="0"/>
    <n v="1"/>
    <n v="1"/>
    <n v="1"/>
    <s v="W"/>
    <s v="31"/>
    <x v="3"/>
    <s v="6110005"/>
    <n v="1"/>
    <n v="6"/>
    <n v="6"/>
  </r>
  <r>
    <s v="RESI"/>
    <x v="11"/>
    <x v="30"/>
    <x v="0"/>
    <x v="0"/>
    <n v="1"/>
    <n v="1"/>
    <n v="1"/>
    <s v="W"/>
    <s v="31"/>
    <x v="3"/>
    <s v="6120005"/>
    <n v="2"/>
    <n v="6"/>
    <n v="6"/>
  </r>
  <r>
    <s v="RESI"/>
    <x v="11"/>
    <x v="30"/>
    <x v="0"/>
    <x v="0"/>
    <n v="1"/>
    <n v="1"/>
    <n v="1"/>
    <s v="W"/>
    <s v="31"/>
    <x v="3"/>
    <s v="6130005"/>
    <n v="3"/>
    <n v="3"/>
    <n v="3"/>
  </r>
  <r>
    <s v="COMM"/>
    <x v="11"/>
    <x v="30"/>
    <x v="0"/>
    <x v="4"/>
    <n v="1"/>
    <n v="1"/>
    <n v="1"/>
    <s v="W"/>
    <s v="71"/>
    <x v="1"/>
    <s v="6170005"/>
    <n v="9"/>
    <n v="1"/>
    <n v="1"/>
  </r>
  <r>
    <s v="RESI"/>
    <x v="12"/>
    <x v="7"/>
    <x v="0"/>
    <x v="0"/>
    <n v="1"/>
    <n v="1"/>
    <n v="1"/>
    <s v="W"/>
    <s v="3B"/>
    <x v="2"/>
    <s v="6080001"/>
    <n v="1"/>
    <n v="1"/>
    <n v="1"/>
  </r>
  <r>
    <s v="COMM"/>
    <x v="12"/>
    <x v="7"/>
    <x v="0"/>
    <x v="4"/>
    <n v="1"/>
    <n v="1"/>
    <n v="1"/>
    <s v="W"/>
    <s v="1B"/>
    <x v="14"/>
    <s v="6080040"/>
    <n v="4"/>
    <n v="1"/>
    <n v="1"/>
  </r>
  <r>
    <s v="RESI"/>
    <x v="12"/>
    <x v="7"/>
    <x v="0"/>
    <x v="0"/>
    <n v="1"/>
    <n v="1"/>
    <n v="1"/>
    <s v="W"/>
    <s v="3B"/>
    <x v="2"/>
    <s v="6080050"/>
    <n v="5"/>
    <n v="2"/>
    <n v="2"/>
  </r>
  <r>
    <s v="RESI"/>
    <x v="12"/>
    <x v="7"/>
    <x v="0"/>
    <x v="0"/>
    <n v="1"/>
    <n v="1"/>
    <n v="1"/>
    <s v="W"/>
    <s v="31"/>
    <x v="3"/>
    <s v="6110005"/>
    <n v="1"/>
    <n v="1"/>
    <n v="1"/>
  </r>
  <r>
    <s v="RESI"/>
    <x v="12"/>
    <x v="7"/>
    <x v="0"/>
    <x v="0"/>
    <n v="1"/>
    <n v="1"/>
    <n v="1"/>
    <s v="W"/>
    <s v="31"/>
    <x v="3"/>
    <s v="6130005"/>
    <n v="3"/>
    <n v="4"/>
    <n v="4"/>
  </r>
  <r>
    <s v="COMM"/>
    <x v="12"/>
    <x v="7"/>
    <x v="0"/>
    <x v="4"/>
    <n v="1"/>
    <n v="1"/>
    <n v="1"/>
    <s v="W"/>
    <s v="12"/>
    <x v="10"/>
    <s v="6170004"/>
    <n v="9"/>
    <n v="1"/>
    <n v="1"/>
  </r>
  <r>
    <s v="COMM"/>
    <x v="12"/>
    <x v="7"/>
    <x v="0"/>
    <x v="4"/>
    <n v="1"/>
    <n v="1"/>
    <n v="1"/>
    <s v="W"/>
    <s v="11"/>
    <x v="11"/>
    <s v="6170005"/>
    <n v="9"/>
    <n v="58"/>
    <n v="58"/>
  </r>
  <r>
    <s v="IND"/>
    <x v="12"/>
    <x v="7"/>
    <x v="0"/>
    <x v="4"/>
    <n v="1"/>
    <n v="1"/>
    <n v="1"/>
    <s v="W"/>
    <s v="11"/>
    <x v="11"/>
    <s v="6170005"/>
    <n v="9"/>
    <n v="1"/>
    <n v="1"/>
  </r>
  <r>
    <s v="COMM"/>
    <x v="12"/>
    <x v="7"/>
    <x v="0"/>
    <x v="4"/>
    <n v="1"/>
    <n v="1"/>
    <n v="1"/>
    <s v="W"/>
    <s v="16"/>
    <x v="16"/>
    <s v="6170006"/>
    <n v="9"/>
    <n v="1"/>
    <n v="1"/>
  </r>
  <r>
    <s v="COMM"/>
    <x v="12"/>
    <x v="7"/>
    <x v="0"/>
    <x v="4"/>
    <n v="1"/>
    <n v="1"/>
    <n v="1"/>
    <s v="W"/>
    <s v="15"/>
    <x v="12"/>
    <s v="6170015"/>
    <n v="9"/>
    <n v="2"/>
    <n v="2"/>
  </r>
  <r>
    <s v="COMM"/>
    <x v="12"/>
    <x v="7"/>
    <x v="0"/>
    <x v="4"/>
    <n v="1"/>
    <n v="1"/>
    <n v="1"/>
    <s v="W"/>
    <s v="1A"/>
    <x v="13"/>
    <s v="6170022"/>
    <n v="9"/>
    <n v="1"/>
    <n v="1"/>
  </r>
  <r>
    <s v="COMM"/>
    <x v="12"/>
    <x v="7"/>
    <x v="0"/>
    <x v="2"/>
    <n v="1"/>
    <n v="1"/>
    <n v="1"/>
    <s v="W"/>
    <s v="13"/>
    <x v="15"/>
    <s v="6170040"/>
    <n v="9"/>
    <n v="1"/>
    <n v="1"/>
  </r>
  <r>
    <s v="COMM"/>
    <x v="12"/>
    <x v="7"/>
    <x v="0"/>
    <x v="2"/>
    <n v="1"/>
    <n v="1"/>
    <n v="1"/>
    <s v="W"/>
    <s v="11"/>
    <x v="11"/>
    <s v="6170055"/>
    <n v="9"/>
    <n v="26"/>
    <n v="26"/>
  </r>
  <r>
    <s v="COMM"/>
    <x v="12"/>
    <x v="7"/>
    <x v="0"/>
    <x v="2"/>
    <n v="1"/>
    <n v="1"/>
    <n v="1"/>
    <s v="W"/>
    <s v="71"/>
    <x v="1"/>
    <s v="6170055"/>
    <n v="9"/>
    <n v="1"/>
    <n v="1"/>
  </r>
  <r>
    <s v="COMM"/>
    <x v="12"/>
    <x v="7"/>
    <x v="0"/>
    <x v="4"/>
    <n v="1"/>
    <n v="1"/>
    <n v="2"/>
    <s v="W"/>
    <s v="12"/>
    <x v="10"/>
    <s v="6170004"/>
    <n v="9"/>
    <n v="4"/>
    <n v="4"/>
  </r>
  <r>
    <s v="COMM"/>
    <x v="12"/>
    <x v="7"/>
    <x v="0"/>
    <x v="2"/>
    <n v="1"/>
    <n v="1"/>
    <n v="2"/>
    <s v="W"/>
    <s v="12"/>
    <x v="10"/>
    <s v="6170004"/>
    <n v="9"/>
    <n v="2"/>
    <n v="2"/>
  </r>
  <r>
    <s v="COMM"/>
    <x v="12"/>
    <x v="7"/>
    <x v="0"/>
    <x v="4"/>
    <n v="1"/>
    <n v="1"/>
    <n v="2"/>
    <s v="W"/>
    <s v="10"/>
    <x v="14"/>
    <s v="6170008"/>
    <n v="9"/>
    <n v="1"/>
    <n v="1"/>
  </r>
  <r>
    <s v="COMM"/>
    <x v="12"/>
    <x v="7"/>
    <x v="0"/>
    <x v="2"/>
    <n v="1"/>
    <n v="1"/>
    <n v="2"/>
    <s v="W"/>
    <s v="10"/>
    <x v="14"/>
    <s v="6170028"/>
    <n v="9"/>
    <n v="9"/>
    <n v="9"/>
  </r>
  <r>
    <s v="COMM"/>
    <x v="12"/>
    <x v="7"/>
    <x v="0"/>
    <x v="4"/>
    <n v="1"/>
    <n v="1"/>
    <n v="2"/>
    <s v="W"/>
    <s v="10"/>
    <x v="14"/>
    <s v="6170028"/>
    <n v="9"/>
    <n v="4"/>
    <n v="4"/>
  </r>
  <r>
    <s v="COMM"/>
    <x v="12"/>
    <x v="7"/>
    <x v="0"/>
    <x v="2"/>
    <n v="1"/>
    <n v="1"/>
    <n v="2"/>
    <s v="W"/>
    <s v="13"/>
    <x v="15"/>
    <s v="6170040"/>
    <n v="9"/>
    <n v="5"/>
    <n v="5"/>
  </r>
  <r>
    <s v="COMM"/>
    <x v="12"/>
    <x v="7"/>
    <x v="0"/>
    <x v="4"/>
    <n v="1"/>
    <n v="1"/>
    <n v="2"/>
    <s v="W"/>
    <s v="13"/>
    <x v="15"/>
    <s v="6170040"/>
    <n v="9"/>
    <n v="5"/>
    <n v="5"/>
  </r>
  <r>
    <s v="COMM"/>
    <x v="12"/>
    <x v="7"/>
    <x v="0"/>
    <x v="2"/>
    <n v="1"/>
    <n v="2"/>
    <n v="1"/>
    <s v="W"/>
    <s v="11"/>
    <x v="11"/>
    <s v="6170055"/>
    <n v="9"/>
    <n v="1"/>
    <n v="1"/>
  </r>
  <r>
    <s v="COMM"/>
    <x v="12"/>
    <x v="7"/>
    <x v="0"/>
    <x v="2"/>
    <n v="1"/>
    <n v="2"/>
    <n v="2"/>
    <s v="W"/>
    <s v="1C"/>
    <x v="6"/>
    <s v="6080004"/>
    <n v="4"/>
    <n v="2"/>
    <n v="2"/>
  </r>
  <r>
    <s v="COMM"/>
    <x v="12"/>
    <x v="7"/>
    <x v="0"/>
    <x v="4"/>
    <n v="1"/>
    <n v="2"/>
    <n v="2"/>
    <s v="W"/>
    <s v="1C"/>
    <x v="6"/>
    <s v="6080004"/>
    <n v="4"/>
    <n v="4"/>
    <n v="4"/>
  </r>
  <r>
    <s v="COMM"/>
    <x v="12"/>
    <x v="7"/>
    <x v="0"/>
    <x v="4"/>
    <n v="1"/>
    <n v="2"/>
    <n v="2"/>
    <s v="W"/>
    <s v="7C"/>
    <x v="19"/>
    <s v="6080004"/>
    <n v="4"/>
    <n v="1"/>
    <n v="1"/>
  </r>
  <r>
    <s v="COMM"/>
    <x v="12"/>
    <x v="7"/>
    <x v="0"/>
    <x v="4"/>
    <n v="1"/>
    <n v="5"/>
    <n v="1"/>
    <s v="W"/>
    <s v="11"/>
    <x v="11"/>
    <s v="6170005"/>
    <n v="9"/>
    <n v="1"/>
    <n v="1"/>
  </r>
  <r>
    <s v="COMM"/>
    <x v="12"/>
    <x v="7"/>
    <x v="0"/>
    <x v="4"/>
    <n v="2"/>
    <n v="2"/>
    <n v="1"/>
    <s v="W"/>
    <s v="1C"/>
    <x v="6"/>
    <s v="6080004"/>
    <n v="4"/>
    <n v="2"/>
    <n v="1"/>
  </r>
  <r>
    <s v="COMM"/>
    <x v="12"/>
    <x v="7"/>
    <x v="0"/>
    <x v="2"/>
    <n v="2"/>
    <n v="2"/>
    <n v="1"/>
    <s v="W"/>
    <s v="11"/>
    <x v="11"/>
    <s v="6170005"/>
    <n v="9"/>
    <n v="2"/>
    <n v="1"/>
  </r>
  <r>
    <s v="COMM"/>
    <x v="12"/>
    <x v="7"/>
    <x v="0"/>
    <x v="4"/>
    <n v="2"/>
    <n v="2"/>
    <n v="1"/>
    <s v="W"/>
    <s v="11"/>
    <x v="11"/>
    <s v="6170005"/>
    <n v="9"/>
    <n v="52"/>
    <n v="26"/>
  </r>
  <r>
    <s v="COMM"/>
    <x v="12"/>
    <x v="7"/>
    <x v="0"/>
    <x v="4"/>
    <n v="2"/>
    <n v="2"/>
    <n v="1"/>
    <s v="W"/>
    <s v="71"/>
    <x v="1"/>
    <s v="6170005"/>
    <n v="9"/>
    <n v="2"/>
    <n v="1"/>
  </r>
  <r>
    <s v="COMM"/>
    <x v="12"/>
    <x v="7"/>
    <x v="0"/>
    <x v="4"/>
    <n v="2"/>
    <n v="2"/>
    <n v="1"/>
    <s v="W"/>
    <s v="10"/>
    <x v="14"/>
    <s v="6170008"/>
    <n v="9"/>
    <n v="2"/>
    <n v="1"/>
  </r>
  <r>
    <s v="COMM"/>
    <x v="12"/>
    <x v="7"/>
    <x v="0"/>
    <x v="2"/>
    <n v="2"/>
    <n v="2"/>
    <n v="1"/>
    <s v="W"/>
    <s v="11"/>
    <x v="11"/>
    <s v="6170055"/>
    <n v="9"/>
    <n v="36"/>
    <n v="18"/>
  </r>
  <r>
    <s v="COMM"/>
    <x v="12"/>
    <x v="7"/>
    <x v="0"/>
    <x v="4"/>
    <n v="2"/>
    <n v="2"/>
    <n v="2"/>
    <s v="W"/>
    <s v="10"/>
    <x v="14"/>
    <s v="6170003"/>
    <n v="9"/>
    <n v="2"/>
    <n v="1"/>
  </r>
  <r>
    <s v="COMM"/>
    <x v="12"/>
    <x v="7"/>
    <x v="0"/>
    <x v="4"/>
    <n v="2"/>
    <n v="2"/>
    <n v="2"/>
    <s v="W"/>
    <s v="70"/>
    <x v="17"/>
    <s v="6170028"/>
    <n v="9"/>
    <n v="2"/>
    <n v="1"/>
  </r>
  <r>
    <s v="COMM"/>
    <x v="12"/>
    <x v="7"/>
    <x v="0"/>
    <x v="2"/>
    <n v="2"/>
    <n v="2"/>
    <n v="2"/>
    <s v="W"/>
    <s v="13"/>
    <x v="15"/>
    <s v="6170040"/>
    <n v="9"/>
    <n v="8"/>
    <n v="4"/>
  </r>
  <r>
    <s v="COMM"/>
    <x v="12"/>
    <x v="7"/>
    <x v="0"/>
    <x v="4"/>
    <n v="2"/>
    <n v="2"/>
    <n v="2"/>
    <s v="W"/>
    <s v="13"/>
    <x v="15"/>
    <s v="6170040"/>
    <n v="9"/>
    <n v="4"/>
    <n v="2"/>
  </r>
  <r>
    <s v="COMM"/>
    <x v="12"/>
    <x v="7"/>
    <x v="0"/>
    <x v="4"/>
    <n v="3"/>
    <n v="3"/>
    <n v="1"/>
    <s v="W"/>
    <s v="11"/>
    <x v="11"/>
    <s v="6170005"/>
    <n v="9"/>
    <n v="15"/>
    <n v="5"/>
  </r>
  <r>
    <s v="COMM"/>
    <x v="12"/>
    <x v="7"/>
    <x v="0"/>
    <x v="2"/>
    <n v="3"/>
    <n v="3"/>
    <n v="1"/>
    <s v="W"/>
    <s v="71"/>
    <x v="1"/>
    <s v="6170055"/>
    <n v="9"/>
    <n v="3"/>
    <n v="1"/>
  </r>
  <r>
    <s v="COMM"/>
    <x v="12"/>
    <x v="7"/>
    <x v="0"/>
    <x v="2"/>
    <n v="3"/>
    <n v="3"/>
    <n v="1"/>
    <s v="W"/>
    <s v="11"/>
    <x v="11"/>
    <s v="6170055"/>
    <n v="9"/>
    <n v="18"/>
    <n v="6"/>
  </r>
  <r>
    <s v="COMM"/>
    <x v="12"/>
    <x v="7"/>
    <x v="0"/>
    <x v="2"/>
    <n v="3"/>
    <n v="3"/>
    <n v="2"/>
    <s v="W"/>
    <s v="12"/>
    <x v="10"/>
    <s v="6170004"/>
    <n v="9"/>
    <n v="3"/>
    <n v="1"/>
  </r>
  <r>
    <s v="COMM"/>
    <x v="12"/>
    <x v="7"/>
    <x v="0"/>
    <x v="4"/>
    <n v="3"/>
    <n v="3"/>
    <n v="2"/>
    <s v="W"/>
    <s v="12"/>
    <x v="10"/>
    <s v="6170004"/>
    <n v="9"/>
    <n v="6"/>
    <n v="2"/>
  </r>
  <r>
    <s v="COMM"/>
    <x v="12"/>
    <x v="7"/>
    <x v="0"/>
    <x v="4"/>
    <n v="3"/>
    <n v="3"/>
    <n v="2"/>
    <s v="W"/>
    <s v="13"/>
    <x v="15"/>
    <s v="6170040"/>
    <n v="9"/>
    <n v="3"/>
    <n v="1"/>
  </r>
  <r>
    <s v="COMM"/>
    <x v="12"/>
    <x v="7"/>
    <x v="0"/>
    <x v="4"/>
    <n v="4"/>
    <n v="4"/>
    <n v="1"/>
    <s v="W"/>
    <s v="11"/>
    <x v="11"/>
    <s v="6170005"/>
    <n v="9"/>
    <n v="8"/>
    <n v="2"/>
  </r>
  <r>
    <s v="COMM"/>
    <x v="12"/>
    <x v="7"/>
    <x v="0"/>
    <x v="4"/>
    <n v="4"/>
    <n v="4"/>
    <n v="1"/>
    <s v="W"/>
    <s v="15"/>
    <x v="12"/>
    <s v="6170015"/>
    <n v="9"/>
    <n v="4"/>
    <n v="1"/>
  </r>
  <r>
    <s v="COMM"/>
    <x v="12"/>
    <x v="7"/>
    <x v="0"/>
    <x v="2"/>
    <n v="4"/>
    <n v="4"/>
    <n v="1"/>
    <s v="W"/>
    <s v="11"/>
    <x v="11"/>
    <s v="6170055"/>
    <n v="9"/>
    <n v="8"/>
    <n v="2"/>
  </r>
  <r>
    <s v="IND"/>
    <x v="12"/>
    <x v="7"/>
    <x v="0"/>
    <x v="2"/>
    <n v="4"/>
    <n v="4"/>
    <n v="1"/>
    <s v="W"/>
    <s v="11"/>
    <x v="11"/>
    <s v="6170055"/>
    <n v="9"/>
    <n v="4"/>
    <n v="1"/>
  </r>
  <r>
    <s v="COMM"/>
    <x v="12"/>
    <x v="7"/>
    <x v="0"/>
    <x v="4"/>
    <n v="4"/>
    <n v="4"/>
    <n v="2"/>
    <s v="W"/>
    <s v="13"/>
    <x v="15"/>
    <s v="6170040"/>
    <n v="9"/>
    <n v="4"/>
    <n v="1"/>
  </r>
  <r>
    <s v="COMM"/>
    <x v="12"/>
    <x v="7"/>
    <x v="0"/>
    <x v="2"/>
    <n v="5"/>
    <n v="5"/>
    <n v="1"/>
    <s v="W"/>
    <s v="1C"/>
    <x v="6"/>
    <s v="6080004"/>
    <n v="4"/>
    <n v="5"/>
    <n v="1"/>
  </r>
  <r>
    <s v="COMM"/>
    <x v="12"/>
    <x v="7"/>
    <x v="0"/>
    <x v="4"/>
    <n v="5"/>
    <n v="5"/>
    <n v="1"/>
    <s v="W"/>
    <s v="11"/>
    <x v="11"/>
    <s v="6170005"/>
    <n v="9"/>
    <n v="5"/>
    <n v="1"/>
  </r>
  <r>
    <s v="COMM"/>
    <x v="12"/>
    <x v="7"/>
    <x v="0"/>
    <x v="2"/>
    <n v="5"/>
    <n v="5"/>
    <n v="1"/>
    <s v="W"/>
    <s v="11"/>
    <x v="11"/>
    <s v="6170055"/>
    <n v="9"/>
    <n v="5"/>
    <n v="1"/>
  </r>
  <r>
    <s v="COMM"/>
    <x v="12"/>
    <x v="7"/>
    <x v="0"/>
    <x v="4"/>
    <n v="5"/>
    <n v="5"/>
    <n v="2"/>
    <s v="W"/>
    <s v="10"/>
    <x v="14"/>
    <s v="6170009"/>
    <n v="9"/>
    <n v="5"/>
    <n v="1"/>
  </r>
  <r>
    <s v="COMM"/>
    <x v="12"/>
    <x v="7"/>
    <x v="0"/>
    <x v="2"/>
    <n v="5"/>
    <n v="5"/>
    <n v="2"/>
    <s v="W"/>
    <s v="10"/>
    <x v="14"/>
    <s v="6170028"/>
    <n v="9"/>
    <n v="5"/>
    <n v="1"/>
  </r>
  <r>
    <s v="COMM"/>
    <x v="12"/>
    <x v="7"/>
    <x v="0"/>
    <x v="2"/>
    <n v="6"/>
    <n v="6"/>
    <n v="1"/>
    <s v="W"/>
    <s v="11"/>
    <x v="11"/>
    <s v="6170055"/>
    <n v="9"/>
    <n v="12"/>
    <n v="2"/>
  </r>
  <r>
    <s v="COMM"/>
    <x v="12"/>
    <x v="7"/>
    <x v="0"/>
    <x v="4"/>
    <n v="6"/>
    <n v="6"/>
    <n v="2"/>
    <s v="W"/>
    <s v="13"/>
    <x v="15"/>
    <s v="6170040"/>
    <n v="9"/>
    <n v="6"/>
    <n v="1"/>
  </r>
  <r>
    <s v="COMM"/>
    <x v="12"/>
    <x v="7"/>
    <x v="0"/>
    <x v="4"/>
    <n v="7"/>
    <n v="7"/>
    <n v="1"/>
    <s v="W"/>
    <s v="11"/>
    <x v="11"/>
    <s v="6170005"/>
    <n v="9"/>
    <n v="7"/>
    <n v="1"/>
  </r>
  <r>
    <s v="COMM"/>
    <x v="12"/>
    <x v="7"/>
    <x v="0"/>
    <x v="2"/>
    <n v="7"/>
    <n v="14"/>
    <n v="2"/>
    <s v="W"/>
    <s v="1C"/>
    <x v="6"/>
    <s v="6080004"/>
    <n v="4"/>
    <n v="7"/>
    <n v="1"/>
  </r>
  <r>
    <s v="COMM"/>
    <x v="12"/>
    <x v="7"/>
    <x v="0"/>
    <x v="4"/>
    <n v="9"/>
    <n v="9"/>
    <n v="2"/>
    <s v="W"/>
    <s v="12"/>
    <x v="10"/>
    <s v="6170004"/>
    <n v="9"/>
    <n v="9"/>
    <n v="1"/>
  </r>
  <r>
    <s v="COMM"/>
    <x v="12"/>
    <x v="7"/>
    <x v="0"/>
    <x v="2"/>
    <n v="10"/>
    <n v="10"/>
    <n v="1"/>
    <s v="W"/>
    <s v="11"/>
    <x v="11"/>
    <s v="6170055"/>
    <n v="9"/>
    <n v="10"/>
    <n v="1"/>
  </r>
  <r>
    <s v="COMM"/>
    <x v="12"/>
    <x v="7"/>
    <x v="0"/>
    <x v="4"/>
    <n v="15"/>
    <n v="15"/>
    <n v="1"/>
    <s v="W"/>
    <s v="11"/>
    <x v="11"/>
    <s v="6170005"/>
    <n v="9"/>
    <n v="15"/>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4" showMemberPropertyTips="0" useAutoFormatting="1" itemPrintTitles="1" createdVersion="1" indent="0" compact="0" compactData="0" gridDropZones="1">
  <location ref="A3:I104" firstHeaderRow="1" firstDataRow="2" firstDataCol="3" rowPageCount="1" colPageCount="1"/>
  <pivotFields count="15">
    <pivotField compact="0" outline="0" subtotalTop="0" showAll="0" includeNewItemsInFilter="1"/>
    <pivotField axis="axisRow" compact="0" outline="0" subtotalTop="0" showAll="0" includeNewItemsInFilter="1">
      <items count="14">
        <item x="0"/>
        <item x="1"/>
        <item x="2"/>
        <item x="3"/>
        <item x="4"/>
        <item x="5"/>
        <item x="6"/>
        <item x="7"/>
        <item x="8"/>
        <item x="9"/>
        <item x="10"/>
        <item x="11"/>
        <item x="12"/>
        <item t="default"/>
      </items>
    </pivotField>
    <pivotField axis="axisRow" compact="0" outline="0" subtotalTop="0" showAll="0" includeNewItemsInFilter="1">
      <items count="32">
        <item x="28"/>
        <item x="8"/>
        <item x="29"/>
        <item x="0"/>
        <item x="1"/>
        <item x="9"/>
        <item x="2"/>
        <item x="3"/>
        <item x="10"/>
        <item x="4"/>
        <item x="5"/>
        <item x="6"/>
        <item x="7"/>
        <item x="30"/>
        <item x="26"/>
        <item x="11"/>
        <item x="12"/>
        <item x="13"/>
        <item x="14"/>
        <item x="15"/>
        <item x="16"/>
        <item x="17"/>
        <item x="18"/>
        <item x="19"/>
        <item x="20"/>
        <item x="21"/>
        <item x="22"/>
        <item x="23"/>
        <item x="24"/>
        <item x="27"/>
        <item x="25"/>
        <item t="default"/>
      </items>
    </pivotField>
    <pivotField axis="axisRow" compact="0" outline="0" subtotalTop="0" showAll="0" includeNewItemsInFilter="1">
      <items count="3">
        <item x="1"/>
        <item x="0"/>
        <item t="default"/>
      </items>
    </pivotField>
    <pivotField axis="axisPage" compact="0" outline="0" subtotalTop="0" showAll="0" includeNewItemsInFilter="1">
      <items count="20">
        <item x="14"/>
        <item x="16"/>
        <item x="10"/>
        <item x="11"/>
        <item x="9"/>
        <item x="1"/>
        <item x="13"/>
        <item x="7"/>
        <item x="17"/>
        <item x="15"/>
        <item x="3"/>
        <item x="6"/>
        <item x="8"/>
        <item x="18"/>
        <item h="1" x="2"/>
        <item x="12"/>
        <item x="5"/>
        <item x="4"/>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Col" compact="0" outline="0" subtotalTop="0" showAll="0" includeNewItemsInFilter="1">
      <items count="37">
        <item x="14"/>
        <item h="1" x="11"/>
        <item h="1" x="10"/>
        <item h="1" x="15"/>
        <item h="1" x="12"/>
        <item h="1" x="16"/>
        <item h="1" x="13"/>
        <item h="1" x="6"/>
        <item x="27"/>
        <item h="1" x="26"/>
        <item h="1" x="34"/>
        <item h="1" x="32"/>
        <item h="1" x="28"/>
        <item h="1" x="31"/>
        <item h="1" x="33"/>
        <item h="1" x="30"/>
        <item h="1" x="35"/>
        <item h="1" x="29"/>
        <item x="2"/>
        <item h="1" x="3"/>
        <item h="1" x="7"/>
        <item h="1" x="9"/>
        <item h="1" x="4"/>
        <item h="1" x="8"/>
        <item h="1" x="0"/>
        <item h="1" x="5"/>
        <item x="17"/>
        <item h="1" x="1"/>
        <item h="1" x="21"/>
        <item h="1" x="18"/>
        <item h="1" x="23"/>
        <item h="1" x="22"/>
        <item h="1" x="25"/>
        <item h="1" x="24"/>
        <item h="1" x="19"/>
        <item x="20"/>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s>
  <rowFields count="3">
    <field x="1"/>
    <field x="2"/>
    <field x="3"/>
  </rowFields>
  <rowItems count="100">
    <i>
      <x/>
      <x v="4"/>
      <x v="1"/>
    </i>
    <i t="default" r="1">
      <x v="4"/>
    </i>
    <i t="default">
      <x/>
    </i>
    <i>
      <x v="1"/>
      <x v="7"/>
      <x v="1"/>
    </i>
    <i t="default" r="1">
      <x v="7"/>
    </i>
    <i r="1">
      <x v="10"/>
      <x v="1"/>
    </i>
    <i t="default" r="1">
      <x v="10"/>
    </i>
    <i r="1">
      <x v="12"/>
      <x v="1"/>
    </i>
    <i t="default" r="1">
      <x v="12"/>
    </i>
    <i t="default">
      <x v="1"/>
    </i>
    <i>
      <x v="2"/>
      <x v="5"/>
      <x v="1"/>
    </i>
    <i t="default" r="1">
      <x v="5"/>
    </i>
    <i r="1">
      <x v="7"/>
      <x v="1"/>
    </i>
    <i t="default" r="1">
      <x v="7"/>
    </i>
    <i t="default">
      <x v="2"/>
    </i>
    <i>
      <x v="3"/>
      <x v="15"/>
      <x v="1"/>
    </i>
    <i t="default" r="1">
      <x v="15"/>
    </i>
    <i r="1">
      <x v="16"/>
      <x v="1"/>
    </i>
    <i t="default" r="1">
      <x v="16"/>
    </i>
    <i r="1">
      <x v="18"/>
      <x v="1"/>
    </i>
    <i t="default" r="1">
      <x v="18"/>
    </i>
    <i r="1">
      <x v="19"/>
      <x/>
    </i>
    <i r="2">
      <x v="1"/>
    </i>
    <i t="default" r="1">
      <x v="19"/>
    </i>
    <i r="1">
      <x v="20"/>
      <x v="1"/>
    </i>
    <i t="default" r="1">
      <x v="20"/>
    </i>
    <i r="1">
      <x v="21"/>
      <x/>
    </i>
    <i r="2">
      <x v="1"/>
    </i>
    <i t="default" r="1">
      <x v="21"/>
    </i>
    <i r="1">
      <x v="22"/>
      <x v="1"/>
    </i>
    <i t="default" r="1">
      <x v="22"/>
    </i>
    <i t="default">
      <x v="3"/>
    </i>
    <i>
      <x v="4"/>
      <x v="15"/>
      <x v="1"/>
    </i>
    <i t="default" r="1">
      <x v="15"/>
    </i>
    <i r="1">
      <x v="16"/>
      <x v="1"/>
    </i>
    <i t="default" r="1">
      <x v="16"/>
    </i>
    <i r="1">
      <x v="17"/>
      <x v="1"/>
    </i>
    <i t="default" r="1">
      <x v="17"/>
    </i>
    <i r="1">
      <x v="18"/>
      <x v="1"/>
    </i>
    <i t="default" r="1">
      <x v="18"/>
    </i>
    <i r="1">
      <x v="19"/>
      <x v="1"/>
    </i>
    <i t="default" r="1">
      <x v="19"/>
    </i>
    <i r="1">
      <x v="20"/>
      <x v="1"/>
    </i>
    <i t="default" r="1">
      <x v="20"/>
    </i>
    <i r="1">
      <x v="21"/>
      <x v="1"/>
    </i>
    <i t="default" r="1">
      <x v="21"/>
    </i>
    <i r="1">
      <x v="22"/>
      <x v="1"/>
    </i>
    <i t="default" r="1">
      <x v="22"/>
    </i>
    <i t="default">
      <x v="4"/>
    </i>
    <i>
      <x v="5"/>
      <x v="23"/>
      <x v="1"/>
    </i>
    <i t="default" r="1">
      <x v="23"/>
    </i>
    <i r="1">
      <x v="24"/>
      <x v="1"/>
    </i>
    <i t="default" r="1">
      <x v="24"/>
    </i>
    <i r="1">
      <x v="26"/>
      <x v="1"/>
    </i>
    <i t="default" r="1">
      <x v="26"/>
    </i>
    <i r="1">
      <x v="27"/>
      <x/>
    </i>
    <i r="2">
      <x v="1"/>
    </i>
    <i t="default" r="1">
      <x v="27"/>
    </i>
    <i r="1">
      <x v="28"/>
      <x/>
    </i>
    <i r="2">
      <x v="1"/>
    </i>
    <i t="default" r="1">
      <x v="28"/>
    </i>
    <i r="1">
      <x v="30"/>
      <x/>
    </i>
    <i r="2">
      <x v="1"/>
    </i>
    <i t="default" r="1">
      <x v="30"/>
    </i>
    <i t="default">
      <x v="5"/>
    </i>
    <i>
      <x v="6"/>
      <x v="7"/>
      <x v="1"/>
    </i>
    <i t="default" r="1">
      <x v="7"/>
    </i>
    <i r="1">
      <x v="10"/>
      <x v="1"/>
    </i>
    <i t="default" r="1">
      <x v="10"/>
    </i>
    <i r="1">
      <x v="12"/>
      <x v="1"/>
    </i>
    <i t="default" r="1">
      <x v="12"/>
    </i>
    <i t="default">
      <x v="6"/>
    </i>
    <i>
      <x v="7"/>
      <x v="26"/>
      <x/>
    </i>
    <i t="default" r="1">
      <x v="26"/>
    </i>
    <i r="1">
      <x v="27"/>
      <x/>
    </i>
    <i t="default" r="1">
      <x v="27"/>
    </i>
    <i r="1">
      <x v="28"/>
      <x/>
    </i>
    <i r="2">
      <x v="1"/>
    </i>
    <i t="default" r="1">
      <x v="28"/>
    </i>
    <i r="1">
      <x v="30"/>
      <x v="1"/>
    </i>
    <i t="default" r="1">
      <x v="30"/>
    </i>
    <i t="default">
      <x v="7"/>
    </i>
    <i>
      <x v="8"/>
      <x v="18"/>
      <x v="1"/>
    </i>
    <i t="default" r="1">
      <x v="18"/>
    </i>
    <i r="1">
      <x v="20"/>
      <x v="1"/>
    </i>
    <i t="default" r="1">
      <x v="20"/>
    </i>
    <i r="1">
      <x v="21"/>
      <x v="1"/>
    </i>
    <i t="default" r="1">
      <x v="21"/>
    </i>
    <i t="default">
      <x v="8"/>
    </i>
    <i>
      <x v="11"/>
      <x v="7"/>
      <x v="1"/>
    </i>
    <i t="default" r="1">
      <x v="7"/>
    </i>
    <i r="1">
      <x v="10"/>
      <x v="1"/>
    </i>
    <i t="default" r="1">
      <x v="10"/>
    </i>
    <i r="1">
      <x v="12"/>
      <x v="1"/>
    </i>
    <i t="default" r="1">
      <x v="12"/>
    </i>
    <i t="default">
      <x v="11"/>
    </i>
    <i>
      <x v="12"/>
      <x v="12"/>
      <x v="1"/>
    </i>
    <i t="default" r="1">
      <x v="12"/>
    </i>
    <i t="default">
      <x v="12"/>
    </i>
    <i t="grand">
      <x/>
    </i>
  </rowItems>
  <colFields count="1">
    <field x="10"/>
  </colFields>
  <colItems count="6">
    <i>
      <x/>
    </i>
    <i>
      <x v="8"/>
    </i>
    <i>
      <x v="18"/>
    </i>
    <i>
      <x v="26"/>
    </i>
    <i>
      <x v="35"/>
    </i>
    <i t="grand">
      <x/>
    </i>
  </colItems>
  <pageFields count="1">
    <pageField fld="4" hier="0"/>
  </pageFields>
  <dataFields count="1">
    <dataField name="Sum of # of Containers" fld="13" baseField="2" baseItem="4" numFmtId="167"/>
  </dataFields>
  <formats count="1">
    <format dxfId="5">
      <pivotArea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4" showMemberPropertyTips="0" useAutoFormatting="1" itemPrintTitles="1" createdVersion="1" indent="0" compact="0" compactData="0" gridDropZones="1">
  <location ref="A3:H61" firstHeaderRow="1" firstDataRow="2" firstDataCol="3" rowPageCount="1" colPageCount="1"/>
  <pivotFields count="15">
    <pivotField compact="0" outline="0" subtotalTop="0" showAll="0" includeNewItemsInFilter="1"/>
    <pivotField axis="axisRow" compact="0" outline="0" subtotalTop="0" showAll="0" includeNewItemsInFilter="1">
      <items count="14">
        <item x="0"/>
        <item x="1"/>
        <item x="2"/>
        <item x="3"/>
        <item x="4"/>
        <item x="5"/>
        <item x="6"/>
        <item x="7"/>
        <item x="8"/>
        <item x="9"/>
        <item x="10"/>
        <item x="11"/>
        <item x="12"/>
        <item t="default"/>
      </items>
    </pivotField>
    <pivotField axis="axisRow" compact="0" outline="0" subtotalTop="0" showAll="0" includeNewItemsInFilter="1">
      <items count="32">
        <item x="28"/>
        <item x="8"/>
        <item x="29"/>
        <item x="0"/>
        <item x="1"/>
        <item x="9"/>
        <item x="2"/>
        <item x="3"/>
        <item x="10"/>
        <item x="4"/>
        <item x="5"/>
        <item x="6"/>
        <item x="7"/>
        <item x="30"/>
        <item x="26"/>
        <item x="11"/>
        <item x="12"/>
        <item x="13"/>
        <item x="14"/>
        <item x="15"/>
        <item x="16"/>
        <item x="17"/>
        <item x="18"/>
        <item x="19"/>
        <item x="20"/>
        <item x="21"/>
        <item x="22"/>
        <item x="23"/>
        <item x="24"/>
        <item x="27"/>
        <item x="25"/>
        <item t="default"/>
      </items>
    </pivotField>
    <pivotField axis="axisRow" compact="0" outline="0" subtotalTop="0" showAll="0" includeNewItemsInFilter="1">
      <items count="3">
        <item x="1"/>
        <item x="0"/>
        <item t="default"/>
      </items>
    </pivotField>
    <pivotField axis="axisPage" compact="0" outline="0" subtotalTop="0" showAll="0" includeNewItemsInFilter="1">
      <items count="20">
        <item h="1" x="14"/>
        <item h="1" x="16"/>
        <item h="1" x="10"/>
        <item h="1" x="11"/>
        <item h="1" x="9"/>
        <item h="1" x="1"/>
        <item h="1" x="13"/>
        <item h="1" x="7"/>
        <item h="1" x="17"/>
        <item h="1" x="15"/>
        <item h="1" x="3"/>
        <item h="1" x="6"/>
        <item h="1" x="8"/>
        <item h="1" x="18"/>
        <item x="2"/>
        <item h="1" x="12"/>
        <item h="1" x="5"/>
        <item h="1" x="4"/>
        <item h="1"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Col" compact="0" outline="0" subtotalTop="0" showAll="0" includeNewItemsInFilter="1">
      <items count="37">
        <item x="14"/>
        <item h="1" x="11"/>
        <item h="1" x="10"/>
        <item h="1" x="15"/>
        <item h="1" x="12"/>
        <item h="1" x="16"/>
        <item h="1" x="13"/>
        <item h="1" x="6"/>
        <item x="27"/>
        <item h="1" x="26"/>
        <item h="1" x="34"/>
        <item h="1" x="32"/>
        <item h="1" x="28"/>
        <item h="1" x="31"/>
        <item h="1" x="33"/>
        <item h="1" x="30"/>
        <item h="1" x="35"/>
        <item h="1" x="29"/>
        <item x="2"/>
        <item h="1" x="3"/>
        <item h="1" x="7"/>
        <item h="1" x="9"/>
        <item h="1" x="4"/>
        <item h="1" x="8"/>
        <item h="1" x="0"/>
        <item h="1" x="5"/>
        <item x="17"/>
        <item h="1" x="1"/>
        <item h="1" x="21"/>
        <item h="1" x="18"/>
        <item h="1" x="23"/>
        <item h="1" x="22"/>
        <item h="1" x="25"/>
        <item h="1" x="24"/>
        <item h="1" x="19"/>
        <item x="20"/>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s>
  <rowFields count="3">
    <field x="1"/>
    <field x="2"/>
    <field x="3"/>
  </rowFields>
  <rowItems count="57">
    <i>
      <x v="1"/>
      <x v="7"/>
      <x v="1"/>
    </i>
    <i t="default" r="1">
      <x v="7"/>
    </i>
    <i r="1">
      <x v="12"/>
      <x v="1"/>
    </i>
    <i t="default" r="1">
      <x v="12"/>
    </i>
    <i t="default">
      <x v="1"/>
    </i>
    <i>
      <x v="2"/>
      <x v="7"/>
      <x v="1"/>
    </i>
    <i t="default" r="1">
      <x v="7"/>
    </i>
    <i t="default">
      <x v="2"/>
    </i>
    <i>
      <x v="3"/>
      <x v="15"/>
      <x v="1"/>
    </i>
    <i t="default" r="1">
      <x v="15"/>
    </i>
    <i r="1">
      <x v="16"/>
      <x v="1"/>
    </i>
    <i t="default" r="1">
      <x v="16"/>
    </i>
    <i r="1">
      <x v="18"/>
      <x v="1"/>
    </i>
    <i t="default" r="1">
      <x v="18"/>
    </i>
    <i r="1">
      <x v="19"/>
      <x v="1"/>
    </i>
    <i t="default" r="1">
      <x v="19"/>
    </i>
    <i r="1">
      <x v="20"/>
      <x v="1"/>
    </i>
    <i t="default" r="1">
      <x v="20"/>
    </i>
    <i r="1">
      <x v="21"/>
      <x v="1"/>
    </i>
    <i t="default" r="1">
      <x v="21"/>
    </i>
    <i r="1">
      <x v="22"/>
      <x v="1"/>
    </i>
    <i t="default" r="1">
      <x v="22"/>
    </i>
    <i t="default">
      <x v="3"/>
    </i>
    <i>
      <x v="4"/>
      <x v="15"/>
      <x v="1"/>
    </i>
    <i t="default" r="1">
      <x v="15"/>
    </i>
    <i r="1">
      <x v="16"/>
      <x v="1"/>
    </i>
    <i t="default" r="1">
      <x v="16"/>
    </i>
    <i r="1">
      <x v="18"/>
      <x v="1"/>
    </i>
    <i t="default" r="1">
      <x v="18"/>
    </i>
    <i r="1">
      <x v="19"/>
      <x v="1"/>
    </i>
    <i t="default" r="1">
      <x v="19"/>
    </i>
    <i r="1">
      <x v="20"/>
      <x v="1"/>
    </i>
    <i t="default" r="1">
      <x v="20"/>
    </i>
    <i r="1">
      <x v="21"/>
      <x v="1"/>
    </i>
    <i t="default" r="1">
      <x v="21"/>
    </i>
    <i r="1">
      <x v="22"/>
      <x v="1"/>
    </i>
    <i t="default" r="1">
      <x v="22"/>
    </i>
    <i t="default">
      <x v="4"/>
    </i>
    <i>
      <x v="6"/>
      <x v="7"/>
      <x v="1"/>
    </i>
    <i t="default" r="1">
      <x v="7"/>
    </i>
    <i r="1">
      <x v="10"/>
      <x v="1"/>
    </i>
    <i t="default" r="1">
      <x v="10"/>
    </i>
    <i r="1">
      <x v="12"/>
      <x v="1"/>
    </i>
    <i t="default" r="1">
      <x v="12"/>
    </i>
    <i t="default">
      <x v="6"/>
    </i>
    <i>
      <x v="7"/>
      <x v="26"/>
      <x/>
    </i>
    <i t="default" r="1">
      <x v="26"/>
    </i>
    <i r="1">
      <x v="28"/>
      <x/>
    </i>
    <i t="default" r="1">
      <x v="28"/>
    </i>
    <i t="default">
      <x v="7"/>
    </i>
    <i>
      <x v="10"/>
      <x/>
      <x v="1"/>
    </i>
    <i t="default" r="1">
      <x/>
    </i>
    <i t="default">
      <x v="10"/>
    </i>
    <i>
      <x v="12"/>
      <x v="12"/>
      <x v="1"/>
    </i>
    <i t="default" r="1">
      <x v="12"/>
    </i>
    <i t="default">
      <x v="12"/>
    </i>
    <i t="grand">
      <x/>
    </i>
  </rowItems>
  <colFields count="1">
    <field x="10"/>
  </colFields>
  <colItems count="5">
    <i>
      <x/>
    </i>
    <i>
      <x v="8"/>
    </i>
    <i>
      <x v="26"/>
    </i>
    <i>
      <x v="35"/>
    </i>
    <i t="grand">
      <x/>
    </i>
  </colItems>
  <pageFields count="1">
    <pageField fld="4" hier="0"/>
  </pageFields>
  <dataFields count="1">
    <dataField name="Sum of # of Containers" fld="13" baseField="2" baseItem="4" numFmtId="167"/>
  </dataFields>
  <formats count="1">
    <format dxfId="4">
      <pivotArea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4" showMemberPropertyTips="0" useAutoFormatting="1" itemPrintTitles="1" createdVersion="1" indent="0" compact="0" compactData="0" gridDropZones="1">
  <location ref="A3:I107" firstHeaderRow="1" firstDataRow="2" firstDataCol="3" rowPageCount="1" colPageCount="1"/>
  <pivotFields count="15">
    <pivotField compact="0" outline="0" subtotalTop="0" showAll="0" includeNewItemsInFilter="1"/>
    <pivotField axis="axisRow" compact="0" outline="0" subtotalTop="0" showAll="0" includeNewItemsInFilter="1">
      <items count="14">
        <item x="0"/>
        <item x="1"/>
        <item x="2"/>
        <item x="3"/>
        <item x="4"/>
        <item x="5"/>
        <item x="6"/>
        <item x="7"/>
        <item x="8"/>
        <item x="9"/>
        <item x="10"/>
        <item x="11"/>
        <item x="12"/>
        <item t="default"/>
      </items>
    </pivotField>
    <pivotField axis="axisRow" compact="0" outline="0" subtotalTop="0" showAll="0" includeNewItemsInFilter="1">
      <items count="32">
        <item x="28"/>
        <item x="8"/>
        <item x="29"/>
        <item x="0"/>
        <item x="1"/>
        <item x="9"/>
        <item x="2"/>
        <item x="3"/>
        <item x="10"/>
        <item x="4"/>
        <item x="5"/>
        <item x="6"/>
        <item x="7"/>
        <item x="30"/>
        <item x="26"/>
        <item x="11"/>
        <item x="12"/>
        <item x="13"/>
        <item x="14"/>
        <item x="15"/>
        <item x="16"/>
        <item x="17"/>
        <item x="18"/>
        <item x="19"/>
        <item x="20"/>
        <item x="21"/>
        <item x="22"/>
        <item x="23"/>
        <item x="24"/>
        <item x="27"/>
        <item x="25"/>
        <item t="default"/>
      </items>
    </pivotField>
    <pivotField axis="axisRow" compact="0" outline="0" subtotalTop="0" showAll="0" includeNewItemsInFilter="1">
      <items count="3">
        <item x="1"/>
        <item x="0"/>
        <item t="default"/>
      </items>
    </pivotField>
    <pivotField axis="axisPage" compact="0" outline="0" subtotalTop="0" showAll="0" includeNewItemsInFilter="1">
      <items count="20">
        <item x="14"/>
        <item x="16"/>
        <item x="10"/>
        <item x="11"/>
        <item x="9"/>
        <item x="1"/>
        <item x="13"/>
        <item x="7"/>
        <item x="17"/>
        <item x="15"/>
        <item x="3"/>
        <item x="6"/>
        <item x="8"/>
        <item x="18"/>
        <item x="2"/>
        <item x="12"/>
        <item x="5"/>
        <item x="4"/>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Col" compact="0" outline="0" subtotalTop="0" showAll="0" includeNewItemsInFilter="1">
      <items count="37">
        <item x="14"/>
        <item h="1" x="11"/>
        <item h="1" x="10"/>
        <item h="1" x="15"/>
        <item h="1" x="12"/>
        <item h="1" x="16"/>
        <item h="1" x="13"/>
        <item h="1" x="6"/>
        <item x="27"/>
        <item h="1" x="26"/>
        <item h="1" x="34"/>
        <item h="1" x="32"/>
        <item h="1" x="28"/>
        <item h="1" x="31"/>
        <item h="1" x="33"/>
        <item h="1" x="30"/>
        <item h="1" x="35"/>
        <item h="1" x="29"/>
        <item x="2"/>
        <item h="1" x="3"/>
        <item h="1" x="7"/>
        <item h="1" x="9"/>
        <item h="1" x="4"/>
        <item h="1" x="8"/>
        <item h="1" x="0"/>
        <item h="1" x="5"/>
        <item x="17"/>
        <item h="1" x="1"/>
        <item h="1" x="21"/>
        <item h="1" x="18"/>
        <item h="1" x="23"/>
        <item h="1" x="22"/>
        <item h="1" x="25"/>
        <item h="1" x="24"/>
        <item h="1" x="19"/>
        <item x="20"/>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s>
  <rowFields count="3">
    <field x="1"/>
    <field x="2"/>
    <field x="3"/>
  </rowFields>
  <rowItems count="103">
    <i>
      <x/>
      <x v="4"/>
      <x v="1"/>
    </i>
    <i t="default" r="1">
      <x v="4"/>
    </i>
    <i t="default">
      <x/>
    </i>
    <i>
      <x v="1"/>
      <x v="7"/>
      <x v="1"/>
    </i>
    <i t="default" r="1">
      <x v="7"/>
    </i>
    <i r="1">
      <x v="10"/>
      <x v="1"/>
    </i>
    <i t="default" r="1">
      <x v="10"/>
    </i>
    <i r="1">
      <x v="12"/>
      <x v="1"/>
    </i>
    <i t="default" r="1">
      <x v="12"/>
    </i>
    <i t="default">
      <x v="1"/>
    </i>
    <i>
      <x v="2"/>
      <x v="5"/>
      <x v="1"/>
    </i>
    <i t="default" r="1">
      <x v="5"/>
    </i>
    <i r="1">
      <x v="7"/>
      <x v="1"/>
    </i>
    <i t="default" r="1">
      <x v="7"/>
    </i>
    <i t="default">
      <x v="2"/>
    </i>
    <i>
      <x v="3"/>
      <x v="15"/>
      <x v="1"/>
    </i>
    <i t="default" r="1">
      <x v="15"/>
    </i>
    <i r="1">
      <x v="16"/>
      <x v="1"/>
    </i>
    <i t="default" r="1">
      <x v="16"/>
    </i>
    <i r="1">
      <x v="18"/>
      <x v="1"/>
    </i>
    <i t="default" r="1">
      <x v="18"/>
    </i>
    <i r="1">
      <x v="19"/>
      <x/>
    </i>
    <i r="2">
      <x v="1"/>
    </i>
    <i t="default" r="1">
      <x v="19"/>
    </i>
    <i r="1">
      <x v="20"/>
      <x v="1"/>
    </i>
    <i t="default" r="1">
      <x v="20"/>
    </i>
    <i r="1">
      <x v="21"/>
      <x/>
    </i>
    <i r="2">
      <x v="1"/>
    </i>
    <i t="default" r="1">
      <x v="21"/>
    </i>
    <i r="1">
      <x v="22"/>
      <x v="1"/>
    </i>
    <i t="default" r="1">
      <x v="22"/>
    </i>
    <i t="default">
      <x v="3"/>
    </i>
    <i>
      <x v="4"/>
      <x v="15"/>
      <x v="1"/>
    </i>
    <i t="default" r="1">
      <x v="15"/>
    </i>
    <i r="1">
      <x v="16"/>
      <x v="1"/>
    </i>
    <i t="default" r="1">
      <x v="16"/>
    </i>
    <i r="1">
      <x v="17"/>
      <x v="1"/>
    </i>
    <i t="default" r="1">
      <x v="17"/>
    </i>
    <i r="1">
      <x v="18"/>
      <x v="1"/>
    </i>
    <i t="default" r="1">
      <x v="18"/>
    </i>
    <i r="1">
      <x v="19"/>
      <x v="1"/>
    </i>
    <i t="default" r="1">
      <x v="19"/>
    </i>
    <i r="1">
      <x v="20"/>
      <x v="1"/>
    </i>
    <i t="default" r="1">
      <x v="20"/>
    </i>
    <i r="1">
      <x v="21"/>
      <x v="1"/>
    </i>
    <i t="default" r="1">
      <x v="21"/>
    </i>
    <i r="1">
      <x v="22"/>
      <x v="1"/>
    </i>
    <i t="default" r="1">
      <x v="22"/>
    </i>
    <i t="default">
      <x v="4"/>
    </i>
    <i>
      <x v="5"/>
      <x v="23"/>
      <x v="1"/>
    </i>
    <i t="default" r="1">
      <x v="23"/>
    </i>
    <i r="1">
      <x v="24"/>
      <x v="1"/>
    </i>
    <i t="default" r="1">
      <x v="24"/>
    </i>
    <i r="1">
      <x v="26"/>
      <x v="1"/>
    </i>
    <i t="default" r="1">
      <x v="26"/>
    </i>
    <i r="1">
      <x v="27"/>
      <x/>
    </i>
    <i r="2">
      <x v="1"/>
    </i>
    <i t="default" r="1">
      <x v="27"/>
    </i>
    <i r="1">
      <x v="28"/>
      <x/>
    </i>
    <i r="2">
      <x v="1"/>
    </i>
    <i t="default" r="1">
      <x v="28"/>
    </i>
    <i r="1">
      <x v="30"/>
      <x/>
    </i>
    <i r="2">
      <x v="1"/>
    </i>
    <i t="default" r="1">
      <x v="30"/>
    </i>
    <i t="default">
      <x v="5"/>
    </i>
    <i>
      <x v="6"/>
      <x v="7"/>
      <x v="1"/>
    </i>
    <i t="default" r="1">
      <x v="7"/>
    </i>
    <i r="1">
      <x v="10"/>
      <x v="1"/>
    </i>
    <i t="default" r="1">
      <x v="10"/>
    </i>
    <i r="1">
      <x v="12"/>
      <x v="1"/>
    </i>
    <i t="default" r="1">
      <x v="12"/>
    </i>
    <i t="default">
      <x v="6"/>
    </i>
    <i>
      <x v="7"/>
      <x v="26"/>
      <x/>
    </i>
    <i t="default" r="1">
      <x v="26"/>
    </i>
    <i r="1">
      <x v="27"/>
      <x/>
    </i>
    <i t="default" r="1">
      <x v="27"/>
    </i>
    <i r="1">
      <x v="28"/>
      <x/>
    </i>
    <i r="2">
      <x v="1"/>
    </i>
    <i t="default" r="1">
      <x v="28"/>
    </i>
    <i r="1">
      <x v="30"/>
      <x v="1"/>
    </i>
    <i t="default" r="1">
      <x v="30"/>
    </i>
    <i t="default">
      <x v="7"/>
    </i>
    <i>
      <x v="8"/>
      <x v="18"/>
      <x v="1"/>
    </i>
    <i t="default" r="1">
      <x v="18"/>
    </i>
    <i r="1">
      <x v="20"/>
      <x v="1"/>
    </i>
    <i t="default" r="1">
      <x v="20"/>
    </i>
    <i r="1">
      <x v="21"/>
      <x v="1"/>
    </i>
    <i t="default" r="1">
      <x v="21"/>
    </i>
    <i t="default">
      <x v="8"/>
    </i>
    <i>
      <x v="10"/>
      <x/>
      <x v="1"/>
    </i>
    <i t="default" r="1">
      <x/>
    </i>
    <i t="default">
      <x v="10"/>
    </i>
    <i>
      <x v="11"/>
      <x v="7"/>
      <x v="1"/>
    </i>
    <i t="default" r="1">
      <x v="7"/>
    </i>
    <i r="1">
      <x v="10"/>
      <x v="1"/>
    </i>
    <i t="default" r="1">
      <x v="10"/>
    </i>
    <i r="1">
      <x v="12"/>
      <x v="1"/>
    </i>
    <i t="default" r="1">
      <x v="12"/>
    </i>
    <i t="default">
      <x v="11"/>
    </i>
    <i>
      <x v="12"/>
      <x v="12"/>
      <x v="1"/>
    </i>
    <i t="default" r="1">
      <x v="12"/>
    </i>
    <i t="default">
      <x v="12"/>
    </i>
    <i t="grand">
      <x/>
    </i>
  </rowItems>
  <colFields count="1">
    <field x="10"/>
  </colFields>
  <colItems count="6">
    <i>
      <x/>
    </i>
    <i>
      <x v="8"/>
    </i>
    <i>
      <x v="18"/>
    </i>
    <i>
      <x v="26"/>
    </i>
    <i>
      <x v="35"/>
    </i>
    <i t="grand">
      <x/>
    </i>
  </colItems>
  <pageFields count="1">
    <pageField fld="4" hier="0"/>
  </pageFields>
  <dataFields count="1">
    <dataField name="Sum of # of Containers" fld="13" baseField="2" baseItem="4" numFmtId="167"/>
  </dataFields>
  <formats count="1">
    <format dxfId="3">
      <pivotArea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4" showMemberPropertyTips="0" useAutoFormatting="1" itemPrintTitles="1" createdVersion="1" indent="0" compact="0" compactData="0" gridDropZones="1">
  <location ref="A3:AJ150" firstHeaderRow="1" firstDataRow="2" firstDataCol="3" rowPageCount="1" colPageCount="1"/>
  <pivotFields count="15">
    <pivotField compact="0" outline="0" subtotalTop="0" showAll="0" includeNewItemsInFilter="1"/>
    <pivotField axis="axisRow" compact="0" outline="0" subtotalTop="0" showAll="0" includeNewItemsInFilter="1">
      <items count="14">
        <item x="0"/>
        <item x="1"/>
        <item x="2"/>
        <item x="3"/>
        <item x="4"/>
        <item x="5"/>
        <item x="6"/>
        <item x="7"/>
        <item x="8"/>
        <item x="9"/>
        <item x="10"/>
        <item x="11"/>
        <item x="12"/>
        <item t="default"/>
      </items>
    </pivotField>
    <pivotField axis="axisRow" compact="0" outline="0" subtotalTop="0" showAll="0" includeNewItemsInFilter="1">
      <items count="32">
        <item x="28"/>
        <item x="8"/>
        <item x="29"/>
        <item x="0"/>
        <item x="1"/>
        <item x="9"/>
        <item x="2"/>
        <item x="3"/>
        <item x="10"/>
        <item x="4"/>
        <item x="5"/>
        <item x="6"/>
        <item x="7"/>
        <item x="30"/>
        <item x="26"/>
        <item x="11"/>
        <item x="12"/>
        <item x="13"/>
        <item x="14"/>
        <item x="15"/>
        <item x="16"/>
        <item x="17"/>
        <item x="18"/>
        <item x="19"/>
        <item x="20"/>
        <item x="21"/>
        <item x="22"/>
        <item x="23"/>
        <item x="24"/>
        <item x="27"/>
        <item x="25"/>
        <item t="default"/>
      </items>
    </pivotField>
    <pivotField axis="axisRow" compact="0" outline="0" subtotalTop="0" showAll="0" includeNewItemsInFilter="1">
      <items count="3">
        <item x="1"/>
        <item x="0"/>
        <item t="default"/>
      </items>
    </pivotField>
    <pivotField axis="axisPage" compact="0" outline="0" subtotalTop="0" showAll="0" includeNewItemsInFilter="1">
      <items count="20">
        <item x="14"/>
        <item x="16"/>
        <item x="10"/>
        <item x="11"/>
        <item x="9"/>
        <item x="1"/>
        <item x="13"/>
        <item x="7"/>
        <item x="17"/>
        <item x="15"/>
        <item x="3"/>
        <item x="6"/>
        <item x="8"/>
        <item x="18"/>
        <item h="1" x="2"/>
        <item x="12"/>
        <item x="5"/>
        <item x="4"/>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Col" compact="0" outline="0" subtotalTop="0" showAll="0" includeNewItemsInFilter="1">
      <items count="37">
        <item h="1" x="14"/>
        <item x="11"/>
        <item x="10"/>
        <item x="15"/>
        <item x="12"/>
        <item x="16"/>
        <item x="13"/>
        <item x="6"/>
        <item h="1" x="27"/>
        <item x="26"/>
        <item x="34"/>
        <item x="32"/>
        <item x="28"/>
        <item x="31"/>
        <item x="33"/>
        <item x="30"/>
        <item x="35"/>
        <item x="29"/>
        <item h="1" x="2"/>
        <item x="3"/>
        <item x="7"/>
        <item x="9"/>
        <item x="4"/>
        <item x="8"/>
        <item x="0"/>
        <item x="5"/>
        <item h="1" x="17"/>
        <item x="1"/>
        <item x="21"/>
        <item x="18"/>
        <item x="23"/>
        <item x="22"/>
        <item x="25"/>
        <item x="24"/>
        <item x="19"/>
        <item x="20"/>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s>
  <rowFields count="3">
    <field x="1"/>
    <field x="2"/>
    <field x="3"/>
  </rowFields>
  <rowItems count="146">
    <i>
      <x/>
      <x v="3"/>
      <x v="1"/>
    </i>
    <i t="default" r="1">
      <x v="3"/>
    </i>
    <i r="1">
      <x v="4"/>
      <x v="1"/>
    </i>
    <i t="default" r="1">
      <x v="4"/>
    </i>
    <i t="default">
      <x/>
    </i>
    <i>
      <x v="1"/>
      <x v="6"/>
      <x v="1"/>
    </i>
    <i t="default" r="1">
      <x v="6"/>
    </i>
    <i r="1">
      <x v="7"/>
      <x v="1"/>
    </i>
    <i t="default" r="1">
      <x v="7"/>
    </i>
    <i r="1">
      <x v="9"/>
      <x v="1"/>
    </i>
    <i t="default" r="1">
      <x v="9"/>
    </i>
    <i r="1">
      <x v="10"/>
      <x v="1"/>
    </i>
    <i t="default" r="1">
      <x v="10"/>
    </i>
    <i r="1">
      <x v="11"/>
      <x v="1"/>
    </i>
    <i t="default" r="1">
      <x v="11"/>
    </i>
    <i r="1">
      <x v="12"/>
      <x v="1"/>
    </i>
    <i t="default" r="1">
      <x v="12"/>
    </i>
    <i t="default">
      <x v="1"/>
    </i>
    <i>
      <x v="2"/>
      <x v="1"/>
      <x v="1"/>
    </i>
    <i t="default" r="1">
      <x v="1"/>
    </i>
    <i r="1">
      <x v="5"/>
      <x v="1"/>
    </i>
    <i t="default" r="1">
      <x v="5"/>
    </i>
    <i r="1">
      <x v="7"/>
      <x v="1"/>
    </i>
    <i t="default" r="1">
      <x v="7"/>
    </i>
    <i r="1">
      <x v="8"/>
      <x v="1"/>
    </i>
    <i t="default" r="1">
      <x v="8"/>
    </i>
    <i t="default">
      <x v="2"/>
    </i>
    <i>
      <x v="3"/>
      <x v="15"/>
      <x v="1"/>
    </i>
    <i t="default" r="1">
      <x v="15"/>
    </i>
    <i r="1">
      <x v="16"/>
      <x v="1"/>
    </i>
    <i t="default" r="1">
      <x v="16"/>
    </i>
    <i r="1">
      <x v="17"/>
      <x v="1"/>
    </i>
    <i t="default" r="1">
      <x v="17"/>
    </i>
    <i r="1">
      <x v="18"/>
      <x/>
    </i>
    <i r="2">
      <x v="1"/>
    </i>
    <i t="default" r="1">
      <x v="18"/>
    </i>
    <i r="1">
      <x v="19"/>
      <x/>
    </i>
    <i r="2">
      <x v="1"/>
    </i>
    <i t="default" r="1">
      <x v="19"/>
    </i>
    <i r="1">
      <x v="20"/>
      <x/>
    </i>
    <i r="2">
      <x v="1"/>
    </i>
    <i t="default" r="1">
      <x v="20"/>
    </i>
    <i r="1">
      <x v="21"/>
      <x/>
    </i>
    <i r="2">
      <x v="1"/>
    </i>
    <i t="default" r="1">
      <x v="21"/>
    </i>
    <i r="1">
      <x v="22"/>
      <x v="1"/>
    </i>
    <i t="default" r="1">
      <x v="22"/>
    </i>
    <i t="default">
      <x v="3"/>
    </i>
    <i>
      <x v="4"/>
      <x v="15"/>
      <x v="1"/>
    </i>
    <i t="default" r="1">
      <x v="15"/>
    </i>
    <i r="1">
      <x v="16"/>
      <x v="1"/>
    </i>
    <i t="default" r="1">
      <x v="16"/>
    </i>
    <i r="1">
      <x v="17"/>
      <x v="1"/>
    </i>
    <i t="default" r="1">
      <x v="17"/>
    </i>
    <i r="1">
      <x v="18"/>
      <x v="1"/>
    </i>
    <i t="default" r="1">
      <x v="18"/>
    </i>
    <i r="1">
      <x v="19"/>
      <x v="1"/>
    </i>
    <i t="default" r="1">
      <x v="19"/>
    </i>
    <i r="1">
      <x v="20"/>
      <x v="1"/>
    </i>
    <i t="default" r="1">
      <x v="20"/>
    </i>
    <i r="1">
      <x v="21"/>
      <x v="1"/>
    </i>
    <i t="default" r="1">
      <x v="21"/>
    </i>
    <i r="1">
      <x v="22"/>
      <x v="1"/>
    </i>
    <i t="default" r="1">
      <x v="22"/>
    </i>
    <i t="default">
      <x v="4"/>
    </i>
    <i>
      <x v="5"/>
      <x v="23"/>
      <x v="1"/>
    </i>
    <i t="default" r="1">
      <x v="23"/>
    </i>
    <i r="1">
      <x v="24"/>
      <x v="1"/>
    </i>
    <i t="default" r="1">
      <x v="24"/>
    </i>
    <i r="1">
      <x v="25"/>
      <x v="1"/>
    </i>
    <i t="default" r="1">
      <x v="25"/>
    </i>
    <i r="1">
      <x v="26"/>
      <x/>
    </i>
    <i r="2">
      <x v="1"/>
    </i>
    <i t="default" r="1">
      <x v="26"/>
    </i>
    <i r="1">
      <x v="27"/>
      <x/>
    </i>
    <i r="2">
      <x v="1"/>
    </i>
    <i t="default" r="1">
      <x v="27"/>
    </i>
    <i r="1">
      <x v="28"/>
      <x/>
    </i>
    <i r="2">
      <x v="1"/>
    </i>
    <i t="default" r="1">
      <x v="28"/>
    </i>
    <i r="1">
      <x v="30"/>
      <x/>
    </i>
    <i r="2">
      <x v="1"/>
    </i>
    <i t="default" r="1">
      <x v="30"/>
    </i>
    <i t="default">
      <x v="5"/>
    </i>
    <i>
      <x v="6"/>
      <x v="7"/>
      <x v="1"/>
    </i>
    <i t="default" r="1">
      <x v="7"/>
    </i>
    <i r="1">
      <x v="10"/>
      <x v="1"/>
    </i>
    <i t="default" r="1">
      <x v="10"/>
    </i>
    <i r="1">
      <x v="11"/>
      <x v="1"/>
    </i>
    <i t="default" r="1">
      <x v="11"/>
    </i>
    <i r="1">
      <x v="12"/>
      <x v="1"/>
    </i>
    <i t="default" r="1">
      <x v="12"/>
    </i>
    <i r="1">
      <x v="14"/>
      <x v="1"/>
    </i>
    <i t="default" r="1">
      <x v="14"/>
    </i>
    <i t="default">
      <x v="6"/>
    </i>
    <i>
      <x v="7"/>
      <x v="23"/>
      <x/>
    </i>
    <i r="2">
      <x v="1"/>
    </i>
    <i t="default" r="1">
      <x v="23"/>
    </i>
    <i r="1">
      <x v="24"/>
      <x v="1"/>
    </i>
    <i t="default" r="1">
      <x v="24"/>
    </i>
    <i r="1">
      <x v="25"/>
      <x/>
    </i>
    <i r="2">
      <x v="1"/>
    </i>
    <i t="default" r="1">
      <x v="25"/>
    </i>
    <i r="1">
      <x v="26"/>
      <x/>
    </i>
    <i r="2">
      <x v="1"/>
    </i>
    <i t="default" r="1">
      <x v="26"/>
    </i>
    <i r="1">
      <x v="27"/>
      <x/>
    </i>
    <i r="2">
      <x v="1"/>
    </i>
    <i t="default" r="1">
      <x v="27"/>
    </i>
    <i r="1">
      <x v="28"/>
      <x/>
    </i>
    <i r="2">
      <x v="1"/>
    </i>
    <i t="default" r="1">
      <x v="28"/>
    </i>
    <i r="1">
      <x v="30"/>
      <x/>
    </i>
    <i r="2">
      <x v="1"/>
    </i>
    <i t="default" r="1">
      <x v="30"/>
    </i>
    <i t="default">
      <x v="7"/>
    </i>
    <i>
      <x v="8"/>
      <x v="18"/>
      <x v="1"/>
    </i>
    <i t="default" r="1">
      <x v="18"/>
    </i>
    <i r="1">
      <x v="20"/>
      <x v="1"/>
    </i>
    <i t="default" r="1">
      <x v="20"/>
    </i>
    <i r="1">
      <x v="21"/>
      <x v="1"/>
    </i>
    <i t="default" r="1">
      <x v="21"/>
    </i>
    <i t="default">
      <x v="8"/>
    </i>
    <i>
      <x v="9"/>
      <x v="29"/>
      <x/>
    </i>
    <i t="default" r="1">
      <x v="29"/>
    </i>
    <i t="default">
      <x v="9"/>
    </i>
    <i>
      <x v="10"/>
      <x/>
      <x v="1"/>
    </i>
    <i t="default" r="1">
      <x/>
    </i>
    <i t="default">
      <x v="10"/>
    </i>
    <i>
      <x v="11"/>
      <x v="2"/>
      <x v="1"/>
    </i>
    <i t="default" r="1">
      <x v="2"/>
    </i>
    <i r="1">
      <x v="7"/>
      <x v="1"/>
    </i>
    <i t="default" r="1">
      <x v="7"/>
    </i>
    <i r="1">
      <x v="10"/>
      <x v="1"/>
    </i>
    <i t="default" r="1">
      <x v="10"/>
    </i>
    <i r="1">
      <x v="11"/>
      <x v="1"/>
    </i>
    <i t="default" r="1">
      <x v="11"/>
    </i>
    <i r="1">
      <x v="12"/>
      <x v="1"/>
    </i>
    <i t="default" r="1">
      <x v="12"/>
    </i>
    <i r="1">
      <x v="13"/>
      <x v="1"/>
    </i>
    <i t="default" r="1">
      <x v="13"/>
    </i>
    <i t="default">
      <x v="11"/>
    </i>
    <i>
      <x v="12"/>
      <x v="12"/>
      <x v="1"/>
    </i>
    <i t="default" r="1">
      <x v="12"/>
    </i>
    <i t="default">
      <x v="12"/>
    </i>
    <i t="grand">
      <x/>
    </i>
  </rowItems>
  <colFields count="1">
    <field x="10"/>
  </colFields>
  <colItems count="33">
    <i>
      <x v="1"/>
    </i>
    <i>
      <x v="2"/>
    </i>
    <i>
      <x v="3"/>
    </i>
    <i>
      <x v="4"/>
    </i>
    <i>
      <x v="5"/>
    </i>
    <i>
      <x v="6"/>
    </i>
    <i>
      <x v="7"/>
    </i>
    <i>
      <x v="9"/>
    </i>
    <i>
      <x v="10"/>
    </i>
    <i>
      <x v="11"/>
    </i>
    <i>
      <x v="12"/>
    </i>
    <i>
      <x v="13"/>
    </i>
    <i>
      <x v="14"/>
    </i>
    <i>
      <x v="15"/>
    </i>
    <i>
      <x v="16"/>
    </i>
    <i>
      <x v="17"/>
    </i>
    <i>
      <x v="19"/>
    </i>
    <i>
      <x v="20"/>
    </i>
    <i>
      <x v="21"/>
    </i>
    <i>
      <x v="22"/>
    </i>
    <i>
      <x v="23"/>
    </i>
    <i>
      <x v="24"/>
    </i>
    <i>
      <x v="25"/>
    </i>
    <i>
      <x v="27"/>
    </i>
    <i>
      <x v="28"/>
    </i>
    <i>
      <x v="29"/>
    </i>
    <i>
      <x v="30"/>
    </i>
    <i>
      <x v="31"/>
    </i>
    <i>
      <x v="32"/>
    </i>
    <i>
      <x v="33"/>
    </i>
    <i>
      <x v="34"/>
    </i>
    <i>
      <x v="35"/>
    </i>
    <i t="grand">
      <x/>
    </i>
  </colItems>
  <pageFields count="1">
    <pageField fld="4" hier="0"/>
  </pageFields>
  <dataFields count="1">
    <dataField name="Sum of # of Containers" fld="13" baseField="2" baseItem="4" numFmtId="167"/>
  </dataFields>
  <formats count="1">
    <format dxfId="2">
      <pivotArea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4" showMemberPropertyTips="0" useAutoFormatting="1" itemPrintTitles="1" createdVersion="1" indent="0" compact="0" compactData="0" gridDropZones="1">
  <location ref="A3:T90" firstHeaderRow="1" firstDataRow="2" firstDataCol="3" rowPageCount="1" colPageCount="1"/>
  <pivotFields count="15">
    <pivotField compact="0" outline="0" subtotalTop="0" showAll="0" includeNewItemsInFilter="1"/>
    <pivotField axis="axisRow" compact="0" outline="0" subtotalTop="0" showAll="0" includeNewItemsInFilter="1">
      <items count="14">
        <item x="0"/>
        <item x="1"/>
        <item x="2"/>
        <item x="3"/>
        <item x="4"/>
        <item x="5"/>
        <item x="6"/>
        <item x="7"/>
        <item x="8"/>
        <item x="9"/>
        <item x="10"/>
        <item x="11"/>
        <item x="12"/>
        <item t="default"/>
      </items>
    </pivotField>
    <pivotField axis="axisRow" compact="0" outline="0" subtotalTop="0" showAll="0" includeNewItemsInFilter="1">
      <items count="32">
        <item x="28"/>
        <item x="8"/>
        <item x="29"/>
        <item x="0"/>
        <item x="1"/>
        <item x="9"/>
        <item x="2"/>
        <item x="3"/>
        <item x="10"/>
        <item x="4"/>
        <item x="5"/>
        <item x="6"/>
        <item x="7"/>
        <item x="30"/>
        <item x="26"/>
        <item x="11"/>
        <item x="12"/>
        <item x="13"/>
        <item x="14"/>
        <item x="15"/>
        <item x="16"/>
        <item x="17"/>
        <item x="18"/>
        <item x="19"/>
        <item x="20"/>
        <item x="21"/>
        <item x="22"/>
        <item x="23"/>
        <item x="24"/>
        <item x="27"/>
        <item x="25"/>
        <item t="default"/>
      </items>
    </pivotField>
    <pivotField axis="axisRow" compact="0" outline="0" subtotalTop="0" showAll="0" includeNewItemsInFilter="1">
      <items count="3">
        <item x="1"/>
        <item x="0"/>
        <item t="default"/>
      </items>
    </pivotField>
    <pivotField axis="axisPage" compact="0" outline="0" subtotalTop="0" showAll="0" includeNewItemsInFilter="1">
      <items count="20">
        <item h="1" x="14"/>
        <item h="1" x="16"/>
        <item h="1" x="10"/>
        <item h="1" x="11"/>
        <item h="1" x="9"/>
        <item h="1" x="1"/>
        <item h="1" x="13"/>
        <item h="1" x="7"/>
        <item h="1" x="17"/>
        <item h="1" x="15"/>
        <item h="1" x="3"/>
        <item h="1" x="6"/>
        <item h="1" x="8"/>
        <item h="1" x="18"/>
        <item x="2"/>
        <item h="1" x="12"/>
        <item h="1" x="5"/>
        <item h="1" x="4"/>
        <item h="1"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Col" compact="0" outline="0" subtotalTop="0" showAll="0" includeNewItemsInFilter="1">
      <items count="37">
        <item h="1" x="14"/>
        <item x="11"/>
        <item x="10"/>
        <item x="15"/>
        <item x="12"/>
        <item x="16"/>
        <item x="13"/>
        <item x="6"/>
        <item h="1" x="27"/>
        <item x="26"/>
        <item x="34"/>
        <item x="32"/>
        <item x="28"/>
        <item x="31"/>
        <item x="33"/>
        <item x="30"/>
        <item x="35"/>
        <item x="29"/>
        <item h="1" x="2"/>
        <item x="3"/>
        <item x="7"/>
        <item x="9"/>
        <item x="4"/>
        <item x="8"/>
        <item x="0"/>
        <item x="5"/>
        <item h="1" x="17"/>
        <item x="1"/>
        <item x="21"/>
        <item x="18"/>
        <item x="23"/>
        <item x="22"/>
        <item x="25"/>
        <item x="24"/>
        <item x="19"/>
        <item x="20"/>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s>
  <rowFields count="3">
    <field x="1"/>
    <field x="2"/>
    <field x="3"/>
  </rowFields>
  <rowItems count="86">
    <i>
      <x/>
      <x v="3"/>
      <x v="1"/>
    </i>
    <i t="default" r="1">
      <x v="3"/>
    </i>
    <i t="default">
      <x/>
    </i>
    <i>
      <x v="1"/>
      <x v="7"/>
      <x v="1"/>
    </i>
    <i t="default" r="1">
      <x v="7"/>
    </i>
    <i r="1">
      <x v="10"/>
      <x v="1"/>
    </i>
    <i t="default" r="1">
      <x v="10"/>
    </i>
    <i r="1">
      <x v="12"/>
      <x v="1"/>
    </i>
    <i t="default" r="1">
      <x v="12"/>
    </i>
    <i t="default">
      <x v="1"/>
    </i>
    <i>
      <x v="2"/>
      <x v="7"/>
      <x v="1"/>
    </i>
    <i t="default" r="1">
      <x v="7"/>
    </i>
    <i t="default">
      <x v="2"/>
    </i>
    <i>
      <x v="3"/>
      <x v="15"/>
      <x v="1"/>
    </i>
    <i t="default" r="1">
      <x v="15"/>
    </i>
    <i r="1">
      <x v="16"/>
      <x v="1"/>
    </i>
    <i t="default" r="1">
      <x v="16"/>
    </i>
    <i r="1">
      <x v="18"/>
      <x/>
    </i>
    <i r="2">
      <x v="1"/>
    </i>
    <i t="default" r="1">
      <x v="18"/>
    </i>
    <i r="1">
      <x v="19"/>
      <x/>
    </i>
    <i r="2">
      <x v="1"/>
    </i>
    <i t="default" r="1">
      <x v="19"/>
    </i>
    <i r="1">
      <x v="20"/>
      <x/>
    </i>
    <i r="2">
      <x v="1"/>
    </i>
    <i t="default" r="1">
      <x v="20"/>
    </i>
    <i r="1">
      <x v="21"/>
      <x v="1"/>
    </i>
    <i t="default" r="1">
      <x v="21"/>
    </i>
    <i r="1">
      <x v="22"/>
      <x v="1"/>
    </i>
    <i t="default" r="1">
      <x v="22"/>
    </i>
    <i t="default">
      <x v="3"/>
    </i>
    <i>
      <x v="4"/>
      <x v="15"/>
      <x v="1"/>
    </i>
    <i t="default" r="1">
      <x v="15"/>
    </i>
    <i r="1">
      <x v="16"/>
      <x v="1"/>
    </i>
    <i t="default" r="1">
      <x v="16"/>
    </i>
    <i r="1">
      <x v="17"/>
      <x v="1"/>
    </i>
    <i t="default" r="1">
      <x v="17"/>
    </i>
    <i r="1">
      <x v="18"/>
      <x v="1"/>
    </i>
    <i t="default" r="1">
      <x v="18"/>
    </i>
    <i r="1">
      <x v="19"/>
      <x/>
    </i>
    <i r="2">
      <x v="1"/>
    </i>
    <i t="default" r="1">
      <x v="19"/>
    </i>
    <i r="1">
      <x v="20"/>
      <x v="1"/>
    </i>
    <i t="default" r="1">
      <x v="20"/>
    </i>
    <i r="1">
      <x v="21"/>
      <x v="1"/>
    </i>
    <i t="default" r="1">
      <x v="21"/>
    </i>
    <i r="1">
      <x v="22"/>
      <x v="1"/>
    </i>
    <i t="default" r="1">
      <x v="22"/>
    </i>
    <i t="default">
      <x v="4"/>
    </i>
    <i>
      <x v="5"/>
      <x v="23"/>
      <x v="1"/>
    </i>
    <i t="default" r="1">
      <x v="23"/>
    </i>
    <i r="1">
      <x v="25"/>
      <x/>
    </i>
    <i t="default" r="1">
      <x v="25"/>
    </i>
    <i r="1">
      <x v="27"/>
      <x/>
    </i>
    <i t="default" r="1">
      <x v="27"/>
    </i>
    <i t="default">
      <x v="5"/>
    </i>
    <i>
      <x v="6"/>
      <x v="7"/>
      <x v="1"/>
    </i>
    <i t="default" r="1">
      <x v="7"/>
    </i>
    <i r="1">
      <x v="10"/>
      <x v="1"/>
    </i>
    <i t="default" r="1">
      <x v="10"/>
    </i>
    <i r="1">
      <x v="12"/>
      <x v="1"/>
    </i>
    <i t="default" r="1">
      <x v="12"/>
    </i>
    <i r="1">
      <x v="14"/>
      <x v="1"/>
    </i>
    <i t="default" r="1">
      <x v="14"/>
    </i>
    <i t="default">
      <x v="6"/>
    </i>
    <i>
      <x v="7"/>
      <x v="25"/>
      <x/>
    </i>
    <i r="2">
      <x v="1"/>
    </i>
    <i t="default" r="1">
      <x v="25"/>
    </i>
    <i r="1">
      <x v="26"/>
      <x/>
    </i>
    <i t="default" r="1">
      <x v="26"/>
    </i>
    <i r="1">
      <x v="27"/>
      <x/>
    </i>
    <i r="2">
      <x v="1"/>
    </i>
    <i t="default" r="1">
      <x v="27"/>
    </i>
    <i r="1">
      <x v="28"/>
      <x/>
    </i>
    <i t="default" r="1">
      <x v="28"/>
    </i>
    <i t="default">
      <x v="7"/>
    </i>
    <i>
      <x v="10"/>
      <x/>
      <x v="1"/>
    </i>
    <i t="default" r="1">
      <x/>
    </i>
    <i t="default">
      <x v="10"/>
    </i>
    <i>
      <x v="11"/>
      <x v="10"/>
      <x v="1"/>
    </i>
    <i t="default" r="1">
      <x v="10"/>
    </i>
    <i t="default">
      <x v="11"/>
    </i>
    <i>
      <x v="12"/>
      <x v="12"/>
      <x v="1"/>
    </i>
    <i t="default" r="1">
      <x v="12"/>
    </i>
    <i t="default">
      <x v="12"/>
    </i>
    <i t="grand">
      <x/>
    </i>
  </rowItems>
  <colFields count="1">
    <field x="10"/>
  </colFields>
  <colItems count="17">
    <i>
      <x v="1"/>
    </i>
    <i>
      <x v="2"/>
    </i>
    <i>
      <x v="3"/>
    </i>
    <i>
      <x v="4"/>
    </i>
    <i>
      <x v="6"/>
    </i>
    <i>
      <x v="7"/>
    </i>
    <i>
      <x v="9"/>
    </i>
    <i>
      <x v="11"/>
    </i>
    <i>
      <x v="13"/>
    </i>
    <i>
      <x v="27"/>
    </i>
    <i>
      <x v="28"/>
    </i>
    <i>
      <x v="29"/>
    </i>
    <i>
      <x v="31"/>
    </i>
    <i>
      <x v="33"/>
    </i>
    <i>
      <x v="34"/>
    </i>
    <i>
      <x v="35"/>
    </i>
    <i t="grand">
      <x/>
    </i>
  </colItems>
  <pageFields count="1">
    <pageField fld="4" hier="0"/>
  </pageFields>
  <dataFields count="1">
    <dataField name="Sum of # of Containers" fld="13" baseField="2" baseItem="4" numFmtId="167"/>
  </dataFields>
  <formats count="1">
    <format dxfId="1">
      <pivotArea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4" showMemberPropertyTips="0" useAutoFormatting="1" itemPrintTitles="1" createdVersion="1" indent="0" compact="0" compactData="0" gridDropZones="1">
  <location ref="A3:AJ148" firstHeaderRow="1" firstDataRow="2" firstDataCol="3" rowPageCount="1" colPageCount="1"/>
  <pivotFields count="15">
    <pivotField compact="0" outline="0" subtotalTop="0" showAll="0" includeNewItemsInFilter="1"/>
    <pivotField axis="axisRow" compact="0" outline="0" subtotalTop="0" showAll="0" includeNewItemsInFilter="1">
      <items count="14">
        <item x="0"/>
        <item x="1"/>
        <item x="2"/>
        <item x="3"/>
        <item x="4"/>
        <item x="5"/>
        <item x="6"/>
        <item x="7"/>
        <item x="8"/>
        <item x="9"/>
        <item x="10"/>
        <item x="11"/>
        <item x="12"/>
        <item t="default"/>
      </items>
    </pivotField>
    <pivotField axis="axisRow" compact="0" outline="0" subtotalTop="0" showAll="0" includeNewItemsInFilter="1">
      <items count="32">
        <item x="28"/>
        <item x="8"/>
        <item x="29"/>
        <item x="0"/>
        <item x="1"/>
        <item x="9"/>
        <item x="2"/>
        <item sd="0" x="3"/>
        <item x="10"/>
        <item x="4"/>
        <item x="5"/>
        <item x="6"/>
        <item x="7"/>
        <item x="30"/>
        <item x="26"/>
        <item x="11"/>
        <item x="12"/>
        <item x="13"/>
        <item x="14"/>
        <item x="15"/>
        <item x="16"/>
        <item x="17"/>
        <item x="18"/>
        <item x="19"/>
        <item x="20"/>
        <item x="21"/>
        <item x="22"/>
        <item x="23"/>
        <item x="24"/>
        <item x="27"/>
        <item x="25"/>
        <item t="default"/>
      </items>
    </pivotField>
    <pivotField axis="axisRow" compact="0" outline="0" subtotalTop="0" showAll="0" includeNewItemsInFilter="1">
      <items count="3">
        <item x="1"/>
        <item x="0"/>
        <item t="default"/>
      </items>
    </pivotField>
    <pivotField axis="axisPage" compact="0" outline="0" subtotalTop="0" showAll="0" includeNewItemsInFilter="1">
      <items count="20">
        <item x="14"/>
        <item x="16"/>
        <item x="10"/>
        <item x="11"/>
        <item x="9"/>
        <item x="1"/>
        <item x="13"/>
        <item x="7"/>
        <item x="17"/>
        <item x="15"/>
        <item x="3"/>
        <item x="6"/>
        <item x="8"/>
        <item x="18"/>
        <item x="2"/>
        <item x="12"/>
        <item x="5"/>
        <item x="4"/>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Col" compact="0" outline="0" subtotalTop="0" showAll="0" includeNewItemsInFilter="1">
      <items count="37">
        <item h="1" x="14"/>
        <item x="11"/>
        <item x="10"/>
        <item x="15"/>
        <item x="12"/>
        <item x="16"/>
        <item x="13"/>
        <item x="6"/>
        <item h="1" x="27"/>
        <item x="26"/>
        <item x="34"/>
        <item x="32"/>
        <item x="28"/>
        <item x="31"/>
        <item x="33"/>
        <item x="30"/>
        <item x="35"/>
        <item x="29"/>
        <item h="1" x="2"/>
        <item x="3"/>
        <item x="7"/>
        <item x="9"/>
        <item x="4"/>
        <item x="8"/>
        <item x="0"/>
        <item x="5"/>
        <item h="1" x="17"/>
        <item x="1"/>
        <item x="21"/>
        <item x="18"/>
        <item x="23"/>
        <item x="22"/>
        <item x="25"/>
        <item x="24"/>
        <item x="19"/>
        <item x="20"/>
        <item t="default"/>
      </items>
    </pivotField>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s>
  <rowFields count="3">
    <field x="1"/>
    <field x="2"/>
    <field x="3"/>
  </rowFields>
  <rowItems count="144">
    <i>
      <x/>
      <x v="3"/>
      <x v="1"/>
    </i>
    <i t="default" r="1">
      <x v="3"/>
    </i>
    <i r="1">
      <x v="4"/>
      <x v="1"/>
    </i>
    <i t="default" r="1">
      <x v="4"/>
    </i>
    <i t="default">
      <x/>
    </i>
    <i>
      <x v="1"/>
      <x v="6"/>
      <x v="1"/>
    </i>
    <i t="default" r="1">
      <x v="6"/>
    </i>
    <i r="1">
      <x v="7"/>
    </i>
    <i r="1">
      <x v="9"/>
      <x v="1"/>
    </i>
    <i t="default" r="1">
      <x v="9"/>
    </i>
    <i r="1">
      <x v="10"/>
      <x v="1"/>
    </i>
    <i t="default" r="1">
      <x v="10"/>
    </i>
    <i r="1">
      <x v="11"/>
      <x v="1"/>
    </i>
    <i t="default" r="1">
      <x v="11"/>
    </i>
    <i r="1">
      <x v="12"/>
      <x v="1"/>
    </i>
    <i t="default" r="1">
      <x v="12"/>
    </i>
    <i t="default">
      <x v="1"/>
    </i>
    <i>
      <x v="2"/>
      <x v="1"/>
      <x v="1"/>
    </i>
    <i t="default" r="1">
      <x v="1"/>
    </i>
    <i r="1">
      <x v="5"/>
      <x v="1"/>
    </i>
    <i t="default" r="1">
      <x v="5"/>
    </i>
    <i r="1">
      <x v="7"/>
    </i>
    <i r="1">
      <x v="8"/>
      <x v="1"/>
    </i>
    <i t="default" r="1">
      <x v="8"/>
    </i>
    <i t="default">
      <x v="2"/>
    </i>
    <i>
      <x v="3"/>
      <x v="15"/>
      <x v="1"/>
    </i>
    <i t="default" r="1">
      <x v="15"/>
    </i>
    <i r="1">
      <x v="16"/>
      <x v="1"/>
    </i>
    <i t="default" r="1">
      <x v="16"/>
    </i>
    <i r="1">
      <x v="17"/>
      <x v="1"/>
    </i>
    <i t="default" r="1">
      <x v="17"/>
    </i>
    <i r="1">
      <x v="18"/>
      <x/>
    </i>
    <i r="2">
      <x v="1"/>
    </i>
    <i t="default" r="1">
      <x v="18"/>
    </i>
    <i r="1">
      <x v="19"/>
      <x/>
    </i>
    <i r="2">
      <x v="1"/>
    </i>
    <i t="default" r="1">
      <x v="19"/>
    </i>
    <i r="1">
      <x v="20"/>
      <x/>
    </i>
    <i r="2">
      <x v="1"/>
    </i>
    <i t="default" r="1">
      <x v="20"/>
    </i>
    <i r="1">
      <x v="21"/>
      <x/>
    </i>
    <i r="2">
      <x v="1"/>
    </i>
    <i t="default" r="1">
      <x v="21"/>
    </i>
    <i r="1">
      <x v="22"/>
      <x v="1"/>
    </i>
    <i t="default" r="1">
      <x v="22"/>
    </i>
    <i t="default">
      <x v="3"/>
    </i>
    <i>
      <x v="4"/>
      <x v="15"/>
      <x v="1"/>
    </i>
    <i t="default" r="1">
      <x v="15"/>
    </i>
    <i r="1">
      <x v="16"/>
      <x v="1"/>
    </i>
    <i t="default" r="1">
      <x v="16"/>
    </i>
    <i r="1">
      <x v="17"/>
      <x v="1"/>
    </i>
    <i t="default" r="1">
      <x v="17"/>
    </i>
    <i r="1">
      <x v="18"/>
      <x v="1"/>
    </i>
    <i t="default" r="1">
      <x v="18"/>
    </i>
    <i r="1">
      <x v="19"/>
      <x/>
    </i>
    <i r="2">
      <x v="1"/>
    </i>
    <i t="default" r="1">
      <x v="19"/>
    </i>
    <i r="1">
      <x v="20"/>
      <x v="1"/>
    </i>
    <i t="default" r="1">
      <x v="20"/>
    </i>
    <i r="1">
      <x v="21"/>
      <x v="1"/>
    </i>
    <i t="default" r="1">
      <x v="21"/>
    </i>
    <i r="1">
      <x v="22"/>
      <x v="1"/>
    </i>
    <i t="default" r="1">
      <x v="22"/>
    </i>
    <i t="default">
      <x v="4"/>
    </i>
    <i>
      <x v="5"/>
      <x v="23"/>
      <x v="1"/>
    </i>
    <i t="default" r="1">
      <x v="23"/>
    </i>
    <i r="1">
      <x v="24"/>
      <x v="1"/>
    </i>
    <i t="default" r="1">
      <x v="24"/>
    </i>
    <i r="1">
      <x v="25"/>
      <x/>
    </i>
    <i r="2">
      <x v="1"/>
    </i>
    <i t="default" r="1">
      <x v="25"/>
    </i>
    <i r="1">
      <x v="26"/>
      <x/>
    </i>
    <i r="2">
      <x v="1"/>
    </i>
    <i t="default" r="1">
      <x v="26"/>
    </i>
    <i r="1">
      <x v="27"/>
      <x/>
    </i>
    <i r="2">
      <x v="1"/>
    </i>
    <i t="default" r="1">
      <x v="27"/>
    </i>
    <i r="1">
      <x v="28"/>
      <x/>
    </i>
    <i r="2">
      <x v="1"/>
    </i>
    <i t="default" r="1">
      <x v="28"/>
    </i>
    <i r="1">
      <x v="30"/>
      <x/>
    </i>
    <i r="2">
      <x v="1"/>
    </i>
    <i t="default" r="1">
      <x v="30"/>
    </i>
    <i t="default">
      <x v="5"/>
    </i>
    <i>
      <x v="6"/>
      <x v="7"/>
    </i>
    <i r="1">
      <x v="10"/>
      <x v="1"/>
    </i>
    <i t="default" r="1">
      <x v="10"/>
    </i>
    <i r="1">
      <x v="11"/>
      <x v="1"/>
    </i>
    <i t="default" r="1">
      <x v="11"/>
    </i>
    <i r="1">
      <x v="12"/>
      <x v="1"/>
    </i>
    <i t="default" r="1">
      <x v="12"/>
    </i>
    <i r="1">
      <x v="14"/>
      <x v="1"/>
    </i>
    <i t="default" r="1">
      <x v="14"/>
    </i>
    <i t="default">
      <x v="6"/>
    </i>
    <i>
      <x v="7"/>
      <x v="23"/>
      <x/>
    </i>
    <i r="2">
      <x v="1"/>
    </i>
    <i t="default" r="1">
      <x v="23"/>
    </i>
    <i r="1">
      <x v="24"/>
      <x v="1"/>
    </i>
    <i t="default" r="1">
      <x v="24"/>
    </i>
    <i r="1">
      <x v="25"/>
      <x/>
    </i>
    <i r="2">
      <x v="1"/>
    </i>
    <i t="default" r="1">
      <x v="25"/>
    </i>
    <i r="1">
      <x v="26"/>
      <x/>
    </i>
    <i r="2">
      <x v="1"/>
    </i>
    <i t="default" r="1">
      <x v="26"/>
    </i>
    <i r="1">
      <x v="27"/>
      <x/>
    </i>
    <i r="2">
      <x v="1"/>
    </i>
    <i t="default" r="1">
      <x v="27"/>
    </i>
    <i r="1">
      <x v="28"/>
      <x/>
    </i>
    <i r="2">
      <x v="1"/>
    </i>
    <i t="default" r="1">
      <x v="28"/>
    </i>
    <i r="1">
      <x v="30"/>
      <x/>
    </i>
    <i r="2">
      <x v="1"/>
    </i>
    <i t="default" r="1">
      <x v="30"/>
    </i>
    <i t="default">
      <x v="7"/>
    </i>
    <i>
      <x v="8"/>
      <x v="18"/>
      <x v="1"/>
    </i>
    <i t="default" r="1">
      <x v="18"/>
    </i>
    <i r="1">
      <x v="20"/>
      <x v="1"/>
    </i>
    <i t="default" r="1">
      <x v="20"/>
    </i>
    <i r="1">
      <x v="21"/>
      <x v="1"/>
    </i>
    <i t="default" r="1">
      <x v="21"/>
    </i>
    <i t="default">
      <x v="8"/>
    </i>
    <i>
      <x v="9"/>
      <x v="29"/>
      <x/>
    </i>
    <i t="default" r="1">
      <x v="29"/>
    </i>
    <i t="default">
      <x v="9"/>
    </i>
    <i>
      <x v="10"/>
      <x/>
      <x v="1"/>
    </i>
    <i t="default" r="1">
      <x/>
    </i>
    <i t="default">
      <x v="10"/>
    </i>
    <i>
      <x v="11"/>
      <x v="2"/>
      <x v="1"/>
    </i>
    <i t="default" r="1">
      <x v="2"/>
    </i>
    <i r="1">
      <x v="7"/>
    </i>
    <i r="1">
      <x v="10"/>
      <x v="1"/>
    </i>
    <i t="default" r="1">
      <x v="10"/>
    </i>
    <i r="1">
      <x v="11"/>
      <x v="1"/>
    </i>
    <i t="default" r="1">
      <x v="11"/>
    </i>
    <i r="1">
      <x v="12"/>
      <x v="1"/>
    </i>
    <i t="default" r="1">
      <x v="12"/>
    </i>
    <i r="1">
      <x v="13"/>
      <x v="1"/>
    </i>
    <i t="default" r="1">
      <x v="13"/>
    </i>
    <i t="default">
      <x v="11"/>
    </i>
    <i>
      <x v="12"/>
      <x v="12"/>
      <x v="1"/>
    </i>
    <i t="default" r="1">
      <x v="12"/>
    </i>
    <i t="default">
      <x v="12"/>
    </i>
    <i t="grand">
      <x/>
    </i>
  </rowItems>
  <colFields count="1">
    <field x="10"/>
  </colFields>
  <colItems count="33">
    <i>
      <x v="1"/>
    </i>
    <i>
      <x v="2"/>
    </i>
    <i>
      <x v="3"/>
    </i>
    <i>
      <x v="4"/>
    </i>
    <i>
      <x v="5"/>
    </i>
    <i>
      <x v="6"/>
    </i>
    <i>
      <x v="7"/>
    </i>
    <i>
      <x v="9"/>
    </i>
    <i>
      <x v="10"/>
    </i>
    <i>
      <x v="11"/>
    </i>
    <i>
      <x v="12"/>
    </i>
    <i>
      <x v="13"/>
    </i>
    <i>
      <x v="14"/>
    </i>
    <i>
      <x v="15"/>
    </i>
    <i>
      <x v="16"/>
    </i>
    <i>
      <x v="17"/>
    </i>
    <i>
      <x v="19"/>
    </i>
    <i>
      <x v="20"/>
    </i>
    <i>
      <x v="21"/>
    </i>
    <i>
      <x v="22"/>
    </i>
    <i>
      <x v="23"/>
    </i>
    <i>
      <x v="24"/>
    </i>
    <i>
      <x v="25"/>
    </i>
    <i>
      <x v="27"/>
    </i>
    <i>
      <x v="28"/>
    </i>
    <i>
      <x v="29"/>
    </i>
    <i>
      <x v="30"/>
    </i>
    <i>
      <x v="31"/>
    </i>
    <i>
      <x v="32"/>
    </i>
    <i>
      <x v="33"/>
    </i>
    <i>
      <x v="34"/>
    </i>
    <i>
      <x v="35"/>
    </i>
    <i t="grand">
      <x/>
    </i>
  </colItems>
  <pageFields count="1">
    <pageField fld="4" hier="0"/>
  </pageFields>
  <dataFields count="1">
    <dataField name="Sum of # of Containers" fld="13" baseField="2" baseItem="4" numFmtId="167"/>
  </dataFields>
  <formats count="1">
    <format dxfId="0">
      <pivotArea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99"/>
        </a:solidFill>
        <a:ln w="12700">
          <a:solidFill>
            <a:schemeClr val="tx1"/>
          </a:solidFill>
        </a:ln>
        <a:effectLst/>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comments" Target="../comments4.xml"/><Relationship Id="rId5" Type="http://schemas.openxmlformats.org/officeDocument/2006/relationships/vmlDrawing" Target="../drawings/vmlDrawing5.vml"/><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7.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comments" Target="../comments10.xml"/><Relationship Id="rId5" Type="http://schemas.openxmlformats.org/officeDocument/2006/relationships/vmlDrawing" Target="../drawings/vmlDrawing11.vml"/><Relationship Id="rId4"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comments" Target="../comments11.xml"/><Relationship Id="rId5" Type="http://schemas.openxmlformats.org/officeDocument/2006/relationships/vmlDrawing" Target="../drawings/vmlDrawing12.vml"/><Relationship Id="rId4"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5" Type="http://schemas.openxmlformats.org/officeDocument/2006/relationships/comments" Target="../comments12.xml"/><Relationship Id="rId4"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4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4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44.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comments" Target="../comments17.xml"/><Relationship Id="rId5" Type="http://schemas.openxmlformats.org/officeDocument/2006/relationships/vmlDrawing" Target="../drawings/vmlDrawing18.vml"/><Relationship Id="rId4" Type="http://schemas.openxmlformats.org/officeDocument/2006/relationships/drawing" Target="../drawings/drawing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7.xml"/><Relationship Id="rId1" Type="http://schemas.openxmlformats.org/officeDocument/2006/relationships/printerSettings" Target="../printerSettings/printerSettings51.bin"/><Relationship Id="rId4" Type="http://schemas.openxmlformats.org/officeDocument/2006/relationships/comments" Target="../comments1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comments" Target="../comments19.xml"/><Relationship Id="rId5" Type="http://schemas.openxmlformats.org/officeDocument/2006/relationships/vmlDrawing" Target="../drawings/vmlDrawing20.vml"/><Relationship Id="rId4" Type="http://schemas.openxmlformats.org/officeDocument/2006/relationships/drawing" Target="../drawings/drawing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9.xml"/><Relationship Id="rId1" Type="http://schemas.openxmlformats.org/officeDocument/2006/relationships/printerSettings" Target="../printerSettings/printerSettings55.bin"/><Relationship Id="rId4" Type="http://schemas.openxmlformats.org/officeDocument/2006/relationships/comments" Target="../comments20.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drawing" Target="../drawings/drawing10.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4" Type="http://schemas.openxmlformats.org/officeDocument/2006/relationships/drawing" Target="../drawings/drawing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5" Type="http://schemas.openxmlformats.org/officeDocument/2006/relationships/comments" Target="../comments21.xml"/><Relationship Id="rId4"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comments" Target="../comments22.xml"/><Relationship Id="rId5" Type="http://schemas.openxmlformats.org/officeDocument/2006/relationships/vmlDrawing" Target="../drawings/vmlDrawing23.vml"/><Relationship Id="rId4" Type="http://schemas.openxmlformats.org/officeDocument/2006/relationships/drawing" Target="../drawings/drawing14.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comments" Target="../comments23.xml"/><Relationship Id="rId5" Type="http://schemas.openxmlformats.org/officeDocument/2006/relationships/vmlDrawing" Target="../drawings/vmlDrawing24.vml"/><Relationship Id="rId4"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comments" Target="../comments24.xml"/><Relationship Id="rId4"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5" Type="http://schemas.openxmlformats.org/officeDocument/2006/relationships/comments" Target="../comments25.xml"/><Relationship Id="rId4"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ivotTable" Target="../pivotTables/pivotTable1.xm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ivotTable" Target="../pivotTables/pivotTable3.xm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pivotTable" Target="../pivotTables/pivotTable4.xm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ivotTable" Target="../pivotTables/pivotTable5.xm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pivotTable" Target="../pivotTables/pivotTable6.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7.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8.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9.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5" Type="http://schemas.openxmlformats.org/officeDocument/2006/relationships/comments" Target="../comments3.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F71"/>
  <sheetViews>
    <sheetView showGridLines="0" topLeftCell="B1" zoomScaleNormal="100" workbookViewId="0">
      <pane xSplit="1" ySplit="4" topLeftCell="C5" activePane="bottomRight" state="frozen"/>
      <selection activeCell="B41" sqref="B41"/>
      <selection pane="topRight" activeCell="B41" sqref="B41"/>
      <selection pane="bottomLeft" activeCell="B41" sqref="B41"/>
      <selection pane="bottomRight" activeCell="B41" sqref="B41"/>
    </sheetView>
  </sheetViews>
  <sheetFormatPr defaultRowHeight="11.25" outlineLevelCol="1"/>
  <cols>
    <col min="1" max="1" width="0" hidden="1" customWidth="1"/>
    <col min="2" max="2" width="51.33203125" style="541" bestFit="1" customWidth="1"/>
    <col min="3" max="4" width="13.33203125" customWidth="1"/>
    <col min="5" max="5" width="3.33203125" customWidth="1"/>
    <col min="6" max="6" width="16.83203125" customWidth="1" outlineLevel="1"/>
    <col min="7" max="7" width="3.33203125" customWidth="1"/>
    <col min="8" max="8" width="13.33203125" customWidth="1"/>
    <col min="9" max="9" width="4.83203125" bestFit="1" customWidth="1"/>
    <col min="10" max="10" width="13.33203125" customWidth="1"/>
    <col min="11" max="11" width="3.33203125" customWidth="1"/>
    <col min="12" max="12" width="13.33203125" customWidth="1"/>
    <col min="13" max="13" width="3.33203125" customWidth="1"/>
    <col min="14" max="15" width="13.33203125" customWidth="1"/>
    <col min="16" max="16" width="3.33203125" customWidth="1"/>
    <col min="17" max="17" width="13.33203125" customWidth="1"/>
    <col min="18" max="18" width="3.33203125" customWidth="1"/>
    <col min="19" max="20" width="13.33203125" customWidth="1"/>
    <col min="21" max="22" width="3.33203125" customWidth="1"/>
    <col min="23" max="24" width="13.33203125" customWidth="1"/>
    <col min="25" max="25" width="12.83203125" customWidth="1"/>
    <col min="26" max="29" width="17.83203125" customWidth="1"/>
    <col min="30" max="30" width="12.83203125" customWidth="1"/>
    <col min="31" max="32" width="14.83203125" customWidth="1"/>
  </cols>
  <sheetData>
    <row r="1" spans="2:32">
      <c r="B1" s="1117" t="s">
        <v>1067</v>
      </c>
      <c r="C1" s="2182" t="s">
        <v>684</v>
      </c>
      <c r="D1" s="2182"/>
      <c r="F1" s="1113" t="s">
        <v>1065</v>
      </c>
      <c r="H1" s="729" t="s">
        <v>835</v>
      </c>
      <c r="J1" s="729" t="s">
        <v>685</v>
      </c>
      <c r="L1" s="729" t="s">
        <v>686</v>
      </c>
      <c r="N1" s="2182" t="s">
        <v>687</v>
      </c>
      <c r="O1" s="2182"/>
      <c r="Q1" s="729" t="s">
        <v>688</v>
      </c>
      <c r="S1" s="2182" t="s">
        <v>688</v>
      </c>
      <c r="T1" s="2182"/>
      <c r="W1" s="2182" t="s">
        <v>689</v>
      </c>
      <c r="X1" s="2182"/>
      <c r="AE1" s="2182" t="s">
        <v>689</v>
      </c>
      <c r="AF1" s="2182"/>
    </row>
    <row r="2" spans="2:32">
      <c r="B2" s="1118" t="s">
        <v>1121</v>
      </c>
      <c r="C2" s="2182" t="s">
        <v>690</v>
      </c>
      <c r="D2" s="2182"/>
      <c r="F2" s="1113" t="s">
        <v>1066</v>
      </c>
      <c r="H2" s="729" t="s">
        <v>836</v>
      </c>
      <c r="J2" s="729" t="s">
        <v>691</v>
      </c>
      <c r="L2" s="729" t="s">
        <v>692</v>
      </c>
      <c r="N2" s="729"/>
      <c r="O2" s="729"/>
      <c r="Q2" s="729" t="s">
        <v>693</v>
      </c>
      <c r="S2" s="2182" t="s">
        <v>694</v>
      </c>
      <c r="T2" s="2182"/>
      <c r="W2" s="729"/>
      <c r="X2" s="729"/>
      <c r="AE2" s="2182" t="s">
        <v>695</v>
      </c>
      <c r="AF2" s="2182"/>
    </row>
    <row r="3" spans="2:32">
      <c r="C3" s="729" t="s">
        <v>11</v>
      </c>
      <c r="D3" s="729" t="s">
        <v>125</v>
      </c>
      <c r="F3" s="1031" t="s">
        <v>125</v>
      </c>
      <c r="H3" s="1031" t="s">
        <v>125</v>
      </c>
      <c r="J3" s="1031" t="s">
        <v>125</v>
      </c>
      <c r="L3" s="1031" t="s">
        <v>125</v>
      </c>
      <c r="N3" s="729" t="s">
        <v>11</v>
      </c>
      <c r="O3" s="729" t="s">
        <v>125</v>
      </c>
      <c r="Q3" s="1031" t="s">
        <v>125</v>
      </c>
      <c r="S3" s="729" t="s">
        <v>11</v>
      </c>
      <c r="T3" s="729" t="s">
        <v>125</v>
      </c>
      <c r="W3" s="729" t="s">
        <v>11</v>
      </c>
      <c r="X3" s="729" t="s">
        <v>125</v>
      </c>
      <c r="Z3" s="729" t="s">
        <v>18</v>
      </c>
      <c r="AA3" s="729" t="s">
        <v>319</v>
      </c>
      <c r="AB3" s="729" t="s">
        <v>593</v>
      </c>
      <c r="AC3" s="729" t="s">
        <v>696</v>
      </c>
      <c r="AE3" s="729" t="s">
        <v>11</v>
      </c>
      <c r="AF3" s="729" t="s">
        <v>125</v>
      </c>
    </row>
    <row r="4" spans="2:32">
      <c r="B4" s="34"/>
      <c r="C4" s="1281">
        <f>Proforma!L10</f>
        <v>0.12699356418875865</v>
      </c>
      <c r="D4" s="1282">
        <f>Proforma!K10</f>
        <v>0.87300643581124138</v>
      </c>
      <c r="F4" s="1114"/>
      <c r="H4" s="730"/>
      <c r="I4" s="730"/>
      <c r="J4" s="731"/>
      <c r="K4" s="731"/>
      <c r="L4" s="730"/>
      <c r="M4" s="730"/>
      <c r="N4" s="731"/>
      <c r="O4" s="731"/>
      <c r="P4" s="731"/>
      <c r="Q4" s="730"/>
      <c r="R4" s="730"/>
      <c r="S4" s="731"/>
      <c r="T4" s="730"/>
      <c r="W4" s="729"/>
      <c r="X4" s="729"/>
      <c r="AE4" s="729"/>
      <c r="AF4" s="729"/>
    </row>
    <row r="5" spans="2:32">
      <c r="B5" s="732"/>
    </row>
    <row r="6" spans="2:32">
      <c r="B6" s="733" t="s">
        <v>520</v>
      </c>
      <c r="C6" s="734">
        <f>Proforma!L11</f>
        <v>292931.52314789983</v>
      </c>
      <c r="D6" s="734">
        <f>Proforma!K11</f>
        <v>2888606.0368521004</v>
      </c>
      <c r="F6" s="734"/>
      <c r="H6" s="734">
        <f>+'[2]4197itd2(1)'!$N$11</f>
        <v>2460514</v>
      </c>
      <c r="J6" s="734">
        <f>+'[2]4183itd(1)'!$N$10</f>
        <v>3432502</v>
      </c>
      <c r="L6" s="734">
        <f>+'[2]4487itd2(1)'!$N$8</f>
        <v>387718</v>
      </c>
      <c r="N6" s="734">
        <v>0</v>
      </c>
      <c r="O6" s="734">
        <f>+'[2]4175itd2(1)'!$N$11</f>
        <v>4595337</v>
      </c>
      <c r="Q6" s="734">
        <v>0</v>
      </c>
      <c r="S6" s="734"/>
      <c r="T6" s="734"/>
      <c r="W6" s="734">
        <f>SUMIF($C$3:$U$3,W$3,C6:U6)</f>
        <v>292931.52314789983</v>
      </c>
      <c r="X6" s="734">
        <f>SUMIF($C$3:$U$3,X$3,C6:U6)</f>
        <v>13764677.036852101</v>
      </c>
      <c r="Z6" s="734">
        <f>'Resi Price Out'!$G$5*Proforma!Q11</f>
        <v>12371.432474202838</v>
      </c>
      <c r="AE6" s="734">
        <f>SUM(Z6:AD6)+W6</f>
        <v>305302.95562210266</v>
      </c>
      <c r="AF6" s="734">
        <f>X6</f>
        <v>13764677.036852101</v>
      </c>
    </row>
    <row r="7" spans="2:32">
      <c r="B7" s="559" t="s">
        <v>523</v>
      </c>
      <c r="C7" s="734">
        <f>Proforma!L12</f>
        <v>150503.20685210003</v>
      </c>
      <c r="D7" s="734">
        <f>Proforma!K12</f>
        <v>3988203.2331479001</v>
      </c>
      <c r="F7" s="734"/>
      <c r="H7" s="734"/>
      <c r="J7" s="734"/>
      <c r="L7" s="734"/>
      <c r="N7" s="734">
        <v>0</v>
      </c>
      <c r="O7" s="734"/>
      <c r="Q7" s="734">
        <v>0</v>
      </c>
      <c r="S7" s="734"/>
      <c r="T7" s="734"/>
      <c r="W7" s="734">
        <f>SUMIF($C$3:$U$3,W$3,C7:U7)</f>
        <v>150503.20685210003</v>
      </c>
      <c r="X7" s="734">
        <f>SUMIF($C$3:$U$3,X$3,C7:U7)</f>
        <v>3988203.2331479001</v>
      </c>
      <c r="AE7" s="734">
        <f>SUM(Z7:AD7)+W7</f>
        <v>150503.20685210003</v>
      </c>
      <c r="AF7" s="734">
        <f>X7</f>
        <v>3988203.2331479001</v>
      </c>
    </row>
    <row r="8" spans="2:32">
      <c r="B8" s="559" t="s">
        <v>524</v>
      </c>
      <c r="C8" s="734">
        <f>Proforma!L13</f>
        <v>1020481.5000000001</v>
      </c>
      <c r="D8" s="734">
        <f>Proforma!K13</f>
        <v>12066142.5</v>
      </c>
      <c r="F8" s="734"/>
      <c r="H8" s="734">
        <f>+'[2]4197itd2(1)'!$N$14</f>
        <v>6263604</v>
      </c>
      <c r="J8" s="734">
        <f>+'[2]4183itd(1)'!$N$13</f>
        <v>3176452</v>
      </c>
      <c r="L8" s="734">
        <f>+'[2]4487itd2(1)'!$N$12</f>
        <v>563024</v>
      </c>
      <c r="N8" s="734">
        <v>0</v>
      </c>
      <c r="O8" s="734">
        <f>+'[2]4175itd2(1)'!$N$14</f>
        <v>6338950</v>
      </c>
      <c r="Q8" s="734">
        <v>0</v>
      </c>
      <c r="S8" s="734"/>
      <c r="T8" s="734"/>
      <c r="W8" s="734">
        <f>SUMIF($C$3:$U$3,W$3,C8:U8)</f>
        <v>1020481.5000000001</v>
      </c>
      <c r="X8" s="734">
        <f>SUMIF($C$3:$U$3,X$3,C8:U8)</f>
        <v>28408172.5</v>
      </c>
      <c r="Z8" s="734">
        <f>'Resi Price Out'!$G$5*Proforma!Q13</f>
        <v>49021.978375269617</v>
      </c>
      <c r="AC8" s="735">
        <f>'LG MF Recycle'!E6</f>
        <v>42348.84676666226</v>
      </c>
      <c r="AE8" s="734">
        <f>SUM(Z8:AD8)+W8</f>
        <v>1111852.3251419319</v>
      </c>
      <c r="AF8" s="734">
        <f>X8</f>
        <v>28408172.5</v>
      </c>
    </row>
    <row r="9" spans="2:32">
      <c r="B9" s="559" t="s">
        <v>1360</v>
      </c>
      <c r="C9" s="734">
        <f>Proforma!L14</f>
        <v>4046889.9899999998</v>
      </c>
      <c r="D9" s="734">
        <f>Proforma!K14</f>
        <v>16243913.01</v>
      </c>
      <c r="F9" s="734"/>
      <c r="H9" s="734">
        <f>+'[2]4197itd2(1)'!$N$17</f>
        <v>9400514</v>
      </c>
      <c r="J9" s="734">
        <f>+'[2]4183itd(1)'!$N$15</f>
        <v>4678433</v>
      </c>
      <c r="L9" s="734">
        <f>+'[2]4487itd2(1)'!$N$15</f>
        <v>433000</v>
      </c>
      <c r="N9" s="734">
        <v>0</v>
      </c>
      <c r="O9" s="734"/>
      <c r="Q9" s="734">
        <v>0</v>
      </c>
      <c r="S9" s="734"/>
      <c r="T9" s="734"/>
      <c r="W9" s="734">
        <f>SUMIF($C$3:$U$3,W$3,C9:U9)</f>
        <v>4046889.9899999998</v>
      </c>
      <c r="X9" s="734">
        <f>SUMIF($C$3:$U$3,X$3,C9:U9)</f>
        <v>30755860.009999998</v>
      </c>
      <c r="Z9" s="734">
        <f>'Resi Price Out'!$G$5*Proforma!Q14</f>
        <v>103579.27188490251</v>
      </c>
      <c r="AA9" s="735">
        <f>' LG recycle'!E6</f>
        <v>101915.14186997172</v>
      </c>
      <c r="AB9" s="735">
        <f>'LG Yardwaste'!E6</f>
        <v>139638.75208777931</v>
      </c>
      <c r="AE9" s="734">
        <f>SUM(Z9:AD9)+W9</f>
        <v>4392023.1558426535</v>
      </c>
      <c r="AF9" s="734">
        <f>X9</f>
        <v>30755860.009999998</v>
      </c>
    </row>
    <row r="10" spans="2:32">
      <c r="B10" s="559"/>
      <c r="C10" s="734"/>
      <c r="D10" s="734"/>
      <c r="F10" s="734"/>
      <c r="H10" s="734"/>
      <c r="J10" s="734"/>
      <c r="L10" s="734"/>
      <c r="N10" s="734"/>
      <c r="O10" s="734"/>
      <c r="Q10" s="734"/>
      <c r="S10" s="734"/>
      <c r="T10" s="734"/>
      <c r="W10" s="734"/>
      <c r="X10" s="734"/>
      <c r="AE10" s="734"/>
      <c r="AF10" s="734"/>
    </row>
    <row r="11" spans="2:32">
      <c r="B11" s="557" t="s">
        <v>837</v>
      </c>
      <c r="C11" s="734"/>
      <c r="D11" s="734">
        <f>Proforma!K16</f>
        <v>180065</v>
      </c>
      <c r="F11" s="734"/>
      <c r="H11" s="734">
        <f>+'[2]4197itd2(1)'!$N$19</f>
        <v>10247</v>
      </c>
      <c r="J11" s="734">
        <f>+'[2]4183itd(1)'!N17</f>
        <v>37038</v>
      </c>
      <c r="L11" s="734"/>
      <c r="N11" s="734"/>
      <c r="O11" s="734">
        <f>+'[2]4175itd2(1)'!$N$16</f>
        <v>70885</v>
      </c>
      <c r="Q11" s="734"/>
      <c r="S11" s="734"/>
      <c r="T11" s="734"/>
      <c r="W11" s="734"/>
      <c r="X11" s="734"/>
      <c r="AE11" s="734"/>
      <c r="AF11" s="734"/>
    </row>
    <row r="12" spans="2:32">
      <c r="B12" s="557" t="s">
        <v>528</v>
      </c>
      <c r="C12" s="734">
        <f>Proforma!L16</f>
        <v>0</v>
      </c>
      <c r="D12" s="734">
        <f>Proforma!K17</f>
        <v>861622</v>
      </c>
      <c r="F12" s="734"/>
      <c r="H12" s="734">
        <f>+'[2]4197itd2(1)'!$N$20</f>
        <v>193563</v>
      </c>
      <c r="J12" s="734">
        <f>+'[2]4183itd(1)'!N18</f>
        <v>112050</v>
      </c>
      <c r="L12" s="734"/>
      <c r="N12" s="734"/>
      <c r="O12" s="734">
        <f>+'[2]4175itd2(1)'!$N$17</f>
        <v>923438</v>
      </c>
      <c r="Q12" s="734"/>
      <c r="S12" s="734"/>
      <c r="T12" s="734"/>
      <c r="W12" s="734">
        <f>SUMIF($C$3:$U$3,W$3,C12:U12)</f>
        <v>0</v>
      </c>
      <c r="X12" s="734">
        <f>SUMIF($C$3:$U$3,X$3,C12:U12)</f>
        <v>2090673</v>
      </c>
      <c r="AE12" s="734">
        <f>SUM(Z12:AD12)+W12</f>
        <v>0</v>
      </c>
      <c r="AF12" s="734">
        <f>X12</f>
        <v>2090673</v>
      </c>
    </row>
    <row r="13" spans="2:32">
      <c r="B13" s="557" t="s">
        <v>529</v>
      </c>
      <c r="C13" s="734">
        <f>Proforma!L17</f>
        <v>0</v>
      </c>
      <c r="D13" s="734">
        <f>Proforma!K18</f>
        <v>1655016</v>
      </c>
      <c r="F13" s="734">
        <f>+'[2]4178its3(1)'!$O$7</f>
        <v>70958</v>
      </c>
      <c r="H13" s="734">
        <f>+'[2]4197itd2(1)'!$N$21</f>
        <v>665844</v>
      </c>
      <c r="J13" s="734">
        <f>+'[2]4183itd(1)'!N19</f>
        <v>268020</v>
      </c>
      <c r="L13" s="734"/>
      <c r="N13" s="734"/>
      <c r="O13" s="734"/>
      <c r="Q13" s="734"/>
      <c r="S13" s="734"/>
      <c r="T13" s="734"/>
      <c r="W13" s="734">
        <f>SUMIF($C$3:$U$3,W$3,C13:U13)</f>
        <v>0</v>
      </c>
      <c r="X13" s="734">
        <f>SUMIF($C$3:$U$3,X$3,C13:U13)</f>
        <v>2659838</v>
      </c>
      <c r="AE13" s="734">
        <f>SUM(Z13:AD13)+W13</f>
        <v>0</v>
      </c>
      <c r="AF13" s="734">
        <f>X13</f>
        <v>2659838</v>
      </c>
    </row>
    <row r="14" spans="2:32">
      <c r="B14" s="736" t="s">
        <v>697</v>
      </c>
      <c r="C14" s="734">
        <f>Proforma!L18</f>
        <v>0</v>
      </c>
      <c r="F14" s="734"/>
      <c r="H14" s="734"/>
      <c r="J14" s="734"/>
      <c r="L14" s="734"/>
      <c r="N14" s="734">
        <v>0</v>
      </c>
      <c r="O14" s="734"/>
      <c r="Q14" s="734"/>
      <c r="S14" s="734"/>
      <c r="T14" s="734">
        <f>+'[2]4584itd2(1)'!$N$14</f>
        <v>29042884</v>
      </c>
      <c r="W14" s="734">
        <f>SUMIF($C$3:$U$3,W$3,C14:U14)</f>
        <v>0</v>
      </c>
      <c r="X14" s="734">
        <f>SUMIF($C$3:$U$3,X$3,C14:U14)</f>
        <v>29042884</v>
      </c>
      <c r="AE14" s="734">
        <f>SUM(Z14:AD14)+W14</f>
        <v>0</v>
      </c>
      <c r="AF14" s="734">
        <f>X14</f>
        <v>29042884</v>
      </c>
    </row>
    <row r="15" spans="2:32" s="181" customFormat="1" ht="12">
      <c r="B15" s="737" t="s">
        <v>190</v>
      </c>
      <c r="C15" s="738">
        <f>SUM(C6:C14)</f>
        <v>5510806.2199999997</v>
      </c>
      <c r="D15" s="738">
        <f>SUM(D6:D13)</f>
        <v>37883567.780000001</v>
      </c>
      <c r="F15" s="738">
        <f>SUM(F6:F14)</f>
        <v>70958</v>
      </c>
      <c r="H15" s="738">
        <f>SUM(H6:H14)</f>
        <v>18994286</v>
      </c>
      <c r="J15" s="738">
        <f>SUM(J6:J14)</f>
        <v>11704495</v>
      </c>
      <c r="L15" s="738">
        <f>SUM(L6:L14)</f>
        <v>1383742</v>
      </c>
      <c r="N15" s="738">
        <f>SUM(N6:N14)</f>
        <v>0</v>
      </c>
      <c r="O15" s="738">
        <f>SUM(O6:O14)</f>
        <v>11928610</v>
      </c>
      <c r="Q15" s="738">
        <f>SUM(Q6:Q14)</f>
        <v>0</v>
      </c>
      <c r="S15" s="738">
        <f>SUM(S6:S14)</f>
        <v>0</v>
      </c>
      <c r="T15" s="738">
        <f>SUM(T6:T14)</f>
        <v>29042884</v>
      </c>
      <c r="W15" s="738">
        <f>SUM(W6:W14)</f>
        <v>5510806.2199999997</v>
      </c>
      <c r="X15" s="738">
        <f>SUM(X6:X14)</f>
        <v>110710307.78</v>
      </c>
      <c r="Z15" s="738">
        <f>SUM(Z6:Z14)</f>
        <v>164972.68273437498</v>
      </c>
      <c r="AA15" s="738">
        <f>SUM(AA6:AA14)</f>
        <v>101915.14186997172</v>
      </c>
      <c r="AB15" s="738">
        <f>SUM(AB6:AB14)</f>
        <v>139638.75208777931</v>
      </c>
      <c r="AC15" s="738">
        <f>SUM(AC6:AC14)</f>
        <v>42348.84676666226</v>
      </c>
      <c r="AE15" s="738">
        <f>SUM(AE6:AE14)</f>
        <v>5959681.6434587883</v>
      </c>
      <c r="AF15" s="738">
        <f>SUM(AF6:AF14)</f>
        <v>110710307.78</v>
      </c>
    </row>
    <row r="16" spans="2:32" s="181" customFormat="1">
      <c r="B16" s="559"/>
      <c r="C16" s="739"/>
      <c r="D16" s="739"/>
      <c r="F16" s="739"/>
      <c r="H16" s="739"/>
      <c r="J16" s="739"/>
      <c r="L16" s="739"/>
      <c r="N16" s="739"/>
      <c r="O16" s="739"/>
      <c r="Q16" s="739"/>
      <c r="S16" s="739"/>
      <c r="T16" s="739"/>
      <c r="W16" s="739"/>
      <c r="X16" s="739"/>
      <c r="AE16" s="739"/>
      <c r="AF16" s="739"/>
    </row>
    <row r="17" spans="1:32" s="181" customFormat="1" ht="12">
      <c r="A17" s="740"/>
      <c r="B17" s="741" t="s">
        <v>698</v>
      </c>
      <c r="C17" s="742">
        <f>Proforma!L24</f>
        <v>1865803.8507440875</v>
      </c>
      <c r="D17" s="742">
        <f>Proforma!K24</f>
        <v>15838925.149255913</v>
      </c>
      <c r="F17" s="742"/>
      <c r="H17" s="742">
        <f>+'[2]4197itd2(1)'!$N$25</f>
        <v>5319376</v>
      </c>
      <c r="J17" s="742">
        <f>+'[2]4183itd(1)'!$N$23</f>
        <v>4105668</v>
      </c>
      <c r="L17" s="742">
        <f>+'[2]4487itd2(1)'!$N$19</f>
        <v>95838</v>
      </c>
      <c r="N17" s="742"/>
      <c r="O17" s="742">
        <f>+'[2]4175itd2(1)'!$N$21</f>
        <v>227272</v>
      </c>
      <c r="Q17" s="742"/>
      <c r="S17" s="742"/>
      <c r="T17" s="742">
        <f>+'[2]4584itd2(1)'!$N$16</f>
        <v>1199057</v>
      </c>
      <c r="W17" s="734">
        <f>SUMIF($C$3:$U$3,W$3,C17:U17)</f>
        <v>1865803.8507440875</v>
      </c>
      <c r="X17" s="734">
        <f>SUMIF($C$3:$U$3,X$3,C17:U17)</f>
        <v>26786136.149255913</v>
      </c>
      <c r="AE17" s="734">
        <f>W17</f>
        <v>1865803.8507440875</v>
      </c>
      <c r="AF17" s="734">
        <f>X17</f>
        <v>26786136.149255913</v>
      </c>
    </row>
    <row r="18" spans="1:32" s="744" customFormat="1">
      <c r="A18" s="743"/>
      <c r="B18" s="557"/>
      <c r="C18" s="742"/>
      <c r="D18" s="742"/>
      <c r="F18" s="742"/>
      <c r="H18" s="742"/>
      <c r="J18" s="742"/>
      <c r="L18" s="742"/>
      <c r="N18" s="742"/>
      <c r="O18" s="742"/>
      <c r="Q18" s="742"/>
      <c r="S18" s="742"/>
      <c r="T18" s="742"/>
      <c r="W18" s="742"/>
      <c r="X18" s="742"/>
      <c r="AE18" s="742"/>
      <c r="AF18" s="742"/>
    </row>
    <row r="19" spans="1:32">
      <c r="A19" s="540"/>
      <c r="B19" s="557" t="s">
        <v>699</v>
      </c>
      <c r="C19" s="742">
        <f>Proforma!L26+Proforma!L29+Proforma!L30</f>
        <v>23558.6965905</v>
      </c>
      <c r="D19" s="742">
        <f>Proforma!K26+Proforma!K29+Proforma!K30</f>
        <v>1831704.3003095</v>
      </c>
      <c r="F19" s="742">
        <f>+'[2]4178its3(1)'!$O$10</f>
        <v>80704</v>
      </c>
      <c r="H19" s="742">
        <f>+'[2]4197itd2(1)'!$N$26</f>
        <v>1776944</v>
      </c>
      <c r="J19" s="742">
        <f>+'[2]4183itd(1)'!$N$24</f>
        <v>1094087</v>
      </c>
      <c r="L19" s="742"/>
      <c r="N19" s="742"/>
      <c r="O19" s="742">
        <f>+'[2]4175itd2(1)'!$N$22+'[2]4175itd2(1)'!$N$25</f>
        <v>2913384</v>
      </c>
      <c r="Q19" s="742"/>
      <c r="S19" s="742"/>
      <c r="T19" s="742">
        <f>+'[2]4584itd2(1)'!$N$17</f>
        <v>9023293</v>
      </c>
      <c r="W19" s="734">
        <f>SUMIF($C$3:$U$3,W$3,C19:U19)</f>
        <v>23558.6965905</v>
      </c>
      <c r="X19" s="734">
        <f>SUMIF($C$3:$U$3,X$3,C19:U19)</f>
        <v>16720116.3003095</v>
      </c>
      <c r="AE19" s="734">
        <f t="shared" ref="AE19:AF21" si="0">W19</f>
        <v>23558.6965905</v>
      </c>
      <c r="AF19" s="734">
        <f t="shared" si="0"/>
        <v>16720116.3003095</v>
      </c>
    </row>
    <row r="20" spans="1:32" s="744" customFormat="1">
      <c r="A20" s="743" t="s">
        <v>27</v>
      </c>
      <c r="B20" s="557" t="s">
        <v>700</v>
      </c>
      <c r="C20" s="742">
        <f>Proforma!L26</f>
        <v>0</v>
      </c>
      <c r="D20" s="742">
        <f>Proforma!K26</f>
        <v>67598.996899999998</v>
      </c>
      <c r="F20" s="742"/>
      <c r="H20" s="742"/>
      <c r="J20" s="742"/>
      <c r="L20" s="742"/>
      <c r="N20" s="742"/>
      <c r="O20" s="742"/>
      <c r="Q20" s="742"/>
      <c r="S20" s="742"/>
      <c r="T20" s="742">
        <f>+'[2]4584itd2(1)'!$N$18</f>
        <v>3267</v>
      </c>
      <c r="W20" s="734">
        <f>SUMIF($C$3:$U$3,W$3,C20:U20)</f>
        <v>0</v>
      </c>
      <c r="X20" s="734">
        <f>SUMIF($C$3:$U$3,X$3,C20:U20)</f>
        <v>70865.996899999998</v>
      </c>
      <c r="AE20" s="734">
        <f t="shared" si="0"/>
        <v>0</v>
      </c>
      <c r="AF20" s="734">
        <f t="shared" si="0"/>
        <v>70865.996899999998</v>
      </c>
    </row>
    <row r="21" spans="1:32" s="744" customFormat="1">
      <c r="A21" s="743"/>
      <c r="B21" s="557" t="s">
        <v>701</v>
      </c>
      <c r="C21" s="742"/>
      <c r="D21" s="742"/>
      <c r="F21" s="742">
        <f>+'[2]4178its3(1)'!$O$11</f>
        <v>85549</v>
      </c>
      <c r="H21" s="742"/>
      <c r="J21" s="742"/>
      <c r="L21" s="742"/>
      <c r="N21" s="742"/>
      <c r="O21" s="742">
        <f>+'[2]4175itd2(1)'!$N$23</f>
        <v>8170</v>
      </c>
      <c r="Q21" s="742"/>
      <c r="S21" s="742"/>
      <c r="T21" s="742"/>
      <c r="W21" s="734">
        <f>SUMIF($C$3:$U$3,W$3,C21:U21)</f>
        <v>0</v>
      </c>
      <c r="X21" s="734">
        <f>SUMIF($C$3:$U$3,X$3,C21:U21)</f>
        <v>93719</v>
      </c>
      <c r="AE21" s="734">
        <f t="shared" si="0"/>
        <v>0</v>
      </c>
      <c r="AF21" s="734">
        <f t="shared" si="0"/>
        <v>93719</v>
      </c>
    </row>
    <row r="22" spans="1:32">
      <c r="A22" s="540"/>
      <c r="B22" s="745" t="s">
        <v>702</v>
      </c>
      <c r="C22" s="742">
        <f>Proforma!L31</f>
        <v>0</v>
      </c>
      <c r="D22" s="742">
        <f>Proforma!K31</f>
        <v>0</v>
      </c>
      <c r="F22" s="742"/>
      <c r="H22" s="742">
        <f>+'[2]4197itd2(1)'!$N$27</f>
        <v>565189</v>
      </c>
      <c r="J22" s="742">
        <f>+'[2]4183itd(1)'!$N$25</f>
        <v>242066</v>
      </c>
      <c r="L22" s="742"/>
      <c r="N22" s="742"/>
      <c r="O22" s="742">
        <f>+'[2]4175itd2(1)'!$N$24</f>
        <v>3226</v>
      </c>
      <c r="Q22" s="742">
        <v>0</v>
      </c>
      <c r="S22" s="742"/>
      <c r="T22" s="742"/>
      <c r="W22" s="734">
        <f>SUMIF($C$3:$U$3,W$3,C22:U22)</f>
        <v>0</v>
      </c>
      <c r="X22" s="734">
        <f>SUMIF($C$3:$U$3,X$3,C22:U22)</f>
        <v>810481</v>
      </c>
      <c r="AE22" s="1139">
        <f>AE15*'Combined LG'!H19</f>
        <v>25477.63902578632</v>
      </c>
      <c r="AF22" s="734">
        <f>X22</f>
        <v>810481</v>
      </c>
    </row>
    <row r="23" spans="1:32" s="744" customFormat="1" ht="12">
      <c r="A23" s="743" t="s">
        <v>27</v>
      </c>
      <c r="B23" s="737" t="s">
        <v>532</v>
      </c>
      <c r="C23" s="738">
        <f>SUM(C17:C22)</f>
        <v>1889362.5473345874</v>
      </c>
      <c r="D23" s="738">
        <f>SUM(D17:D22)</f>
        <v>17738228.446465414</v>
      </c>
      <c r="F23" s="738">
        <f>SUM(F17:F22)</f>
        <v>166253</v>
      </c>
      <c r="H23" s="738">
        <f>SUM(H17:H22)</f>
        <v>7661509</v>
      </c>
      <c r="J23" s="738">
        <f>SUM(J17:J22)</f>
        <v>5441821</v>
      </c>
      <c r="L23" s="738">
        <f>SUM(L17:L22)</f>
        <v>95838</v>
      </c>
      <c r="N23" s="738">
        <f>SUM(N17:N22)</f>
        <v>0</v>
      </c>
      <c r="O23" s="738">
        <f>SUM(O17:O22)</f>
        <v>3152052</v>
      </c>
      <c r="Q23" s="738">
        <f>SUM(Q17:Q22)</f>
        <v>0</v>
      </c>
      <c r="S23" s="738">
        <f>SUM(S17:S22)</f>
        <v>0</v>
      </c>
      <c r="T23" s="738">
        <f>SUM(T17:T22)</f>
        <v>10225617</v>
      </c>
      <c r="W23" s="738">
        <f>SUM(W17:W22)</f>
        <v>1889362.5473345874</v>
      </c>
      <c r="X23" s="738">
        <f>SUM(X17:X22)</f>
        <v>44481318.44646541</v>
      </c>
      <c r="AE23" s="738">
        <f>SUM(AE17:AE22)</f>
        <v>1914840.1863603739</v>
      </c>
      <c r="AF23" s="738">
        <f>SUM(AF17:AF22)</f>
        <v>44481318.44646541</v>
      </c>
    </row>
    <row r="24" spans="1:32">
      <c r="A24" s="540"/>
      <c r="B24" s="556"/>
      <c r="C24" s="746"/>
      <c r="D24" s="746"/>
      <c r="F24" s="746"/>
      <c r="H24" s="746"/>
      <c r="J24" s="746"/>
      <c r="L24" s="746"/>
      <c r="N24" s="746"/>
      <c r="O24" s="746"/>
      <c r="Q24" s="746"/>
      <c r="S24" s="746"/>
      <c r="T24" s="746"/>
      <c r="W24" s="746"/>
      <c r="X24" s="746"/>
      <c r="AE24" s="746"/>
      <c r="AF24" s="746"/>
    </row>
    <row r="25" spans="1:32" s="744" customFormat="1" ht="12">
      <c r="A25" s="743" t="s">
        <v>27</v>
      </c>
      <c r="B25" s="737" t="s">
        <v>533</v>
      </c>
      <c r="C25" s="738">
        <f>C15-C23</f>
        <v>3621443.6726654125</v>
      </c>
      <c r="D25" s="738">
        <f>D15-D23</f>
        <v>20145339.333534587</v>
      </c>
      <c r="F25" s="738">
        <f>F15-F23</f>
        <v>-95295</v>
      </c>
      <c r="H25" s="738">
        <f>H15-H23</f>
        <v>11332777</v>
      </c>
      <c r="J25" s="738">
        <f>J15-J23</f>
        <v>6262674</v>
      </c>
      <c r="L25" s="738">
        <f>L15-L23</f>
        <v>1287904</v>
      </c>
      <c r="N25" s="738">
        <f>N15-N23</f>
        <v>0</v>
      </c>
      <c r="O25" s="738">
        <f>O15-O23</f>
        <v>8776558</v>
      </c>
      <c r="Q25" s="738">
        <f>Q15-Q23</f>
        <v>0</v>
      </c>
      <c r="S25" s="738">
        <f>S15-S23</f>
        <v>0</v>
      </c>
      <c r="T25" s="738">
        <f>T15-T23</f>
        <v>18817267</v>
      </c>
      <c r="W25" s="738">
        <f>W15-W23</f>
        <v>3621443.6726654125</v>
      </c>
      <c r="X25" s="738">
        <f>X15-X23</f>
        <v>66228989.333534591</v>
      </c>
      <c r="AE25" s="738">
        <f>AE15-AE23</f>
        <v>4044841.4570984142</v>
      </c>
      <c r="AF25" s="738">
        <f>AF15-AF23</f>
        <v>66228989.333534591</v>
      </c>
    </row>
    <row r="26" spans="1:32" s="181" customFormat="1">
      <c r="A26" s="740"/>
      <c r="B26" s="556"/>
      <c r="C26" s="742"/>
      <c r="D26" s="742"/>
      <c r="F26" s="742"/>
      <c r="H26" s="742"/>
      <c r="J26" s="742"/>
      <c r="L26" s="742"/>
      <c r="N26" s="742"/>
      <c r="O26" s="742"/>
      <c r="Q26" s="742"/>
      <c r="S26" s="742"/>
      <c r="T26" s="742"/>
      <c r="W26" s="742"/>
      <c r="X26" s="742"/>
      <c r="AE26" s="742"/>
      <c r="AF26" s="742"/>
    </row>
    <row r="27" spans="1:32" s="744" customFormat="1" ht="12" thickBot="1">
      <c r="A27" s="743"/>
      <c r="B27" s="557"/>
      <c r="C27" s="742"/>
      <c r="D27" s="742"/>
      <c r="F27" s="742"/>
      <c r="H27" s="742"/>
      <c r="J27" s="742"/>
      <c r="L27" s="742"/>
      <c r="N27" s="742"/>
      <c r="O27" s="742"/>
      <c r="Q27" s="742"/>
      <c r="S27" s="742"/>
      <c r="T27" s="742"/>
      <c r="W27" s="742"/>
      <c r="X27" s="742"/>
      <c r="AE27" s="742"/>
      <c r="AF27" s="742"/>
    </row>
    <row r="28" spans="1:32" ht="12" thickBot="1">
      <c r="A28" s="540"/>
      <c r="B28" s="747"/>
      <c r="C28" s="747"/>
      <c r="D28" s="748"/>
      <c r="E28" s="748"/>
      <c r="F28" s="1115"/>
      <c r="G28" s="1115"/>
      <c r="H28" s="748"/>
      <c r="I28" s="748"/>
      <c r="J28" s="748"/>
      <c r="K28" s="748"/>
      <c r="L28" s="748"/>
      <c r="M28" s="748"/>
      <c r="N28" s="748"/>
      <c r="O28" s="748"/>
      <c r="P28" s="748"/>
      <c r="Q28" s="748"/>
      <c r="R28" s="748"/>
      <c r="S28" s="748"/>
      <c r="T28" s="748"/>
      <c r="U28" s="748"/>
      <c r="V28" s="748"/>
      <c r="W28" s="748"/>
      <c r="X28" s="749"/>
      <c r="Y28" s="748"/>
      <c r="Z28" s="748"/>
      <c r="AA28" s="748"/>
      <c r="AB28" s="748"/>
      <c r="AC28" s="748"/>
      <c r="AD28" s="748"/>
      <c r="AE28" s="748"/>
      <c r="AF28" s="749"/>
    </row>
    <row r="29" spans="1:32" ht="12">
      <c r="A29" s="540"/>
      <c r="B29" s="750" t="s">
        <v>703</v>
      </c>
      <c r="C29" s="751">
        <f>Proforma!L53</f>
        <v>1387229.7740400599</v>
      </c>
      <c r="D29" s="742">
        <f>Proforma!K53</f>
        <v>8283321.0607447475</v>
      </c>
      <c r="F29" s="742">
        <f>+'[2]4178its3(1)'!$O$24</f>
        <v>631438</v>
      </c>
      <c r="H29" s="742">
        <f>+'[2]4197itd2(1)'!$N$30</f>
        <v>3690688</v>
      </c>
      <c r="J29" s="742">
        <f>+'[2]4183itd(1)'!$N$28</f>
        <v>1938043</v>
      </c>
      <c r="L29" s="742">
        <f>+'[2]4487itd2(1)'!$N$22</f>
        <v>498330</v>
      </c>
      <c r="N29" s="742"/>
      <c r="O29" s="742">
        <f>+'[2]4175itd2(1)'!$N$28</f>
        <v>2054452</v>
      </c>
      <c r="Q29" s="742"/>
      <c r="S29" s="742"/>
      <c r="T29" s="742">
        <f>+'[2]4584itd2(1)'!$N$21</f>
        <v>5616869</v>
      </c>
      <c r="W29" s="734">
        <f>SUMIF($C$3:$U$3,W$3,C29:U29)</f>
        <v>1387229.7740400599</v>
      </c>
      <c r="X29" s="734">
        <f>SUMIF($C$3:$U$3,X$3,C29:U29)</f>
        <v>22713141.060744748</v>
      </c>
      <c r="AE29" s="734">
        <f>W29</f>
        <v>1387229.7740400599</v>
      </c>
      <c r="AF29" s="734">
        <f>X29</f>
        <v>22713141.060744748</v>
      </c>
    </row>
    <row r="30" spans="1:32" ht="12">
      <c r="B30" s="752" t="s">
        <v>704</v>
      </c>
      <c r="C30" s="753">
        <f>Proforma!L70</f>
        <v>164190.32118318669</v>
      </c>
      <c r="D30" s="754">
        <f>Proforma!K70</f>
        <v>980400.77489560854</v>
      </c>
      <c r="F30" s="754"/>
      <c r="H30" s="754">
        <f>+'[2]4197itd2(1)'!$N$31</f>
        <v>437794</v>
      </c>
      <c r="J30" s="754">
        <f>+'[2]4183itd(1)'!$N$29</f>
        <v>195042</v>
      </c>
      <c r="L30" s="754">
        <f>+'[2]4487itd2(1)'!$N$23</f>
        <v>0</v>
      </c>
      <c r="N30" s="754"/>
      <c r="O30" s="754">
        <f>+'[2]4175itd2(1)'!$N$29</f>
        <v>442467</v>
      </c>
      <c r="Q30" s="754"/>
      <c r="S30" s="754"/>
      <c r="T30" s="754">
        <f>+'[2]4584itd2(1)'!$N$22</f>
        <v>393613</v>
      </c>
      <c r="W30" s="754">
        <f>SUMIF($C$3:$U$3,W$3,C30:U30)</f>
        <v>164190.32118318669</v>
      </c>
      <c r="X30" s="754">
        <f>SUMIF($C$3:$U$3,X$3,C30:U30)</f>
        <v>2449316.7748956084</v>
      </c>
      <c r="AE30" s="754">
        <f>W30</f>
        <v>164190.32118318669</v>
      </c>
      <c r="AF30" s="754">
        <f>X30</f>
        <v>2449316.7748956084</v>
      </c>
    </row>
    <row r="31" spans="1:32" ht="12">
      <c r="B31" s="755" t="s">
        <v>705</v>
      </c>
      <c r="C31" s="756">
        <f>C29+C30</f>
        <v>1551420.0952232466</v>
      </c>
      <c r="D31" s="734">
        <f>D29+D30</f>
        <v>9263721.8356403559</v>
      </c>
      <c r="F31" s="734">
        <f>F29+F30</f>
        <v>631438</v>
      </c>
      <c r="H31" s="734">
        <f>H29+H30</f>
        <v>4128482</v>
      </c>
      <c r="J31" s="734">
        <f>J29+J30</f>
        <v>2133085</v>
      </c>
      <c r="L31" s="734">
        <f>L29+L30</f>
        <v>498330</v>
      </c>
      <c r="N31" s="734">
        <f>N29+N30</f>
        <v>0</v>
      </c>
      <c r="O31" s="734">
        <f>O29+O30</f>
        <v>2496919</v>
      </c>
      <c r="Q31" s="734">
        <f>Q29+Q30</f>
        <v>0</v>
      </c>
      <c r="S31" s="734">
        <f>S29+S30</f>
        <v>0</v>
      </c>
      <c r="T31" s="734">
        <f>T29+T30</f>
        <v>6010482</v>
      </c>
      <c r="W31" s="734">
        <f>SUM(W29:W30)</f>
        <v>1551420.0952232466</v>
      </c>
      <c r="X31" s="734">
        <f>SUM(X29:X30)</f>
        <v>25162457.835640356</v>
      </c>
      <c r="AE31" s="734">
        <f>SUM(AE29:AE30)</f>
        <v>1551420.0952232466</v>
      </c>
      <c r="AF31" s="734">
        <f>SUM(AF29:AF30)</f>
        <v>25162457.835640356</v>
      </c>
    </row>
    <row r="32" spans="1:32">
      <c r="B32" s="557"/>
      <c r="C32" s="757"/>
    </row>
    <row r="33" spans="2:32" ht="12">
      <c r="B33" s="755" t="s">
        <v>706</v>
      </c>
      <c r="C33" s="756">
        <f>Proforma!L113</f>
        <v>238775.89974003649</v>
      </c>
      <c r="D33" s="734">
        <f>Proforma!K113</f>
        <v>1425760.5164822571</v>
      </c>
      <c r="F33" s="734">
        <f>+'[2]4178its3(1)'!$O$29</f>
        <v>1764</v>
      </c>
      <c r="H33" s="734">
        <f>+'[2]4197itd2(1)'!$N$33</f>
        <v>1041936</v>
      </c>
      <c r="J33" s="734">
        <f>+'[2]4183itd(1)'!$N$31</f>
        <v>354617</v>
      </c>
      <c r="L33" s="734">
        <f>+'[2]4487itd2(1)'!$N$25</f>
        <v>228022</v>
      </c>
      <c r="N33" s="734"/>
      <c r="O33" s="734">
        <f>+'[2]4175itd2(1)'!$N$31</f>
        <v>467984</v>
      </c>
      <c r="Q33" s="734"/>
      <c r="S33" s="734"/>
      <c r="T33" s="734">
        <f>+'[2]4584itd2(1)'!$N$24</f>
        <v>676189</v>
      </c>
      <c r="W33" s="734">
        <f>SUMIF($C$3:$U$3,W$3,C33:U33)</f>
        <v>238775.89974003649</v>
      </c>
      <c r="X33" s="734">
        <f>SUMIF($C$3:$U$3,X$3,C33:U33)</f>
        <v>4196272.5164822573</v>
      </c>
      <c r="AE33" s="734">
        <f>W33</f>
        <v>238775.89974003649</v>
      </c>
      <c r="AF33" s="734">
        <f>X33</f>
        <v>4196272.5164822573</v>
      </c>
    </row>
    <row r="34" spans="2:32">
      <c r="B34" s="557"/>
      <c r="C34" s="757"/>
    </row>
    <row r="35" spans="2:32" ht="12">
      <c r="B35" s="755" t="s">
        <v>707</v>
      </c>
      <c r="C35" s="756">
        <f>Proforma!L129</f>
        <v>374373.01377901679</v>
      </c>
      <c r="D35" s="734">
        <f>Proforma!K129</f>
        <v>2235427.7046541125</v>
      </c>
      <c r="F35" s="734"/>
      <c r="H35" s="734">
        <f>+'[2]4197itd2(1)'!$N$34</f>
        <v>1105536</v>
      </c>
      <c r="J35" s="734">
        <f>+'[2]4183itd(1)'!$N$32</f>
        <v>873003</v>
      </c>
      <c r="L35" s="734">
        <f>+'[2]4487itd2(1)'!$N$26</f>
        <v>33402</v>
      </c>
      <c r="N35" s="734"/>
      <c r="O35" s="734">
        <f>+'[2]4175itd2(1)'!$N$32</f>
        <v>556545</v>
      </c>
      <c r="Q35" s="734"/>
      <c r="S35" s="734"/>
      <c r="T35" s="734">
        <f>+'[2]4584itd2(1)'!$N$25</f>
        <v>2719661</v>
      </c>
      <c r="W35" s="734">
        <f>SUMIF($C$3:$U$3,W$3,C35:U35)</f>
        <v>374373.01377901679</v>
      </c>
      <c r="X35" s="734">
        <f>SUMIF($C$3:$U$3,X$3,C35:U35)</f>
        <v>7523574.7046541125</v>
      </c>
      <c r="AE35" s="734">
        <f>W35</f>
        <v>374373.01377901679</v>
      </c>
      <c r="AF35" s="734">
        <f>X35</f>
        <v>7523574.7046541125</v>
      </c>
    </row>
    <row r="36" spans="2:32">
      <c r="B36" s="557"/>
      <c r="C36" s="757"/>
    </row>
    <row r="37" spans="2:32" ht="12">
      <c r="B37" s="755" t="s">
        <v>708</v>
      </c>
      <c r="C37" s="756">
        <f>Proforma!L143</f>
        <v>39487.094745486429</v>
      </c>
      <c r="D37" s="734">
        <f>Proforma!K143</f>
        <v>182306.71819898329</v>
      </c>
      <c r="F37" s="734"/>
      <c r="H37" s="734">
        <f>+'[2]4197itd2(1)'!$N$35</f>
        <v>3983</v>
      </c>
      <c r="J37" s="734">
        <f>+'[2]4183itd(1)'!$N$33</f>
        <v>90558</v>
      </c>
      <c r="L37" s="734">
        <f>+'[2]4487itd2(1)'!$N$27</f>
        <v>1873</v>
      </c>
      <c r="N37" s="734"/>
      <c r="O37" s="734">
        <f>+'[2]4175itd2(1)'!$N$33</f>
        <v>262374</v>
      </c>
      <c r="Q37" s="734"/>
      <c r="S37" s="734"/>
      <c r="T37" s="734"/>
      <c r="W37" s="734">
        <f>SUMIF($C$3:$U$3,W$3,C37:U37)</f>
        <v>39487.094745486429</v>
      </c>
      <c r="X37" s="734">
        <f>SUMIF($C$3:$U$3,X$3,C37:U37)</f>
        <v>541094.71819898323</v>
      </c>
      <c r="AE37" s="734">
        <f>W37</f>
        <v>39487.094745486429</v>
      </c>
      <c r="AF37" s="734">
        <f>X37</f>
        <v>541094.71819898323</v>
      </c>
    </row>
    <row r="38" spans="2:32">
      <c r="B38" s="557"/>
      <c r="C38" s="757"/>
    </row>
    <row r="39" spans="2:32" ht="12">
      <c r="B39" s="755" t="s">
        <v>709</v>
      </c>
      <c r="C39" s="756">
        <f>Proforma!L158</f>
        <v>170578.42906185897</v>
      </c>
      <c r="D39" s="734">
        <f>Proforma!K158</f>
        <v>1011639.2131045744</v>
      </c>
      <c r="F39" s="734">
        <f>+'[2]4178its3(1)'!$O$35</f>
        <v>12109</v>
      </c>
      <c r="H39" s="734">
        <f>+'[2]4197itd2(1)'!$N$36</f>
        <v>313448</v>
      </c>
      <c r="J39" s="734">
        <f>+'[2]4183itd(1)'!$N$34</f>
        <v>682936</v>
      </c>
      <c r="L39" s="734">
        <f>+'[2]4487itd2(1)'!$N$28</f>
        <v>62902</v>
      </c>
      <c r="N39" s="734"/>
      <c r="O39" s="734">
        <f>+'[2]4175itd2(1)'!$N$34</f>
        <v>507754</v>
      </c>
      <c r="Q39" s="734"/>
      <c r="S39" s="734"/>
      <c r="T39" s="734">
        <f>+'[2]4584itd2(1)'!$N$26</f>
        <v>420532</v>
      </c>
      <c r="W39" s="734">
        <f>SUMIF($C$3:$U$3,W$3,C39:U39)</f>
        <v>170578.42906185897</v>
      </c>
      <c r="X39" s="734">
        <f>SUMIF($C$3:$U$3,X$3,C39:U39)</f>
        <v>3011320.2131045745</v>
      </c>
      <c r="AE39" s="734">
        <f>W39</f>
        <v>170578.42906185897</v>
      </c>
      <c r="AF39" s="734">
        <f>X39</f>
        <v>3011320.2131045745</v>
      </c>
    </row>
    <row r="40" spans="2:32">
      <c r="B40" s="557"/>
      <c r="C40" s="757"/>
    </row>
    <row r="41" spans="2:32" ht="12">
      <c r="B41" s="755" t="s">
        <v>710</v>
      </c>
      <c r="C41" s="756">
        <f>Proforma!L169</f>
        <v>138817.77947800004</v>
      </c>
      <c r="D41" s="734">
        <f>Proforma!K169</f>
        <v>818546.21692200005</v>
      </c>
      <c r="F41" s="734">
        <f>+'[2]4178its3(1)'!$O$41</f>
        <v>122798</v>
      </c>
      <c r="H41" s="734">
        <f>+'[2]4197itd2(1)'!$N$37</f>
        <v>354689</v>
      </c>
      <c r="J41" s="734">
        <f>+'[2]4183itd(1)'!$N$35</f>
        <v>107505</v>
      </c>
      <c r="L41" s="734">
        <f>+'[2]4487itd2(1)'!$N$29</f>
        <v>2496</v>
      </c>
      <c r="N41" s="734"/>
      <c r="O41" s="734">
        <f>+'[2]4175itd2(1)'!$N$35</f>
        <v>635666</v>
      </c>
      <c r="Q41" s="734"/>
      <c r="S41" s="734"/>
      <c r="T41" s="734">
        <f>+'[2]4584itd2(1)'!$N$27</f>
        <v>786293</v>
      </c>
      <c r="W41" s="734">
        <f>SUMIF($C$3:$U$3,W$3,C41:U41)</f>
        <v>138817.77947800004</v>
      </c>
      <c r="X41" s="734">
        <f>SUMIF($C$3:$U$3,X$3,C41:U41)</f>
        <v>2827993.2169220001</v>
      </c>
      <c r="AE41" s="734">
        <f>W41</f>
        <v>138817.77947800004</v>
      </c>
      <c r="AF41" s="734">
        <f>X41</f>
        <v>2827993.2169220001</v>
      </c>
    </row>
    <row r="42" spans="2:32">
      <c r="B42" s="557"/>
      <c r="C42" s="757"/>
    </row>
    <row r="43" spans="2:32" ht="12">
      <c r="B43" s="755" t="s">
        <v>711</v>
      </c>
      <c r="C43" s="756">
        <f>Proforma!L182</f>
        <v>120349.51157702538</v>
      </c>
      <c r="D43" s="734">
        <f>Proforma!K182</f>
        <v>2381935.4884229749</v>
      </c>
      <c r="F43" s="734">
        <f>+'[2]4178its3(1)'!$O$43</f>
        <v>66119</v>
      </c>
      <c r="H43" s="734">
        <f>+'[2]4197itd2(1)'!$N$38</f>
        <v>463579</v>
      </c>
      <c r="J43" s="734">
        <f>+'[2]4183itd(1)'!$N$36</f>
        <v>462569</v>
      </c>
      <c r="L43" s="734">
        <f>+'[2]4487itd2(1)'!$N$30</f>
        <v>25210</v>
      </c>
      <c r="N43" s="734"/>
      <c r="O43" s="734">
        <f>+'[2]4175itd2(1)'!$N$36</f>
        <v>281704</v>
      </c>
      <c r="Q43" s="734"/>
      <c r="S43" s="734"/>
      <c r="T43" s="734">
        <f>+'[2]4584itd2(1)'!$N$28</f>
        <v>361474</v>
      </c>
      <c r="W43" s="734">
        <f>SUMIF($C$3:$U$3,W$3,C43:U43)</f>
        <v>120349.51157702538</v>
      </c>
      <c r="X43" s="734">
        <f>SUMIF($C$3:$U$3,X$3,C43:U43)</f>
        <v>4042590.4884229749</v>
      </c>
      <c r="AE43" s="1139">
        <f>W43+SUM(Z6:AC9)*'Combined LG'!H18</f>
        <v>127082.6429289072</v>
      </c>
      <c r="AF43" s="734">
        <f>X43</f>
        <v>4042590.4884229749</v>
      </c>
    </row>
    <row r="44" spans="2:32">
      <c r="B44" s="557"/>
      <c r="C44" s="757"/>
    </row>
    <row r="45" spans="2:32" ht="12">
      <c r="B45" s="758" t="s">
        <v>541</v>
      </c>
      <c r="C45" s="759">
        <f>SUM(C31:C44)</f>
        <v>2633801.8236046708</v>
      </c>
      <c r="D45" s="760">
        <f>SUM(D31:D44)</f>
        <v>17319337.693425257</v>
      </c>
      <c r="F45" s="760">
        <f>SUM(F31:F44)</f>
        <v>834228</v>
      </c>
      <c r="H45" s="760">
        <f>SUM(H31:H44)</f>
        <v>7411653</v>
      </c>
      <c r="J45" s="760">
        <f>SUM(J31:J44)</f>
        <v>4704273</v>
      </c>
      <c r="L45" s="760">
        <f>SUM(L31:L44)</f>
        <v>852235</v>
      </c>
      <c r="N45" s="760">
        <f>SUM(N31:N44)</f>
        <v>0</v>
      </c>
      <c r="O45" s="760">
        <f>SUM(O31:O44)</f>
        <v>5208946</v>
      </c>
      <c r="Q45" s="760">
        <f>SUM(Q31:Q44)</f>
        <v>0</v>
      </c>
      <c r="S45" s="760">
        <f>SUM(S31:S44)</f>
        <v>0</v>
      </c>
      <c r="T45" s="760">
        <f>SUM(T31:T44)</f>
        <v>10974631</v>
      </c>
      <c r="W45" s="760">
        <f>SUM(W31:W44)</f>
        <v>2633801.8236046708</v>
      </c>
      <c r="X45" s="760">
        <f>SUM(X31:X44)</f>
        <v>47305303.69342526</v>
      </c>
      <c r="AE45" s="760">
        <f>SUM(AE31:AE44)</f>
        <v>2640534.9549565525</v>
      </c>
      <c r="AF45" s="760">
        <f>SUM(AF31:AF44)</f>
        <v>47305303.69342526</v>
      </c>
    </row>
    <row r="46" spans="2:32">
      <c r="B46" s="557"/>
      <c r="C46" s="757"/>
    </row>
    <row r="47" spans="2:32" ht="12">
      <c r="B47" s="761" t="s">
        <v>542</v>
      </c>
      <c r="C47" s="756">
        <f>Proforma!L195</f>
        <v>437058.45810659812</v>
      </c>
      <c r="D47" s="734">
        <f>Proforma!K195</f>
        <v>2526754.5600064504</v>
      </c>
      <c r="F47" s="734">
        <f>+'[2]4178its3(1)'!$O$47</f>
        <v>97654</v>
      </c>
      <c r="H47" s="734">
        <f>+'[2]4197itd2(1)'!$N$40</f>
        <v>1102436</v>
      </c>
      <c r="J47" s="734">
        <f>+'[2]4183itd(1)'!$N$38</f>
        <v>472404</v>
      </c>
      <c r="L47" s="734">
        <f>+'[2]4487itd2(1)'!$N$32</f>
        <v>106344</v>
      </c>
      <c r="N47" s="734"/>
      <c r="O47" s="734">
        <f>+'[2]4175itd2(1)'!$N$38</f>
        <v>258154</v>
      </c>
      <c r="Q47" s="734"/>
      <c r="S47" s="734"/>
      <c r="T47" s="734">
        <f>+'[2]4584itd2(1)'!$N$30</f>
        <v>1672088</v>
      </c>
      <c r="W47" s="734">
        <f>SUMIF($C$3:$U$3,W$3,C47:U47)</f>
        <v>437058.45810659812</v>
      </c>
      <c r="X47" s="734">
        <f>SUMIF($C$3:$U$3,X$3,C47:U47)</f>
        <v>6235834.5600064509</v>
      </c>
      <c r="AE47" s="734">
        <f>W47</f>
        <v>437058.45810659812</v>
      </c>
      <c r="AF47" s="734">
        <f>X47</f>
        <v>6235834.5600064509</v>
      </c>
    </row>
    <row r="48" spans="2:32" ht="12">
      <c r="B48" s="761" t="s">
        <v>543</v>
      </c>
      <c r="C48" s="756">
        <f>Proforma!L196</f>
        <v>0</v>
      </c>
      <c r="D48" s="754">
        <f>Proforma!K196</f>
        <v>0</v>
      </c>
      <c r="F48" s="734"/>
      <c r="H48" s="734"/>
      <c r="J48" s="734"/>
      <c r="L48" s="734"/>
      <c r="N48" s="734"/>
      <c r="O48" s="734">
        <v>0</v>
      </c>
      <c r="Q48" s="734"/>
      <c r="S48" s="734"/>
      <c r="T48" s="734"/>
      <c r="W48" s="754">
        <f>SUMIF($C$3:$U$3,W$3,C48:U48)</f>
        <v>0</v>
      </c>
      <c r="X48" s="754">
        <f>SUMIF($C$3:$U$3,X$3,C48:U48)</f>
        <v>0</v>
      </c>
      <c r="AE48" s="734">
        <f>W48</f>
        <v>0</v>
      </c>
      <c r="AF48" s="734">
        <f>X48</f>
        <v>0</v>
      </c>
    </row>
    <row r="49" spans="2:32" ht="12">
      <c r="B49" s="762" t="s">
        <v>549</v>
      </c>
      <c r="C49" s="763">
        <f>SUM(C46:C48)</f>
        <v>437058.45810659812</v>
      </c>
      <c r="D49" s="764">
        <f>SUM(D46:D48)</f>
        <v>2526754.5600064504</v>
      </c>
      <c r="F49" s="764">
        <f>SUM(F46:F48)</f>
        <v>97654</v>
      </c>
      <c r="H49" s="764">
        <f>SUM(H46:H48)</f>
        <v>1102436</v>
      </c>
      <c r="J49" s="764">
        <f>SUM(J46:J48)</f>
        <v>472404</v>
      </c>
      <c r="L49" s="764">
        <f>SUM(L46:L48)</f>
        <v>106344</v>
      </c>
      <c r="N49" s="764">
        <f>SUM(N46:N48)</f>
        <v>0</v>
      </c>
      <c r="O49" s="764">
        <f>SUM(O46:O48)</f>
        <v>258154</v>
      </c>
      <c r="Q49" s="764">
        <f>SUM(Q46:Q48)</f>
        <v>0</v>
      </c>
      <c r="S49" s="764">
        <f>SUM(S46:S48)</f>
        <v>0</v>
      </c>
      <c r="T49" s="764">
        <f>SUM(T46:T48)</f>
        <v>1672088</v>
      </c>
      <c r="W49" s="764">
        <f>SUM(W47:W48)</f>
        <v>437058.45810659812</v>
      </c>
      <c r="X49" s="764">
        <f>SUM(X47:X48)</f>
        <v>6235834.5600064509</v>
      </c>
      <c r="AE49" s="764">
        <f>SUM(AE47:AE48)</f>
        <v>437058.45810659812</v>
      </c>
      <c r="AF49" s="764">
        <f>SUM(AF47:AF48)</f>
        <v>6235834.5600064509</v>
      </c>
    </row>
    <row r="50" spans="2:32">
      <c r="B50" s="556"/>
      <c r="C50" s="757"/>
    </row>
    <row r="51" spans="2:32" ht="12">
      <c r="B51" s="737" t="s">
        <v>544</v>
      </c>
      <c r="C51" s="759">
        <f>C45+C49</f>
        <v>3070860.2817112692</v>
      </c>
      <c r="D51" s="760">
        <f>D45+D49</f>
        <v>19846092.253431708</v>
      </c>
      <c r="F51" s="760">
        <f>F45+F49</f>
        <v>931882</v>
      </c>
      <c r="H51" s="760">
        <f>H45+H49</f>
        <v>8514089</v>
      </c>
      <c r="J51" s="760">
        <f>J45+J49</f>
        <v>5176677</v>
      </c>
      <c r="L51" s="760">
        <f>L45+L49</f>
        <v>958579</v>
      </c>
      <c r="N51" s="760">
        <f>N45+N49</f>
        <v>0</v>
      </c>
      <c r="O51" s="760">
        <f>O45+O49</f>
        <v>5467100</v>
      </c>
      <c r="Q51" s="760">
        <f>Q45+Q49</f>
        <v>0</v>
      </c>
      <c r="S51" s="760">
        <f>S45+S49</f>
        <v>0</v>
      </c>
      <c r="T51" s="760">
        <f>T45+T49</f>
        <v>12646719</v>
      </c>
      <c r="W51" s="760">
        <f>W45+W49</f>
        <v>3070860.2817112692</v>
      </c>
      <c r="X51" s="760">
        <f>X45+X49</f>
        <v>53541138.253431708</v>
      </c>
      <c r="AE51" s="760">
        <f>+AE45+AE49</f>
        <v>3077593.4130631508</v>
      </c>
      <c r="AF51" s="760">
        <f>+AF45+AF49</f>
        <v>53541138.253431708</v>
      </c>
    </row>
    <row r="52" spans="2:32">
      <c r="B52" s="556"/>
      <c r="C52" s="757"/>
    </row>
    <row r="53" spans="2:32" ht="12">
      <c r="B53" s="737" t="s">
        <v>545</v>
      </c>
      <c r="C53" s="759">
        <f>C25-C51</f>
        <v>550583.39095414337</v>
      </c>
      <c r="D53" s="760">
        <f>D25-D51</f>
        <v>299247.08010287955</v>
      </c>
      <c r="F53" s="760">
        <f>F25-F51</f>
        <v>-1027177</v>
      </c>
      <c r="H53" s="760">
        <f>H25-H51</f>
        <v>2818688</v>
      </c>
      <c r="J53" s="760">
        <f>J25-J51</f>
        <v>1085997</v>
      </c>
      <c r="L53" s="760">
        <f>L25-L51</f>
        <v>329325</v>
      </c>
      <c r="N53" s="760">
        <f>N25-N51</f>
        <v>0</v>
      </c>
      <c r="O53" s="760">
        <f>O25-O51</f>
        <v>3309458</v>
      </c>
      <c r="Q53" s="760">
        <f>Q25-Q51</f>
        <v>0</v>
      </c>
      <c r="S53" s="760">
        <f>S25-S51</f>
        <v>0</v>
      </c>
      <c r="T53" s="760">
        <f>T25-T51</f>
        <v>6170548</v>
      </c>
      <c r="W53" s="760">
        <f>+W25-W51</f>
        <v>550583.39095414337</v>
      </c>
      <c r="X53" s="760">
        <f>+X25-X51</f>
        <v>12687851.080102883</v>
      </c>
      <c r="AE53" s="760">
        <f>+AE25-AE51</f>
        <v>967248.04403526336</v>
      </c>
      <c r="AF53" s="760">
        <f>+AF25-AF51</f>
        <v>12687851.080102883</v>
      </c>
    </row>
    <row r="54" spans="2:32">
      <c r="B54" s="555"/>
      <c r="C54" s="757"/>
    </row>
    <row r="55" spans="2:32" ht="12">
      <c r="B55" s="761" t="s">
        <v>546</v>
      </c>
      <c r="C55" s="756">
        <f>Proforma!L217</f>
        <v>131139.80633618656</v>
      </c>
      <c r="D55" s="734">
        <f>Proforma!K217</f>
        <v>605455.22207944083</v>
      </c>
      <c r="F55" s="734"/>
      <c r="H55" s="734">
        <f>+'[2]4197itd2(1)'!$N$44</f>
        <v>248331</v>
      </c>
      <c r="J55" s="734">
        <f>+'[2]4183itd(1)'!$N$42</f>
        <v>136200</v>
      </c>
      <c r="L55" s="734"/>
      <c r="N55" s="734"/>
      <c r="O55" s="734">
        <f>+'[2]4175itd2(1)'!$N$42</f>
        <v>598319</v>
      </c>
      <c r="Q55" s="734"/>
      <c r="S55" s="734"/>
      <c r="T55" s="734"/>
      <c r="W55" s="734">
        <f>SUMIF($C$3:$U$3,W$3,C55:U55)</f>
        <v>131139.80633618656</v>
      </c>
      <c r="X55" s="734">
        <f>SUMIF($C$3:$U$3,X$3,C55:U55)</f>
        <v>1588305.222079441</v>
      </c>
      <c r="AE55" s="734">
        <f>W55</f>
        <v>131139.80633618656</v>
      </c>
      <c r="AF55" s="734">
        <f>X55</f>
        <v>1588305.222079441</v>
      </c>
    </row>
    <row r="56" spans="2:32" ht="12">
      <c r="B56" s="761" t="s">
        <v>547</v>
      </c>
      <c r="C56" s="756">
        <f>Proforma!L229</f>
        <v>23867.249541059809</v>
      </c>
      <c r="D56" s="734">
        <f>Proforma!K229</f>
        <v>110191.94914977033</v>
      </c>
      <c r="F56" s="734"/>
      <c r="H56" s="734">
        <f>+'[2]4197itd2(1)'!$N$45</f>
        <v>25059</v>
      </c>
      <c r="J56" s="734">
        <f>+'[2]4183itd(1)'!$N$43</f>
        <v>49965</v>
      </c>
      <c r="L56" s="734"/>
      <c r="N56" s="734"/>
      <c r="O56" s="734">
        <f>+'[2]4175itd2(1)'!$N$43</f>
        <v>50260</v>
      </c>
      <c r="Q56" s="734"/>
      <c r="S56" s="734"/>
      <c r="T56" s="734"/>
      <c r="W56" s="754">
        <f>SUMIF($C$3:$U$3,W$3,C56:U56)</f>
        <v>23867.249541059809</v>
      </c>
      <c r="X56" s="754">
        <f>SUMIF($C$3:$U$3,X$3,C56:U56)</f>
        <v>235475.94914977031</v>
      </c>
      <c r="AE56" s="734">
        <f>W56</f>
        <v>23867.249541059809</v>
      </c>
      <c r="AF56" s="734">
        <f>X56</f>
        <v>235475.94914977031</v>
      </c>
    </row>
    <row r="57" spans="2:32" ht="12">
      <c r="B57" s="762" t="s">
        <v>548</v>
      </c>
      <c r="C57" s="763">
        <f>SUM(C54:C56)</f>
        <v>155007.05587724637</v>
      </c>
      <c r="D57" s="764">
        <f>SUM(D54:D56)</f>
        <v>715647.17122921115</v>
      </c>
      <c r="F57" s="764">
        <f>SUM(F54:F56)</f>
        <v>0</v>
      </c>
      <c r="H57" s="764">
        <f>SUM(H54:H56)</f>
        <v>273390</v>
      </c>
      <c r="J57" s="764">
        <f>SUM(J54:J56)</f>
        <v>186165</v>
      </c>
      <c r="L57" s="764">
        <f>SUM(L54:L56)</f>
        <v>0</v>
      </c>
      <c r="N57" s="764">
        <f>SUM(N54:N56)</f>
        <v>0</v>
      </c>
      <c r="O57" s="764">
        <f>SUM(O54:O56)</f>
        <v>648579</v>
      </c>
      <c r="Q57" s="764">
        <f>SUM(Q54:Q56)</f>
        <v>0</v>
      </c>
      <c r="S57" s="764">
        <f>SUM(S54:S56)</f>
        <v>0</v>
      </c>
      <c r="T57" s="764">
        <f>SUM(T54:T56)</f>
        <v>0</v>
      </c>
      <c r="W57" s="764">
        <f>SUM(W55:W56)</f>
        <v>155007.05587724637</v>
      </c>
      <c r="X57" s="764">
        <f>SUM(X55:X56)</f>
        <v>1823781.1712292111</v>
      </c>
      <c r="AE57" s="764">
        <f>SUM(AE55:AE56)</f>
        <v>155007.05587724637</v>
      </c>
      <c r="AF57" s="764">
        <f>SUM(AF55:AF56)</f>
        <v>1823781.1712292111</v>
      </c>
    </row>
    <row r="58" spans="2:32">
      <c r="B58" s="557"/>
      <c r="C58" s="757"/>
    </row>
    <row r="59" spans="2:32" ht="12">
      <c r="B59" s="761" t="s">
        <v>550</v>
      </c>
      <c r="C59" s="756">
        <f>Proforma!L243</f>
        <v>106132.7054232682</v>
      </c>
      <c r="D59" s="734">
        <f>Proforma!K243</f>
        <v>625816.98715099529</v>
      </c>
      <c r="F59" s="734"/>
      <c r="H59" s="734">
        <f>+'[2]4197itd2(1)'!$N$46</f>
        <v>245698</v>
      </c>
      <c r="J59" s="734">
        <f>+'[2]4183itd(1)'!$N$44</f>
        <v>433604</v>
      </c>
      <c r="L59" s="734">
        <f>+'[2]4487itd2(1)'!$N$36</f>
        <v>112156</v>
      </c>
      <c r="N59" s="734"/>
      <c r="O59" s="734">
        <f>+'[2]4175itd2(1)'!$N$44</f>
        <v>193970</v>
      </c>
      <c r="Q59" s="734"/>
      <c r="S59" s="734"/>
      <c r="T59" s="734">
        <f>+'[2]4584itd2(1)'!$N$34</f>
        <v>434824</v>
      </c>
      <c r="W59" s="734">
        <f>SUMIF($C$3:$U$3,W$3,C59:U59)</f>
        <v>106132.7054232682</v>
      </c>
      <c r="X59" s="734">
        <f>SUMIF($C$3:$U$3,X$3,C59:U59)</f>
        <v>2046068.9871509953</v>
      </c>
      <c r="AE59" s="734">
        <f>W59</f>
        <v>106132.7054232682</v>
      </c>
      <c r="AF59" s="734">
        <f>X59</f>
        <v>2046068.9871509953</v>
      </c>
    </row>
    <row r="60" spans="2:32" ht="12">
      <c r="B60" s="761" t="s">
        <v>551</v>
      </c>
      <c r="C60" s="756">
        <f>Proforma!L286</f>
        <v>250419.19742227666</v>
      </c>
      <c r="D60" s="734">
        <f>Proforma!K286</f>
        <v>1721485.4342964035</v>
      </c>
      <c r="F60" s="734"/>
      <c r="H60" s="734">
        <f>+SUM('[2]4197itd2(1)'!$N$47:$N$49)</f>
        <v>962301</v>
      </c>
      <c r="J60" s="734">
        <f>+SUM('[2]4183itd(1)'!$N$45:$N$47)</f>
        <v>508956</v>
      </c>
      <c r="L60" s="734">
        <f>+SUM('[2]4487itd2(1)'!$N$37:$N$39)</f>
        <v>145724</v>
      </c>
      <c r="N60" s="734"/>
      <c r="O60" s="734">
        <f>SUM('[2]4175itd2(1)'!$N$45:$N$47)</f>
        <v>611721</v>
      </c>
      <c r="Q60" s="734"/>
      <c r="S60" s="734"/>
      <c r="T60" s="734">
        <f>+SUM('[2]4584itd2(1)'!$N$35:$N$37)</f>
        <v>993521</v>
      </c>
      <c r="W60" s="754">
        <f>SUMIF($C$3:$U$3,W$3,C60:U60)</f>
        <v>250419.19742227666</v>
      </c>
      <c r="X60" s="754">
        <f>SUMIF($C$3:$U$3,X$3,C60:U60)</f>
        <v>4943708.4342964031</v>
      </c>
      <c r="AE60" s="734">
        <f>W60</f>
        <v>250419.19742227666</v>
      </c>
      <c r="AF60" s="734">
        <f>X60</f>
        <v>4943708.4342964031</v>
      </c>
    </row>
    <row r="61" spans="2:32" ht="12">
      <c r="B61" s="762" t="s">
        <v>552</v>
      </c>
      <c r="C61" s="763">
        <f>SUM(C58:C60)</f>
        <v>356551.90284554486</v>
      </c>
      <c r="D61" s="764">
        <f>SUM(D58:D60)</f>
        <v>2347302.4214473991</v>
      </c>
      <c r="F61" s="764">
        <f>SUM(F58:F60)</f>
        <v>0</v>
      </c>
      <c r="H61" s="764">
        <f>SUM(H58:H60)</f>
        <v>1207999</v>
      </c>
      <c r="J61" s="764">
        <f>SUM(J58:J60)</f>
        <v>942560</v>
      </c>
      <c r="L61" s="764">
        <f>SUM(L58:L60)</f>
        <v>257880</v>
      </c>
      <c r="N61" s="764">
        <f>SUM(N58:N60)</f>
        <v>0</v>
      </c>
      <c r="O61" s="764">
        <f>SUM(O58:O60)</f>
        <v>805691</v>
      </c>
      <c r="Q61" s="764">
        <f>SUM(Q58:Q60)</f>
        <v>0</v>
      </c>
      <c r="S61" s="764">
        <f>SUM(S58:S60)</f>
        <v>0</v>
      </c>
      <c r="T61" s="764">
        <f>SUM(T58:T60)</f>
        <v>1428345</v>
      </c>
      <c r="W61" s="764">
        <f>SUM(W59:W60)</f>
        <v>356551.90284554486</v>
      </c>
      <c r="X61" s="764">
        <f>SUM(X59:X60)</f>
        <v>6989777.4214473981</v>
      </c>
      <c r="AE61" s="764">
        <f>SUM(AE59:AE60)</f>
        <v>356551.90284554486</v>
      </c>
      <c r="AF61" s="764">
        <f>SUM(AF59:AF60)</f>
        <v>6989777.4214473981</v>
      </c>
    </row>
    <row r="62" spans="2:32">
      <c r="B62" s="765"/>
      <c r="C62" s="757"/>
      <c r="F62" s="1028"/>
      <c r="H62" s="1028"/>
    </row>
    <row r="63" spans="2:32" ht="12">
      <c r="B63" s="737" t="s">
        <v>194</v>
      </c>
      <c r="C63" s="759">
        <f>C57+C61</f>
        <v>511558.95872279123</v>
      </c>
      <c r="D63" s="760">
        <f>D57+D61</f>
        <v>3062949.5926766102</v>
      </c>
      <c r="F63" s="760">
        <f>F57+F61</f>
        <v>0</v>
      </c>
      <c r="H63" s="760">
        <f>H57+H61</f>
        <v>1481389</v>
      </c>
      <c r="J63" s="760">
        <f>J57+J61</f>
        <v>1128725</v>
      </c>
      <c r="L63" s="760">
        <f>L57+L61</f>
        <v>257880</v>
      </c>
      <c r="N63" s="760">
        <f>N57+N61</f>
        <v>0</v>
      </c>
      <c r="O63" s="760">
        <f>O57+O61</f>
        <v>1454270</v>
      </c>
      <c r="Q63" s="760">
        <f>Q57+Q61</f>
        <v>0</v>
      </c>
      <c r="S63" s="760">
        <f>S57+S61</f>
        <v>0</v>
      </c>
      <c r="T63" s="760">
        <f>T57+T61</f>
        <v>1428345</v>
      </c>
      <c r="W63" s="760">
        <f>W57+W61</f>
        <v>511558.95872279123</v>
      </c>
      <c r="X63" s="760">
        <f>X57+X61</f>
        <v>8813558.5926766098</v>
      </c>
      <c r="AE63" s="760">
        <f>+AE57+AE61</f>
        <v>511558.95872279123</v>
      </c>
      <c r="AF63" s="760">
        <f>+AF57+AF61</f>
        <v>8813558.5926766098</v>
      </c>
    </row>
    <row r="64" spans="2:32">
      <c r="B64" s="765" t="s">
        <v>21</v>
      </c>
      <c r="C64" s="757"/>
    </row>
    <row r="65" spans="2:32">
      <c r="B65" s="559"/>
      <c r="C65" s="757"/>
    </row>
    <row r="66" spans="2:32" ht="12">
      <c r="B66" s="737" t="s">
        <v>195</v>
      </c>
      <c r="C66" s="759">
        <f>C23+C51+C63</f>
        <v>5471781.787768648</v>
      </c>
      <c r="D66" s="760">
        <f>D23+D51+D63</f>
        <v>40647270.292573735</v>
      </c>
      <c r="F66" s="760">
        <f>F23+F51+F63</f>
        <v>1098135</v>
      </c>
      <c r="H66" s="760">
        <f>H23+H51+H63</f>
        <v>17656987</v>
      </c>
      <c r="J66" s="760">
        <f>J23+J51+J63</f>
        <v>11747223</v>
      </c>
      <c r="L66" s="760">
        <f>L23+L51+L63</f>
        <v>1312297</v>
      </c>
      <c r="N66" s="760">
        <f>N23+N51+N63</f>
        <v>0</v>
      </c>
      <c r="O66" s="760">
        <f>O23+O51+O63</f>
        <v>10073422</v>
      </c>
      <c r="Q66" s="760">
        <f>Q23+Q51+Q63</f>
        <v>0</v>
      </c>
      <c r="S66" s="760">
        <f>S23+S51+S63</f>
        <v>0</v>
      </c>
      <c r="T66" s="760">
        <f>T23+T51+T63</f>
        <v>24300681</v>
      </c>
      <c r="W66" s="760">
        <f>W23+W51+W63</f>
        <v>5471781.787768648</v>
      </c>
      <c r="X66" s="760">
        <f>X23+X51+X63</f>
        <v>106836015.29257372</v>
      </c>
      <c r="AE66" s="760">
        <f>AE23+AE51+AE63</f>
        <v>5503992.5581463166</v>
      </c>
      <c r="AF66" s="760">
        <f>AF23+AF51+AF63</f>
        <v>106836015.29257372</v>
      </c>
    </row>
    <row r="67" spans="2:32">
      <c r="B67" s="765" t="s">
        <v>196</v>
      </c>
      <c r="C67" s="757"/>
    </row>
    <row r="68" spans="2:32" ht="12" thickBot="1">
      <c r="B68" s="766"/>
      <c r="C68" s="757"/>
    </row>
    <row r="69" spans="2:32" ht="13.5" thickTop="1" thickBot="1">
      <c r="B69" s="767" t="s">
        <v>197</v>
      </c>
      <c r="C69" s="768">
        <f>C15-C66</f>
        <v>39024.432231351733</v>
      </c>
      <c r="D69" s="769">
        <f>D15-D66</f>
        <v>-2763702.5125737339</v>
      </c>
      <c r="F69" s="769">
        <f>F15-F66</f>
        <v>-1027177</v>
      </c>
      <c r="H69" s="769">
        <f>H15-H66</f>
        <v>1337299</v>
      </c>
      <c r="J69" s="769">
        <f>J15-J66</f>
        <v>-42728</v>
      </c>
      <c r="L69" s="769">
        <f>L15-L66</f>
        <v>71445</v>
      </c>
      <c r="N69" s="769">
        <f>N15-N66</f>
        <v>0</v>
      </c>
      <c r="O69" s="769">
        <f>O15-O66</f>
        <v>1855188</v>
      </c>
      <c r="Q69" s="769">
        <f>Q15-Q66</f>
        <v>0</v>
      </c>
      <c r="S69" s="769">
        <f>S15-S66</f>
        <v>0</v>
      </c>
      <c r="T69" s="769">
        <f>T15-T66</f>
        <v>4742203</v>
      </c>
      <c r="W69" s="769">
        <f>W15-W66</f>
        <v>39024.432231351733</v>
      </c>
      <c r="X69" s="769">
        <f>X15-X66</f>
        <v>3874292.487426281</v>
      </c>
      <c r="AE69" s="769">
        <f>AE15-AE66</f>
        <v>455689.08531247173</v>
      </c>
      <c r="AF69" s="769">
        <f>AF15-AF66</f>
        <v>3874292.487426281</v>
      </c>
    </row>
    <row r="70" spans="2:32" ht="12" thickTop="1"/>
    <row r="71" spans="2:32">
      <c r="C71" s="770">
        <f>IF(C15=0,0,C69/C15)</f>
        <v>7.081437937288191E-3</v>
      </c>
      <c r="D71" s="770">
        <f>IF(D15=0,0,D69/D15)</f>
        <v>-7.2952540495216628E-2</v>
      </c>
      <c r="F71" s="1116">
        <f>IF(F15=0,0,F69/F15)</f>
        <v>-14.475844865977058</v>
      </c>
      <c r="H71" s="770">
        <f>IF(H15=0,0,H69/H15)</f>
        <v>7.0405331371760957E-2</v>
      </c>
      <c r="J71" s="770">
        <f>IF(J15=0,0,J69/J15)</f>
        <v>-3.6505633092243622E-3</v>
      </c>
      <c r="L71" s="770">
        <f>IF(L15=0,0,L69/L15)</f>
        <v>5.1631734817617736E-2</v>
      </c>
      <c r="N71" s="770">
        <f>IF(N15=0,0,N69/N15)</f>
        <v>0</v>
      </c>
      <c r="O71" s="770">
        <f>IF(O15=0,0,O69/O15)</f>
        <v>0.15552423962221917</v>
      </c>
      <c r="Q71" s="770">
        <f>IF(Q15=0,0,Q69/Q15)</f>
        <v>0</v>
      </c>
      <c r="S71" s="770">
        <f>IF(S15=0,0,S69/S15)</f>
        <v>0</v>
      </c>
      <c r="T71" s="770">
        <f>IF(T15=0,0,T69/T15)</f>
        <v>0.16328278555256426</v>
      </c>
      <c r="W71" s="770">
        <f>IF(W15=0,0,W69/W15)</f>
        <v>7.081437937288191E-3</v>
      </c>
      <c r="X71" s="770">
        <f>IF(X15=0,0,X69/X15)</f>
        <v>3.4994866919936231E-2</v>
      </c>
      <c r="AE71" s="770">
        <f>IF(ISERROR(AE69/AE15),0,AE69/AE15)</f>
        <v>7.6461984477413453E-2</v>
      </c>
      <c r="AF71" s="770">
        <f>IF(ISERROR(AF69/AF15),0,AF69/AF15)</f>
        <v>3.4994866919936231E-2</v>
      </c>
    </row>
  </sheetData>
  <mergeCells count="8">
    <mergeCell ref="AE1:AF1"/>
    <mergeCell ref="AE2:AF2"/>
    <mergeCell ref="C2:D2"/>
    <mergeCell ref="C1:D1"/>
    <mergeCell ref="S1:T1"/>
    <mergeCell ref="S2:T2"/>
    <mergeCell ref="W1:X1"/>
    <mergeCell ref="N1:O1"/>
  </mergeCells>
  <phoneticPr fontId="0" type="noConversion"/>
  <printOptions horizontalCentered="1"/>
  <pageMargins left="0.25" right="0.25" top="0.75" bottom="0.75" header="0.3" footer="0.3"/>
  <pageSetup scale="41" orientation="landscape" horizontalDpi="4294967295" verticalDpi="4294967295" r:id="rId1"/>
  <headerFooter alignWithMargins="0"/>
  <colBreaks count="1" manualBreakCount="1">
    <brk id="24" max="6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G280"/>
  <sheetViews>
    <sheetView workbookViewId="0">
      <pane xSplit="2" ySplit="6" topLeftCell="C217" activePane="bottomRight" state="frozen"/>
      <selection activeCell="L18" sqref="L18"/>
      <selection pane="topRight" activeCell="L18" sqref="L18"/>
      <selection pane="bottomLeft" activeCell="L18" sqref="L18"/>
      <selection pane="bottomRight" activeCell="S25" sqref="S25"/>
    </sheetView>
  </sheetViews>
  <sheetFormatPr defaultRowHeight="11.25" outlineLevelRow="1" outlineLevelCol="1"/>
  <cols>
    <col min="1" max="1" width="7.6640625" bestFit="1" customWidth="1"/>
    <col min="2" max="2" width="30.33203125" bestFit="1" customWidth="1"/>
    <col min="3" max="4" width="11.33203125" customWidth="1" outlineLevel="1"/>
    <col min="5" max="5" width="10.5" customWidth="1" outlineLevel="1"/>
    <col min="6" max="6" width="11.33203125" customWidth="1" outlineLevel="1"/>
    <col min="7" max="13" width="10.5" customWidth="1" outlineLevel="1"/>
    <col min="14" max="14" width="10.83203125" customWidth="1" outlineLevel="1"/>
    <col min="15" max="15" width="12" bestFit="1" customWidth="1"/>
    <col min="16" max="16" width="9.6640625" bestFit="1" customWidth="1"/>
    <col min="17" max="17" width="2.1640625" bestFit="1" customWidth="1"/>
    <col min="19" max="19" width="7.6640625" bestFit="1" customWidth="1"/>
    <col min="20" max="20" width="29.6640625" bestFit="1" customWidth="1"/>
    <col min="21" max="32" width="3.33203125" customWidth="1"/>
  </cols>
  <sheetData>
    <row r="1" spans="1:33">
      <c r="A1" t="s">
        <v>717</v>
      </c>
      <c r="B1" t="s">
        <v>718</v>
      </c>
      <c r="C1" t="s">
        <v>719</v>
      </c>
      <c r="D1" s="1370" t="s">
        <v>1651</v>
      </c>
      <c r="E1" s="1054"/>
      <c r="N1" t="s">
        <v>720</v>
      </c>
      <c r="O1" t="s">
        <v>1132</v>
      </c>
    </row>
    <row r="2" spans="1:33">
      <c r="A2" t="s">
        <v>1133</v>
      </c>
      <c r="B2" t="s">
        <v>1134</v>
      </c>
      <c r="M2" t="s">
        <v>721</v>
      </c>
      <c r="N2" t="s">
        <v>1135</v>
      </c>
      <c r="O2" s="774">
        <v>0.7402777777777777</v>
      </c>
      <c r="AG2" s="774"/>
    </row>
    <row r="3" spans="1:33">
      <c r="A3" t="s">
        <v>722</v>
      </c>
      <c r="B3" t="s">
        <v>723</v>
      </c>
      <c r="C3" t="s">
        <v>724</v>
      </c>
      <c r="M3" t="s">
        <v>725</v>
      </c>
      <c r="N3" t="s">
        <v>726</v>
      </c>
      <c r="O3" t="s">
        <v>727</v>
      </c>
    </row>
    <row r="4" spans="1:33">
      <c r="A4" t="s">
        <v>1136</v>
      </c>
      <c r="B4">
        <v>30</v>
      </c>
      <c r="C4">
        <v>2014</v>
      </c>
      <c r="N4" t="s">
        <v>728</v>
      </c>
    </row>
    <row r="5" spans="1:33">
      <c r="A5" t="s">
        <v>729</v>
      </c>
      <c r="B5" t="s">
        <v>730</v>
      </c>
      <c r="C5" t="s">
        <v>738</v>
      </c>
      <c r="D5" t="s">
        <v>739</v>
      </c>
      <c r="E5" t="s">
        <v>740</v>
      </c>
      <c r="F5" t="s">
        <v>741</v>
      </c>
      <c r="G5" t="s">
        <v>742</v>
      </c>
      <c r="H5" t="s">
        <v>731</v>
      </c>
      <c r="I5" t="s">
        <v>732</v>
      </c>
      <c r="J5" t="s">
        <v>733</v>
      </c>
      <c r="K5" t="s">
        <v>734</v>
      </c>
      <c r="L5" t="s">
        <v>735</v>
      </c>
      <c r="M5" t="s">
        <v>736</v>
      </c>
      <c r="N5" t="s">
        <v>737</v>
      </c>
      <c r="O5" t="s">
        <v>743</v>
      </c>
    </row>
    <row r="6" spans="1:33">
      <c r="A6" t="s">
        <v>744</v>
      </c>
      <c r="B6" t="s">
        <v>745</v>
      </c>
      <c r="C6" t="s">
        <v>746</v>
      </c>
      <c r="D6" t="s">
        <v>746</v>
      </c>
      <c r="E6" t="s">
        <v>746</v>
      </c>
      <c r="F6" t="s">
        <v>746</v>
      </c>
      <c r="G6" t="s">
        <v>746</v>
      </c>
      <c r="H6" t="s">
        <v>746</v>
      </c>
      <c r="I6" t="s">
        <v>746</v>
      </c>
      <c r="J6" t="s">
        <v>746</v>
      </c>
      <c r="K6" t="s">
        <v>746</v>
      </c>
      <c r="L6" t="s">
        <v>746</v>
      </c>
      <c r="M6" t="s">
        <v>746</v>
      </c>
      <c r="N6" t="s">
        <v>746</v>
      </c>
      <c r="O6" t="s">
        <v>747</v>
      </c>
    </row>
    <row r="7" spans="1:33" outlineLevel="1">
      <c r="A7">
        <v>301110</v>
      </c>
      <c r="B7" t="s">
        <v>1137</v>
      </c>
      <c r="C7">
        <v>434960</v>
      </c>
      <c r="D7">
        <v>433230</v>
      </c>
      <c r="E7">
        <v>412260</v>
      </c>
      <c r="F7">
        <v>446439</v>
      </c>
      <c r="G7">
        <v>440469</v>
      </c>
      <c r="H7">
        <v>440155</v>
      </c>
      <c r="I7">
        <v>469481</v>
      </c>
      <c r="J7">
        <v>425944</v>
      </c>
      <c r="K7">
        <v>462316</v>
      </c>
      <c r="L7">
        <v>465549</v>
      </c>
      <c r="M7">
        <v>409451</v>
      </c>
      <c r="N7">
        <v>453087</v>
      </c>
      <c r="O7">
        <f>SUM(C7:N7)</f>
        <v>5293341</v>
      </c>
    </row>
    <row r="8" spans="1:33" outlineLevel="1">
      <c r="A8">
        <v>301115</v>
      </c>
      <c r="B8" t="s">
        <v>1138</v>
      </c>
      <c r="C8" s="775">
        <v>189769</v>
      </c>
      <c r="D8" s="775">
        <v>146494</v>
      </c>
      <c r="E8" s="775">
        <v>139233</v>
      </c>
      <c r="F8" s="775">
        <v>160827</v>
      </c>
      <c r="G8" s="775">
        <v>142465</v>
      </c>
      <c r="H8" s="775">
        <v>155539</v>
      </c>
      <c r="I8" s="775">
        <v>180849</v>
      </c>
      <c r="J8" s="775">
        <v>149449</v>
      </c>
      <c r="K8" s="775">
        <v>156463</v>
      </c>
      <c r="L8" s="775">
        <v>165644</v>
      </c>
      <c r="M8" s="775">
        <v>153534</v>
      </c>
      <c r="N8" s="775">
        <v>153243</v>
      </c>
      <c r="O8" s="775">
        <f t="shared" ref="O8:O71" si="0">SUM(C8:N8)</f>
        <v>1893509</v>
      </c>
    </row>
    <row r="9" spans="1:33" outlineLevel="1">
      <c r="A9">
        <v>301189</v>
      </c>
      <c r="B9" t="s">
        <v>992</v>
      </c>
      <c r="C9" s="775">
        <v>1867</v>
      </c>
      <c r="D9" s="775">
        <v>0</v>
      </c>
      <c r="E9" s="775">
        <v>0</v>
      </c>
      <c r="F9" s="775">
        <v>0</v>
      </c>
      <c r="G9" s="775">
        <v>0</v>
      </c>
      <c r="H9" s="775">
        <v>0</v>
      </c>
      <c r="I9" s="775">
        <v>0</v>
      </c>
      <c r="J9" s="775">
        <v>0</v>
      </c>
      <c r="K9" s="775">
        <v>0</v>
      </c>
      <c r="L9" s="775">
        <v>0</v>
      </c>
      <c r="M9" s="775">
        <v>0</v>
      </c>
      <c r="N9" s="775">
        <v>0</v>
      </c>
      <c r="O9" s="775">
        <f t="shared" si="0"/>
        <v>1867</v>
      </c>
    </row>
    <row r="10" spans="1:33" outlineLevel="1">
      <c r="A10">
        <v>301194</v>
      </c>
      <c r="B10" t="s">
        <v>1139</v>
      </c>
      <c r="C10" s="775">
        <v>456</v>
      </c>
      <c r="D10" s="775">
        <v>550</v>
      </c>
      <c r="E10" s="775">
        <v>270</v>
      </c>
      <c r="F10" s="775">
        <v>760</v>
      </c>
      <c r="G10" s="775">
        <v>777</v>
      </c>
      <c r="H10" s="775">
        <v>344</v>
      </c>
      <c r="I10" s="775">
        <v>846</v>
      </c>
      <c r="J10" s="775">
        <v>314</v>
      </c>
      <c r="K10" s="775">
        <v>838</v>
      </c>
      <c r="L10" s="775">
        <v>975</v>
      </c>
      <c r="M10" s="775">
        <v>351</v>
      </c>
      <c r="N10" s="775">
        <v>823</v>
      </c>
      <c r="O10" s="775">
        <f t="shared" si="0"/>
        <v>7304</v>
      </c>
    </row>
    <row r="11" spans="1:33" outlineLevel="1">
      <c r="A11">
        <v>301195</v>
      </c>
      <c r="B11" t="s">
        <v>1140</v>
      </c>
      <c r="C11" s="775">
        <v>2364</v>
      </c>
      <c r="D11" s="775">
        <v>2250</v>
      </c>
      <c r="E11" s="775">
        <v>2098</v>
      </c>
      <c r="F11" s="775">
        <v>2225</v>
      </c>
      <c r="G11" s="775">
        <v>2326</v>
      </c>
      <c r="H11" s="775">
        <v>2402</v>
      </c>
      <c r="I11" s="775">
        <v>2565</v>
      </c>
      <c r="J11" s="775">
        <v>2604</v>
      </c>
      <c r="K11" s="775">
        <v>2541</v>
      </c>
      <c r="L11" s="775">
        <v>2503</v>
      </c>
      <c r="M11" s="775">
        <v>2579</v>
      </c>
      <c r="N11" s="775">
        <v>2351</v>
      </c>
      <c r="O11" s="775">
        <f t="shared" si="0"/>
        <v>28808</v>
      </c>
    </row>
    <row r="12" spans="1:33" outlineLevel="1">
      <c r="B12" t="s">
        <v>1141</v>
      </c>
      <c r="C12" s="775">
        <v>629416</v>
      </c>
      <c r="D12" s="775">
        <v>582524</v>
      </c>
      <c r="E12" s="775">
        <v>553861</v>
      </c>
      <c r="F12" s="775">
        <v>610250</v>
      </c>
      <c r="G12" s="775">
        <v>586037</v>
      </c>
      <c r="H12" s="775">
        <v>598440</v>
      </c>
      <c r="I12" s="775">
        <v>653740</v>
      </c>
      <c r="J12" s="775">
        <v>578311</v>
      </c>
      <c r="K12" s="775">
        <v>622158</v>
      </c>
      <c r="L12" s="775">
        <v>634671</v>
      </c>
      <c r="M12" s="775">
        <v>565915</v>
      </c>
      <c r="N12" s="775">
        <v>609504</v>
      </c>
      <c r="O12" s="775">
        <f t="shared" si="0"/>
        <v>7224827</v>
      </c>
    </row>
    <row r="13" spans="1:33" outlineLevel="1">
      <c r="A13">
        <v>301168</v>
      </c>
      <c r="B13" t="s">
        <v>993</v>
      </c>
      <c r="C13" s="775">
        <v>377</v>
      </c>
      <c r="D13" s="775">
        <v>0</v>
      </c>
      <c r="E13" s="775">
        <v>633</v>
      </c>
      <c r="F13" s="775">
        <v>0</v>
      </c>
      <c r="G13" s="775">
        <v>532</v>
      </c>
      <c r="H13" s="775">
        <v>748</v>
      </c>
      <c r="I13" s="775">
        <v>501</v>
      </c>
      <c r="J13" s="775">
        <v>-727</v>
      </c>
      <c r="K13" s="775">
        <v>0</v>
      </c>
      <c r="L13" s="775">
        <v>1138</v>
      </c>
      <c r="M13" s="775">
        <v>539</v>
      </c>
      <c r="N13" s="775">
        <v>0</v>
      </c>
      <c r="O13" s="775">
        <f t="shared" si="0"/>
        <v>3741</v>
      </c>
    </row>
    <row r="14" spans="1:33" outlineLevel="1">
      <c r="B14" t="s">
        <v>1142</v>
      </c>
      <c r="C14" s="775">
        <v>377</v>
      </c>
      <c r="D14" s="775">
        <v>0</v>
      </c>
      <c r="E14" s="775">
        <v>633</v>
      </c>
      <c r="F14" s="775">
        <v>0</v>
      </c>
      <c r="G14" s="775">
        <v>532</v>
      </c>
      <c r="H14" s="775">
        <v>748</v>
      </c>
      <c r="I14" s="775">
        <v>501</v>
      </c>
      <c r="J14" s="775">
        <v>-727</v>
      </c>
      <c r="K14" s="775">
        <v>0</v>
      </c>
      <c r="L14" s="775">
        <v>1138</v>
      </c>
      <c r="M14" s="775">
        <v>539</v>
      </c>
      <c r="N14" s="775">
        <v>0</v>
      </c>
      <c r="O14" s="775">
        <f t="shared" si="0"/>
        <v>3741</v>
      </c>
    </row>
    <row r="15" spans="1:33" outlineLevel="1">
      <c r="A15">
        <v>301196</v>
      </c>
      <c r="B15" t="s">
        <v>1143</v>
      </c>
      <c r="C15" s="775">
        <v>10013</v>
      </c>
      <c r="D15" s="775">
        <v>7516</v>
      </c>
      <c r="E15" s="775">
        <v>6008</v>
      </c>
      <c r="F15" s="775">
        <v>6796</v>
      </c>
      <c r="G15" s="775">
        <v>7609</v>
      </c>
      <c r="H15" s="775">
        <v>7818</v>
      </c>
      <c r="I15" s="775">
        <v>9088</v>
      </c>
      <c r="J15" s="775">
        <v>8056</v>
      </c>
      <c r="K15" s="775">
        <v>6715</v>
      </c>
      <c r="L15" s="775">
        <v>7875</v>
      </c>
      <c r="M15" s="775">
        <v>6545</v>
      </c>
      <c r="N15" s="775">
        <v>7638</v>
      </c>
      <c r="O15" s="775">
        <f t="shared" si="0"/>
        <v>91677</v>
      </c>
    </row>
    <row r="16" spans="1:33" outlineLevel="1">
      <c r="B16" t="s">
        <v>1144</v>
      </c>
      <c r="C16" s="775">
        <v>639807</v>
      </c>
      <c r="D16" s="775">
        <v>590041</v>
      </c>
      <c r="E16" s="775">
        <v>560501</v>
      </c>
      <c r="F16" s="775">
        <v>617046</v>
      </c>
      <c r="G16" s="775">
        <v>594177</v>
      </c>
      <c r="H16" s="775">
        <v>607006</v>
      </c>
      <c r="I16" s="775">
        <v>663329</v>
      </c>
      <c r="J16" s="775">
        <v>585640</v>
      </c>
      <c r="K16" s="775">
        <v>628873</v>
      </c>
      <c r="L16" s="775">
        <v>643684</v>
      </c>
      <c r="M16" s="775">
        <v>572999</v>
      </c>
      <c r="N16" s="775">
        <v>617141</v>
      </c>
      <c r="O16" s="775">
        <f t="shared" si="0"/>
        <v>7320244</v>
      </c>
    </row>
    <row r="17" spans="1:15" outlineLevel="1">
      <c r="A17">
        <v>301210</v>
      </c>
      <c r="B17" t="s">
        <v>1145</v>
      </c>
      <c r="C17" s="775">
        <v>1027512</v>
      </c>
      <c r="D17" s="775">
        <v>1028377</v>
      </c>
      <c r="E17" s="775">
        <v>1024063</v>
      </c>
      <c r="F17" s="775">
        <v>1025978</v>
      </c>
      <c r="G17" s="775">
        <v>1015437</v>
      </c>
      <c r="H17" s="775">
        <v>1015150</v>
      </c>
      <c r="I17" s="775">
        <v>1023625</v>
      </c>
      <c r="J17" s="775">
        <v>1019690</v>
      </c>
      <c r="K17" s="775">
        <v>1016779</v>
      </c>
      <c r="L17" s="775">
        <v>1010853</v>
      </c>
      <c r="M17" s="775">
        <v>1019650</v>
      </c>
      <c r="N17" s="775">
        <v>1022401</v>
      </c>
      <c r="O17" s="775">
        <f t="shared" si="0"/>
        <v>12249515</v>
      </c>
    </row>
    <row r="18" spans="1:15" outlineLevel="1">
      <c r="A18">
        <v>301215</v>
      </c>
      <c r="B18" t="s">
        <v>1146</v>
      </c>
      <c r="C18" s="775">
        <v>6161</v>
      </c>
      <c r="D18" s="775">
        <v>6236</v>
      </c>
      <c r="E18" s="775">
        <v>4033</v>
      </c>
      <c r="F18" s="775">
        <v>5742</v>
      </c>
      <c r="G18" s="775">
        <v>4898</v>
      </c>
      <c r="H18" s="775">
        <v>4694</v>
      </c>
      <c r="I18" s="775">
        <v>5521</v>
      </c>
      <c r="J18" s="775">
        <v>6232</v>
      </c>
      <c r="K18" s="775">
        <v>7388</v>
      </c>
      <c r="L18" s="775">
        <v>9093</v>
      </c>
      <c r="M18" s="775">
        <v>8117</v>
      </c>
      <c r="N18" s="775">
        <v>5185</v>
      </c>
      <c r="O18" s="775">
        <f t="shared" si="0"/>
        <v>73300</v>
      </c>
    </row>
    <row r="19" spans="1:15" outlineLevel="1">
      <c r="A19">
        <v>301225</v>
      </c>
      <c r="B19" t="s">
        <v>1147</v>
      </c>
      <c r="C19" s="775">
        <v>46554</v>
      </c>
      <c r="D19" s="775">
        <v>47651</v>
      </c>
      <c r="E19" s="775">
        <v>47658</v>
      </c>
      <c r="F19" s="775">
        <v>47189</v>
      </c>
      <c r="G19" s="775">
        <v>47794</v>
      </c>
      <c r="H19" s="775">
        <v>47964</v>
      </c>
      <c r="I19" s="775">
        <v>47404</v>
      </c>
      <c r="J19" s="775">
        <v>46394</v>
      </c>
      <c r="K19" s="775">
        <v>47584</v>
      </c>
      <c r="L19" s="775">
        <v>45743</v>
      </c>
      <c r="M19" s="775">
        <v>51022</v>
      </c>
      <c r="N19" s="775">
        <v>49563</v>
      </c>
      <c r="O19" s="775">
        <f t="shared" si="0"/>
        <v>572520</v>
      </c>
    </row>
    <row r="20" spans="1:15" outlineLevel="1">
      <c r="A20">
        <v>301230</v>
      </c>
      <c r="B20" t="s">
        <v>1148</v>
      </c>
      <c r="C20" s="775">
        <v>2563</v>
      </c>
      <c r="D20" s="775">
        <v>3156</v>
      </c>
      <c r="E20" s="775">
        <v>2747</v>
      </c>
      <c r="F20" s="775">
        <v>2613</v>
      </c>
      <c r="G20" s="775">
        <v>3642</v>
      </c>
      <c r="H20" s="775">
        <v>3071</v>
      </c>
      <c r="I20" s="775">
        <v>3315</v>
      </c>
      <c r="J20" s="775">
        <v>3794</v>
      </c>
      <c r="K20" s="775">
        <v>3740</v>
      </c>
      <c r="L20" s="775">
        <v>4535</v>
      </c>
      <c r="M20" s="775">
        <v>2831</v>
      </c>
      <c r="N20" s="775">
        <v>3115</v>
      </c>
      <c r="O20" s="775">
        <f t="shared" si="0"/>
        <v>39122</v>
      </c>
    </row>
    <row r="21" spans="1:15" outlineLevel="1">
      <c r="A21">
        <v>301294</v>
      </c>
      <c r="B21" t="s">
        <v>1149</v>
      </c>
      <c r="C21" s="775">
        <v>781</v>
      </c>
      <c r="D21" s="775">
        <v>1024</v>
      </c>
      <c r="E21" s="775">
        <v>524</v>
      </c>
      <c r="F21" s="775">
        <v>1347</v>
      </c>
      <c r="G21" s="775">
        <v>1419</v>
      </c>
      <c r="H21" s="775">
        <v>615</v>
      </c>
      <c r="I21" s="775">
        <v>1394</v>
      </c>
      <c r="J21" s="775">
        <v>583</v>
      </c>
      <c r="K21" s="775">
        <v>1464</v>
      </c>
      <c r="L21" s="775">
        <v>1641</v>
      </c>
      <c r="M21" s="775">
        <v>671</v>
      </c>
      <c r="N21" s="775">
        <v>1458</v>
      </c>
      <c r="O21" s="775">
        <f t="shared" si="0"/>
        <v>12921</v>
      </c>
    </row>
    <row r="22" spans="1:15" outlineLevel="1">
      <c r="A22">
        <v>301295</v>
      </c>
      <c r="B22" t="s">
        <v>1150</v>
      </c>
      <c r="C22" s="775">
        <v>4101</v>
      </c>
      <c r="D22" s="775">
        <v>4088</v>
      </c>
      <c r="E22" s="775">
        <v>4036</v>
      </c>
      <c r="F22" s="775">
        <v>4008</v>
      </c>
      <c r="G22" s="775">
        <v>3985</v>
      </c>
      <c r="H22" s="775">
        <v>3998</v>
      </c>
      <c r="I22" s="775">
        <v>4036</v>
      </c>
      <c r="J22" s="775">
        <v>3998</v>
      </c>
      <c r="K22" s="775">
        <v>4200</v>
      </c>
      <c r="L22" s="775">
        <v>4187</v>
      </c>
      <c r="M22" s="775">
        <v>4187</v>
      </c>
      <c r="N22" s="775">
        <v>4175</v>
      </c>
      <c r="O22" s="775">
        <f t="shared" si="0"/>
        <v>48999</v>
      </c>
    </row>
    <row r="23" spans="1:15" outlineLevel="1">
      <c r="B23" t="s">
        <v>1151</v>
      </c>
      <c r="C23" s="775">
        <v>1087672</v>
      </c>
      <c r="D23" s="775">
        <v>1090532</v>
      </c>
      <c r="E23" s="775">
        <v>1083061</v>
      </c>
      <c r="F23" s="775">
        <v>1086878</v>
      </c>
      <c r="G23" s="775">
        <v>1077175</v>
      </c>
      <c r="H23" s="775">
        <v>1075491</v>
      </c>
      <c r="I23" s="775">
        <v>1085295</v>
      </c>
      <c r="J23" s="775">
        <v>1080690</v>
      </c>
      <c r="K23" s="775">
        <v>1081154</v>
      </c>
      <c r="L23" s="775">
        <v>1076051</v>
      </c>
      <c r="M23" s="775">
        <v>1086479</v>
      </c>
      <c r="N23" s="775">
        <v>1085898</v>
      </c>
      <c r="O23" s="775">
        <f t="shared" si="0"/>
        <v>12996376</v>
      </c>
    </row>
    <row r="24" spans="1:15" outlineLevel="1">
      <c r="A24">
        <v>301296</v>
      </c>
      <c r="B24" t="s">
        <v>1152</v>
      </c>
      <c r="C24" s="775">
        <v>7812</v>
      </c>
      <c r="D24" s="775">
        <v>8002</v>
      </c>
      <c r="E24" s="775">
        <v>7544</v>
      </c>
      <c r="F24" s="775">
        <v>7396</v>
      </c>
      <c r="G24" s="775">
        <v>7537</v>
      </c>
      <c r="H24" s="775">
        <v>7688</v>
      </c>
      <c r="I24" s="775">
        <v>7611</v>
      </c>
      <c r="J24" s="775">
        <v>7751</v>
      </c>
      <c r="K24" s="775">
        <v>6917</v>
      </c>
      <c r="L24" s="775">
        <v>6554</v>
      </c>
      <c r="M24" s="775">
        <v>7399</v>
      </c>
      <c r="N24" s="775">
        <v>8036</v>
      </c>
      <c r="O24" s="775">
        <f t="shared" si="0"/>
        <v>90247</v>
      </c>
    </row>
    <row r="25" spans="1:15" outlineLevel="1">
      <c r="B25" t="s">
        <v>1153</v>
      </c>
      <c r="C25" s="775">
        <v>1095484</v>
      </c>
      <c r="D25" s="775">
        <v>1098534</v>
      </c>
      <c r="E25" s="775">
        <v>1090606</v>
      </c>
      <c r="F25" s="775">
        <v>1094274</v>
      </c>
      <c r="G25" s="775">
        <v>1084713</v>
      </c>
      <c r="H25" s="775">
        <v>1083179</v>
      </c>
      <c r="I25" s="775">
        <v>1092906</v>
      </c>
      <c r="J25" s="775">
        <v>1088442</v>
      </c>
      <c r="K25" s="775">
        <v>1088071</v>
      </c>
      <c r="L25" s="775">
        <v>1082605</v>
      </c>
      <c r="M25" s="775">
        <v>1093878</v>
      </c>
      <c r="N25" s="775">
        <v>1093933</v>
      </c>
      <c r="O25" s="775">
        <f t="shared" si="0"/>
        <v>13086625</v>
      </c>
    </row>
    <row r="26" spans="1:15" outlineLevel="1">
      <c r="A26">
        <v>301310</v>
      </c>
      <c r="B26" t="s">
        <v>994</v>
      </c>
      <c r="C26" s="775">
        <v>1690428</v>
      </c>
      <c r="D26" s="775">
        <v>1747772</v>
      </c>
      <c r="E26" s="775">
        <v>1575289</v>
      </c>
      <c r="F26" s="775">
        <v>1738512</v>
      </c>
      <c r="G26" s="775">
        <v>1717131</v>
      </c>
      <c r="H26" s="775">
        <v>1676886</v>
      </c>
      <c r="I26" s="775">
        <v>1705462</v>
      </c>
      <c r="J26" s="775">
        <v>1650927</v>
      </c>
      <c r="K26" s="775">
        <v>1711969</v>
      </c>
      <c r="L26" s="775">
        <v>1704652</v>
      </c>
      <c r="M26" s="775">
        <v>1641651</v>
      </c>
      <c r="N26" s="775">
        <v>1693624</v>
      </c>
      <c r="O26" s="775">
        <f t="shared" si="0"/>
        <v>20254303</v>
      </c>
    </row>
    <row r="27" spans="1:15" outlineLevel="1">
      <c r="A27">
        <v>301394</v>
      </c>
      <c r="B27" t="s">
        <v>1154</v>
      </c>
      <c r="C27" s="775">
        <v>1208</v>
      </c>
      <c r="D27" s="775">
        <v>1627</v>
      </c>
      <c r="E27" s="775">
        <v>767</v>
      </c>
      <c r="F27" s="775">
        <v>2162</v>
      </c>
      <c r="G27" s="775">
        <v>2259</v>
      </c>
      <c r="H27" s="775">
        <v>960</v>
      </c>
      <c r="I27" s="775">
        <v>2197</v>
      </c>
      <c r="J27" s="775">
        <v>893</v>
      </c>
      <c r="K27" s="775">
        <v>2285</v>
      </c>
      <c r="L27" s="775">
        <v>2571</v>
      </c>
      <c r="M27" s="775">
        <v>1003</v>
      </c>
      <c r="N27" s="775">
        <v>2264</v>
      </c>
      <c r="O27" s="775">
        <f t="shared" si="0"/>
        <v>20196</v>
      </c>
    </row>
    <row r="28" spans="1:15" outlineLevel="1">
      <c r="B28" t="s">
        <v>1155</v>
      </c>
      <c r="C28" s="775">
        <v>1691635</v>
      </c>
      <c r="D28" s="775">
        <v>1749400</v>
      </c>
      <c r="E28" s="775">
        <v>1576055</v>
      </c>
      <c r="F28" s="775">
        <v>1740674</v>
      </c>
      <c r="G28" s="775">
        <v>1719390</v>
      </c>
      <c r="H28" s="775">
        <v>1677846</v>
      </c>
      <c r="I28" s="775">
        <v>1707659</v>
      </c>
      <c r="J28" s="775">
        <v>1651820</v>
      </c>
      <c r="K28" s="775">
        <v>1714254</v>
      </c>
      <c r="L28" s="775">
        <v>1707222</v>
      </c>
      <c r="M28" s="775">
        <v>1642654</v>
      </c>
      <c r="N28" s="775">
        <v>1695888</v>
      </c>
      <c r="O28" s="775">
        <f t="shared" si="0"/>
        <v>20274497</v>
      </c>
    </row>
    <row r="29" spans="1:15" outlineLevel="1">
      <c r="A29">
        <v>301368</v>
      </c>
      <c r="B29" t="s">
        <v>995</v>
      </c>
      <c r="C29" s="775">
        <v>0</v>
      </c>
      <c r="D29" s="775">
        <v>0</v>
      </c>
      <c r="E29" s="775">
        <v>0</v>
      </c>
      <c r="F29" s="775">
        <v>0</v>
      </c>
      <c r="G29" s="775">
        <v>0</v>
      </c>
      <c r="H29" s="775">
        <v>0</v>
      </c>
      <c r="I29" s="775">
        <v>0</v>
      </c>
      <c r="J29" s="775">
        <v>0</v>
      </c>
      <c r="K29" s="775">
        <v>0</v>
      </c>
      <c r="L29" s="775">
        <v>0</v>
      </c>
      <c r="M29" s="775">
        <v>0</v>
      </c>
      <c r="N29" s="775">
        <v>900</v>
      </c>
      <c r="O29" s="775">
        <f t="shared" si="0"/>
        <v>900</v>
      </c>
    </row>
    <row r="30" spans="1:15" outlineLevel="1">
      <c r="B30" t="s">
        <v>996</v>
      </c>
      <c r="C30" s="775">
        <v>0</v>
      </c>
      <c r="D30" s="775">
        <v>0</v>
      </c>
      <c r="E30" s="775">
        <v>0</v>
      </c>
      <c r="F30" s="775">
        <v>0</v>
      </c>
      <c r="G30" s="775">
        <v>0</v>
      </c>
      <c r="H30" s="775">
        <v>0</v>
      </c>
      <c r="I30" s="775">
        <v>0</v>
      </c>
      <c r="J30" s="775">
        <v>0</v>
      </c>
      <c r="K30" s="775">
        <v>0</v>
      </c>
      <c r="L30" s="775">
        <v>0</v>
      </c>
      <c r="M30" s="775">
        <v>0</v>
      </c>
      <c r="N30" s="775">
        <v>900</v>
      </c>
      <c r="O30" s="775">
        <f t="shared" si="0"/>
        <v>900</v>
      </c>
    </row>
    <row r="31" spans="1:15" outlineLevel="1">
      <c r="A31">
        <v>301396</v>
      </c>
      <c r="B31" t="s">
        <v>1156</v>
      </c>
      <c r="C31" s="775">
        <v>1179</v>
      </c>
      <c r="D31" s="775">
        <v>1149</v>
      </c>
      <c r="E31" s="775">
        <v>1070</v>
      </c>
      <c r="F31" s="775">
        <v>1244</v>
      </c>
      <c r="G31" s="775">
        <v>1263</v>
      </c>
      <c r="H31" s="775">
        <v>1303</v>
      </c>
      <c r="I31" s="775">
        <v>1364</v>
      </c>
      <c r="J31" s="775">
        <v>1306</v>
      </c>
      <c r="K31" s="775">
        <v>1375</v>
      </c>
      <c r="L31" s="775">
        <v>1341</v>
      </c>
      <c r="M31" s="775">
        <v>1378</v>
      </c>
      <c r="N31" s="775">
        <v>1434</v>
      </c>
      <c r="O31" s="775">
        <f t="shared" si="0"/>
        <v>15406</v>
      </c>
    </row>
    <row r="32" spans="1:15" outlineLevel="1">
      <c r="B32" t="s">
        <v>1157</v>
      </c>
      <c r="C32" s="775">
        <v>1692814</v>
      </c>
      <c r="D32" s="775">
        <v>1750549</v>
      </c>
      <c r="E32" s="775">
        <v>1577125</v>
      </c>
      <c r="F32" s="775">
        <v>1741918</v>
      </c>
      <c r="G32" s="775">
        <v>1720653</v>
      </c>
      <c r="H32" s="775">
        <v>1679149</v>
      </c>
      <c r="I32" s="775">
        <v>1709023</v>
      </c>
      <c r="J32" s="775">
        <v>1653126</v>
      </c>
      <c r="K32" s="775">
        <v>1715629</v>
      </c>
      <c r="L32" s="775">
        <v>1708564</v>
      </c>
      <c r="M32" s="775">
        <v>1644031</v>
      </c>
      <c r="N32" s="775">
        <v>1698222</v>
      </c>
      <c r="O32" s="775">
        <f t="shared" si="0"/>
        <v>20290803</v>
      </c>
    </row>
    <row r="33" spans="1:15">
      <c r="B33" s="744" t="s">
        <v>1158</v>
      </c>
      <c r="C33" s="1181">
        <v>3428105</v>
      </c>
      <c r="D33" s="1181">
        <v>3439124</v>
      </c>
      <c r="E33" s="1181">
        <v>3228233</v>
      </c>
      <c r="F33" s="1181">
        <v>3453237</v>
      </c>
      <c r="G33" s="1181">
        <v>3399543</v>
      </c>
      <c r="H33" s="1181">
        <v>3369334</v>
      </c>
      <c r="I33" s="1181">
        <v>3465257</v>
      </c>
      <c r="J33" s="1181">
        <v>3327209</v>
      </c>
      <c r="K33" s="1181">
        <v>3432573</v>
      </c>
      <c r="L33" s="1181">
        <v>3434852</v>
      </c>
      <c r="M33" s="1181">
        <v>3310908</v>
      </c>
      <c r="N33" s="1181">
        <v>3409296</v>
      </c>
      <c r="O33" s="1181">
        <f t="shared" si="0"/>
        <v>40697671</v>
      </c>
    </row>
    <row r="34" spans="1:15" hidden="1" outlineLevel="1">
      <c r="A34">
        <v>311169</v>
      </c>
      <c r="B34" t="s">
        <v>1159</v>
      </c>
      <c r="C34" s="775">
        <v>13766</v>
      </c>
      <c r="D34" s="775">
        <v>15488</v>
      </c>
      <c r="E34" s="775">
        <v>14966</v>
      </c>
      <c r="F34" s="775">
        <v>15157</v>
      </c>
      <c r="G34" s="775">
        <v>17250</v>
      </c>
      <c r="H34" s="775">
        <v>16996</v>
      </c>
      <c r="I34" s="775">
        <v>17756</v>
      </c>
      <c r="J34" s="775">
        <v>13884</v>
      </c>
      <c r="K34" s="775">
        <v>15756</v>
      </c>
      <c r="L34" s="775">
        <v>13993</v>
      </c>
      <c r="M34" s="775">
        <v>12582</v>
      </c>
      <c r="N34" s="775">
        <v>12473</v>
      </c>
      <c r="O34" s="775">
        <f t="shared" si="0"/>
        <v>180067</v>
      </c>
    </row>
    <row r="35" spans="1:15" hidden="1" outlineLevel="1">
      <c r="B35" t="s">
        <v>1160</v>
      </c>
      <c r="C35" s="775">
        <v>13766</v>
      </c>
      <c r="D35" s="775">
        <v>15488</v>
      </c>
      <c r="E35" s="775">
        <v>14966</v>
      </c>
      <c r="F35" s="775">
        <v>15157</v>
      </c>
      <c r="G35" s="775">
        <v>17250</v>
      </c>
      <c r="H35" s="775">
        <v>16996</v>
      </c>
      <c r="I35" s="775">
        <v>17756</v>
      </c>
      <c r="J35" s="775">
        <v>13884</v>
      </c>
      <c r="K35" s="775">
        <v>15756</v>
      </c>
      <c r="L35" s="775">
        <v>13993</v>
      </c>
      <c r="M35" s="775">
        <v>12582</v>
      </c>
      <c r="N35" s="775">
        <v>12473</v>
      </c>
      <c r="O35" s="775">
        <f t="shared" si="0"/>
        <v>180067</v>
      </c>
    </row>
    <row r="36" spans="1:15" hidden="1" outlineLevel="1">
      <c r="A36">
        <v>311269</v>
      </c>
      <c r="B36" t="s">
        <v>1161</v>
      </c>
      <c r="C36" s="775">
        <v>71843</v>
      </c>
      <c r="D36" s="775">
        <v>73329</v>
      </c>
      <c r="E36" s="775">
        <v>65143</v>
      </c>
      <c r="F36" s="775">
        <v>71580</v>
      </c>
      <c r="G36" s="775">
        <v>69686</v>
      </c>
      <c r="H36" s="775">
        <v>72208</v>
      </c>
      <c r="I36" s="775">
        <v>84168</v>
      </c>
      <c r="J36" s="775">
        <v>75232</v>
      </c>
      <c r="K36" s="775">
        <v>71244</v>
      </c>
      <c r="L36" s="775">
        <v>71202</v>
      </c>
      <c r="M36" s="775">
        <v>67308</v>
      </c>
      <c r="N36" s="775">
        <v>68680</v>
      </c>
      <c r="O36" s="775">
        <f t="shared" si="0"/>
        <v>861623</v>
      </c>
    </row>
    <row r="37" spans="1:15" hidden="1" outlineLevel="1">
      <c r="B37" t="s">
        <v>1162</v>
      </c>
      <c r="C37" s="775">
        <v>71843</v>
      </c>
      <c r="D37" s="775">
        <v>73329</v>
      </c>
      <c r="E37" s="775">
        <v>65143</v>
      </c>
      <c r="F37" s="775">
        <v>71580</v>
      </c>
      <c r="G37" s="775">
        <v>69686</v>
      </c>
      <c r="H37" s="775">
        <v>72208</v>
      </c>
      <c r="I37" s="775">
        <v>84168</v>
      </c>
      <c r="J37" s="775">
        <v>75232</v>
      </c>
      <c r="K37" s="775">
        <v>71244</v>
      </c>
      <c r="L37" s="775">
        <v>71202</v>
      </c>
      <c r="M37" s="775">
        <v>67308</v>
      </c>
      <c r="N37" s="775">
        <v>68680</v>
      </c>
      <c r="O37" s="775">
        <f t="shared" si="0"/>
        <v>861623</v>
      </c>
    </row>
    <row r="38" spans="1:15" hidden="1" outlineLevel="1">
      <c r="A38">
        <v>311369</v>
      </c>
      <c r="B38" t="s">
        <v>1163</v>
      </c>
      <c r="C38" s="775">
        <v>139340</v>
      </c>
      <c r="D38" s="775">
        <v>131230</v>
      </c>
      <c r="E38" s="775">
        <v>120701</v>
      </c>
      <c r="F38" s="775">
        <v>151001</v>
      </c>
      <c r="G38" s="775">
        <v>148600</v>
      </c>
      <c r="H38" s="775">
        <v>138420</v>
      </c>
      <c r="I38" s="775">
        <v>155198</v>
      </c>
      <c r="J38" s="775">
        <v>137673</v>
      </c>
      <c r="K38" s="775">
        <v>131883</v>
      </c>
      <c r="L38" s="775">
        <v>140683</v>
      </c>
      <c r="M38" s="775">
        <v>122962</v>
      </c>
      <c r="N38" s="775">
        <v>137325</v>
      </c>
      <c r="O38" s="775">
        <f t="shared" si="0"/>
        <v>1655016</v>
      </c>
    </row>
    <row r="39" spans="1:15" hidden="1" outlineLevel="1">
      <c r="B39" t="s">
        <v>1164</v>
      </c>
      <c r="C39" s="775">
        <v>139340</v>
      </c>
      <c r="D39" s="775">
        <v>131230</v>
      </c>
      <c r="E39" s="775">
        <v>120701</v>
      </c>
      <c r="F39" s="775">
        <v>151001</v>
      </c>
      <c r="G39" s="775">
        <v>148600</v>
      </c>
      <c r="H39" s="775">
        <v>138420</v>
      </c>
      <c r="I39" s="775">
        <v>155198</v>
      </c>
      <c r="J39" s="775">
        <v>137673</v>
      </c>
      <c r="K39" s="775">
        <v>131883</v>
      </c>
      <c r="L39" s="775">
        <v>140683</v>
      </c>
      <c r="M39" s="775">
        <v>122962</v>
      </c>
      <c r="N39" s="775">
        <v>137325</v>
      </c>
      <c r="O39" s="775">
        <f t="shared" si="0"/>
        <v>1655016</v>
      </c>
    </row>
    <row r="40" spans="1:15" collapsed="1">
      <c r="B40" s="744" t="s">
        <v>1165</v>
      </c>
      <c r="C40" s="1181">
        <v>224949</v>
      </c>
      <c r="D40" s="1181">
        <v>220046</v>
      </c>
      <c r="E40" s="1181">
        <v>200810</v>
      </c>
      <c r="F40" s="1181">
        <v>237738</v>
      </c>
      <c r="G40" s="1181">
        <v>235536</v>
      </c>
      <c r="H40" s="1181">
        <v>227624</v>
      </c>
      <c r="I40" s="1181">
        <v>257122</v>
      </c>
      <c r="J40" s="1181">
        <v>226789</v>
      </c>
      <c r="K40" s="1181">
        <v>218882</v>
      </c>
      <c r="L40" s="1181">
        <v>225877</v>
      </c>
      <c r="M40" s="1181">
        <v>202852</v>
      </c>
      <c r="N40" s="1181">
        <v>218477</v>
      </c>
      <c r="O40" s="1181">
        <f t="shared" si="0"/>
        <v>2696702</v>
      </c>
    </row>
    <row r="41" spans="1:15" ht="12" thickBot="1">
      <c r="B41" s="1182" t="s">
        <v>1166</v>
      </c>
      <c r="C41" s="1183">
        <v>3653054</v>
      </c>
      <c r="D41" s="1183">
        <v>3659170</v>
      </c>
      <c r="E41" s="1183">
        <v>3429042</v>
      </c>
      <c r="F41" s="1183">
        <v>3690975</v>
      </c>
      <c r="G41" s="1183">
        <v>3635079</v>
      </c>
      <c r="H41" s="1183">
        <v>3596959</v>
      </c>
      <c r="I41" s="1183">
        <v>3722380</v>
      </c>
      <c r="J41" s="1183">
        <v>3553998</v>
      </c>
      <c r="K41" s="1183">
        <v>3651455</v>
      </c>
      <c r="L41" s="1183">
        <v>3660730</v>
      </c>
      <c r="M41" s="1183">
        <v>3513760</v>
      </c>
      <c r="N41" s="1183">
        <v>3627773</v>
      </c>
      <c r="O41" s="1183">
        <f t="shared" si="0"/>
        <v>43394375</v>
      </c>
    </row>
    <row r="42" spans="1:15" ht="12" hidden="1" outlineLevel="1" thickTop="1">
      <c r="A42">
        <v>400000</v>
      </c>
      <c r="B42" t="s">
        <v>1167</v>
      </c>
      <c r="C42" s="775">
        <v>983880</v>
      </c>
      <c r="D42" s="775">
        <v>951623</v>
      </c>
      <c r="E42" s="775">
        <v>857833</v>
      </c>
      <c r="F42" s="775">
        <v>1010124</v>
      </c>
      <c r="G42" s="775">
        <v>986633</v>
      </c>
      <c r="H42" s="775">
        <v>975531</v>
      </c>
      <c r="I42" s="775">
        <v>1038418</v>
      </c>
      <c r="J42" s="775">
        <v>990909</v>
      </c>
      <c r="K42" s="775">
        <v>1024832</v>
      </c>
      <c r="L42" s="775">
        <v>1075949</v>
      </c>
      <c r="M42" s="775">
        <v>965543</v>
      </c>
      <c r="N42" s="775">
        <v>1045594</v>
      </c>
      <c r="O42" s="775">
        <f t="shared" si="0"/>
        <v>11906869</v>
      </c>
    </row>
    <row r="43" spans="1:15" hidden="1" outlineLevel="1">
      <c r="B43" t="s">
        <v>1168</v>
      </c>
      <c r="C43" s="775">
        <v>983880</v>
      </c>
      <c r="D43" s="775">
        <v>951623</v>
      </c>
      <c r="E43" s="775">
        <v>857833</v>
      </c>
      <c r="F43" s="775">
        <v>1010124</v>
      </c>
      <c r="G43" s="775">
        <v>986633</v>
      </c>
      <c r="H43" s="775">
        <v>975531</v>
      </c>
      <c r="I43" s="775">
        <v>1038418</v>
      </c>
      <c r="J43" s="775">
        <v>990909</v>
      </c>
      <c r="K43" s="775">
        <v>1024832</v>
      </c>
      <c r="L43" s="775">
        <v>1075949</v>
      </c>
      <c r="M43" s="775">
        <v>965543</v>
      </c>
      <c r="N43" s="775">
        <v>1045594</v>
      </c>
      <c r="O43" s="775">
        <f t="shared" si="0"/>
        <v>11906869</v>
      </c>
    </row>
    <row r="44" spans="1:15" hidden="1" outlineLevel="1">
      <c r="A44">
        <v>402008</v>
      </c>
      <c r="B44" t="s">
        <v>1169</v>
      </c>
      <c r="C44" s="775">
        <v>194520</v>
      </c>
      <c r="D44" s="775">
        <v>151672</v>
      </c>
      <c r="E44" s="775">
        <v>102217</v>
      </c>
      <c r="F44" s="775">
        <v>100269</v>
      </c>
      <c r="G44" s="775">
        <v>102794</v>
      </c>
      <c r="H44" s="775">
        <v>141561</v>
      </c>
      <c r="I44" s="775">
        <v>139590</v>
      </c>
      <c r="J44" s="775">
        <v>103796</v>
      </c>
      <c r="K44" s="775">
        <v>99071</v>
      </c>
      <c r="L44" s="775">
        <v>64445</v>
      </c>
      <c r="M44" s="775">
        <v>52924</v>
      </c>
      <c r="N44" s="775">
        <v>62917</v>
      </c>
      <c r="O44" s="775">
        <f t="shared" si="0"/>
        <v>1315776</v>
      </c>
    </row>
    <row r="45" spans="1:15" hidden="1" outlineLevel="1">
      <c r="A45">
        <v>412000</v>
      </c>
      <c r="B45" t="s">
        <v>1170</v>
      </c>
      <c r="C45" s="775">
        <v>320982</v>
      </c>
      <c r="D45" s="775">
        <v>267428</v>
      </c>
      <c r="E45" s="775">
        <v>233228</v>
      </c>
      <c r="F45" s="775">
        <v>337952</v>
      </c>
      <c r="G45" s="775">
        <v>342801</v>
      </c>
      <c r="H45" s="775">
        <v>477772</v>
      </c>
      <c r="I45" s="775">
        <v>356197</v>
      </c>
      <c r="J45" s="775">
        <v>337815</v>
      </c>
      <c r="K45" s="775">
        <v>331828</v>
      </c>
      <c r="L45" s="775">
        <v>432825</v>
      </c>
      <c r="M45" s="775">
        <v>490902</v>
      </c>
      <c r="N45" s="775">
        <v>552354</v>
      </c>
      <c r="O45" s="775">
        <f t="shared" si="0"/>
        <v>4482084</v>
      </c>
    </row>
    <row r="46" spans="1:15" hidden="1" outlineLevel="1">
      <c r="A46">
        <v>406100</v>
      </c>
      <c r="B46" t="s">
        <v>1171</v>
      </c>
      <c r="C46" s="775">
        <v>130571</v>
      </c>
      <c r="D46" s="775">
        <v>125447</v>
      </c>
      <c r="E46" s="775">
        <v>130536</v>
      </c>
      <c r="F46" s="775">
        <v>324323</v>
      </c>
      <c r="G46" s="775">
        <v>122815</v>
      </c>
      <c r="H46" s="775">
        <v>129742</v>
      </c>
      <c r="I46" s="775">
        <v>180785</v>
      </c>
      <c r="J46" s="775">
        <v>122944</v>
      </c>
      <c r="K46" s="775">
        <v>131982</v>
      </c>
      <c r="L46" s="775">
        <v>135081</v>
      </c>
      <c r="M46" s="775">
        <v>121015</v>
      </c>
      <c r="N46" s="775">
        <v>132423</v>
      </c>
      <c r="O46" s="775">
        <f t="shared" si="0"/>
        <v>1787664</v>
      </c>
    </row>
    <row r="47" spans="1:15" ht="12" collapsed="1" thickTop="1">
      <c r="B47" s="744" t="s">
        <v>1172</v>
      </c>
      <c r="C47" s="1181">
        <v>1629953</v>
      </c>
      <c r="D47" s="1181">
        <v>1496170</v>
      </c>
      <c r="E47" s="1181">
        <v>1323814</v>
      </c>
      <c r="F47" s="1181">
        <v>1772667</v>
      </c>
      <c r="G47" s="1181">
        <v>1555042</v>
      </c>
      <c r="H47" s="1181">
        <v>1724606</v>
      </c>
      <c r="I47" s="1181">
        <v>1714990</v>
      </c>
      <c r="J47" s="1181">
        <v>1555464</v>
      </c>
      <c r="K47" s="1181">
        <v>1587713</v>
      </c>
      <c r="L47" s="1181">
        <v>1708300</v>
      </c>
      <c r="M47" s="1181">
        <v>1630384</v>
      </c>
      <c r="N47" s="1181">
        <v>1793288</v>
      </c>
      <c r="O47" s="1181">
        <f t="shared" si="0"/>
        <v>19492391</v>
      </c>
    </row>
    <row r="48" spans="1:15" ht="12" thickBot="1">
      <c r="B48" s="1182" t="s">
        <v>1173</v>
      </c>
      <c r="C48" s="1183">
        <v>2023101</v>
      </c>
      <c r="D48" s="1183">
        <v>2163000</v>
      </c>
      <c r="E48" s="1183">
        <v>2105228</v>
      </c>
      <c r="F48" s="1183">
        <v>1918308</v>
      </c>
      <c r="G48" s="1183">
        <v>2080037</v>
      </c>
      <c r="H48" s="1183">
        <v>1872353</v>
      </c>
      <c r="I48" s="1183">
        <v>2007390</v>
      </c>
      <c r="J48" s="1183">
        <v>1998534</v>
      </c>
      <c r="K48" s="1183">
        <v>2063742</v>
      </c>
      <c r="L48" s="1183">
        <v>1952430</v>
      </c>
      <c r="M48" s="1183">
        <v>1883376</v>
      </c>
      <c r="N48" s="1183">
        <v>1834485</v>
      </c>
      <c r="O48" s="1183">
        <f t="shared" si="0"/>
        <v>23901984</v>
      </c>
    </row>
    <row r="49" spans="1:15" ht="12" hidden="1" outlineLevel="1" thickTop="1">
      <c r="A49">
        <v>500010</v>
      </c>
      <c r="B49" t="s">
        <v>1174</v>
      </c>
      <c r="C49" s="775">
        <v>462849</v>
      </c>
      <c r="D49" s="775">
        <v>442238</v>
      </c>
      <c r="E49" s="775">
        <v>386234</v>
      </c>
      <c r="F49" s="775">
        <v>465286</v>
      </c>
      <c r="G49" s="775">
        <v>459827</v>
      </c>
      <c r="H49" s="775">
        <v>460126</v>
      </c>
      <c r="I49" s="775">
        <v>475881</v>
      </c>
      <c r="J49" s="775">
        <v>453107</v>
      </c>
      <c r="K49" s="775">
        <v>488328</v>
      </c>
      <c r="L49" s="775">
        <v>529398</v>
      </c>
      <c r="M49" s="775">
        <v>462118</v>
      </c>
      <c r="N49" s="775">
        <v>506180</v>
      </c>
      <c r="O49" s="775">
        <f t="shared" si="0"/>
        <v>5591572</v>
      </c>
    </row>
    <row r="50" spans="1:15" hidden="1" outlineLevel="1">
      <c r="A50">
        <v>500040</v>
      </c>
      <c r="B50" t="s">
        <v>1175</v>
      </c>
      <c r="C50" s="775">
        <v>4190</v>
      </c>
      <c r="D50" s="775">
        <v>5429</v>
      </c>
      <c r="E50" s="775">
        <v>4943</v>
      </c>
      <c r="F50" s="775">
        <v>5593</v>
      </c>
      <c r="G50" s="775">
        <v>5141</v>
      </c>
      <c r="H50" s="775">
        <v>4913</v>
      </c>
      <c r="I50" s="775">
        <v>5837</v>
      </c>
      <c r="J50" s="775">
        <v>5380</v>
      </c>
      <c r="K50" s="775">
        <v>5428</v>
      </c>
      <c r="L50" s="775">
        <v>6361</v>
      </c>
      <c r="M50" s="775">
        <v>5062</v>
      </c>
      <c r="N50" s="775">
        <v>5658</v>
      </c>
      <c r="O50" s="775">
        <f t="shared" si="0"/>
        <v>63935</v>
      </c>
    </row>
    <row r="51" spans="1:15" hidden="1" outlineLevel="1">
      <c r="A51">
        <v>500050</v>
      </c>
      <c r="B51" t="s">
        <v>1176</v>
      </c>
      <c r="C51" s="775">
        <v>9917</v>
      </c>
      <c r="D51" s="775">
        <v>11340</v>
      </c>
      <c r="E51" s="775">
        <v>7574</v>
      </c>
      <c r="F51" s="775">
        <v>10371</v>
      </c>
      <c r="G51" s="775">
        <v>8098</v>
      </c>
      <c r="H51" s="775">
        <v>9641</v>
      </c>
      <c r="I51" s="775">
        <v>10836</v>
      </c>
      <c r="J51" s="775">
        <v>7393</v>
      </c>
      <c r="K51" s="775">
        <v>3671</v>
      </c>
      <c r="L51" s="775">
        <v>2317</v>
      </c>
      <c r="M51" s="775">
        <v>3163</v>
      </c>
      <c r="N51" s="775">
        <v>5417</v>
      </c>
      <c r="O51" s="775">
        <f t="shared" si="0"/>
        <v>89738</v>
      </c>
    </row>
    <row r="52" spans="1:15" hidden="1" outlineLevel="1">
      <c r="A52">
        <v>500170</v>
      </c>
      <c r="B52" t="s">
        <v>1177</v>
      </c>
      <c r="C52" s="775">
        <v>46149</v>
      </c>
      <c r="D52" s="775">
        <v>44282</v>
      </c>
      <c r="E52" s="775">
        <v>36370</v>
      </c>
      <c r="F52" s="775">
        <v>56350</v>
      </c>
      <c r="G52" s="775">
        <v>43574</v>
      </c>
      <c r="H52" s="775">
        <v>40000</v>
      </c>
      <c r="I52" s="775">
        <v>45631</v>
      </c>
      <c r="J52" s="775">
        <v>41447</v>
      </c>
      <c r="K52" s="775">
        <v>43235</v>
      </c>
      <c r="L52" s="775">
        <v>50677</v>
      </c>
      <c r="M52" s="775">
        <v>46371</v>
      </c>
      <c r="N52" s="775">
        <v>51458</v>
      </c>
      <c r="O52" s="775">
        <f t="shared" si="0"/>
        <v>545544</v>
      </c>
    </row>
    <row r="53" spans="1:15" hidden="1" outlineLevel="1">
      <c r="A53">
        <v>500172</v>
      </c>
      <c r="B53" t="s">
        <v>1178</v>
      </c>
      <c r="C53" s="775">
        <v>698</v>
      </c>
      <c r="D53" s="775">
        <v>-187</v>
      </c>
      <c r="E53" s="775">
        <v>746</v>
      </c>
      <c r="F53" s="775">
        <v>-174</v>
      </c>
      <c r="G53" s="775">
        <v>757</v>
      </c>
      <c r="H53" s="775">
        <v>1406</v>
      </c>
      <c r="I53" s="775">
        <v>1433</v>
      </c>
      <c r="J53" s="775">
        <v>551</v>
      </c>
      <c r="K53" s="775">
        <v>0</v>
      </c>
      <c r="L53" s="775">
        <v>0</v>
      </c>
      <c r="M53" s="775">
        <v>-113</v>
      </c>
      <c r="N53" s="775">
        <v>1511</v>
      </c>
      <c r="O53" s="775">
        <f t="shared" si="0"/>
        <v>6628</v>
      </c>
    </row>
    <row r="54" spans="1:15" hidden="1" outlineLevel="1">
      <c r="A54">
        <v>500173</v>
      </c>
      <c r="B54" t="s">
        <v>1179</v>
      </c>
      <c r="C54" s="775">
        <v>1551</v>
      </c>
      <c r="D54" s="775">
        <v>1584</v>
      </c>
      <c r="E54" s="775">
        <v>3412</v>
      </c>
      <c r="F54" s="775">
        <v>56833</v>
      </c>
      <c r="G54" s="775">
        <v>22179</v>
      </c>
      <c r="H54" s="775">
        <v>18338</v>
      </c>
      <c r="I54" s="775">
        <v>1889</v>
      </c>
      <c r="J54" s="775">
        <v>19973</v>
      </c>
      <c r="K54" s="775">
        <v>1255</v>
      </c>
      <c r="L54" s="775">
        <v>20260</v>
      </c>
      <c r="M54" s="775">
        <v>19355</v>
      </c>
      <c r="N54" s="775">
        <v>1232</v>
      </c>
      <c r="O54" s="775">
        <f t="shared" si="0"/>
        <v>167861</v>
      </c>
    </row>
    <row r="55" spans="1:15" hidden="1" outlineLevel="1">
      <c r="A55">
        <v>500174</v>
      </c>
      <c r="B55" t="s">
        <v>1180</v>
      </c>
      <c r="C55" s="775">
        <v>40531</v>
      </c>
      <c r="D55" s="775">
        <v>40744</v>
      </c>
      <c r="E55" s="775">
        <v>34944</v>
      </c>
      <c r="F55" s="775">
        <v>29172</v>
      </c>
      <c r="G55" s="775">
        <v>48199</v>
      </c>
      <c r="H55" s="775">
        <v>36517</v>
      </c>
      <c r="I55" s="775">
        <v>33139</v>
      </c>
      <c r="J55" s="775">
        <v>42847</v>
      </c>
      <c r="K55" s="775">
        <v>35182</v>
      </c>
      <c r="L55" s="775">
        <v>33736</v>
      </c>
      <c r="M55" s="775">
        <v>41894</v>
      </c>
      <c r="N55" s="775">
        <v>30164</v>
      </c>
      <c r="O55" s="775">
        <f t="shared" si="0"/>
        <v>447069</v>
      </c>
    </row>
    <row r="56" spans="1:15" hidden="1" outlineLevel="1">
      <c r="A56">
        <v>500175</v>
      </c>
      <c r="B56" t="s">
        <v>1181</v>
      </c>
      <c r="C56" s="775">
        <v>230133</v>
      </c>
      <c r="D56" s="775">
        <v>219623</v>
      </c>
      <c r="E56" s="775">
        <v>213775</v>
      </c>
      <c r="F56" s="775">
        <v>229063</v>
      </c>
      <c r="G56" s="775">
        <v>154193</v>
      </c>
      <c r="H56" s="775">
        <v>171995</v>
      </c>
      <c r="I56" s="775">
        <v>202550</v>
      </c>
      <c r="J56" s="775">
        <v>215931</v>
      </c>
      <c r="K56" s="775">
        <v>212173</v>
      </c>
      <c r="L56" s="775">
        <v>218652</v>
      </c>
      <c r="M56" s="775">
        <v>215413</v>
      </c>
      <c r="N56" s="775">
        <v>204747</v>
      </c>
      <c r="O56" s="775">
        <f t="shared" si="0"/>
        <v>2488248</v>
      </c>
    </row>
    <row r="57" spans="1:15" hidden="1" outlineLevel="1">
      <c r="A57">
        <v>500176</v>
      </c>
      <c r="B57" t="s">
        <v>1182</v>
      </c>
      <c r="C57" s="775">
        <v>1108</v>
      </c>
      <c r="D57" s="775">
        <v>978</v>
      </c>
      <c r="E57" s="775">
        <v>932</v>
      </c>
      <c r="F57" s="775">
        <v>1071</v>
      </c>
      <c r="G57" s="775">
        <v>1025</v>
      </c>
      <c r="H57" s="775">
        <v>978</v>
      </c>
      <c r="I57" s="775">
        <v>1071</v>
      </c>
      <c r="J57" s="775">
        <v>978</v>
      </c>
      <c r="K57" s="775">
        <v>1025</v>
      </c>
      <c r="L57" s="775">
        <v>1071</v>
      </c>
      <c r="M57" s="775">
        <v>932</v>
      </c>
      <c r="N57" s="775">
        <v>1076</v>
      </c>
      <c r="O57" s="775">
        <f t="shared" si="0"/>
        <v>12245</v>
      </c>
    </row>
    <row r="58" spans="1:15" hidden="1" outlineLevel="1">
      <c r="A58">
        <v>500188</v>
      </c>
      <c r="B58" t="s">
        <v>1183</v>
      </c>
      <c r="C58" s="775">
        <v>188</v>
      </c>
      <c r="D58" s="775">
        <v>256</v>
      </c>
      <c r="E58" s="775">
        <v>473</v>
      </c>
      <c r="F58" s="775">
        <v>234</v>
      </c>
      <c r="G58" s="775">
        <v>630</v>
      </c>
      <c r="H58" s="775">
        <v>580</v>
      </c>
      <c r="I58" s="775">
        <v>241</v>
      </c>
      <c r="J58" s="775">
        <v>355</v>
      </c>
      <c r="K58" s="775">
        <v>954</v>
      </c>
      <c r="L58" s="775">
        <v>150</v>
      </c>
      <c r="M58" s="775">
        <v>407</v>
      </c>
      <c r="N58" s="775">
        <v>216</v>
      </c>
      <c r="O58" s="775">
        <f t="shared" si="0"/>
        <v>4684</v>
      </c>
    </row>
    <row r="59" spans="1:15" ht="12" collapsed="1" thickTop="1">
      <c r="B59" s="1184" t="s">
        <v>1184</v>
      </c>
      <c r="C59" s="1185">
        <v>797315</v>
      </c>
      <c r="D59" s="1185">
        <v>766288</v>
      </c>
      <c r="E59" s="1185">
        <v>689404</v>
      </c>
      <c r="F59" s="1185">
        <v>853799</v>
      </c>
      <c r="G59" s="1185">
        <v>743624</v>
      </c>
      <c r="H59" s="1185">
        <v>744494</v>
      </c>
      <c r="I59" s="1185">
        <v>778510</v>
      </c>
      <c r="J59" s="1185">
        <v>787962</v>
      </c>
      <c r="K59" s="1185">
        <v>791251</v>
      </c>
      <c r="L59" s="1185">
        <v>862622</v>
      </c>
      <c r="M59" s="1185">
        <v>794602</v>
      </c>
      <c r="N59" s="1185">
        <v>807658</v>
      </c>
      <c r="O59" s="1185">
        <f t="shared" si="0"/>
        <v>9417529</v>
      </c>
    </row>
    <row r="60" spans="1:15" hidden="1" outlineLevel="1">
      <c r="A60">
        <v>510010</v>
      </c>
      <c r="B60" t="s">
        <v>1185</v>
      </c>
      <c r="C60" s="775">
        <v>34893</v>
      </c>
      <c r="D60" s="775">
        <v>34082</v>
      </c>
      <c r="E60" s="775">
        <v>33697</v>
      </c>
      <c r="F60" s="775">
        <v>38334</v>
      </c>
      <c r="G60" s="775">
        <v>32428</v>
      </c>
      <c r="H60" s="775">
        <v>33378</v>
      </c>
      <c r="I60" s="775">
        <v>39370</v>
      </c>
      <c r="J60" s="775">
        <v>34118</v>
      </c>
      <c r="K60" s="775">
        <v>35159</v>
      </c>
      <c r="L60" s="775">
        <v>37163</v>
      </c>
      <c r="M60" s="775">
        <v>33547</v>
      </c>
      <c r="N60" s="775">
        <v>38937</v>
      </c>
      <c r="O60" s="775">
        <f t="shared" si="0"/>
        <v>425106</v>
      </c>
    </row>
    <row r="61" spans="1:15" hidden="1" outlineLevel="1">
      <c r="A61">
        <v>510020</v>
      </c>
      <c r="B61" t="s">
        <v>1186</v>
      </c>
      <c r="C61" s="775">
        <v>23824</v>
      </c>
      <c r="D61" s="775">
        <v>24353</v>
      </c>
      <c r="E61" s="775">
        <v>21153</v>
      </c>
      <c r="F61" s="775">
        <v>24010</v>
      </c>
      <c r="G61" s="775">
        <v>25874</v>
      </c>
      <c r="H61" s="775">
        <v>25831</v>
      </c>
      <c r="I61" s="775">
        <v>25248</v>
      </c>
      <c r="J61" s="775">
        <v>21744</v>
      </c>
      <c r="K61" s="775">
        <v>26203</v>
      </c>
      <c r="L61" s="775">
        <v>23787</v>
      </c>
      <c r="M61" s="775">
        <v>24280</v>
      </c>
      <c r="N61" s="775">
        <v>26474</v>
      </c>
      <c r="O61" s="775">
        <f t="shared" si="0"/>
        <v>292781</v>
      </c>
    </row>
    <row r="62" spans="1:15" hidden="1" outlineLevel="1">
      <c r="A62">
        <v>510061</v>
      </c>
      <c r="B62" t="s">
        <v>1187</v>
      </c>
      <c r="C62" s="775">
        <v>3449</v>
      </c>
      <c r="D62" s="775">
        <v>3239</v>
      </c>
      <c r="E62" s="775">
        <v>3239</v>
      </c>
      <c r="F62" s="775">
        <v>3239</v>
      </c>
      <c r="G62" s="775">
        <v>-17257</v>
      </c>
      <c r="H62" s="775">
        <v>4794</v>
      </c>
      <c r="I62" s="775">
        <v>3239</v>
      </c>
      <c r="J62" s="775">
        <v>3239</v>
      </c>
      <c r="K62" s="775">
        <v>3239</v>
      </c>
      <c r="L62" s="775">
        <v>3239</v>
      </c>
      <c r="M62" s="775">
        <v>3239</v>
      </c>
      <c r="N62" s="775">
        <v>3239</v>
      </c>
      <c r="O62" s="775">
        <f t="shared" si="0"/>
        <v>20137</v>
      </c>
    </row>
    <row r="63" spans="1:15" hidden="1" outlineLevel="1">
      <c r="A63">
        <v>510170</v>
      </c>
      <c r="B63" t="s">
        <v>1188</v>
      </c>
      <c r="C63" s="775">
        <v>5917</v>
      </c>
      <c r="D63" s="775">
        <v>5751</v>
      </c>
      <c r="E63" s="775">
        <v>5056</v>
      </c>
      <c r="F63" s="775">
        <v>6863</v>
      </c>
      <c r="G63" s="775">
        <v>4011</v>
      </c>
      <c r="H63" s="775">
        <v>5360</v>
      </c>
      <c r="I63" s="775">
        <v>5501</v>
      </c>
      <c r="J63" s="775">
        <v>5074</v>
      </c>
      <c r="K63" s="775">
        <v>5449</v>
      </c>
      <c r="L63" s="775">
        <v>6000</v>
      </c>
      <c r="M63" s="775">
        <v>5631</v>
      </c>
      <c r="N63" s="775">
        <v>6343</v>
      </c>
      <c r="O63" s="775">
        <f t="shared" si="0"/>
        <v>66956</v>
      </c>
    </row>
    <row r="64" spans="1:15" hidden="1" outlineLevel="1">
      <c r="A64">
        <v>510172</v>
      </c>
      <c r="B64" t="s">
        <v>1189</v>
      </c>
      <c r="C64" s="775">
        <v>-100</v>
      </c>
      <c r="D64" s="775">
        <v>581</v>
      </c>
      <c r="E64" s="775">
        <v>0</v>
      </c>
      <c r="F64" s="775">
        <v>0</v>
      </c>
      <c r="G64" s="775">
        <v>0</v>
      </c>
      <c r="H64" s="775">
        <v>213</v>
      </c>
      <c r="I64" s="775">
        <v>0</v>
      </c>
      <c r="J64" s="775">
        <v>0</v>
      </c>
      <c r="K64" s="775">
        <v>0</v>
      </c>
      <c r="L64" s="775">
        <v>0</v>
      </c>
      <c r="M64" s="775">
        <v>0</v>
      </c>
      <c r="N64" s="775">
        <v>0</v>
      </c>
      <c r="O64" s="775">
        <f t="shared" si="0"/>
        <v>694</v>
      </c>
    </row>
    <row r="65" spans="1:15" hidden="1" outlineLevel="1">
      <c r="A65">
        <v>510173</v>
      </c>
      <c r="B65" t="s">
        <v>1190</v>
      </c>
      <c r="C65" s="775">
        <v>1225</v>
      </c>
      <c r="D65" s="775">
        <v>737</v>
      </c>
      <c r="E65" s="775">
        <v>803</v>
      </c>
      <c r="F65" s="775">
        <v>2382</v>
      </c>
      <c r="G65" s="775">
        <v>1272</v>
      </c>
      <c r="H65" s="775">
        <v>751</v>
      </c>
      <c r="I65" s="775">
        <v>901</v>
      </c>
      <c r="J65" s="775">
        <v>1022</v>
      </c>
      <c r="K65" s="775">
        <v>-150</v>
      </c>
      <c r="L65" s="775">
        <v>1422</v>
      </c>
      <c r="M65" s="775">
        <v>771</v>
      </c>
      <c r="N65" s="775">
        <v>250</v>
      </c>
      <c r="O65" s="775">
        <f t="shared" si="0"/>
        <v>11386</v>
      </c>
    </row>
    <row r="66" spans="1:15" hidden="1" outlineLevel="1">
      <c r="A66">
        <v>510174</v>
      </c>
      <c r="B66" t="s">
        <v>1191</v>
      </c>
      <c r="C66" s="775">
        <v>4577</v>
      </c>
      <c r="D66" s="775">
        <v>4237</v>
      </c>
      <c r="E66" s="775">
        <v>1638</v>
      </c>
      <c r="F66" s="775">
        <v>2121</v>
      </c>
      <c r="G66" s="775">
        <v>7090</v>
      </c>
      <c r="H66" s="775">
        <v>4708</v>
      </c>
      <c r="I66" s="775">
        <v>1003</v>
      </c>
      <c r="J66" s="775">
        <v>4221</v>
      </c>
      <c r="K66" s="775">
        <v>3708</v>
      </c>
      <c r="L66" s="775">
        <v>3838</v>
      </c>
      <c r="M66" s="775">
        <v>3179</v>
      </c>
      <c r="N66" s="775">
        <v>2151</v>
      </c>
      <c r="O66" s="775">
        <f t="shared" si="0"/>
        <v>42471</v>
      </c>
    </row>
    <row r="67" spans="1:15" hidden="1" outlineLevel="1">
      <c r="A67">
        <v>510175</v>
      </c>
      <c r="B67" t="s">
        <v>997</v>
      </c>
      <c r="C67" s="775">
        <v>9159</v>
      </c>
      <c r="D67" s="775">
        <v>4265</v>
      </c>
      <c r="E67" s="775">
        <v>8359</v>
      </c>
      <c r="F67" s="775">
        <v>9089</v>
      </c>
      <c r="G67" s="775">
        <v>3665</v>
      </c>
      <c r="H67" s="775">
        <v>5432</v>
      </c>
      <c r="I67" s="775">
        <v>9027</v>
      </c>
      <c r="J67" s="775">
        <v>8614</v>
      </c>
      <c r="K67" s="775">
        <v>9134</v>
      </c>
      <c r="L67" s="775">
        <v>9335</v>
      </c>
      <c r="M67" s="775">
        <v>8584</v>
      </c>
      <c r="N67" s="775">
        <v>7914</v>
      </c>
      <c r="O67" s="775">
        <f t="shared" si="0"/>
        <v>92577</v>
      </c>
    </row>
    <row r="68" spans="1:15" hidden="1" outlineLevel="1">
      <c r="A68">
        <v>510176</v>
      </c>
      <c r="B68" t="s">
        <v>1192</v>
      </c>
      <c r="C68" s="775">
        <v>6339</v>
      </c>
      <c r="D68" s="775">
        <v>4655</v>
      </c>
      <c r="E68" s="775">
        <v>4433</v>
      </c>
      <c r="F68" s="775">
        <v>5098</v>
      </c>
      <c r="G68" s="775">
        <v>4877</v>
      </c>
      <c r="H68" s="775">
        <v>4655</v>
      </c>
      <c r="I68" s="775">
        <v>5099</v>
      </c>
      <c r="J68" s="775">
        <v>4657</v>
      </c>
      <c r="K68" s="775">
        <v>4867</v>
      </c>
      <c r="L68" s="775">
        <v>5101</v>
      </c>
      <c r="M68" s="775">
        <v>4435</v>
      </c>
      <c r="N68" s="775">
        <v>5125</v>
      </c>
      <c r="O68" s="775">
        <f t="shared" si="0"/>
        <v>59341</v>
      </c>
    </row>
    <row r="69" spans="1:15" hidden="1" outlineLevel="1">
      <c r="A69">
        <v>510177</v>
      </c>
      <c r="B69" t="s">
        <v>1193</v>
      </c>
      <c r="C69" s="775">
        <v>909</v>
      </c>
      <c r="D69" s="775">
        <v>922</v>
      </c>
      <c r="E69" s="775">
        <v>1167</v>
      </c>
      <c r="F69" s="775">
        <v>911</v>
      </c>
      <c r="G69" s="775">
        <v>837</v>
      </c>
      <c r="H69" s="775">
        <v>809</v>
      </c>
      <c r="I69" s="775">
        <v>878</v>
      </c>
      <c r="J69" s="775">
        <v>803</v>
      </c>
      <c r="K69" s="775">
        <v>759</v>
      </c>
      <c r="L69" s="775">
        <v>715</v>
      </c>
      <c r="M69" s="775">
        <v>610</v>
      </c>
      <c r="N69" s="775">
        <v>704</v>
      </c>
      <c r="O69" s="775">
        <f t="shared" si="0"/>
        <v>10024</v>
      </c>
    </row>
    <row r="70" spans="1:15" hidden="1" outlineLevel="1">
      <c r="A70">
        <v>510188</v>
      </c>
      <c r="B70" t="s">
        <v>998</v>
      </c>
      <c r="C70" s="775">
        <v>5243</v>
      </c>
      <c r="D70" s="775">
        <v>9645</v>
      </c>
      <c r="E70" s="775">
        <v>7530</v>
      </c>
      <c r="F70" s="775">
        <v>6967</v>
      </c>
      <c r="G70" s="775">
        <v>5957</v>
      </c>
      <c r="H70" s="775">
        <v>11193</v>
      </c>
      <c r="I70" s="775">
        <v>4160</v>
      </c>
      <c r="J70" s="775">
        <v>2694</v>
      </c>
      <c r="K70" s="775">
        <v>9688</v>
      </c>
      <c r="L70" s="775">
        <v>9659</v>
      </c>
      <c r="M70" s="775">
        <v>6670</v>
      </c>
      <c r="N70" s="775">
        <v>7358</v>
      </c>
      <c r="O70" s="775">
        <f t="shared" si="0"/>
        <v>86764</v>
      </c>
    </row>
    <row r="71" spans="1:15" hidden="1" outlineLevel="1">
      <c r="A71">
        <v>510998</v>
      </c>
      <c r="B71" t="s">
        <v>1194</v>
      </c>
      <c r="C71" s="775">
        <v>95437</v>
      </c>
      <c r="D71" s="775">
        <v>92468</v>
      </c>
      <c r="E71" s="775">
        <v>87076</v>
      </c>
      <c r="F71" s="775">
        <v>99015</v>
      </c>
      <c r="G71" s="775">
        <v>68752</v>
      </c>
      <c r="H71" s="775">
        <v>97123</v>
      </c>
      <c r="I71" s="775">
        <v>94426</v>
      </c>
      <c r="J71" s="775">
        <v>86186</v>
      </c>
      <c r="K71" s="775">
        <v>97467</v>
      </c>
      <c r="L71" s="775">
        <v>100258</v>
      </c>
      <c r="M71" s="775">
        <v>90947</v>
      </c>
      <c r="N71" s="775">
        <v>98095</v>
      </c>
      <c r="O71" s="775">
        <f t="shared" si="0"/>
        <v>1107250</v>
      </c>
    </row>
    <row r="72" spans="1:15" hidden="1" outlineLevel="1">
      <c r="A72">
        <v>510999</v>
      </c>
      <c r="B72" t="s">
        <v>1195</v>
      </c>
      <c r="C72" s="775">
        <v>-95437</v>
      </c>
      <c r="D72" s="775">
        <v>-92468</v>
      </c>
      <c r="E72" s="775">
        <v>-87076</v>
      </c>
      <c r="F72" s="775">
        <v>-99015</v>
      </c>
      <c r="G72" s="775">
        <v>-68752</v>
      </c>
      <c r="H72" s="775">
        <v>-97123</v>
      </c>
      <c r="I72" s="775">
        <v>-94426</v>
      </c>
      <c r="J72" s="775">
        <v>-86186</v>
      </c>
      <c r="K72" s="775">
        <v>-97467</v>
      </c>
      <c r="L72" s="775">
        <v>-100258</v>
      </c>
      <c r="M72" s="775">
        <v>-90947</v>
      </c>
      <c r="N72" s="775">
        <v>-98095</v>
      </c>
      <c r="O72" s="775">
        <f t="shared" ref="O72:O135" si="1">SUM(C72:N72)</f>
        <v>-1107250</v>
      </c>
    </row>
    <row r="73" spans="1:15" collapsed="1">
      <c r="B73" s="1184" t="s">
        <v>1196</v>
      </c>
      <c r="C73" s="1185">
        <v>95437</v>
      </c>
      <c r="D73" s="1185">
        <v>92468</v>
      </c>
      <c r="E73" s="1185">
        <v>87076</v>
      </c>
      <c r="F73" s="1185">
        <v>99015</v>
      </c>
      <c r="G73" s="1185">
        <v>68752</v>
      </c>
      <c r="H73" s="1185">
        <v>97123</v>
      </c>
      <c r="I73" s="1185">
        <v>94426</v>
      </c>
      <c r="J73" s="1185">
        <v>86186</v>
      </c>
      <c r="K73" s="1185">
        <v>98056</v>
      </c>
      <c r="L73" s="1185">
        <v>100258</v>
      </c>
      <c r="M73" s="1185">
        <v>90947</v>
      </c>
      <c r="N73" s="1185">
        <v>98496</v>
      </c>
      <c r="O73" s="1185">
        <f t="shared" si="1"/>
        <v>1108240</v>
      </c>
    </row>
    <row r="74" spans="1:15">
      <c r="B74" s="744" t="s">
        <v>1197</v>
      </c>
      <c r="C74" s="1181">
        <v>892752</v>
      </c>
      <c r="D74" s="1181">
        <v>858756</v>
      </c>
      <c r="E74" s="1181">
        <v>776479</v>
      </c>
      <c r="F74" s="1181">
        <v>952815</v>
      </c>
      <c r="G74" s="1181">
        <v>812376</v>
      </c>
      <c r="H74" s="1181">
        <v>841617</v>
      </c>
      <c r="I74" s="1181">
        <v>872936</v>
      </c>
      <c r="J74" s="1181">
        <v>874148</v>
      </c>
      <c r="K74" s="1181">
        <v>889307</v>
      </c>
      <c r="L74" s="1181">
        <v>962880</v>
      </c>
      <c r="M74" s="1181">
        <v>885549</v>
      </c>
      <c r="N74" s="1181">
        <v>906154</v>
      </c>
      <c r="O74" s="1181">
        <f t="shared" si="1"/>
        <v>10525769</v>
      </c>
    </row>
    <row r="75" spans="1:15" hidden="1" outlineLevel="1">
      <c r="A75">
        <v>520010</v>
      </c>
      <c r="B75" t="s">
        <v>1198</v>
      </c>
      <c r="C75" s="775">
        <v>10796</v>
      </c>
      <c r="D75" s="775">
        <v>10306</v>
      </c>
      <c r="E75" s="775">
        <v>9913</v>
      </c>
      <c r="F75" s="775">
        <v>5175</v>
      </c>
      <c r="G75" s="775">
        <v>8540</v>
      </c>
      <c r="H75" s="775">
        <v>9548</v>
      </c>
      <c r="I75" s="775">
        <v>10034</v>
      </c>
      <c r="J75" s="775">
        <v>12228</v>
      </c>
      <c r="K75" s="775">
        <v>12300</v>
      </c>
      <c r="L75" s="775">
        <v>6865</v>
      </c>
      <c r="M75" s="775">
        <v>6346</v>
      </c>
      <c r="N75" s="775">
        <v>6634</v>
      </c>
      <c r="O75" s="775">
        <f t="shared" si="1"/>
        <v>108685</v>
      </c>
    </row>
    <row r="76" spans="1:15" hidden="1" outlineLevel="1">
      <c r="A76">
        <v>520020</v>
      </c>
      <c r="B76" t="s">
        <v>1199</v>
      </c>
      <c r="C76" s="775">
        <v>54993</v>
      </c>
      <c r="D76" s="775">
        <v>40573</v>
      </c>
      <c r="E76" s="775">
        <v>47060</v>
      </c>
      <c r="F76" s="775">
        <v>59207</v>
      </c>
      <c r="G76" s="775">
        <v>54293</v>
      </c>
      <c r="H76" s="775">
        <v>50901</v>
      </c>
      <c r="I76" s="775">
        <v>74602</v>
      </c>
      <c r="J76" s="775">
        <v>53164</v>
      </c>
      <c r="K76" s="775">
        <v>43484</v>
      </c>
      <c r="L76" s="775">
        <v>58108</v>
      </c>
      <c r="M76" s="775">
        <v>39095</v>
      </c>
      <c r="N76" s="775">
        <v>60842</v>
      </c>
      <c r="O76" s="775">
        <f t="shared" si="1"/>
        <v>636322</v>
      </c>
    </row>
    <row r="77" spans="1:15" hidden="1" outlineLevel="1">
      <c r="A77">
        <v>520030</v>
      </c>
      <c r="B77" t="s">
        <v>1200</v>
      </c>
      <c r="C77" s="775">
        <v>6931</v>
      </c>
      <c r="D77" s="775">
        <v>5576</v>
      </c>
      <c r="E77" s="775">
        <v>5381</v>
      </c>
      <c r="F77" s="775">
        <v>6865</v>
      </c>
      <c r="G77" s="775">
        <v>5948</v>
      </c>
      <c r="H77" s="775">
        <v>6653</v>
      </c>
      <c r="I77" s="775">
        <v>7261</v>
      </c>
      <c r="J77" s="775">
        <v>6331</v>
      </c>
      <c r="K77" s="775">
        <v>6069</v>
      </c>
      <c r="L77" s="775">
        <v>6270</v>
      </c>
      <c r="M77" s="775">
        <v>6067</v>
      </c>
      <c r="N77" s="775">
        <v>6408</v>
      </c>
      <c r="O77" s="775">
        <f t="shared" si="1"/>
        <v>75760</v>
      </c>
    </row>
    <row r="78" spans="1:15" hidden="1" outlineLevel="1">
      <c r="A78">
        <v>520060</v>
      </c>
      <c r="B78" t="s">
        <v>1201</v>
      </c>
      <c r="C78" s="775">
        <v>0</v>
      </c>
      <c r="D78" s="775">
        <v>0</v>
      </c>
      <c r="E78" s="775">
        <v>0</v>
      </c>
      <c r="F78" s="775">
        <v>0</v>
      </c>
      <c r="G78" s="775">
        <v>0</v>
      </c>
      <c r="H78" s="775">
        <v>0</v>
      </c>
      <c r="I78" s="775">
        <v>0</v>
      </c>
      <c r="J78" s="775">
        <v>2000</v>
      </c>
      <c r="K78" s="775">
        <v>0</v>
      </c>
      <c r="L78" s="775">
        <v>0</v>
      </c>
      <c r="M78" s="775">
        <v>0</v>
      </c>
      <c r="N78" s="775">
        <v>0</v>
      </c>
      <c r="O78" s="775">
        <f t="shared" si="1"/>
        <v>2000</v>
      </c>
    </row>
    <row r="79" spans="1:15" hidden="1" outlineLevel="1">
      <c r="A79">
        <v>520061</v>
      </c>
      <c r="B79" t="s">
        <v>999</v>
      </c>
      <c r="C79" s="775">
        <v>1792</v>
      </c>
      <c r="D79" s="775">
        <v>1693</v>
      </c>
      <c r="E79" s="775">
        <v>1693</v>
      </c>
      <c r="F79" s="775">
        <v>1693</v>
      </c>
      <c r="G79" s="775">
        <v>687</v>
      </c>
      <c r="H79" s="775">
        <v>2430</v>
      </c>
      <c r="I79" s="775">
        <v>1693</v>
      </c>
      <c r="J79" s="775">
        <v>1693</v>
      </c>
      <c r="K79" s="775">
        <v>1693</v>
      </c>
      <c r="L79" s="775">
        <v>1417</v>
      </c>
      <c r="M79" s="775">
        <v>313</v>
      </c>
      <c r="N79" s="775">
        <v>441</v>
      </c>
      <c r="O79" s="775">
        <f t="shared" si="1"/>
        <v>17238</v>
      </c>
    </row>
    <row r="80" spans="1:15" hidden="1" outlineLevel="1">
      <c r="A80">
        <v>520170</v>
      </c>
      <c r="B80" t="s">
        <v>1202</v>
      </c>
      <c r="C80" s="775">
        <v>6897</v>
      </c>
      <c r="D80" s="775">
        <v>7689</v>
      </c>
      <c r="E80" s="775">
        <v>5924</v>
      </c>
      <c r="F80" s="775">
        <v>8190</v>
      </c>
      <c r="G80" s="775">
        <v>8208</v>
      </c>
      <c r="H80" s="775">
        <v>6059</v>
      </c>
      <c r="I80" s="775">
        <v>8180</v>
      </c>
      <c r="J80" s="775">
        <v>6950</v>
      </c>
      <c r="K80" s="775">
        <v>6086</v>
      </c>
      <c r="L80" s="775">
        <v>6607</v>
      </c>
      <c r="M80" s="775">
        <v>5552</v>
      </c>
      <c r="N80" s="775">
        <v>7231</v>
      </c>
      <c r="O80" s="775">
        <f t="shared" si="1"/>
        <v>83573</v>
      </c>
    </row>
    <row r="81" spans="1:15" hidden="1" outlineLevel="1">
      <c r="A81">
        <v>520172</v>
      </c>
      <c r="B81" t="s">
        <v>1203</v>
      </c>
      <c r="C81" s="775">
        <v>4</v>
      </c>
      <c r="D81" s="775">
        <v>0</v>
      </c>
      <c r="E81" s="775">
        <v>0</v>
      </c>
      <c r="F81" s="775">
        <v>1369</v>
      </c>
      <c r="G81" s="775">
        <v>0</v>
      </c>
      <c r="H81" s="775">
        <v>0</v>
      </c>
      <c r="I81" s="775">
        <v>0</v>
      </c>
      <c r="J81" s="775">
        <v>0</v>
      </c>
      <c r="K81" s="775">
        <v>0</v>
      </c>
      <c r="L81" s="775">
        <v>0</v>
      </c>
      <c r="M81" s="775">
        <v>0</v>
      </c>
      <c r="N81" s="775">
        <v>-193</v>
      </c>
      <c r="O81" s="775">
        <f t="shared" si="1"/>
        <v>1180</v>
      </c>
    </row>
    <row r="82" spans="1:15" hidden="1" outlineLevel="1">
      <c r="A82">
        <v>520173</v>
      </c>
      <c r="B82" t="s">
        <v>1204</v>
      </c>
      <c r="C82" s="775">
        <v>207</v>
      </c>
      <c r="D82" s="775">
        <v>288</v>
      </c>
      <c r="E82" s="775">
        <v>1185</v>
      </c>
      <c r="F82" s="775">
        <v>7729</v>
      </c>
      <c r="G82" s="775">
        <v>3058</v>
      </c>
      <c r="H82" s="775">
        <v>3988</v>
      </c>
      <c r="I82" s="775">
        <v>493</v>
      </c>
      <c r="J82" s="775">
        <v>2280</v>
      </c>
      <c r="K82" s="775">
        <v>269</v>
      </c>
      <c r="L82" s="775">
        <v>3145</v>
      </c>
      <c r="M82" s="775">
        <v>3143</v>
      </c>
      <c r="N82" s="775">
        <v>65</v>
      </c>
      <c r="O82" s="775">
        <f t="shared" si="1"/>
        <v>25850</v>
      </c>
    </row>
    <row r="83" spans="1:15" hidden="1" outlineLevel="1">
      <c r="A83">
        <v>520174</v>
      </c>
      <c r="B83" t="s">
        <v>1205</v>
      </c>
      <c r="C83" s="775">
        <v>4277</v>
      </c>
      <c r="D83" s="775">
        <v>5320</v>
      </c>
      <c r="E83" s="775">
        <v>3951</v>
      </c>
      <c r="F83" s="775">
        <v>3443</v>
      </c>
      <c r="G83" s="775">
        <v>7856</v>
      </c>
      <c r="H83" s="775">
        <v>4057</v>
      </c>
      <c r="I83" s="775">
        <v>4488</v>
      </c>
      <c r="J83" s="775">
        <v>6387</v>
      </c>
      <c r="K83" s="775">
        <v>5429</v>
      </c>
      <c r="L83" s="775">
        <v>4183</v>
      </c>
      <c r="M83" s="775">
        <v>6603</v>
      </c>
      <c r="N83" s="775">
        <v>4589</v>
      </c>
      <c r="O83" s="775">
        <f t="shared" si="1"/>
        <v>60583</v>
      </c>
    </row>
    <row r="84" spans="1:15" hidden="1" outlineLevel="1">
      <c r="A84">
        <v>520175</v>
      </c>
      <c r="B84" t="s">
        <v>1206</v>
      </c>
      <c r="C84" s="775">
        <v>43207</v>
      </c>
      <c r="D84" s="775">
        <v>30150</v>
      </c>
      <c r="E84" s="775">
        <v>31505</v>
      </c>
      <c r="F84" s="775">
        <v>31726</v>
      </c>
      <c r="G84" s="775">
        <v>31079</v>
      </c>
      <c r="H84" s="775">
        <v>36633</v>
      </c>
      <c r="I84" s="775">
        <v>36604</v>
      </c>
      <c r="J84" s="775">
        <v>29045</v>
      </c>
      <c r="K84" s="775">
        <v>27611</v>
      </c>
      <c r="L84" s="775">
        <v>28350</v>
      </c>
      <c r="M84" s="775">
        <v>28803</v>
      </c>
      <c r="N84" s="775">
        <v>30143</v>
      </c>
      <c r="O84" s="775">
        <f t="shared" si="1"/>
        <v>384856</v>
      </c>
    </row>
    <row r="85" spans="1:15" hidden="1" outlineLevel="1">
      <c r="A85">
        <v>520176</v>
      </c>
      <c r="B85" t="s">
        <v>1207</v>
      </c>
      <c r="C85" s="775">
        <v>2810</v>
      </c>
      <c r="D85" s="775">
        <v>1459</v>
      </c>
      <c r="E85" s="775">
        <v>1380</v>
      </c>
      <c r="F85" s="775">
        <v>1637</v>
      </c>
      <c r="G85" s="775">
        <v>1597</v>
      </c>
      <c r="H85" s="775">
        <v>1430</v>
      </c>
      <c r="I85" s="775">
        <v>1773</v>
      </c>
      <c r="J85" s="775">
        <v>1663</v>
      </c>
      <c r="K85" s="775">
        <v>1743</v>
      </c>
      <c r="L85" s="775">
        <v>1822</v>
      </c>
      <c r="M85" s="775">
        <v>1584</v>
      </c>
      <c r="N85" s="775">
        <v>1831</v>
      </c>
      <c r="O85" s="775">
        <f t="shared" si="1"/>
        <v>20729</v>
      </c>
    </row>
    <row r="86" spans="1:15" hidden="1" outlineLevel="1">
      <c r="A86">
        <v>520188</v>
      </c>
      <c r="B86" t="s">
        <v>1208</v>
      </c>
      <c r="C86" s="775">
        <v>538</v>
      </c>
      <c r="D86" s="775">
        <v>348</v>
      </c>
      <c r="E86" s="775">
        <v>294</v>
      </c>
      <c r="F86" s="775">
        <v>475</v>
      </c>
      <c r="G86" s="775">
        <v>331</v>
      </c>
      <c r="H86" s="775">
        <v>303</v>
      </c>
      <c r="I86" s="775">
        <v>231</v>
      </c>
      <c r="J86" s="775">
        <v>619</v>
      </c>
      <c r="K86" s="775">
        <v>188</v>
      </c>
      <c r="L86" s="775">
        <v>368</v>
      </c>
      <c r="M86" s="775">
        <v>1234</v>
      </c>
      <c r="N86" s="775">
        <v>365</v>
      </c>
      <c r="O86" s="775">
        <f t="shared" si="1"/>
        <v>5294</v>
      </c>
    </row>
    <row r="87" spans="1:15" hidden="1" outlineLevel="1">
      <c r="A87">
        <v>520999</v>
      </c>
      <c r="B87" t="s">
        <v>1209</v>
      </c>
      <c r="C87" s="775">
        <v>-132451</v>
      </c>
      <c r="D87" s="775">
        <v>-103403</v>
      </c>
      <c r="E87" s="775">
        <v>-108288</v>
      </c>
      <c r="F87" s="775">
        <v>-127510</v>
      </c>
      <c r="G87" s="775">
        <v>-121597</v>
      </c>
      <c r="H87" s="775">
        <v>-122002</v>
      </c>
      <c r="I87" s="775">
        <v>-145360</v>
      </c>
      <c r="J87" s="775">
        <v>-122362</v>
      </c>
      <c r="K87" s="775">
        <v>-104873</v>
      </c>
      <c r="L87" s="775">
        <v>-117134</v>
      </c>
      <c r="M87" s="775">
        <v>-98740</v>
      </c>
      <c r="N87" s="775">
        <v>-118356</v>
      </c>
      <c r="O87" s="775">
        <f t="shared" si="1"/>
        <v>-1422076</v>
      </c>
    </row>
    <row r="88" spans="1:15" hidden="1" outlineLevel="1">
      <c r="A88">
        <v>525030</v>
      </c>
      <c r="B88" t="s">
        <v>1210</v>
      </c>
      <c r="C88" s="775">
        <v>3630</v>
      </c>
      <c r="D88" s="775">
        <v>3108</v>
      </c>
      <c r="E88" s="775">
        <v>2397</v>
      </c>
      <c r="F88" s="775">
        <v>3052</v>
      </c>
      <c r="G88" s="775">
        <v>2809</v>
      </c>
      <c r="H88" s="775">
        <v>2942</v>
      </c>
      <c r="I88" s="775">
        <v>3272</v>
      </c>
      <c r="J88" s="775">
        <v>2451</v>
      </c>
      <c r="K88" s="775">
        <v>3009</v>
      </c>
      <c r="L88" s="775">
        <v>3758</v>
      </c>
      <c r="M88" s="775">
        <v>2686</v>
      </c>
      <c r="N88" s="775">
        <v>2669</v>
      </c>
      <c r="O88" s="775">
        <f t="shared" si="1"/>
        <v>35783</v>
      </c>
    </row>
    <row r="89" spans="1:15" hidden="1" outlineLevel="1">
      <c r="A89">
        <v>525170</v>
      </c>
      <c r="B89" t="s">
        <v>1211</v>
      </c>
      <c r="C89" s="775">
        <v>2740</v>
      </c>
      <c r="D89" s="775">
        <v>1667</v>
      </c>
      <c r="E89" s="775">
        <v>241</v>
      </c>
      <c r="F89" s="775">
        <v>337</v>
      </c>
      <c r="G89" s="775">
        <v>303</v>
      </c>
      <c r="H89" s="775">
        <v>291</v>
      </c>
      <c r="I89" s="775">
        <v>301</v>
      </c>
      <c r="J89" s="775">
        <v>253</v>
      </c>
      <c r="K89" s="775">
        <v>278</v>
      </c>
      <c r="L89" s="775">
        <v>357</v>
      </c>
      <c r="M89" s="775">
        <v>256</v>
      </c>
      <c r="N89" s="775">
        <v>258</v>
      </c>
      <c r="O89" s="775">
        <f t="shared" si="1"/>
        <v>7282</v>
      </c>
    </row>
    <row r="90" spans="1:15" hidden="1" outlineLevel="1">
      <c r="A90">
        <v>525173</v>
      </c>
      <c r="B90" t="s">
        <v>1212</v>
      </c>
      <c r="C90" s="775">
        <v>0</v>
      </c>
      <c r="D90" s="775">
        <v>0</v>
      </c>
      <c r="E90" s="775">
        <v>244</v>
      </c>
      <c r="F90" s="775">
        <v>244</v>
      </c>
      <c r="G90" s="775">
        <v>119</v>
      </c>
      <c r="H90" s="775">
        <v>119</v>
      </c>
      <c r="I90" s="775">
        <v>-21</v>
      </c>
      <c r="J90" s="775">
        <v>234</v>
      </c>
      <c r="K90" s="775">
        <v>0</v>
      </c>
      <c r="L90" s="775">
        <v>106</v>
      </c>
      <c r="M90" s="775">
        <v>0</v>
      </c>
      <c r="N90" s="775">
        <v>0</v>
      </c>
      <c r="O90" s="775">
        <f t="shared" si="1"/>
        <v>1045</v>
      </c>
    </row>
    <row r="91" spans="1:15" hidden="1" outlineLevel="1">
      <c r="A91">
        <v>525174</v>
      </c>
      <c r="B91" t="s">
        <v>1213</v>
      </c>
      <c r="C91" s="775">
        <v>192</v>
      </c>
      <c r="D91" s="775">
        <v>202</v>
      </c>
      <c r="E91" s="775">
        <v>37</v>
      </c>
      <c r="F91" s="775">
        <v>27</v>
      </c>
      <c r="G91" s="775">
        <v>302</v>
      </c>
      <c r="H91" s="775">
        <v>52</v>
      </c>
      <c r="I91" s="775">
        <v>24</v>
      </c>
      <c r="J91" s="775">
        <v>35</v>
      </c>
      <c r="K91" s="775">
        <v>26</v>
      </c>
      <c r="L91" s="775">
        <v>24</v>
      </c>
      <c r="M91" s="775">
        <v>134</v>
      </c>
      <c r="N91" s="775">
        <v>11</v>
      </c>
      <c r="O91" s="775">
        <f t="shared" si="1"/>
        <v>1066</v>
      </c>
    </row>
    <row r="92" spans="1:15" hidden="1" outlineLevel="1">
      <c r="A92">
        <v>525175</v>
      </c>
      <c r="B92" t="s">
        <v>1214</v>
      </c>
      <c r="C92" s="775">
        <v>2156</v>
      </c>
      <c r="D92" s="775">
        <v>2169</v>
      </c>
      <c r="E92" s="775">
        <v>2087</v>
      </c>
      <c r="F92" s="775">
        <v>876</v>
      </c>
      <c r="G92" s="775">
        <v>2173</v>
      </c>
      <c r="H92" s="775">
        <v>2086</v>
      </c>
      <c r="I92" s="775">
        <v>2121</v>
      </c>
      <c r="J92" s="775">
        <v>2055</v>
      </c>
      <c r="K92" s="775">
        <v>2891</v>
      </c>
      <c r="L92" s="775">
        <v>1311</v>
      </c>
      <c r="M92" s="775">
        <v>0</v>
      </c>
      <c r="N92" s="775">
        <v>0</v>
      </c>
      <c r="O92" s="775">
        <f t="shared" si="1"/>
        <v>19925</v>
      </c>
    </row>
    <row r="93" spans="1:15" hidden="1" outlineLevel="1">
      <c r="A93">
        <v>525999</v>
      </c>
      <c r="B93" t="s">
        <v>1215</v>
      </c>
      <c r="C93" s="775">
        <v>-8718</v>
      </c>
      <c r="D93" s="775">
        <v>-7146</v>
      </c>
      <c r="E93" s="775">
        <v>-5007</v>
      </c>
      <c r="F93" s="775">
        <v>-4537</v>
      </c>
      <c r="G93" s="775">
        <v>-5706</v>
      </c>
      <c r="H93" s="775">
        <v>-5490</v>
      </c>
      <c r="I93" s="775">
        <v>-5697</v>
      </c>
      <c r="J93" s="775">
        <v>-5027</v>
      </c>
      <c r="K93" s="775">
        <v>-6204</v>
      </c>
      <c r="L93" s="775">
        <v>-5557</v>
      </c>
      <c r="M93" s="775">
        <v>-3075</v>
      </c>
      <c r="N93" s="775">
        <v>-2938</v>
      </c>
      <c r="O93" s="775">
        <f t="shared" si="1"/>
        <v>-65102</v>
      </c>
    </row>
    <row r="94" spans="1:15" hidden="1" outlineLevel="1">
      <c r="A94">
        <v>530010</v>
      </c>
      <c r="B94" t="s">
        <v>161</v>
      </c>
      <c r="C94" s="775">
        <v>130249</v>
      </c>
      <c r="D94" s="775">
        <v>129980</v>
      </c>
      <c r="E94" s="775">
        <v>116031</v>
      </c>
      <c r="F94" s="775">
        <v>137199</v>
      </c>
      <c r="G94" s="775">
        <v>108683</v>
      </c>
      <c r="H94" s="775">
        <v>115985</v>
      </c>
      <c r="I94" s="775">
        <v>116960</v>
      </c>
      <c r="J94" s="775">
        <v>112707</v>
      </c>
      <c r="K94" s="775">
        <v>119199</v>
      </c>
      <c r="L94" s="775">
        <v>129253</v>
      </c>
      <c r="M94" s="775">
        <v>111394</v>
      </c>
      <c r="N94" s="775">
        <v>125151</v>
      </c>
      <c r="O94" s="775">
        <f t="shared" si="1"/>
        <v>1452791</v>
      </c>
    </row>
    <row r="95" spans="1:15" hidden="1" outlineLevel="1">
      <c r="A95">
        <v>530015</v>
      </c>
      <c r="B95" t="s">
        <v>1216</v>
      </c>
      <c r="C95" s="775">
        <v>10666</v>
      </c>
      <c r="D95" s="775">
        <v>9120</v>
      </c>
      <c r="E95" s="775">
        <v>7475</v>
      </c>
      <c r="F95" s="775">
        <v>9251</v>
      </c>
      <c r="G95" s="775">
        <v>12959</v>
      </c>
      <c r="H95" s="775">
        <v>9108</v>
      </c>
      <c r="I95" s="775">
        <v>9877</v>
      </c>
      <c r="J95" s="775">
        <v>13548</v>
      </c>
      <c r="K95" s="775">
        <v>12460</v>
      </c>
      <c r="L95" s="775">
        <v>10898</v>
      </c>
      <c r="M95" s="775">
        <v>7985</v>
      </c>
      <c r="N95" s="775">
        <v>15031</v>
      </c>
      <c r="O95" s="775">
        <f t="shared" si="1"/>
        <v>128378</v>
      </c>
    </row>
    <row r="96" spans="1:15" hidden="1" outlineLevel="1">
      <c r="A96">
        <v>530030</v>
      </c>
      <c r="B96" t="s">
        <v>1217</v>
      </c>
      <c r="C96" s="775">
        <v>7892</v>
      </c>
      <c r="D96" s="775">
        <v>9152</v>
      </c>
      <c r="E96" s="775">
        <v>8250</v>
      </c>
      <c r="F96" s="775">
        <v>9537</v>
      </c>
      <c r="G96" s="775">
        <v>9923</v>
      </c>
      <c r="H96" s="775">
        <v>8713</v>
      </c>
      <c r="I96" s="775">
        <v>8547</v>
      </c>
      <c r="J96" s="775">
        <v>8547</v>
      </c>
      <c r="K96" s="775">
        <v>8547</v>
      </c>
      <c r="L96" s="775">
        <v>8547</v>
      </c>
      <c r="M96" s="775">
        <v>8322</v>
      </c>
      <c r="N96" s="775">
        <v>8368</v>
      </c>
      <c r="O96" s="775">
        <f t="shared" si="1"/>
        <v>104345</v>
      </c>
    </row>
    <row r="97" spans="1:15" hidden="1" outlineLevel="1">
      <c r="A97">
        <v>530050</v>
      </c>
      <c r="B97" t="s">
        <v>1000</v>
      </c>
      <c r="C97" s="775">
        <v>529</v>
      </c>
      <c r="D97" s="775">
        <v>31</v>
      </c>
      <c r="E97" s="775">
        <v>47</v>
      </c>
      <c r="F97" s="775">
        <v>526</v>
      </c>
      <c r="G97" s="775">
        <v>22</v>
      </c>
      <c r="H97" s="775">
        <v>542</v>
      </c>
      <c r="I97" s="775">
        <v>40</v>
      </c>
      <c r="J97" s="775">
        <v>0</v>
      </c>
      <c r="K97" s="775">
        <v>526</v>
      </c>
      <c r="L97" s="775">
        <v>505</v>
      </c>
      <c r="M97" s="775">
        <v>0</v>
      </c>
      <c r="N97" s="775">
        <v>564</v>
      </c>
      <c r="O97" s="775">
        <f t="shared" si="1"/>
        <v>3332</v>
      </c>
    </row>
    <row r="98" spans="1:15" hidden="1" outlineLevel="1">
      <c r="A98">
        <v>530060</v>
      </c>
      <c r="B98" t="s">
        <v>1218</v>
      </c>
      <c r="C98" s="775">
        <v>0</v>
      </c>
      <c r="D98" s="775">
        <v>493</v>
      </c>
      <c r="E98" s="775">
        <v>0</v>
      </c>
      <c r="F98" s="775">
        <v>0</v>
      </c>
      <c r="G98" s="775">
        <v>766</v>
      </c>
      <c r="H98" s="775">
        <v>0</v>
      </c>
      <c r="I98" s="775">
        <v>0</v>
      </c>
      <c r="J98" s="775">
        <v>0</v>
      </c>
      <c r="K98" s="775">
        <v>0</v>
      </c>
      <c r="L98" s="775">
        <v>0</v>
      </c>
      <c r="M98" s="775">
        <v>0</v>
      </c>
      <c r="N98" s="775">
        <v>0</v>
      </c>
      <c r="O98" s="775">
        <f t="shared" si="1"/>
        <v>1259</v>
      </c>
    </row>
    <row r="99" spans="1:15" hidden="1" outlineLevel="1">
      <c r="A99">
        <v>530064</v>
      </c>
      <c r="B99" t="s">
        <v>1001</v>
      </c>
      <c r="C99" s="775">
        <v>493</v>
      </c>
      <c r="D99" s="775">
        <v>0</v>
      </c>
      <c r="E99" s="775">
        <v>986</v>
      </c>
      <c r="F99" s="775">
        <v>493</v>
      </c>
      <c r="G99" s="775">
        <v>110</v>
      </c>
      <c r="H99" s="775">
        <v>1697</v>
      </c>
      <c r="I99" s="775">
        <v>0</v>
      </c>
      <c r="J99" s="775">
        <v>110</v>
      </c>
      <c r="K99" s="775">
        <v>493</v>
      </c>
      <c r="L99" s="775">
        <v>493</v>
      </c>
      <c r="M99" s="775">
        <v>986</v>
      </c>
      <c r="N99" s="775">
        <v>110</v>
      </c>
      <c r="O99" s="775">
        <f t="shared" si="1"/>
        <v>5971</v>
      </c>
    </row>
    <row r="100" spans="1:15" hidden="1" outlineLevel="1">
      <c r="A100">
        <v>530065</v>
      </c>
      <c r="B100" t="s">
        <v>1219</v>
      </c>
      <c r="C100" s="775">
        <v>0</v>
      </c>
      <c r="D100" s="775">
        <v>0</v>
      </c>
      <c r="E100" s="775">
        <v>5573</v>
      </c>
      <c r="F100" s="775">
        <v>5573</v>
      </c>
      <c r="G100" s="775">
        <v>5573</v>
      </c>
      <c r="H100" s="775">
        <v>5573</v>
      </c>
      <c r="I100" s="775">
        <v>5573</v>
      </c>
      <c r="J100" s="775">
        <v>5573</v>
      </c>
      <c r="K100" s="775">
        <v>5573</v>
      </c>
      <c r="L100" s="775">
        <v>5573</v>
      </c>
      <c r="M100" s="775">
        <v>5573</v>
      </c>
      <c r="N100" s="775">
        <v>5573</v>
      </c>
      <c r="O100" s="775">
        <f t="shared" si="1"/>
        <v>55730</v>
      </c>
    </row>
    <row r="101" spans="1:15" hidden="1" outlineLevel="1">
      <c r="A101">
        <v>530067</v>
      </c>
      <c r="B101" t="s">
        <v>1220</v>
      </c>
      <c r="C101" s="775">
        <v>3496</v>
      </c>
      <c r="D101" s="775">
        <v>0</v>
      </c>
      <c r="E101" s="775">
        <v>506</v>
      </c>
      <c r="F101" s="775">
        <v>506</v>
      </c>
      <c r="G101" s="775">
        <v>506</v>
      </c>
      <c r="H101" s="775">
        <v>506</v>
      </c>
      <c r="I101" s="775">
        <v>506</v>
      </c>
      <c r="J101" s="775">
        <v>506</v>
      </c>
      <c r="K101" s="775">
        <v>506</v>
      </c>
      <c r="L101" s="775">
        <v>506</v>
      </c>
      <c r="M101" s="775">
        <v>506</v>
      </c>
      <c r="N101" s="775">
        <v>506</v>
      </c>
      <c r="O101" s="775">
        <f t="shared" si="1"/>
        <v>8556</v>
      </c>
    </row>
    <row r="102" spans="1:15" hidden="1" outlineLevel="1">
      <c r="A102">
        <v>530068</v>
      </c>
      <c r="B102" t="s">
        <v>1221</v>
      </c>
      <c r="C102" s="775">
        <v>0</v>
      </c>
      <c r="D102" s="775">
        <v>0</v>
      </c>
      <c r="E102" s="775">
        <v>-5573</v>
      </c>
      <c r="F102" s="775">
        <v>-5573</v>
      </c>
      <c r="G102" s="775">
        <v>-5573</v>
      </c>
      <c r="H102" s="775">
        <v>-5573</v>
      </c>
      <c r="I102" s="775">
        <v>-5573</v>
      </c>
      <c r="J102" s="775">
        <v>-5573</v>
      </c>
      <c r="K102" s="775">
        <v>-5573</v>
      </c>
      <c r="L102" s="775">
        <v>-5573</v>
      </c>
      <c r="M102" s="775">
        <v>-5573</v>
      </c>
      <c r="N102" s="775">
        <v>-5573</v>
      </c>
      <c r="O102" s="775">
        <f t="shared" si="1"/>
        <v>-55730</v>
      </c>
    </row>
    <row r="103" spans="1:15" hidden="1" outlineLevel="1">
      <c r="A103">
        <v>530070</v>
      </c>
      <c r="B103" t="s">
        <v>1222</v>
      </c>
      <c r="C103" s="775">
        <v>513</v>
      </c>
      <c r="D103" s="775">
        <v>513</v>
      </c>
      <c r="E103" s="775">
        <v>513</v>
      </c>
      <c r="F103" s="775">
        <v>513</v>
      </c>
      <c r="G103" s="775">
        <v>513</v>
      </c>
      <c r="H103" s="775">
        <v>513</v>
      </c>
      <c r="I103" s="775">
        <v>513</v>
      </c>
      <c r="J103" s="775">
        <v>513</v>
      </c>
      <c r="K103" s="775">
        <v>513</v>
      </c>
      <c r="L103" s="775">
        <v>499</v>
      </c>
      <c r="M103" s="775">
        <v>1055</v>
      </c>
      <c r="N103" s="775">
        <v>1091</v>
      </c>
      <c r="O103" s="775">
        <f t="shared" si="1"/>
        <v>7262</v>
      </c>
    </row>
    <row r="104" spans="1:15" hidden="1" outlineLevel="1">
      <c r="A104">
        <v>530998</v>
      </c>
      <c r="B104" t="s">
        <v>1223</v>
      </c>
      <c r="C104" s="775">
        <v>14578</v>
      </c>
      <c r="D104" s="775">
        <v>13653</v>
      </c>
      <c r="E104" s="775">
        <v>10358</v>
      </c>
      <c r="F104" s="775">
        <v>12386</v>
      </c>
      <c r="G104" s="775">
        <v>13301</v>
      </c>
      <c r="H104" s="775">
        <v>9907</v>
      </c>
      <c r="I104" s="775">
        <v>15936</v>
      </c>
      <c r="J104" s="775">
        <v>10500</v>
      </c>
      <c r="K104" s="775">
        <v>21608</v>
      </c>
      <c r="L104" s="775">
        <v>15240</v>
      </c>
      <c r="M104" s="775">
        <v>15714</v>
      </c>
      <c r="N104" s="775">
        <v>9521</v>
      </c>
      <c r="O104" s="775">
        <f t="shared" si="1"/>
        <v>162702</v>
      </c>
    </row>
    <row r="105" spans="1:15" hidden="1" outlineLevel="1">
      <c r="A105">
        <v>530999</v>
      </c>
      <c r="B105" t="s">
        <v>1224</v>
      </c>
      <c r="C105" s="775">
        <v>-14578</v>
      </c>
      <c r="D105" s="775">
        <v>-13653</v>
      </c>
      <c r="E105" s="775">
        <v>-10358</v>
      </c>
      <c r="F105" s="775">
        <v>-12386</v>
      </c>
      <c r="G105" s="775">
        <v>-13301</v>
      </c>
      <c r="H105" s="775">
        <v>-9907</v>
      </c>
      <c r="I105" s="775">
        <v>-15936</v>
      </c>
      <c r="J105" s="775">
        <v>-10500</v>
      </c>
      <c r="K105" s="775">
        <v>-21608</v>
      </c>
      <c r="L105" s="775">
        <v>-15240</v>
      </c>
      <c r="M105" s="775">
        <v>-15714</v>
      </c>
      <c r="N105" s="775">
        <v>-9521</v>
      </c>
      <c r="O105" s="775">
        <f t="shared" si="1"/>
        <v>-162702</v>
      </c>
    </row>
    <row r="106" spans="1:15" collapsed="1">
      <c r="B106" s="1184" t="s">
        <v>1225</v>
      </c>
      <c r="C106" s="1185">
        <v>153837</v>
      </c>
      <c r="D106" s="1185">
        <v>149288</v>
      </c>
      <c r="E106" s="1185">
        <v>133806</v>
      </c>
      <c r="F106" s="1185">
        <v>158024</v>
      </c>
      <c r="G106" s="1185">
        <v>133481</v>
      </c>
      <c r="H106" s="1185">
        <v>137062</v>
      </c>
      <c r="I106" s="1185">
        <v>136444</v>
      </c>
      <c r="J106" s="1185">
        <v>135931</v>
      </c>
      <c r="K106" s="1185">
        <v>142244</v>
      </c>
      <c r="L106" s="1185">
        <v>150700</v>
      </c>
      <c r="M106" s="1185">
        <v>130247</v>
      </c>
      <c r="N106" s="1185">
        <v>150821</v>
      </c>
      <c r="O106" s="1185">
        <f t="shared" si="1"/>
        <v>1711885</v>
      </c>
    </row>
    <row r="107" spans="1:15" hidden="1" outlineLevel="1">
      <c r="A107">
        <v>540010</v>
      </c>
      <c r="B107" t="s">
        <v>1226</v>
      </c>
      <c r="C107" s="775">
        <v>39563</v>
      </c>
      <c r="D107" s="775">
        <v>48997</v>
      </c>
      <c r="E107" s="775">
        <v>41676</v>
      </c>
      <c r="F107" s="775">
        <v>46702</v>
      </c>
      <c r="G107" s="775">
        <v>37767</v>
      </c>
      <c r="H107" s="775">
        <v>47766</v>
      </c>
      <c r="I107" s="775">
        <v>62368</v>
      </c>
      <c r="J107" s="775">
        <v>49176</v>
      </c>
      <c r="K107" s="775">
        <v>71385</v>
      </c>
      <c r="L107" s="775">
        <v>49984</v>
      </c>
      <c r="M107" s="775">
        <v>39920</v>
      </c>
      <c r="N107" s="775">
        <v>43548</v>
      </c>
      <c r="O107" s="775">
        <f t="shared" si="1"/>
        <v>578852</v>
      </c>
    </row>
    <row r="108" spans="1:15" hidden="1" outlineLevel="1">
      <c r="A108">
        <v>540020</v>
      </c>
      <c r="B108" t="s">
        <v>1227</v>
      </c>
      <c r="C108" s="775">
        <v>2736</v>
      </c>
      <c r="D108" s="775">
        <v>2897</v>
      </c>
      <c r="E108" s="775">
        <v>4866</v>
      </c>
      <c r="F108" s="775">
        <v>2679</v>
      </c>
      <c r="G108" s="775">
        <v>2857</v>
      </c>
      <c r="H108" s="775">
        <v>2902</v>
      </c>
      <c r="I108" s="775">
        <v>2790</v>
      </c>
      <c r="J108" s="775">
        <v>4676</v>
      </c>
      <c r="K108" s="775">
        <v>1462</v>
      </c>
      <c r="L108" s="775">
        <v>3931</v>
      </c>
      <c r="M108" s="775">
        <v>3463</v>
      </c>
      <c r="N108" s="775">
        <v>5044</v>
      </c>
      <c r="O108" s="775">
        <f t="shared" si="1"/>
        <v>40303</v>
      </c>
    </row>
    <row r="109" spans="1:15" hidden="1" outlineLevel="1">
      <c r="A109">
        <v>540030</v>
      </c>
      <c r="B109" t="s">
        <v>1228</v>
      </c>
      <c r="C109" s="775">
        <v>19304</v>
      </c>
      <c r="D109" s="775">
        <v>27547</v>
      </c>
      <c r="E109" s="775">
        <v>26532</v>
      </c>
      <c r="F109" s="775">
        <v>24166</v>
      </c>
      <c r="G109" s="775">
        <v>17856</v>
      </c>
      <c r="H109" s="775">
        <v>25636</v>
      </c>
      <c r="I109" s="775">
        <v>15923</v>
      </c>
      <c r="J109" s="775">
        <v>28431</v>
      </c>
      <c r="K109" s="775">
        <v>20805</v>
      </c>
      <c r="L109" s="775">
        <v>15994</v>
      </c>
      <c r="M109" s="775">
        <v>30278</v>
      </c>
      <c r="N109" s="775">
        <v>24161</v>
      </c>
      <c r="O109" s="775">
        <f t="shared" si="1"/>
        <v>276633</v>
      </c>
    </row>
    <row r="110" spans="1:15" hidden="1" outlineLevel="1">
      <c r="A110">
        <v>540031</v>
      </c>
      <c r="B110" t="s">
        <v>1002</v>
      </c>
      <c r="C110" s="775">
        <v>6652</v>
      </c>
      <c r="D110" s="775">
        <v>9563</v>
      </c>
      <c r="E110" s="775">
        <v>7162</v>
      </c>
      <c r="F110" s="775">
        <v>6203</v>
      </c>
      <c r="G110" s="775">
        <v>6842</v>
      </c>
      <c r="H110" s="775">
        <v>9518</v>
      </c>
      <c r="I110" s="775">
        <v>11476</v>
      </c>
      <c r="J110" s="775">
        <v>6078</v>
      </c>
      <c r="K110" s="775">
        <v>7880</v>
      </c>
      <c r="L110" s="775">
        <v>7714</v>
      </c>
      <c r="M110" s="775">
        <v>8163</v>
      </c>
      <c r="N110" s="775">
        <v>6896</v>
      </c>
      <c r="O110" s="775">
        <f t="shared" si="1"/>
        <v>94147</v>
      </c>
    </row>
    <row r="111" spans="1:15" hidden="1" outlineLevel="1">
      <c r="A111">
        <v>540040</v>
      </c>
      <c r="B111" t="s">
        <v>1229</v>
      </c>
      <c r="C111" s="775">
        <v>2206</v>
      </c>
      <c r="D111" s="775">
        <v>-461</v>
      </c>
      <c r="E111" s="775">
        <v>0</v>
      </c>
      <c r="F111" s="775">
        <v>2343</v>
      </c>
      <c r="G111" s="775">
        <v>911</v>
      </c>
      <c r="H111" s="775">
        <v>10525</v>
      </c>
      <c r="I111" s="775">
        <v>-1216</v>
      </c>
      <c r="J111" s="775">
        <v>21117</v>
      </c>
      <c r="K111" s="775">
        <v>1231</v>
      </c>
      <c r="L111" s="775">
        <v>2047</v>
      </c>
      <c r="M111" s="775">
        <v>25553</v>
      </c>
      <c r="N111" s="775">
        <v>976</v>
      </c>
      <c r="O111" s="775">
        <f t="shared" si="1"/>
        <v>65232</v>
      </c>
    </row>
    <row r="112" spans="1:15" hidden="1" outlineLevel="1">
      <c r="A112">
        <v>540050</v>
      </c>
      <c r="B112" t="s">
        <v>1230</v>
      </c>
      <c r="C112" s="775">
        <v>1677</v>
      </c>
      <c r="D112" s="775">
        <v>2337</v>
      </c>
      <c r="E112" s="775">
        <v>343</v>
      </c>
      <c r="F112" s="775">
        <v>461</v>
      </c>
      <c r="G112" s="775">
        <v>1898</v>
      </c>
      <c r="H112" s="775">
        <v>631</v>
      </c>
      <c r="I112" s="775">
        <v>1489</v>
      </c>
      <c r="J112" s="775">
        <v>3601</v>
      </c>
      <c r="K112" s="775">
        <v>2877</v>
      </c>
      <c r="L112" s="775">
        <v>511</v>
      </c>
      <c r="M112" s="775">
        <v>421</v>
      </c>
      <c r="N112" s="775">
        <v>1393</v>
      </c>
      <c r="O112" s="775">
        <f t="shared" si="1"/>
        <v>17639</v>
      </c>
    </row>
    <row r="113" spans="1:15" hidden="1" outlineLevel="1">
      <c r="A113">
        <v>540090</v>
      </c>
      <c r="B113" t="s">
        <v>1231</v>
      </c>
      <c r="C113" s="775">
        <v>3394</v>
      </c>
      <c r="D113" s="775">
        <v>4231</v>
      </c>
      <c r="E113" s="775">
        <v>2511</v>
      </c>
      <c r="F113" s="775">
        <v>3183</v>
      </c>
      <c r="G113" s="775">
        <v>-1480</v>
      </c>
      <c r="H113" s="775">
        <v>4827</v>
      </c>
      <c r="I113" s="775">
        <v>3493</v>
      </c>
      <c r="J113" s="775">
        <v>5301</v>
      </c>
      <c r="K113" s="775">
        <v>2178</v>
      </c>
      <c r="L113" s="775">
        <v>4078</v>
      </c>
      <c r="M113" s="775">
        <v>2668</v>
      </c>
      <c r="N113" s="775">
        <v>4310</v>
      </c>
      <c r="O113" s="775">
        <f t="shared" si="1"/>
        <v>38694</v>
      </c>
    </row>
    <row r="114" spans="1:15" hidden="1" outlineLevel="1">
      <c r="A114">
        <v>540095</v>
      </c>
      <c r="B114" t="s">
        <v>1232</v>
      </c>
      <c r="C114" s="775">
        <v>2825</v>
      </c>
      <c r="D114" s="775">
        <v>0</v>
      </c>
      <c r="E114" s="775">
        <v>0</v>
      </c>
      <c r="F114" s="775">
        <v>683</v>
      </c>
      <c r="G114" s="775">
        <v>3656</v>
      </c>
      <c r="H114" s="775">
        <v>3687</v>
      </c>
      <c r="I114" s="775">
        <v>0</v>
      </c>
      <c r="J114" s="775">
        <v>1150</v>
      </c>
      <c r="K114" s="775">
        <v>2486</v>
      </c>
      <c r="L114" s="775">
        <v>4435</v>
      </c>
      <c r="M114" s="775">
        <v>759</v>
      </c>
      <c r="N114" s="775">
        <v>2270</v>
      </c>
      <c r="O114" s="775">
        <f t="shared" si="1"/>
        <v>21951</v>
      </c>
    </row>
    <row r="115" spans="1:15" hidden="1" outlineLevel="1">
      <c r="A115">
        <v>540991</v>
      </c>
      <c r="B115" t="s">
        <v>1233</v>
      </c>
      <c r="C115" s="775">
        <v>-787</v>
      </c>
      <c r="D115" s="775">
        <v>0</v>
      </c>
      <c r="E115" s="775">
        <v>-621</v>
      </c>
      <c r="F115" s="775">
        <v>-1202</v>
      </c>
      <c r="G115" s="775">
        <v>-552</v>
      </c>
      <c r="H115" s="775">
        <v>-331</v>
      </c>
      <c r="I115" s="775">
        <v>-4185</v>
      </c>
      <c r="J115" s="775">
        <v>-1706</v>
      </c>
      <c r="K115" s="775">
        <v>-1781</v>
      </c>
      <c r="L115" s="775">
        <v>-2143</v>
      </c>
      <c r="M115" s="775">
        <v>-1294</v>
      </c>
      <c r="N115" s="775">
        <v>-625</v>
      </c>
      <c r="O115" s="775">
        <f t="shared" si="1"/>
        <v>-15227</v>
      </c>
    </row>
    <row r="116" spans="1:15" hidden="1" outlineLevel="1">
      <c r="A116">
        <v>540997</v>
      </c>
      <c r="B116" t="s">
        <v>1234</v>
      </c>
      <c r="C116" s="775">
        <v>132451</v>
      </c>
      <c r="D116" s="775">
        <v>103403</v>
      </c>
      <c r="E116" s="775">
        <v>108288</v>
      </c>
      <c r="F116" s="775">
        <v>127510</v>
      </c>
      <c r="G116" s="775">
        <v>121597</v>
      </c>
      <c r="H116" s="775">
        <v>122002</v>
      </c>
      <c r="I116" s="775">
        <v>145360</v>
      </c>
      <c r="J116" s="775">
        <v>122362</v>
      </c>
      <c r="K116" s="775">
        <v>104873</v>
      </c>
      <c r="L116" s="775">
        <v>117134</v>
      </c>
      <c r="M116" s="775">
        <v>98740</v>
      </c>
      <c r="N116" s="775">
        <v>118356</v>
      </c>
      <c r="O116" s="775">
        <f t="shared" si="1"/>
        <v>1422076</v>
      </c>
    </row>
    <row r="117" spans="1:15" hidden="1" outlineLevel="1">
      <c r="A117">
        <v>540998</v>
      </c>
      <c r="B117" t="s">
        <v>1235</v>
      </c>
      <c r="C117" s="775">
        <v>3220</v>
      </c>
      <c r="D117" s="775">
        <v>4462</v>
      </c>
      <c r="E117" s="775">
        <v>4356</v>
      </c>
      <c r="F117" s="775">
        <v>1885</v>
      </c>
      <c r="G117" s="775">
        <v>2343</v>
      </c>
      <c r="H117" s="775">
        <v>3381</v>
      </c>
      <c r="I117" s="775">
        <v>-11241</v>
      </c>
      <c r="J117" s="775">
        <v>12978</v>
      </c>
      <c r="K117" s="775">
        <v>-777</v>
      </c>
      <c r="L117" s="775">
        <v>2320</v>
      </c>
      <c r="M117" s="775">
        <v>2661</v>
      </c>
      <c r="N117" s="775">
        <v>3719</v>
      </c>
      <c r="O117" s="775">
        <f t="shared" si="1"/>
        <v>29307</v>
      </c>
    </row>
    <row r="118" spans="1:15" hidden="1" outlineLevel="1">
      <c r="A118">
        <v>540999</v>
      </c>
      <c r="B118" t="s">
        <v>1236</v>
      </c>
      <c r="C118" s="775">
        <v>-3220</v>
      </c>
      <c r="D118" s="775">
        <v>-4462</v>
      </c>
      <c r="E118" s="775">
        <v>-4356</v>
      </c>
      <c r="F118" s="775">
        <v>-1885</v>
      </c>
      <c r="G118" s="775">
        <v>-2343</v>
      </c>
      <c r="H118" s="775">
        <v>-3381</v>
      </c>
      <c r="I118" s="775">
        <v>11241</v>
      </c>
      <c r="J118" s="775">
        <v>-12978</v>
      </c>
      <c r="K118" s="775">
        <v>777</v>
      </c>
      <c r="L118" s="775">
        <v>-2320</v>
      </c>
      <c r="M118" s="775">
        <v>-2661</v>
      </c>
      <c r="N118" s="775">
        <v>-3719</v>
      </c>
      <c r="O118" s="775">
        <f t="shared" si="1"/>
        <v>-29307</v>
      </c>
    </row>
    <row r="119" spans="1:15" collapsed="1">
      <c r="B119" s="1184" t="s">
        <v>1237</v>
      </c>
      <c r="C119" s="1185">
        <v>210021</v>
      </c>
      <c r="D119" s="1185">
        <v>198514</v>
      </c>
      <c r="E119" s="1185">
        <v>190756</v>
      </c>
      <c r="F119" s="1185">
        <v>212727</v>
      </c>
      <c r="G119" s="1185">
        <v>191353</v>
      </c>
      <c r="H119" s="1185">
        <v>227162</v>
      </c>
      <c r="I119" s="1185">
        <v>237498</v>
      </c>
      <c r="J119" s="1185">
        <v>240186</v>
      </c>
      <c r="K119" s="1185">
        <v>213395</v>
      </c>
      <c r="L119" s="1185">
        <v>203686</v>
      </c>
      <c r="M119" s="1185">
        <v>208670</v>
      </c>
      <c r="N119" s="1185">
        <v>206328</v>
      </c>
      <c r="O119" s="1185">
        <f t="shared" si="1"/>
        <v>2540296</v>
      </c>
    </row>
    <row r="120" spans="1:15" hidden="1" outlineLevel="1">
      <c r="A120">
        <v>545010</v>
      </c>
      <c r="B120" t="s">
        <v>1003</v>
      </c>
      <c r="C120" s="775">
        <v>1923</v>
      </c>
      <c r="D120" s="775">
        <v>4071</v>
      </c>
      <c r="E120" s="775">
        <v>0</v>
      </c>
      <c r="F120" s="775">
        <v>0</v>
      </c>
      <c r="G120" s="775">
        <v>0</v>
      </c>
      <c r="H120" s="775">
        <v>0</v>
      </c>
      <c r="I120" s="775">
        <v>0</v>
      </c>
      <c r="J120" s="775">
        <v>10337</v>
      </c>
      <c r="K120" s="775">
        <v>0</v>
      </c>
      <c r="L120" s="775">
        <v>675</v>
      </c>
      <c r="M120" s="775">
        <v>3855</v>
      </c>
      <c r="N120" s="775">
        <v>12999</v>
      </c>
      <c r="O120" s="775">
        <f t="shared" si="1"/>
        <v>33860</v>
      </c>
    </row>
    <row r="121" spans="1:15" hidden="1" outlineLevel="1">
      <c r="A121">
        <v>545035</v>
      </c>
      <c r="B121" t="s">
        <v>1004</v>
      </c>
      <c r="C121" s="775">
        <v>213</v>
      </c>
      <c r="D121" s="775">
        <v>0</v>
      </c>
      <c r="E121" s="775">
        <v>5004</v>
      </c>
      <c r="F121" s="775">
        <v>314</v>
      </c>
      <c r="G121" s="775">
        <v>39</v>
      </c>
      <c r="H121" s="775">
        <v>0</v>
      </c>
      <c r="I121" s="775">
        <v>99</v>
      </c>
      <c r="J121" s="775">
        <v>-137</v>
      </c>
      <c r="K121" s="775">
        <v>888</v>
      </c>
      <c r="L121" s="775">
        <v>150</v>
      </c>
      <c r="M121" s="775">
        <v>654</v>
      </c>
      <c r="N121" s="775">
        <v>0</v>
      </c>
      <c r="O121" s="775">
        <f t="shared" si="1"/>
        <v>7224</v>
      </c>
    </row>
    <row r="122" spans="1:15" hidden="1" outlineLevel="1">
      <c r="A122">
        <v>545040</v>
      </c>
      <c r="B122" t="s">
        <v>1005</v>
      </c>
      <c r="C122" s="775">
        <v>0</v>
      </c>
      <c r="D122" s="775">
        <v>0</v>
      </c>
      <c r="E122" s="775">
        <v>0</v>
      </c>
      <c r="F122" s="775">
        <v>0</v>
      </c>
      <c r="G122" s="775">
        <v>0</v>
      </c>
      <c r="H122" s="775">
        <v>0</v>
      </c>
      <c r="I122" s="775">
        <v>0</v>
      </c>
      <c r="J122" s="775">
        <v>3990</v>
      </c>
      <c r="K122" s="775">
        <v>1250</v>
      </c>
      <c r="L122" s="775">
        <v>2826</v>
      </c>
      <c r="M122" s="775">
        <v>5121</v>
      </c>
      <c r="N122" s="775">
        <v>3881</v>
      </c>
      <c r="O122" s="775">
        <f t="shared" si="1"/>
        <v>17068</v>
      </c>
    </row>
    <row r="123" spans="1:15" hidden="1" outlineLevel="1">
      <c r="A123">
        <v>545090</v>
      </c>
      <c r="B123" t="s">
        <v>1006</v>
      </c>
      <c r="C123" s="775">
        <v>1221</v>
      </c>
      <c r="D123" s="775">
        <v>611</v>
      </c>
      <c r="E123" s="775">
        <v>610</v>
      </c>
      <c r="F123" s="775">
        <v>855</v>
      </c>
      <c r="G123" s="775">
        <v>667</v>
      </c>
      <c r="H123" s="775">
        <v>610</v>
      </c>
      <c r="I123" s="775">
        <v>610</v>
      </c>
      <c r="J123" s="775">
        <v>610</v>
      </c>
      <c r="K123" s="775">
        <v>916</v>
      </c>
      <c r="L123" s="775">
        <v>610</v>
      </c>
      <c r="M123" s="775">
        <v>742</v>
      </c>
      <c r="N123" s="775">
        <v>1812</v>
      </c>
      <c r="O123" s="775">
        <f t="shared" si="1"/>
        <v>9874</v>
      </c>
    </row>
    <row r="124" spans="1:15" hidden="1" outlineLevel="1">
      <c r="A124">
        <v>545095</v>
      </c>
      <c r="B124" t="s">
        <v>1238</v>
      </c>
      <c r="C124" s="775">
        <v>0</v>
      </c>
      <c r="D124" s="775">
        <v>-323</v>
      </c>
      <c r="E124" s="775">
        <v>0</v>
      </c>
      <c r="F124" s="775">
        <v>0</v>
      </c>
      <c r="G124" s="775">
        <v>0</v>
      </c>
      <c r="H124" s="775">
        <v>0</v>
      </c>
      <c r="I124" s="775">
        <v>0</v>
      </c>
      <c r="J124" s="775">
        <v>0</v>
      </c>
      <c r="K124" s="775">
        <v>0</v>
      </c>
      <c r="L124" s="775">
        <v>0</v>
      </c>
      <c r="M124" s="775">
        <v>0</v>
      </c>
      <c r="N124" s="775">
        <v>0</v>
      </c>
      <c r="O124" s="775">
        <f t="shared" si="1"/>
        <v>-323</v>
      </c>
    </row>
    <row r="125" spans="1:15" hidden="1" outlineLevel="1">
      <c r="A125">
        <v>545997</v>
      </c>
      <c r="B125" t="s">
        <v>1239</v>
      </c>
      <c r="C125" s="775">
        <v>8718</v>
      </c>
      <c r="D125" s="775">
        <v>7146</v>
      </c>
      <c r="E125" s="775">
        <v>5007</v>
      </c>
      <c r="F125" s="775">
        <v>4537</v>
      </c>
      <c r="G125" s="775">
        <v>5706</v>
      </c>
      <c r="H125" s="775">
        <v>5490</v>
      </c>
      <c r="I125" s="775">
        <v>5697</v>
      </c>
      <c r="J125" s="775">
        <v>5027</v>
      </c>
      <c r="K125" s="775">
        <v>6204</v>
      </c>
      <c r="L125" s="775">
        <v>5557</v>
      </c>
      <c r="M125" s="775">
        <v>3075</v>
      </c>
      <c r="N125" s="775">
        <v>2938</v>
      </c>
      <c r="O125" s="775">
        <f t="shared" si="1"/>
        <v>65102</v>
      </c>
    </row>
    <row r="126" spans="1:15" hidden="1" outlineLevel="1">
      <c r="A126">
        <v>545998</v>
      </c>
      <c r="B126" t="s">
        <v>1240</v>
      </c>
      <c r="C126" s="775">
        <v>1434</v>
      </c>
      <c r="D126" s="775">
        <v>611</v>
      </c>
      <c r="E126" s="775">
        <v>5614</v>
      </c>
      <c r="F126" s="775">
        <v>1168</v>
      </c>
      <c r="G126" s="775">
        <v>706</v>
      </c>
      <c r="H126" s="775">
        <v>610</v>
      </c>
      <c r="I126" s="775">
        <v>610</v>
      </c>
      <c r="J126" s="775">
        <v>4463</v>
      </c>
      <c r="K126" s="775">
        <v>3054</v>
      </c>
      <c r="L126" s="775">
        <v>3586</v>
      </c>
      <c r="M126" s="775">
        <v>6517</v>
      </c>
      <c r="N126" s="775">
        <v>5693</v>
      </c>
      <c r="O126" s="775">
        <f t="shared" si="1"/>
        <v>34066</v>
      </c>
    </row>
    <row r="127" spans="1:15" hidden="1" outlineLevel="1">
      <c r="A127">
        <v>545999</v>
      </c>
      <c r="B127" t="s">
        <v>1241</v>
      </c>
      <c r="C127" s="775">
        <v>-1434</v>
      </c>
      <c r="D127" s="775">
        <v>-611</v>
      </c>
      <c r="E127" s="775">
        <v>-5614</v>
      </c>
      <c r="F127" s="775">
        <v>-1168</v>
      </c>
      <c r="G127" s="775">
        <v>-706</v>
      </c>
      <c r="H127" s="775">
        <v>-610</v>
      </c>
      <c r="I127" s="775">
        <v>-610</v>
      </c>
      <c r="J127" s="775">
        <v>-4463</v>
      </c>
      <c r="K127" s="775">
        <v>-3054</v>
      </c>
      <c r="L127" s="775">
        <v>-3586</v>
      </c>
      <c r="M127" s="775">
        <v>-6517</v>
      </c>
      <c r="N127" s="775">
        <v>-5693</v>
      </c>
      <c r="O127" s="775">
        <f t="shared" si="1"/>
        <v>-34066</v>
      </c>
    </row>
    <row r="128" spans="1:15" collapsed="1">
      <c r="B128" s="1184" t="s">
        <v>1242</v>
      </c>
      <c r="C128" s="1185">
        <v>12074</v>
      </c>
      <c r="D128" s="1185">
        <v>11504</v>
      </c>
      <c r="E128" s="1185">
        <v>10622</v>
      </c>
      <c r="F128" s="1185">
        <v>5705</v>
      </c>
      <c r="G128" s="1185">
        <v>6411</v>
      </c>
      <c r="H128" s="1185">
        <v>6100</v>
      </c>
      <c r="I128" s="1185">
        <v>6405</v>
      </c>
      <c r="J128" s="1185">
        <v>19827</v>
      </c>
      <c r="K128" s="1185">
        <v>9259</v>
      </c>
      <c r="L128" s="1185">
        <v>9818</v>
      </c>
      <c r="M128" s="1185">
        <v>13448</v>
      </c>
      <c r="N128" s="1185">
        <v>21631</v>
      </c>
      <c r="O128" s="1185">
        <f t="shared" si="1"/>
        <v>132804</v>
      </c>
    </row>
    <row r="129" spans="1:15" hidden="1" outlineLevel="1">
      <c r="A129">
        <v>565002</v>
      </c>
      <c r="B129" t="s">
        <v>1243</v>
      </c>
      <c r="C129" s="775">
        <v>27563</v>
      </c>
      <c r="D129" s="775">
        <v>27891</v>
      </c>
      <c r="E129" s="775">
        <v>28219</v>
      </c>
      <c r="F129" s="775">
        <v>28219</v>
      </c>
      <c r="G129" s="775">
        <v>28219</v>
      </c>
      <c r="H129" s="775">
        <v>28219</v>
      </c>
      <c r="I129" s="775">
        <v>28219</v>
      </c>
      <c r="J129" s="775">
        <v>28219</v>
      </c>
      <c r="K129" s="775">
        <v>27891</v>
      </c>
      <c r="L129" s="775">
        <v>27563</v>
      </c>
      <c r="M129" s="775">
        <v>27891</v>
      </c>
      <c r="N129" s="775">
        <v>28219</v>
      </c>
      <c r="O129" s="775">
        <f t="shared" si="1"/>
        <v>336332</v>
      </c>
    </row>
    <row r="130" spans="1:15" hidden="1" outlineLevel="1">
      <c r="A130">
        <v>565006</v>
      </c>
      <c r="B130" t="s">
        <v>1244</v>
      </c>
      <c r="C130" s="775">
        <v>0</v>
      </c>
      <c r="D130" s="775">
        <v>0</v>
      </c>
      <c r="E130" s="775">
        <v>-2872</v>
      </c>
      <c r="F130" s="775">
        <v>0</v>
      </c>
      <c r="G130" s="775">
        <v>0</v>
      </c>
      <c r="H130" s="775">
        <v>0</v>
      </c>
      <c r="I130" s="775">
        <v>0</v>
      </c>
      <c r="J130" s="775">
        <v>0</v>
      </c>
      <c r="K130" s="775">
        <v>0</v>
      </c>
      <c r="L130" s="775">
        <v>0</v>
      </c>
      <c r="M130" s="775">
        <v>0</v>
      </c>
      <c r="N130" s="775">
        <v>0</v>
      </c>
      <c r="O130" s="775">
        <f t="shared" si="1"/>
        <v>-2872</v>
      </c>
    </row>
    <row r="131" spans="1:15" hidden="1" outlineLevel="1">
      <c r="A131">
        <v>565008</v>
      </c>
      <c r="B131" t="s">
        <v>1245</v>
      </c>
      <c r="C131" s="775">
        <v>11412</v>
      </c>
      <c r="D131" s="775">
        <v>10232</v>
      </c>
      <c r="E131" s="775">
        <v>13051</v>
      </c>
      <c r="F131" s="775">
        <v>12558</v>
      </c>
      <c r="G131" s="775">
        <v>12875</v>
      </c>
      <c r="H131" s="775">
        <v>13288</v>
      </c>
      <c r="I131" s="775">
        <v>12863</v>
      </c>
      <c r="J131" s="775">
        <v>12785</v>
      </c>
      <c r="K131" s="775">
        <v>14148</v>
      </c>
      <c r="L131" s="775">
        <v>12555</v>
      </c>
      <c r="M131" s="775">
        <v>13351</v>
      </c>
      <c r="N131" s="775">
        <v>12996</v>
      </c>
      <c r="O131" s="775">
        <f t="shared" si="1"/>
        <v>152114</v>
      </c>
    </row>
    <row r="132" spans="1:15" hidden="1" outlineLevel="1">
      <c r="A132">
        <v>565012</v>
      </c>
      <c r="B132" t="s">
        <v>1246</v>
      </c>
      <c r="C132" s="775">
        <v>500</v>
      </c>
      <c r="D132" s="775">
        <v>21491</v>
      </c>
      <c r="E132" s="775">
        <v>6591</v>
      </c>
      <c r="F132" s="775">
        <v>4623</v>
      </c>
      <c r="G132" s="775">
        <v>4318</v>
      </c>
      <c r="H132" s="775">
        <v>-72</v>
      </c>
      <c r="I132" s="775">
        <v>7684</v>
      </c>
      <c r="J132" s="775">
        <v>8778</v>
      </c>
      <c r="K132" s="775">
        <v>30917</v>
      </c>
      <c r="L132" s="775">
        <v>-305</v>
      </c>
      <c r="M132" s="775">
        <v>16800</v>
      </c>
      <c r="N132" s="775">
        <v>3586</v>
      </c>
      <c r="O132" s="775">
        <f t="shared" si="1"/>
        <v>104911</v>
      </c>
    </row>
    <row r="133" spans="1:15" hidden="1" outlineLevel="1">
      <c r="A133">
        <v>565030</v>
      </c>
      <c r="B133" t="s">
        <v>1247</v>
      </c>
      <c r="C133" s="775">
        <v>49860</v>
      </c>
      <c r="D133" s="775">
        <v>50961</v>
      </c>
      <c r="E133" s="775">
        <v>47458</v>
      </c>
      <c r="F133" s="775">
        <v>46992</v>
      </c>
      <c r="G133" s="775">
        <v>67703</v>
      </c>
      <c r="H133" s="775">
        <v>66710</v>
      </c>
      <c r="I133" s="775">
        <v>37480</v>
      </c>
      <c r="J133" s="775">
        <v>62362</v>
      </c>
      <c r="K133" s="775">
        <v>66690</v>
      </c>
      <c r="L133" s="775">
        <v>67486</v>
      </c>
      <c r="M133" s="775">
        <v>20869</v>
      </c>
      <c r="N133" s="775">
        <v>64710</v>
      </c>
      <c r="O133" s="775">
        <f t="shared" si="1"/>
        <v>649281</v>
      </c>
    </row>
    <row r="134" spans="1:15" hidden="1" outlineLevel="1">
      <c r="A134">
        <v>565040</v>
      </c>
      <c r="B134" t="s">
        <v>1248</v>
      </c>
      <c r="C134" s="775">
        <v>787</v>
      </c>
      <c r="D134" s="775">
        <v>0</v>
      </c>
      <c r="E134" s="775">
        <v>621</v>
      </c>
      <c r="F134" s="775">
        <v>334</v>
      </c>
      <c r="G134" s="775">
        <v>552</v>
      </c>
      <c r="H134" s="775">
        <v>1032</v>
      </c>
      <c r="I134" s="775">
        <v>4185</v>
      </c>
      <c r="J134" s="775">
        <v>1706</v>
      </c>
      <c r="K134" s="775">
        <v>1829</v>
      </c>
      <c r="L134" s="775">
        <v>2720</v>
      </c>
      <c r="M134" s="775">
        <v>1294</v>
      </c>
      <c r="N134" s="775">
        <v>625</v>
      </c>
      <c r="O134" s="775">
        <f t="shared" si="1"/>
        <v>15685</v>
      </c>
    </row>
    <row r="135" spans="1:15" hidden="1" outlineLevel="1">
      <c r="A135">
        <v>565045</v>
      </c>
      <c r="B135" t="s">
        <v>1249</v>
      </c>
      <c r="C135" s="775">
        <v>3335</v>
      </c>
      <c r="D135" s="775">
        <v>5255</v>
      </c>
      <c r="E135" s="775">
        <v>3335</v>
      </c>
      <c r="F135" s="775">
        <v>4327</v>
      </c>
      <c r="G135" s="775">
        <v>3502</v>
      </c>
      <c r="H135" s="775">
        <v>3516</v>
      </c>
      <c r="I135" s="775">
        <v>3516</v>
      </c>
      <c r="J135" s="775">
        <v>3516</v>
      </c>
      <c r="K135" s="775">
        <v>3516</v>
      </c>
      <c r="L135" s="775">
        <v>3516</v>
      </c>
      <c r="M135" s="775">
        <v>3327</v>
      </c>
      <c r="N135" s="775">
        <v>3327</v>
      </c>
      <c r="O135" s="775">
        <f t="shared" si="1"/>
        <v>43988</v>
      </c>
    </row>
    <row r="136" spans="1:15" hidden="1" outlineLevel="1">
      <c r="A136">
        <v>565080</v>
      </c>
      <c r="B136" t="s">
        <v>1250</v>
      </c>
      <c r="C136" s="775">
        <v>9698</v>
      </c>
      <c r="D136" s="775">
        <v>5763</v>
      </c>
      <c r="E136" s="775">
        <v>4981</v>
      </c>
      <c r="F136" s="775">
        <v>7928</v>
      </c>
      <c r="G136" s="775">
        <v>2093</v>
      </c>
      <c r="H136" s="775">
        <v>3303</v>
      </c>
      <c r="I136" s="775">
        <v>2956</v>
      </c>
      <c r="J136" s="775">
        <v>2273</v>
      </c>
      <c r="K136" s="775">
        <v>4804</v>
      </c>
      <c r="L136" s="775">
        <v>3635</v>
      </c>
      <c r="M136" s="775">
        <v>4185</v>
      </c>
      <c r="N136" s="775">
        <v>4160</v>
      </c>
      <c r="O136" s="775">
        <f t="shared" ref="O136:O199" si="2">SUM(C136:N136)</f>
        <v>55779</v>
      </c>
    </row>
    <row r="137" spans="1:15" hidden="1" outlineLevel="1">
      <c r="A137">
        <v>565081</v>
      </c>
      <c r="B137" t="s">
        <v>1251</v>
      </c>
      <c r="C137" s="775">
        <v>1157</v>
      </c>
      <c r="D137" s="775">
        <v>2615</v>
      </c>
      <c r="E137" s="775">
        <v>4777</v>
      </c>
      <c r="F137" s="775">
        <v>1132</v>
      </c>
      <c r="G137" s="775">
        <v>875</v>
      </c>
      <c r="H137" s="775">
        <v>1945</v>
      </c>
      <c r="I137" s="775">
        <v>694</v>
      </c>
      <c r="J137" s="775">
        <v>-1555</v>
      </c>
      <c r="K137" s="775">
        <v>2888</v>
      </c>
      <c r="L137" s="775">
        <v>4225</v>
      </c>
      <c r="M137" s="775">
        <v>3273</v>
      </c>
      <c r="N137" s="775">
        <v>4221</v>
      </c>
      <c r="O137" s="775">
        <f t="shared" si="2"/>
        <v>26247</v>
      </c>
    </row>
    <row r="138" spans="1:15" hidden="1" outlineLevel="1">
      <c r="A138">
        <v>565082</v>
      </c>
      <c r="B138" t="s">
        <v>1252</v>
      </c>
      <c r="C138" s="775">
        <v>2066</v>
      </c>
      <c r="D138" s="775">
        <v>15981</v>
      </c>
      <c r="E138" s="775">
        <v>2641</v>
      </c>
      <c r="F138" s="775">
        <v>6391</v>
      </c>
      <c r="G138" s="775">
        <v>6534</v>
      </c>
      <c r="H138" s="775">
        <v>5145</v>
      </c>
      <c r="I138" s="775">
        <v>3075</v>
      </c>
      <c r="J138" s="775">
        <v>4651</v>
      </c>
      <c r="K138" s="775">
        <v>1468</v>
      </c>
      <c r="L138" s="775">
        <v>5737</v>
      </c>
      <c r="M138" s="775">
        <v>4185</v>
      </c>
      <c r="N138" s="775">
        <v>4542</v>
      </c>
      <c r="O138" s="775">
        <f t="shared" si="2"/>
        <v>62416</v>
      </c>
    </row>
    <row r="139" spans="1:15" hidden="1" outlineLevel="1">
      <c r="A139">
        <v>565083</v>
      </c>
      <c r="B139" t="s">
        <v>1253</v>
      </c>
      <c r="C139" s="775">
        <v>746</v>
      </c>
      <c r="D139" s="775">
        <v>741</v>
      </c>
      <c r="E139" s="775">
        <v>735</v>
      </c>
      <c r="F139" s="775">
        <v>735</v>
      </c>
      <c r="G139" s="775">
        <v>821</v>
      </c>
      <c r="H139" s="775">
        <v>736</v>
      </c>
      <c r="I139" s="775">
        <v>736</v>
      </c>
      <c r="J139" s="775">
        <v>770</v>
      </c>
      <c r="K139" s="775">
        <v>668</v>
      </c>
      <c r="L139" s="775">
        <v>755</v>
      </c>
      <c r="M139" s="775">
        <v>811</v>
      </c>
      <c r="N139" s="775">
        <v>726</v>
      </c>
      <c r="O139" s="775">
        <f t="shared" si="2"/>
        <v>8980</v>
      </c>
    </row>
    <row r="140" spans="1:15" hidden="1" outlineLevel="1">
      <c r="A140">
        <v>565998</v>
      </c>
      <c r="B140" t="s">
        <v>1254</v>
      </c>
      <c r="C140" s="775">
        <v>67151</v>
      </c>
      <c r="D140" s="775">
        <v>76896</v>
      </c>
      <c r="E140" s="775">
        <v>63244</v>
      </c>
      <c r="F140" s="775">
        <v>66924</v>
      </c>
      <c r="G140" s="775">
        <v>78484</v>
      </c>
      <c r="H140" s="775">
        <v>82085</v>
      </c>
      <c r="I140" s="775">
        <v>69955</v>
      </c>
      <c r="J140" s="775">
        <v>71611</v>
      </c>
      <c r="K140" s="775">
        <v>82357</v>
      </c>
      <c r="L140" s="775">
        <v>83875</v>
      </c>
      <c r="M140" s="775">
        <v>60027</v>
      </c>
      <c r="N140" s="775">
        <v>82159</v>
      </c>
      <c r="O140" s="775">
        <f t="shared" si="2"/>
        <v>884768</v>
      </c>
    </row>
    <row r="141" spans="1:15" hidden="1" outlineLevel="1">
      <c r="A141">
        <v>565999</v>
      </c>
      <c r="B141" t="s">
        <v>1255</v>
      </c>
      <c r="C141" s="775">
        <v>-67151</v>
      </c>
      <c r="D141" s="775">
        <v>-76896</v>
      </c>
      <c r="E141" s="775">
        <v>-63244</v>
      </c>
      <c r="F141" s="775">
        <v>-66924</v>
      </c>
      <c r="G141" s="775">
        <v>-78484</v>
      </c>
      <c r="H141" s="775">
        <v>-82085</v>
      </c>
      <c r="I141" s="775">
        <v>-69955</v>
      </c>
      <c r="J141" s="775">
        <v>-71611</v>
      </c>
      <c r="K141" s="775">
        <v>-82357</v>
      </c>
      <c r="L141" s="775">
        <v>-83875</v>
      </c>
      <c r="M141" s="775">
        <v>-60027</v>
      </c>
      <c r="N141" s="775">
        <v>-82159</v>
      </c>
      <c r="O141" s="775">
        <f t="shared" si="2"/>
        <v>-884768</v>
      </c>
    </row>
    <row r="142" spans="1:15" collapsed="1">
      <c r="B142" s="1184" t="s">
        <v>1256</v>
      </c>
      <c r="C142" s="1185">
        <v>107124</v>
      </c>
      <c r="D142" s="1185">
        <v>140930</v>
      </c>
      <c r="E142" s="1185">
        <v>109538</v>
      </c>
      <c r="F142" s="1185">
        <v>113240</v>
      </c>
      <c r="G142" s="1185">
        <v>127493</v>
      </c>
      <c r="H142" s="1185">
        <v>123822</v>
      </c>
      <c r="I142" s="1185">
        <v>101409</v>
      </c>
      <c r="J142" s="1185">
        <v>123505</v>
      </c>
      <c r="K142" s="1185">
        <v>154819</v>
      </c>
      <c r="L142" s="1185">
        <v>127886</v>
      </c>
      <c r="M142" s="1185">
        <v>95987</v>
      </c>
      <c r="N142" s="1185">
        <v>127113</v>
      </c>
      <c r="O142" s="1185">
        <f t="shared" si="2"/>
        <v>1452866</v>
      </c>
    </row>
    <row r="143" spans="1:15" hidden="1" outlineLevel="1">
      <c r="A143">
        <v>570000</v>
      </c>
      <c r="B143" t="s">
        <v>1257</v>
      </c>
      <c r="C143" s="775">
        <v>1689</v>
      </c>
      <c r="D143" s="775">
        <v>1032</v>
      </c>
      <c r="E143" s="775">
        <v>1086</v>
      </c>
      <c r="F143" s="775">
        <v>4339</v>
      </c>
      <c r="G143" s="775">
        <v>1318</v>
      </c>
      <c r="H143" s="775">
        <v>682</v>
      </c>
      <c r="I143" s="775">
        <v>1210</v>
      </c>
      <c r="J143" s="775">
        <v>1783</v>
      </c>
      <c r="K143" s="775">
        <v>840</v>
      </c>
      <c r="L143" s="775">
        <v>1223</v>
      </c>
      <c r="M143" s="775">
        <v>932</v>
      </c>
      <c r="N143" s="775">
        <v>2029</v>
      </c>
      <c r="O143" s="775">
        <f t="shared" si="2"/>
        <v>18163</v>
      </c>
    </row>
    <row r="144" spans="1:15" hidden="1" outlineLevel="1">
      <c r="A144">
        <v>570005</v>
      </c>
      <c r="B144" t="s">
        <v>1258</v>
      </c>
      <c r="C144" s="775">
        <v>11220</v>
      </c>
      <c r="D144" s="775">
        <v>27851</v>
      </c>
      <c r="E144" s="775">
        <v>17673</v>
      </c>
      <c r="F144" s="775">
        <v>9677</v>
      </c>
      <c r="G144" s="775">
        <v>10801</v>
      </c>
      <c r="H144" s="775">
        <v>4056</v>
      </c>
      <c r="I144" s="775">
        <v>6006</v>
      </c>
      <c r="J144" s="775">
        <v>2623</v>
      </c>
      <c r="K144" s="775">
        <v>15655</v>
      </c>
      <c r="L144" s="775">
        <v>4052</v>
      </c>
      <c r="M144" s="775">
        <v>8853</v>
      </c>
      <c r="N144" s="775">
        <v>17863</v>
      </c>
      <c r="O144" s="775">
        <f t="shared" si="2"/>
        <v>136330</v>
      </c>
    </row>
    <row r="145" spans="1:15" hidden="1" outlineLevel="1">
      <c r="A145">
        <v>570010</v>
      </c>
      <c r="B145" t="s">
        <v>1259</v>
      </c>
      <c r="C145" s="775">
        <v>0</v>
      </c>
      <c r="D145" s="775">
        <v>833</v>
      </c>
      <c r="E145" s="775">
        <v>0</v>
      </c>
      <c r="F145" s="775">
        <v>0</v>
      </c>
      <c r="G145" s="775">
        <v>833</v>
      </c>
      <c r="H145" s="775">
        <v>0</v>
      </c>
      <c r="I145" s="775">
        <v>0</v>
      </c>
      <c r="J145" s="775">
        <v>833</v>
      </c>
      <c r="K145" s="775">
        <v>0</v>
      </c>
      <c r="L145" s="775">
        <v>0</v>
      </c>
      <c r="M145" s="775">
        <v>833</v>
      </c>
      <c r="N145" s="775">
        <v>0</v>
      </c>
      <c r="O145" s="775">
        <f t="shared" si="2"/>
        <v>3332</v>
      </c>
    </row>
    <row r="146" spans="1:15" hidden="1" outlineLevel="1">
      <c r="A146">
        <v>570020</v>
      </c>
      <c r="B146" t="s">
        <v>1260</v>
      </c>
      <c r="C146" s="775">
        <v>49183</v>
      </c>
      <c r="D146" s="775">
        <v>49183</v>
      </c>
      <c r="E146" s="775">
        <v>49183</v>
      </c>
      <c r="F146" s="775">
        <v>49183</v>
      </c>
      <c r="G146" s="775">
        <v>46453</v>
      </c>
      <c r="H146" s="775">
        <v>46453</v>
      </c>
      <c r="I146" s="775">
        <v>46453</v>
      </c>
      <c r="J146" s="775">
        <v>46453</v>
      </c>
      <c r="K146" s="775">
        <v>46453</v>
      </c>
      <c r="L146" s="775">
        <v>51088</v>
      </c>
      <c r="M146" s="775">
        <v>46972</v>
      </c>
      <c r="N146" s="775">
        <v>46972</v>
      </c>
      <c r="O146" s="775">
        <f t="shared" si="2"/>
        <v>574029</v>
      </c>
    </row>
    <row r="147" spans="1:15" hidden="1" outlineLevel="1">
      <c r="A147">
        <v>570030</v>
      </c>
      <c r="B147" t="s">
        <v>1261</v>
      </c>
      <c r="C147" s="775">
        <v>8508</v>
      </c>
      <c r="D147" s="775">
        <v>12153</v>
      </c>
      <c r="E147" s="775">
        <v>11041</v>
      </c>
      <c r="F147" s="775">
        <v>13612</v>
      </c>
      <c r="G147" s="775">
        <v>18812</v>
      </c>
      <c r="H147" s="775">
        <v>13511</v>
      </c>
      <c r="I147" s="775">
        <v>12095</v>
      </c>
      <c r="J147" s="775">
        <v>7381</v>
      </c>
      <c r="K147" s="775">
        <v>8442</v>
      </c>
      <c r="L147" s="775">
        <v>7389</v>
      </c>
      <c r="M147" s="775">
        <v>8063</v>
      </c>
      <c r="N147" s="775">
        <v>9421</v>
      </c>
      <c r="O147" s="775">
        <f t="shared" si="2"/>
        <v>130428</v>
      </c>
    </row>
    <row r="148" spans="1:15" hidden="1" outlineLevel="1">
      <c r="A148">
        <v>570040</v>
      </c>
      <c r="B148" t="s">
        <v>1262</v>
      </c>
      <c r="C148" s="775">
        <v>6323</v>
      </c>
      <c r="D148" s="775">
        <v>6323</v>
      </c>
      <c r="E148" s="775">
        <v>5834</v>
      </c>
      <c r="F148" s="775">
        <v>6811</v>
      </c>
      <c r="G148" s="775">
        <v>6487</v>
      </c>
      <c r="H148" s="775">
        <v>6487</v>
      </c>
      <c r="I148" s="775">
        <v>6487</v>
      </c>
      <c r="J148" s="775">
        <v>6487</v>
      </c>
      <c r="K148" s="775">
        <v>6487</v>
      </c>
      <c r="L148" s="775">
        <v>6487</v>
      </c>
      <c r="M148" s="775">
        <v>6487</v>
      </c>
      <c r="N148" s="775">
        <v>6487</v>
      </c>
      <c r="O148" s="775">
        <f t="shared" si="2"/>
        <v>77187</v>
      </c>
    </row>
    <row r="149" spans="1:15" hidden="1" outlineLevel="1">
      <c r="A149">
        <v>570998</v>
      </c>
      <c r="B149" t="s">
        <v>1263</v>
      </c>
      <c r="C149" s="775">
        <v>76787</v>
      </c>
      <c r="D149" s="775">
        <v>97232</v>
      </c>
      <c r="E149" s="775">
        <v>84573</v>
      </c>
      <c r="F149" s="775">
        <v>83286</v>
      </c>
      <c r="G149" s="775">
        <v>84461</v>
      </c>
      <c r="H149" s="775">
        <v>70933</v>
      </c>
      <c r="I149" s="775">
        <v>71993</v>
      </c>
      <c r="J149" s="775">
        <v>65283</v>
      </c>
      <c r="K149" s="775">
        <v>77876</v>
      </c>
      <c r="L149" s="775">
        <v>70239</v>
      </c>
      <c r="M149" s="775">
        <v>72141</v>
      </c>
      <c r="N149" s="775">
        <v>82772</v>
      </c>
      <c r="O149" s="775">
        <f t="shared" si="2"/>
        <v>937576</v>
      </c>
    </row>
    <row r="150" spans="1:15" hidden="1" outlineLevel="1">
      <c r="A150">
        <v>570999</v>
      </c>
      <c r="B150" t="s">
        <v>1264</v>
      </c>
      <c r="C150" s="775">
        <v>-76787</v>
      </c>
      <c r="D150" s="775">
        <v>-97232</v>
      </c>
      <c r="E150" s="775">
        <v>-84573</v>
      </c>
      <c r="F150" s="775">
        <v>-83286</v>
      </c>
      <c r="G150" s="775">
        <v>-84461</v>
      </c>
      <c r="H150" s="775">
        <v>-70933</v>
      </c>
      <c r="I150" s="775">
        <v>-71993</v>
      </c>
      <c r="J150" s="775">
        <v>-65283</v>
      </c>
      <c r="K150" s="775">
        <v>-77876</v>
      </c>
      <c r="L150" s="775">
        <v>-70239</v>
      </c>
      <c r="M150" s="775">
        <v>-72141</v>
      </c>
      <c r="N150" s="775">
        <v>-82772</v>
      </c>
      <c r="O150" s="775">
        <f t="shared" si="2"/>
        <v>-937576</v>
      </c>
    </row>
    <row r="151" spans="1:15" collapsed="1">
      <c r="B151" s="1184" t="s">
        <v>1265</v>
      </c>
      <c r="C151" s="1185">
        <v>76922</v>
      </c>
      <c r="D151" s="1185">
        <v>97375</v>
      </c>
      <c r="E151" s="1185">
        <v>84816</v>
      </c>
      <c r="F151" s="1185">
        <v>83621</v>
      </c>
      <c r="G151" s="1185">
        <v>84704</v>
      </c>
      <c r="H151" s="1185">
        <v>71188</v>
      </c>
      <c r="I151" s="1185">
        <v>72250</v>
      </c>
      <c r="J151" s="1185">
        <v>65560</v>
      </c>
      <c r="K151" s="1185">
        <v>77876</v>
      </c>
      <c r="L151" s="1185">
        <v>70239</v>
      </c>
      <c r="M151" s="1185">
        <v>72141</v>
      </c>
      <c r="N151" s="1185">
        <v>82772</v>
      </c>
      <c r="O151" s="1185">
        <f t="shared" si="2"/>
        <v>939464</v>
      </c>
    </row>
    <row r="152" spans="1:15" hidden="1" outlineLevel="1">
      <c r="A152">
        <v>595010</v>
      </c>
      <c r="B152" t="s">
        <v>1266</v>
      </c>
      <c r="C152" s="775">
        <v>187275</v>
      </c>
      <c r="D152" s="775">
        <v>188405</v>
      </c>
      <c r="E152" s="775">
        <v>179021</v>
      </c>
      <c r="F152" s="775">
        <v>189910</v>
      </c>
      <c r="G152" s="775">
        <v>187071</v>
      </c>
      <c r="H152" s="775">
        <v>183914</v>
      </c>
      <c r="I152" s="775">
        <v>187635</v>
      </c>
      <c r="J152" s="775">
        <v>164605</v>
      </c>
      <c r="K152" s="775">
        <v>196556</v>
      </c>
      <c r="L152" s="775">
        <v>196787</v>
      </c>
      <c r="M152" s="775">
        <v>193347</v>
      </c>
      <c r="N152" s="775">
        <v>196512</v>
      </c>
      <c r="O152" s="775">
        <f t="shared" si="2"/>
        <v>2251038</v>
      </c>
    </row>
    <row r="153" spans="1:15" hidden="1" outlineLevel="1">
      <c r="A153">
        <v>595020</v>
      </c>
      <c r="B153" t="s">
        <v>1267</v>
      </c>
      <c r="C153" s="775">
        <v>8187</v>
      </c>
      <c r="D153" s="775">
        <v>9610</v>
      </c>
      <c r="E153" s="775">
        <v>8530</v>
      </c>
      <c r="F153" s="775">
        <v>7397</v>
      </c>
      <c r="G153" s="775">
        <v>7129</v>
      </c>
      <c r="H153" s="775">
        <v>7646</v>
      </c>
      <c r="I153" s="775">
        <v>7595</v>
      </c>
      <c r="J153" s="775">
        <v>7492</v>
      </c>
      <c r="K153" s="775">
        <v>8809</v>
      </c>
      <c r="L153" s="775">
        <v>7983</v>
      </c>
      <c r="M153" s="775">
        <v>7055</v>
      </c>
      <c r="N153" s="775">
        <v>7428</v>
      </c>
      <c r="O153" s="775">
        <f t="shared" si="2"/>
        <v>94861</v>
      </c>
    </row>
    <row r="154" spans="1:15" hidden="1" outlineLevel="1">
      <c r="A154">
        <v>595030</v>
      </c>
      <c r="B154" t="s">
        <v>1268</v>
      </c>
      <c r="C154" s="775">
        <v>2962</v>
      </c>
      <c r="D154" s="775">
        <v>2962</v>
      </c>
      <c r="E154" s="775">
        <v>2487</v>
      </c>
      <c r="F154" s="775">
        <v>3438</v>
      </c>
      <c r="G154" s="775">
        <v>3274</v>
      </c>
      <c r="H154" s="775">
        <v>3274</v>
      </c>
      <c r="I154" s="775">
        <v>3274</v>
      </c>
      <c r="J154" s="775">
        <v>3274</v>
      </c>
      <c r="K154" s="775">
        <v>3274</v>
      </c>
      <c r="L154" s="775">
        <v>3274</v>
      </c>
      <c r="M154" s="775">
        <v>3274</v>
      </c>
      <c r="N154" s="775">
        <v>3274</v>
      </c>
      <c r="O154" s="775">
        <f t="shared" si="2"/>
        <v>38041</v>
      </c>
    </row>
    <row r="155" spans="1:15" hidden="1" outlineLevel="1">
      <c r="A155">
        <v>595080</v>
      </c>
      <c r="B155" t="s">
        <v>1269</v>
      </c>
      <c r="C155" s="775">
        <v>0</v>
      </c>
      <c r="D155" s="775">
        <v>0</v>
      </c>
      <c r="E155" s="775">
        <v>0</v>
      </c>
      <c r="F155" s="775">
        <v>337</v>
      </c>
      <c r="G155" s="775">
        <v>294</v>
      </c>
      <c r="H155" s="775">
        <v>0</v>
      </c>
      <c r="I155" s="775">
        <v>0</v>
      </c>
      <c r="J155" s="775">
        <v>0</v>
      </c>
      <c r="K155" s="775">
        <v>37</v>
      </c>
      <c r="L155" s="775">
        <v>394</v>
      </c>
      <c r="M155" s="775">
        <v>507</v>
      </c>
      <c r="N155" s="775">
        <v>0</v>
      </c>
      <c r="O155" s="775">
        <f t="shared" si="2"/>
        <v>1569</v>
      </c>
    </row>
    <row r="156" spans="1:15" hidden="1" outlineLevel="1">
      <c r="A156">
        <v>595090</v>
      </c>
      <c r="B156" t="s">
        <v>1270</v>
      </c>
      <c r="C156" s="775">
        <v>19702</v>
      </c>
      <c r="D156" s="775">
        <v>10630</v>
      </c>
      <c r="E156" s="775">
        <v>6290</v>
      </c>
      <c r="F156" s="775">
        <v>9597</v>
      </c>
      <c r="G156" s="775">
        <v>3500</v>
      </c>
      <c r="H156" s="775">
        <v>11854</v>
      </c>
      <c r="I156" s="775">
        <v>8493</v>
      </c>
      <c r="J156" s="775">
        <v>5559</v>
      </c>
      <c r="K156" s="775">
        <v>7134</v>
      </c>
      <c r="L156" s="775">
        <v>6671</v>
      </c>
      <c r="M156" s="775">
        <v>6768</v>
      </c>
      <c r="N156" s="775">
        <v>6317</v>
      </c>
      <c r="O156" s="775">
        <f t="shared" si="2"/>
        <v>102515</v>
      </c>
    </row>
    <row r="157" spans="1:15" hidden="1" outlineLevel="1">
      <c r="A157">
        <v>595105</v>
      </c>
      <c r="B157" t="s">
        <v>1007</v>
      </c>
      <c r="C157" s="775">
        <v>0</v>
      </c>
      <c r="D157" s="775">
        <v>18</v>
      </c>
      <c r="E157" s="775">
        <v>0</v>
      </c>
      <c r="F157" s="775">
        <v>0</v>
      </c>
      <c r="G157" s="775">
        <v>0</v>
      </c>
      <c r="H157" s="775">
        <v>18</v>
      </c>
      <c r="I157" s="775">
        <v>0</v>
      </c>
      <c r="J157" s="775">
        <v>0</v>
      </c>
      <c r="K157" s="775">
        <v>0</v>
      </c>
      <c r="L157" s="775">
        <v>-20</v>
      </c>
      <c r="M157" s="775">
        <v>40</v>
      </c>
      <c r="N157" s="775">
        <v>0</v>
      </c>
      <c r="O157" s="775">
        <f t="shared" si="2"/>
        <v>56</v>
      </c>
    </row>
    <row r="158" spans="1:15" hidden="1" outlineLevel="1">
      <c r="A158">
        <v>595106</v>
      </c>
      <c r="B158" t="s">
        <v>1271</v>
      </c>
      <c r="C158" s="775">
        <v>1006</v>
      </c>
      <c r="D158" s="775">
        <v>831</v>
      </c>
      <c r="E158" s="775">
        <v>745</v>
      </c>
      <c r="F158" s="775">
        <v>166</v>
      </c>
      <c r="G158" s="775">
        <v>163</v>
      </c>
      <c r="H158" s="775">
        <v>235</v>
      </c>
      <c r="I158" s="775">
        <v>0</v>
      </c>
      <c r="J158" s="775">
        <v>395</v>
      </c>
      <c r="K158" s="775">
        <v>50</v>
      </c>
      <c r="L158" s="775">
        <v>1381</v>
      </c>
      <c r="M158" s="775">
        <v>8</v>
      </c>
      <c r="N158" s="775">
        <v>599</v>
      </c>
      <c r="O158" s="775">
        <f t="shared" si="2"/>
        <v>5579</v>
      </c>
    </row>
    <row r="159" spans="1:15" hidden="1" outlineLevel="1">
      <c r="A159">
        <v>595109</v>
      </c>
      <c r="B159" t="s">
        <v>1272</v>
      </c>
      <c r="C159" s="775">
        <v>845</v>
      </c>
      <c r="D159" s="775">
        <v>2163</v>
      </c>
      <c r="E159" s="775">
        <v>692</v>
      </c>
      <c r="F159" s="775">
        <v>617</v>
      </c>
      <c r="G159" s="775">
        <v>171</v>
      </c>
      <c r="H159" s="775">
        <v>-34</v>
      </c>
      <c r="I159" s="775">
        <v>618</v>
      </c>
      <c r="J159" s="775">
        <v>505</v>
      </c>
      <c r="K159" s="775">
        <v>379</v>
      </c>
      <c r="L159" s="775">
        <v>151</v>
      </c>
      <c r="M159" s="775">
        <v>723</v>
      </c>
      <c r="N159" s="775">
        <v>1796</v>
      </c>
      <c r="O159" s="775">
        <f t="shared" si="2"/>
        <v>8626</v>
      </c>
    </row>
    <row r="160" spans="1:15" hidden="1" outlineLevel="1">
      <c r="A160">
        <v>595998</v>
      </c>
      <c r="B160" t="s">
        <v>1273</v>
      </c>
      <c r="C160" s="775">
        <v>30203</v>
      </c>
      <c r="D160" s="775">
        <v>25504</v>
      </c>
      <c r="E160" s="775">
        <v>19118</v>
      </c>
      <c r="F160" s="775">
        <v>22300</v>
      </c>
      <c r="G160" s="775">
        <v>14472</v>
      </c>
      <c r="H160" s="775">
        <v>17871</v>
      </c>
      <c r="I160" s="775">
        <v>19383</v>
      </c>
      <c r="J160" s="775">
        <v>18619</v>
      </c>
      <c r="K160" s="775">
        <v>20311</v>
      </c>
      <c r="L160" s="775">
        <v>20204</v>
      </c>
      <c r="M160" s="775">
        <v>18108</v>
      </c>
      <c r="N160" s="775">
        <v>19279</v>
      </c>
      <c r="O160" s="775">
        <f t="shared" si="2"/>
        <v>245372</v>
      </c>
    </row>
    <row r="161" spans="1:15" hidden="1" outlineLevel="1">
      <c r="A161">
        <v>595999</v>
      </c>
      <c r="B161" t="s">
        <v>1274</v>
      </c>
      <c r="C161" s="775">
        <v>-30203</v>
      </c>
      <c r="D161" s="775">
        <v>-25504</v>
      </c>
      <c r="E161" s="775">
        <v>-19118</v>
      </c>
      <c r="F161" s="775">
        <v>-22300</v>
      </c>
      <c r="G161" s="775">
        <v>-14472</v>
      </c>
      <c r="H161" s="775">
        <v>-17871</v>
      </c>
      <c r="I161" s="775">
        <v>-19383</v>
      </c>
      <c r="J161" s="775">
        <v>-18619</v>
      </c>
      <c r="K161" s="775">
        <v>-20311</v>
      </c>
      <c r="L161" s="775">
        <v>-20204</v>
      </c>
      <c r="M161" s="775">
        <v>-18108</v>
      </c>
      <c r="N161" s="775">
        <v>-19279</v>
      </c>
      <c r="O161" s="775">
        <f t="shared" si="2"/>
        <v>-245372</v>
      </c>
    </row>
    <row r="162" spans="1:15" collapsed="1">
      <c r="B162" s="1184" t="s">
        <v>1275</v>
      </c>
      <c r="C162" s="1185">
        <v>219977</v>
      </c>
      <c r="D162" s="1185">
        <v>214620</v>
      </c>
      <c r="E162" s="1185">
        <v>197764</v>
      </c>
      <c r="F162" s="1185">
        <v>211462</v>
      </c>
      <c r="G162" s="1185">
        <v>201603</v>
      </c>
      <c r="H162" s="1185">
        <v>206907</v>
      </c>
      <c r="I162" s="1185">
        <v>207616</v>
      </c>
      <c r="J162" s="1185">
        <v>181830</v>
      </c>
      <c r="K162" s="1185">
        <v>216240</v>
      </c>
      <c r="L162" s="1185">
        <v>216622</v>
      </c>
      <c r="M162" s="1185">
        <v>211722</v>
      </c>
      <c r="N162" s="1185">
        <v>215927</v>
      </c>
      <c r="O162" s="1185">
        <f t="shared" si="2"/>
        <v>2502290</v>
      </c>
    </row>
    <row r="163" spans="1:15">
      <c r="B163" s="744" t="s">
        <v>1276</v>
      </c>
      <c r="C163" s="1181">
        <v>1672707</v>
      </c>
      <c r="D163" s="1181">
        <v>1670987</v>
      </c>
      <c r="E163" s="1181">
        <v>1503780</v>
      </c>
      <c r="F163" s="1181">
        <v>1737593</v>
      </c>
      <c r="G163" s="1181">
        <v>1557420</v>
      </c>
      <c r="H163" s="1181">
        <v>1613858</v>
      </c>
      <c r="I163" s="1181">
        <v>1634557</v>
      </c>
      <c r="J163" s="1181">
        <v>1640988</v>
      </c>
      <c r="K163" s="1181">
        <v>1703141</v>
      </c>
      <c r="L163" s="1181">
        <v>1741831</v>
      </c>
      <c r="M163" s="1181">
        <v>1617763</v>
      </c>
      <c r="N163" s="1181">
        <v>1710745</v>
      </c>
      <c r="O163" s="1181">
        <f t="shared" si="2"/>
        <v>19805370</v>
      </c>
    </row>
    <row r="164" spans="1:15" hidden="1" outlineLevel="1">
      <c r="A164">
        <v>600010</v>
      </c>
      <c r="B164" t="s">
        <v>1277</v>
      </c>
      <c r="C164" s="775">
        <v>204782</v>
      </c>
      <c r="D164" s="775">
        <v>203622</v>
      </c>
      <c r="E164" s="775">
        <v>203621</v>
      </c>
      <c r="F164" s="775">
        <v>204031</v>
      </c>
      <c r="G164" s="775">
        <v>204030</v>
      </c>
      <c r="H164" s="775">
        <v>204031</v>
      </c>
      <c r="I164" s="775">
        <v>204030</v>
      </c>
      <c r="J164" s="775">
        <v>204031</v>
      </c>
      <c r="K164" s="775">
        <v>204030</v>
      </c>
      <c r="L164" s="775">
        <v>200787</v>
      </c>
      <c r="M164" s="775">
        <v>200787</v>
      </c>
      <c r="N164" s="775">
        <v>202552</v>
      </c>
      <c r="O164" s="775">
        <f t="shared" si="2"/>
        <v>2440334</v>
      </c>
    </row>
    <row r="165" spans="1:15" hidden="1" outlineLevel="1">
      <c r="A165">
        <v>600020</v>
      </c>
      <c r="B165" t="s">
        <v>1278</v>
      </c>
      <c r="C165" s="775">
        <v>31491</v>
      </c>
      <c r="D165" s="775">
        <v>31014</v>
      </c>
      <c r="E165" s="775">
        <v>30716</v>
      </c>
      <c r="F165" s="775">
        <v>30455</v>
      </c>
      <c r="G165" s="775">
        <v>30185</v>
      </c>
      <c r="H165" s="775">
        <v>33124</v>
      </c>
      <c r="I165" s="775">
        <v>32840</v>
      </c>
      <c r="J165" s="775">
        <v>32747</v>
      </c>
      <c r="K165" s="775">
        <v>32163</v>
      </c>
      <c r="L165" s="775">
        <v>33870</v>
      </c>
      <c r="M165" s="775">
        <v>33876</v>
      </c>
      <c r="N165" s="775">
        <v>32987</v>
      </c>
      <c r="O165" s="775">
        <f t="shared" si="2"/>
        <v>385468</v>
      </c>
    </row>
    <row r="166" spans="1:15" hidden="1" outlineLevel="1">
      <c r="A166">
        <v>600030</v>
      </c>
      <c r="B166" t="s">
        <v>1279</v>
      </c>
      <c r="C166" s="775">
        <v>10839</v>
      </c>
      <c r="D166" s="775">
        <v>10839</v>
      </c>
      <c r="E166" s="775">
        <v>10839</v>
      </c>
      <c r="F166" s="775">
        <v>10839</v>
      </c>
      <c r="G166" s="775">
        <v>10839</v>
      </c>
      <c r="H166" s="775">
        <v>10839</v>
      </c>
      <c r="I166" s="775">
        <v>10839</v>
      </c>
      <c r="J166" s="775">
        <v>10839</v>
      </c>
      <c r="K166" s="775">
        <v>10839</v>
      </c>
      <c r="L166" s="775">
        <v>10839</v>
      </c>
      <c r="M166" s="775">
        <v>10839</v>
      </c>
      <c r="N166" s="775">
        <v>10839</v>
      </c>
      <c r="O166" s="775">
        <f t="shared" si="2"/>
        <v>130068</v>
      </c>
    </row>
    <row r="167" spans="1:15" hidden="1" outlineLevel="1">
      <c r="A167">
        <v>600040</v>
      </c>
      <c r="B167" t="s">
        <v>1280</v>
      </c>
      <c r="C167" s="775">
        <v>1390</v>
      </c>
      <c r="D167" s="775">
        <v>1390</v>
      </c>
      <c r="E167" s="775">
        <v>1390</v>
      </c>
      <c r="F167" s="775">
        <v>1390</v>
      </c>
      <c r="G167" s="775">
        <v>1390</v>
      </c>
      <c r="H167" s="775">
        <v>1390</v>
      </c>
      <c r="I167" s="775">
        <v>1390</v>
      </c>
      <c r="J167" s="775">
        <v>1390</v>
      </c>
      <c r="K167" s="775">
        <v>1479</v>
      </c>
      <c r="L167" s="775">
        <v>1479</v>
      </c>
      <c r="M167" s="775">
        <v>1479</v>
      </c>
      <c r="N167" s="775">
        <v>1479</v>
      </c>
      <c r="O167" s="775">
        <f t="shared" si="2"/>
        <v>17036</v>
      </c>
    </row>
    <row r="168" spans="1:15" hidden="1" outlineLevel="1">
      <c r="A168">
        <v>600070</v>
      </c>
      <c r="B168" t="s">
        <v>1281</v>
      </c>
      <c r="C168" s="775">
        <v>367</v>
      </c>
      <c r="D168" s="775">
        <v>367</v>
      </c>
      <c r="E168" s="775">
        <v>367</v>
      </c>
      <c r="F168" s="775">
        <v>367</v>
      </c>
      <c r="G168" s="775">
        <v>11875</v>
      </c>
      <c r="H168" s="775">
        <v>11903</v>
      </c>
      <c r="I168" s="775">
        <v>11903</v>
      </c>
      <c r="J168" s="775">
        <v>11903</v>
      </c>
      <c r="K168" s="775">
        <v>11903</v>
      </c>
      <c r="L168" s="775">
        <v>11903</v>
      </c>
      <c r="M168" s="775">
        <v>11903</v>
      </c>
      <c r="N168" s="775">
        <v>11903</v>
      </c>
      <c r="O168" s="775">
        <f t="shared" si="2"/>
        <v>96664</v>
      </c>
    </row>
    <row r="169" spans="1:15" hidden="1" outlineLevel="1">
      <c r="A169">
        <v>600090</v>
      </c>
      <c r="B169" t="s">
        <v>1282</v>
      </c>
      <c r="C169" s="775">
        <v>327</v>
      </c>
      <c r="D169" s="775">
        <v>327</v>
      </c>
      <c r="E169" s="775">
        <v>327</v>
      </c>
      <c r="F169" s="775">
        <v>327</v>
      </c>
      <c r="G169" s="775">
        <v>327</v>
      </c>
      <c r="H169" s="775">
        <v>327</v>
      </c>
      <c r="I169" s="775">
        <v>327</v>
      </c>
      <c r="J169" s="775">
        <v>117</v>
      </c>
      <c r="K169" s="775">
        <v>117</v>
      </c>
      <c r="L169" s="775">
        <v>117</v>
      </c>
      <c r="M169" s="775">
        <v>117</v>
      </c>
      <c r="N169" s="775">
        <v>117</v>
      </c>
      <c r="O169" s="775">
        <f t="shared" si="2"/>
        <v>2874</v>
      </c>
    </row>
    <row r="170" spans="1:15" hidden="1" outlineLevel="1">
      <c r="A170">
        <v>600200</v>
      </c>
      <c r="B170" t="s">
        <v>1283</v>
      </c>
      <c r="C170" s="775">
        <v>0</v>
      </c>
      <c r="D170" s="775">
        <v>0</v>
      </c>
      <c r="E170" s="775">
        <v>0</v>
      </c>
      <c r="F170" s="775">
        <v>0</v>
      </c>
      <c r="G170" s="775">
        <v>0</v>
      </c>
      <c r="H170" s="775">
        <v>56</v>
      </c>
      <c r="I170" s="775">
        <v>57</v>
      </c>
      <c r="J170" s="775">
        <v>56</v>
      </c>
      <c r="K170" s="775">
        <v>57</v>
      </c>
      <c r="L170" s="775">
        <v>56</v>
      </c>
      <c r="M170" s="775">
        <v>57</v>
      </c>
      <c r="N170" s="775">
        <v>56</v>
      </c>
      <c r="O170" s="775">
        <f t="shared" si="2"/>
        <v>395</v>
      </c>
    </row>
    <row r="171" spans="1:15" hidden="1" outlineLevel="1">
      <c r="A171">
        <v>600998</v>
      </c>
      <c r="B171" t="s">
        <v>1284</v>
      </c>
      <c r="C171" s="775">
        <v>20625</v>
      </c>
      <c r="D171" s="775">
        <v>20625</v>
      </c>
      <c r="E171" s="775">
        <v>20625</v>
      </c>
      <c r="F171" s="775">
        <v>21034</v>
      </c>
      <c r="G171" s="775">
        <v>32541</v>
      </c>
      <c r="H171" s="775">
        <v>32570</v>
      </c>
      <c r="I171" s="775">
        <v>32570</v>
      </c>
      <c r="J171" s="775">
        <v>32570</v>
      </c>
      <c r="K171" s="775">
        <v>32659</v>
      </c>
      <c r="L171" s="775">
        <v>32659</v>
      </c>
      <c r="M171" s="775">
        <v>32659</v>
      </c>
      <c r="N171" s="775">
        <v>32659</v>
      </c>
      <c r="O171" s="775">
        <f t="shared" si="2"/>
        <v>343796</v>
      </c>
    </row>
    <row r="172" spans="1:15" hidden="1" outlineLevel="1">
      <c r="A172">
        <v>600999</v>
      </c>
      <c r="B172" t="s">
        <v>1285</v>
      </c>
      <c r="C172" s="775">
        <v>-20625</v>
      </c>
      <c r="D172" s="775">
        <v>-20625</v>
      </c>
      <c r="E172" s="775">
        <v>-20625</v>
      </c>
      <c r="F172" s="775">
        <v>-21034</v>
      </c>
      <c r="G172" s="775">
        <v>-32541</v>
      </c>
      <c r="H172" s="775">
        <v>-32570</v>
      </c>
      <c r="I172" s="775">
        <v>-32570</v>
      </c>
      <c r="J172" s="775">
        <v>-32570</v>
      </c>
      <c r="K172" s="775">
        <v>-32659</v>
      </c>
      <c r="L172" s="775">
        <v>-32659</v>
      </c>
      <c r="M172" s="775">
        <v>-32659</v>
      </c>
      <c r="N172" s="775">
        <v>-32659</v>
      </c>
      <c r="O172" s="775">
        <f t="shared" si="2"/>
        <v>-343796</v>
      </c>
    </row>
    <row r="173" spans="1:15" hidden="1" outlineLevel="1">
      <c r="B173" t="s">
        <v>152</v>
      </c>
      <c r="C173" s="775">
        <v>249196</v>
      </c>
      <c r="D173" s="775">
        <v>247558</v>
      </c>
      <c r="E173" s="775">
        <v>247260</v>
      </c>
      <c r="F173" s="775">
        <v>247408</v>
      </c>
      <c r="G173" s="775">
        <v>258646</v>
      </c>
      <c r="H173" s="775">
        <v>261670</v>
      </c>
      <c r="I173" s="775">
        <v>261385</v>
      </c>
      <c r="J173" s="775">
        <v>261083</v>
      </c>
      <c r="K173" s="775">
        <v>260588</v>
      </c>
      <c r="L173" s="775">
        <v>259052</v>
      </c>
      <c r="M173" s="775">
        <v>259058</v>
      </c>
      <c r="N173" s="775">
        <v>259933</v>
      </c>
      <c r="O173" s="775">
        <f t="shared" si="2"/>
        <v>3072837</v>
      </c>
    </row>
    <row r="174" spans="1:15" collapsed="1">
      <c r="B174" s="1184" t="s">
        <v>1286</v>
      </c>
      <c r="C174" s="1185">
        <v>249196</v>
      </c>
      <c r="D174" s="1185">
        <v>247558</v>
      </c>
      <c r="E174" s="1185">
        <v>247260</v>
      </c>
      <c r="F174" s="1185">
        <v>247408</v>
      </c>
      <c r="G174" s="1185">
        <v>258646</v>
      </c>
      <c r="H174" s="1185">
        <v>261670</v>
      </c>
      <c r="I174" s="1185">
        <v>261385</v>
      </c>
      <c r="J174" s="1185">
        <v>261083</v>
      </c>
      <c r="K174" s="1185">
        <v>260588</v>
      </c>
      <c r="L174" s="1185">
        <v>259052</v>
      </c>
      <c r="M174" s="1185">
        <v>259058</v>
      </c>
      <c r="N174" s="1185">
        <v>259933</v>
      </c>
      <c r="O174" s="1185">
        <f t="shared" si="2"/>
        <v>3072837</v>
      </c>
    </row>
    <row r="175" spans="1:15">
      <c r="B175" s="744" t="s">
        <v>1287</v>
      </c>
      <c r="C175" s="1181">
        <v>1921903</v>
      </c>
      <c r="D175" s="1181">
        <v>1918545</v>
      </c>
      <c r="E175" s="1181">
        <v>1751041</v>
      </c>
      <c r="F175" s="1181">
        <v>1985002</v>
      </c>
      <c r="G175" s="1181">
        <v>1816066</v>
      </c>
      <c r="H175" s="1181">
        <v>1875528</v>
      </c>
      <c r="I175" s="1181">
        <v>1895942</v>
      </c>
      <c r="J175" s="1181">
        <v>1902071</v>
      </c>
      <c r="K175" s="1181">
        <v>1963729</v>
      </c>
      <c r="L175" s="1181">
        <v>2000883</v>
      </c>
      <c r="M175" s="1181">
        <v>1876821</v>
      </c>
      <c r="N175" s="1181">
        <v>1970678</v>
      </c>
      <c r="O175" s="1181">
        <f t="shared" si="2"/>
        <v>22878209</v>
      </c>
    </row>
    <row r="176" spans="1:15" ht="12" thickBot="1">
      <c r="B176" s="1182" t="s">
        <v>1288</v>
      </c>
      <c r="C176" s="1183">
        <v>101198</v>
      </c>
      <c r="D176" s="1183">
        <v>244455</v>
      </c>
      <c r="E176" s="1183">
        <v>354188</v>
      </c>
      <c r="F176" s="1183">
        <v>-66694</v>
      </c>
      <c r="G176" s="1183">
        <v>263971</v>
      </c>
      <c r="H176" s="1183">
        <v>-3175</v>
      </c>
      <c r="I176" s="1183">
        <v>111447</v>
      </c>
      <c r="J176" s="1183">
        <v>96463</v>
      </c>
      <c r="K176" s="1183">
        <v>100013</v>
      </c>
      <c r="L176" s="1183">
        <v>-48453</v>
      </c>
      <c r="M176" s="1183">
        <v>6555</v>
      </c>
      <c r="N176" s="1183">
        <v>-136193</v>
      </c>
      <c r="O176" s="1183">
        <f t="shared" si="2"/>
        <v>1023775</v>
      </c>
    </row>
    <row r="177" spans="1:15" ht="12" hidden="1" outlineLevel="1" thickTop="1">
      <c r="A177">
        <v>710000</v>
      </c>
      <c r="B177" t="s">
        <v>1289</v>
      </c>
      <c r="C177" s="775">
        <v>2106</v>
      </c>
      <c r="D177" s="775">
        <v>984</v>
      </c>
      <c r="E177" s="775">
        <v>1930</v>
      </c>
      <c r="F177" s="775">
        <v>2219</v>
      </c>
      <c r="G177" s="775">
        <v>1161</v>
      </c>
      <c r="H177" s="775">
        <v>893</v>
      </c>
      <c r="I177" s="775">
        <v>2244</v>
      </c>
      <c r="J177" s="775">
        <v>2927</v>
      </c>
      <c r="K177" s="775">
        <v>3066</v>
      </c>
      <c r="L177" s="775">
        <v>3206</v>
      </c>
      <c r="M177" s="775">
        <v>2788</v>
      </c>
      <c r="N177" s="775">
        <v>3206</v>
      </c>
      <c r="O177" s="775">
        <f t="shared" si="2"/>
        <v>26730</v>
      </c>
    </row>
    <row r="178" spans="1:15" hidden="1" outlineLevel="1">
      <c r="A178">
        <v>710005</v>
      </c>
      <c r="B178" t="s">
        <v>1290</v>
      </c>
      <c r="C178" s="775">
        <v>3848</v>
      </c>
      <c r="D178" s="775">
        <v>3276</v>
      </c>
      <c r="E178" s="775">
        <v>3447</v>
      </c>
      <c r="F178" s="775">
        <v>3769</v>
      </c>
      <c r="G178" s="775">
        <v>2566</v>
      </c>
      <c r="H178" s="775">
        <v>5196</v>
      </c>
      <c r="I178" s="775">
        <v>6194</v>
      </c>
      <c r="J178" s="775">
        <v>5371</v>
      </c>
      <c r="K178" s="775">
        <v>5463</v>
      </c>
      <c r="L178" s="775">
        <v>6463</v>
      </c>
      <c r="M178" s="775">
        <v>5782</v>
      </c>
      <c r="N178" s="775">
        <v>6402</v>
      </c>
      <c r="O178" s="775">
        <f t="shared" si="2"/>
        <v>57777</v>
      </c>
    </row>
    <row r="179" spans="1:15" hidden="1" outlineLevel="1">
      <c r="A179">
        <v>710020</v>
      </c>
      <c r="B179" t="s">
        <v>1291</v>
      </c>
      <c r="C179" s="775">
        <v>6652</v>
      </c>
      <c r="D179" s="775">
        <v>6985</v>
      </c>
      <c r="E179" s="775">
        <v>6547</v>
      </c>
      <c r="F179" s="775">
        <v>6875</v>
      </c>
      <c r="G179" s="775">
        <v>6547</v>
      </c>
      <c r="H179" s="775">
        <v>6547</v>
      </c>
      <c r="I179" s="775">
        <v>7530</v>
      </c>
      <c r="J179" s="775">
        <v>6875</v>
      </c>
      <c r="K179" s="775">
        <v>4256</v>
      </c>
      <c r="L179" s="775">
        <v>7202</v>
      </c>
      <c r="M179" s="775">
        <v>6548</v>
      </c>
      <c r="N179" s="775">
        <v>7529</v>
      </c>
      <c r="O179" s="775">
        <f t="shared" si="2"/>
        <v>80093</v>
      </c>
    </row>
    <row r="180" spans="1:15" hidden="1" outlineLevel="1">
      <c r="A180">
        <v>710030</v>
      </c>
      <c r="B180" t="s">
        <v>1292</v>
      </c>
      <c r="C180" s="775">
        <v>33505</v>
      </c>
      <c r="D180" s="775">
        <v>31547</v>
      </c>
      <c r="E180" s="775">
        <v>31660</v>
      </c>
      <c r="F180" s="775">
        <v>33575</v>
      </c>
      <c r="G180" s="775">
        <v>25255</v>
      </c>
      <c r="H180" s="775">
        <v>29806</v>
      </c>
      <c r="I180" s="775">
        <v>32693</v>
      </c>
      <c r="J180" s="775">
        <v>26769</v>
      </c>
      <c r="K180" s="775">
        <v>23554</v>
      </c>
      <c r="L180" s="775">
        <v>25103</v>
      </c>
      <c r="M180" s="775">
        <v>28069</v>
      </c>
      <c r="N180" s="775">
        <v>26097</v>
      </c>
      <c r="O180" s="775">
        <f t="shared" si="2"/>
        <v>347633</v>
      </c>
    </row>
    <row r="181" spans="1:15" hidden="1" outlineLevel="1">
      <c r="A181">
        <v>710055</v>
      </c>
      <c r="B181" t="s">
        <v>1293</v>
      </c>
      <c r="C181" s="775">
        <v>6396</v>
      </c>
      <c r="D181" s="775">
        <v>302</v>
      </c>
      <c r="E181" s="775">
        <v>842</v>
      </c>
      <c r="F181" s="775">
        <v>0</v>
      </c>
      <c r="G181" s="775">
        <v>0</v>
      </c>
      <c r="H181" s="775">
        <v>0</v>
      </c>
      <c r="I181" s="775">
        <v>0</v>
      </c>
      <c r="J181" s="775">
        <v>1526</v>
      </c>
      <c r="K181" s="775">
        <v>5522</v>
      </c>
      <c r="L181" s="775">
        <v>6987</v>
      </c>
      <c r="M181" s="775">
        <v>6168</v>
      </c>
      <c r="N181" s="775">
        <v>5779</v>
      </c>
      <c r="O181" s="775">
        <f t="shared" si="2"/>
        <v>33522</v>
      </c>
    </row>
    <row r="182" spans="1:15" hidden="1" outlineLevel="1">
      <c r="A182">
        <v>710061</v>
      </c>
      <c r="B182" t="s">
        <v>1294</v>
      </c>
      <c r="C182" s="775">
        <v>1945</v>
      </c>
      <c r="D182" s="775">
        <v>1829</v>
      </c>
      <c r="E182" s="775">
        <v>1829</v>
      </c>
      <c r="F182" s="775">
        <v>1829</v>
      </c>
      <c r="G182" s="775">
        <v>324</v>
      </c>
      <c r="H182" s="775">
        <v>4378</v>
      </c>
      <c r="I182" s="775">
        <v>1829</v>
      </c>
      <c r="J182" s="775">
        <v>1829</v>
      </c>
      <c r="K182" s="775">
        <v>1829</v>
      </c>
      <c r="L182" s="775">
        <v>1829</v>
      </c>
      <c r="M182" s="775">
        <v>1829</v>
      </c>
      <c r="N182" s="775">
        <v>1829</v>
      </c>
      <c r="O182" s="775">
        <f t="shared" si="2"/>
        <v>23108</v>
      </c>
    </row>
    <row r="183" spans="1:15" hidden="1" outlineLevel="1">
      <c r="A183">
        <v>710062</v>
      </c>
      <c r="B183" t="s">
        <v>1295</v>
      </c>
      <c r="C183" s="775">
        <v>4626</v>
      </c>
      <c r="D183" s="775">
        <v>2628</v>
      </c>
      <c r="E183" s="775">
        <v>2438</v>
      </c>
      <c r="F183" s="775">
        <v>1673</v>
      </c>
      <c r="G183" s="775">
        <v>1070</v>
      </c>
      <c r="H183" s="775">
        <v>1953</v>
      </c>
      <c r="I183" s="775">
        <v>3166</v>
      </c>
      <c r="J183" s="775">
        <v>4608</v>
      </c>
      <c r="K183" s="775">
        <v>5203</v>
      </c>
      <c r="L183" s="775">
        <v>3549</v>
      </c>
      <c r="M183" s="775">
        <v>2557</v>
      </c>
      <c r="N183" s="775">
        <v>2994</v>
      </c>
      <c r="O183" s="775">
        <f t="shared" si="2"/>
        <v>36465</v>
      </c>
    </row>
    <row r="184" spans="1:15" hidden="1" outlineLevel="1">
      <c r="A184">
        <v>710170</v>
      </c>
      <c r="B184" t="s">
        <v>1296</v>
      </c>
      <c r="C184" s="775">
        <v>5342</v>
      </c>
      <c r="D184" s="775">
        <v>4952</v>
      </c>
      <c r="E184" s="775">
        <v>5251</v>
      </c>
      <c r="F184" s="775">
        <v>6199</v>
      </c>
      <c r="G184" s="775">
        <v>4580</v>
      </c>
      <c r="H184" s="775">
        <v>5339</v>
      </c>
      <c r="I184" s="775">
        <v>5685</v>
      </c>
      <c r="J184" s="775">
        <v>5033</v>
      </c>
      <c r="K184" s="775">
        <v>5111</v>
      </c>
      <c r="L184" s="775">
        <v>5220</v>
      </c>
      <c r="M184" s="775">
        <v>5002</v>
      </c>
      <c r="N184" s="775">
        <v>5190</v>
      </c>
      <c r="O184" s="775">
        <f t="shared" si="2"/>
        <v>62904</v>
      </c>
    </row>
    <row r="185" spans="1:15" hidden="1" outlineLevel="1">
      <c r="A185">
        <v>710172</v>
      </c>
      <c r="B185" t="s">
        <v>1297</v>
      </c>
      <c r="C185" s="775">
        <v>0</v>
      </c>
      <c r="D185" s="775">
        <v>137</v>
      </c>
      <c r="E185" s="775">
        <v>0</v>
      </c>
      <c r="F185" s="775">
        <v>0</v>
      </c>
      <c r="G185" s="775">
        <v>0</v>
      </c>
      <c r="H185" s="775">
        <v>0</v>
      </c>
      <c r="I185" s="775">
        <v>0</v>
      </c>
      <c r="J185" s="775">
        <v>0</v>
      </c>
      <c r="K185" s="775">
        <v>0</v>
      </c>
      <c r="L185" s="775">
        <v>0</v>
      </c>
      <c r="M185" s="775">
        <v>0</v>
      </c>
      <c r="N185" s="775">
        <v>0</v>
      </c>
      <c r="O185" s="775">
        <f t="shared" si="2"/>
        <v>137</v>
      </c>
    </row>
    <row r="186" spans="1:15" hidden="1" outlineLevel="1">
      <c r="A186">
        <v>710173</v>
      </c>
      <c r="B186" t="s">
        <v>1298</v>
      </c>
      <c r="C186" s="775">
        <v>363</v>
      </c>
      <c r="D186" s="775">
        <v>261</v>
      </c>
      <c r="E186" s="775">
        <v>1644</v>
      </c>
      <c r="F186" s="775">
        <v>1679</v>
      </c>
      <c r="G186" s="775">
        <v>1970</v>
      </c>
      <c r="H186" s="775">
        <v>2255</v>
      </c>
      <c r="I186" s="775">
        <v>420</v>
      </c>
      <c r="J186" s="775">
        <v>1432</v>
      </c>
      <c r="K186" s="775">
        <v>0</v>
      </c>
      <c r="L186" s="775">
        <v>1547</v>
      </c>
      <c r="M186" s="775">
        <v>1278</v>
      </c>
      <c r="N186" s="775">
        <v>298</v>
      </c>
      <c r="O186" s="775">
        <f t="shared" si="2"/>
        <v>13147</v>
      </c>
    </row>
    <row r="187" spans="1:15" hidden="1" outlineLevel="1">
      <c r="A187">
        <v>710174</v>
      </c>
      <c r="B187" t="s">
        <v>1299</v>
      </c>
      <c r="C187" s="775">
        <v>1800</v>
      </c>
      <c r="D187" s="775">
        <v>1828</v>
      </c>
      <c r="E187" s="775">
        <v>1670</v>
      </c>
      <c r="F187" s="775">
        <v>2953</v>
      </c>
      <c r="G187" s="775">
        <v>1803</v>
      </c>
      <c r="H187" s="775">
        <v>701</v>
      </c>
      <c r="I187" s="775">
        <v>794</v>
      </c>
      <c r="J187" s="775">
        <v>807</v>
      </c>
      <c r="K187" s="775">
        <v>5619</v>
      </c>
      <c r="L187" s="775">
        <v>1710</v>
      </c>
      <c r="M187" s="775">
        <v>503</v>
      </c>
      <c r="N187" s="775">
        <v>1585</v>
      </c>
      <c r="O187" s="775">
        <f t="shared" si="2"/>
        <v>21773</v>
      </c>
    </row>
    <row r="188" spans="1:15" hidden="1" outlineLevel="1">
      <c r="A188">
        <v>710176</v>
      </c>
      <c r="B188" t="s">
        <v>1300</v>
      </c>
      <c r="C188" s="775">
        <v>11394</v>
      </c>
      <c r="D188" s="775">
        <v>8513</v>
      </c>
      <c r="E188" s="775">
        <v>8452</v>
      </c>
      <c r="F188" s="775">
        <v>9014</v>
      </c>
      <c r="G188" s="775">
        <v>8854</v>
      </c>
      <c r="H188" s="775">
        <v>8986</v>
      </c>
      <c r="I188" s="775">
        <v>10115</v>
      </c>
      <c r="J188" s="775">
        <v>9184</v>
      </c>
      <c r="K188" s="775">
        <v>7616</v>
      </c>
      <c r="L188" s="775">
        <v>8382</v>
      </c>
      <c r="M188" s="775">
        <v>8428</v>
      </c>
      <c r="N188" s="775">
        <v>9966</v>
      </c>
      <c r="O188" s="775">
        <f t="shared" si="2"/>
        <v>108904</v>
      </c>
    </row>
    <row r="189" spans="1:15" hidden="1" outlineLevel="1">
      <c r="A189">
        <v>710177</v>
      </c>
      <c r="B189" t="s">
        <v>1301</v>
      </c>
      <c r="C189" s="775">
        <v>693</v>
      </c>
      <c r="D189" s="775">
        <v>586</v>
      </c>
      <c r="E189" s="775">
        <v>727</v>
      </c>
      <c r="F189" s="775">
        <v>698</v>
      </c>
      <c r="G189" s="775">
        <v>664</v>
      </c>
      <c r="H189" s="775">
        <v>635</v>
      </c>
      <c r="I189" s="775">
        <v>759</v>
      </c>
      <c r="J189" s="775">
        <v>688</v>
      </c>
      <c r="K189" s="775">
        <v>711</v>
      </c>
      <c r="L189" s="775">
        <v>775</v>
      </c>
      <c r="M189" s="775">
        <v>708</v>
      </c>
      <c r="N189" s="775">
        <v>738</v>
      </c>
      <c r="O189" s="775">
        <f t="shared" si="2"/>
        <v>8382</v>
      </c>
    </row>
    <row r="190" spans="1:15" ht="12" collapsed="1" thickTop="1">
      <c r="B190" s="1184" t="s">
        <v>546</v>
      </c>
      <c r="C190" s="1185">
        <v>78673</v>
      </c>
      <c r="D190" s="1185">
        <v>63828</v>
      </c>
      <c r="E190" s="1185">
        <v>66437</v>
      </c>
      <c r="F190" s="1185">
        <v>70483</v>
      </c>
      <c r="G190" s="1185">
        <v>54794</v>
      </c>
      <c r="H190" s="1185">
        <v>66690</v>
      </c>
      <c r="I190" s="1185">
        <v>71429</v>
      </c>
      <c r="J190" s="1185">
        <v>67049</v>
      </c>
      <c r="K190" s="1185">
        <v>67949</v>
      </c>
      <c r="L190" s="1185">
        <v>71972</v>
      </c>
      <c r="M190" s="1185">
        <v>69658</v>
      </c>
      <c r="N190" s="1185">
        <v>71613</v>
      </c>
      <c r="O190" s="1185">
        <f t="shared" si="2"/>
        <v>820575</v>
      </c>
    </row>
    <row r="191" spans="1:15" hidden="1" outlineLevel="1">
      <c r="A191">
        <v>711005</v>
      </c>
      <c r="B191" t="s">
        <v>1302</v>
      </c>
      <c r="C191" s="775">
        <v>388</v>
      </c>
      <c r="D191" s="775">
        <v>277</v>
      </c>
      <c r="E191" s="775">
        <v>782</v>
      </c>
      <c r="F191" s="775">
        <v>318</v>
      </c>
      <c r="G191" s="775">
        <v>256</v>
      </c>
      <c r="H191" s="775">
        <v>837</v>
      </c>
      <c r="I191" s="775">
        <v>0</v>
      </c>
      <c r="J191" s="775">
        <v>159</v>
      </c>
      <c r="K191" s="775">
        <v>0</v>
      </c>
      <c r="L191" s="775">
        <v>656</v>
      </c>
      <c r="M191" s="775">
        <v>562</v>
      </c>
      <c r="N191" s="775">
        <v>377</v>
      </c>
      <c r="O191" s="775">
        <f t="shared" si="2"/>
        <v>4612</v>
      </c>
    </row>
    <row r="192" spans="1:15" hidden="1" outlineLevel="1">
      <c r="A192">
        <v>711006</v>
      </c>
      <c r="B192" t="s">
        <v>1303</v>
      </c>
      <c r="C192" s="775">
        <v>8</v>
      </c>
      <c r="D192" s="775">
        <v>949</v>
      </c>
      <c r="E192" s="775">
        <v>40</v>
      </c>
      <c r="F192" s="775">
        <v>0</v>
      </c>
      <c r="G192" s="775">
        <v>87</v>
      </c>
      <c r="H192" s="775">
        <v>-22</v>
      </c>
      <c r="I192" s="775">
        <v>702</v>
      </c>
      <c r="J192" s="775">
        <v>867</v>
      </c>
      <c r="K192" s="775">
        <v>164</v>
      </c>
      <c r="L192" s="775">
        <v>349</v>
      </c>
      <c r="M192" s="775">
        <v>526</v>
      </c>
      <c r="N192" s="775">
        <v>381</v>
      </c>
      <c r="O192" s="775">
        <f t="shared" si="2"/>
        <v>4051</v>
      </c>
    </row>
    <row r="193" spans="1:15" hidden="1" outlineLevel="1">
      <c r="A193">
        <v>711009</v>
      </c>
      <c r="B193" t="s">
        <v>1304</v>
      </c>
      <c r="C193" s="775">
        <v>220</v>
      </c>
      <c r="D193" s="775">
        <v>1628</v>
      </c>
      <c r="E193" s="775">
        <v>280</v>
      </c>
      <c r="F193" s="775">
        <v>142</v>
      </c>
      <c r="G193" s="775">
        <v>287</v>
      </c>
      <c r="H193" s="775">
        <v>1344</v>
      </c>
      <c r="I193" s="775">
        <v>1512</v>
      </c>
      <c r="J193" s="775">
        <v>960</v>
      </c>
      <c r="K193" s="775">
        <v>419</v>
      </c>
      <c r="L193" s="775">
        <v>1115</v>
      </c>
      <c r="M193" s="775">
        <v>918</v>
      </c>
      <c r="N193" s="775">
        <v>447</v>
      </c>
      <c r="O193" s="775">
        <f t="shared" si="2"/>
        <v>9272</v>
      </c>
    </row>
    <row r="194" spans="1:15" hidden="1" outlineLevel="1">
      <c r="A194">
        <v>711010</v>
      </c>
      <c r="B194" t="s">
        <v>1305</v>
      </c>
      <c r="C194" s="775">
        <v>0</v>
      </c>
      <c r="D194" s="775">
        <v>0</v>
      </c>
      <c r="E194" s="775">
        <v>331</v>
      </c>
      <c r="F194" s="775">
        <v>0</v>
      </c>
      <c r="G194" s="775">
        <v>0</v>
      </c>
      <c r="H194" s="775">
        <v>0</v>
      </c>
      <c r="I194" s="775">
        <v>105</v>
      </c>
      <c r="J194" s="775">
        <v>341</v>
      </c>
      <c r="K194" s="775">
        <v>0</v>
      </c>
      <c r="L194" s="775">
        <v>13</v>
      </c>
      <c r="M194" s="775">
        <v>321</v>
      </c>
      <c r="N194" s="775">
        <v>35</v>
      </c>
      <c r="O194" s="775">
        <f t="shared" si="2"/>
        <v>1146</v>
      </c>
    </row>
    <row r="195" spans="1:15" hidden="1" outlineLevel="1">
      <c r="A195">
        <v>711014</v>
      </c>
      <c r="B195" t="s">
        <v>1306</v>
      </c>
      <c r="C195" s="775">
        <v>985</v>
      </c>
      <c r="D195" s="775">
        <v>600</v>
      </c>
      <c r="E195" s="775">
        <v>365</v>
      </c>
      <c r="F195" s="775">
        <v>3955</v>
      </c>
      <c r="G195" s="775">
        <v>0</v>
      </c>
      <c r="H195" s="775">
        <v>145</v>
      </c>
      <c r="I195" s="775">
        <v>0</v>
      </c>
      <c r="J195" s="775">
        <v>160</v>
      </c>
      <c r="K195" s="775">
        <v>0</v>
      </c>
      <c r="L195" s="775">
        <v>789</v>
      </c>
      <c r="M195" s="775">
        <v>-286</v>
      </c>
      <c r="N195" s="775">
        <v>1880</v>
      </c>
      <c r="O195" s="775">
        <f t="shared" si="2"/>
        <v>8593</v>
      </c>
    </row>
    <row r="196" spans="1:15" hidden="1" outlineLevel="1">
      <c r="A196">
        <v>711016</v>
      </c>
      <c r="B196" t="s">
        <v>1307</v>
      </c>
      <c r="C196" s="775">
        <v>580</v>
      </c>
      <c r="D196" s="775">
        <v>0</v>
      </c>
      <c r="E196" s="775">
        <v>0</v>
      </c>
      <c r="F196" s="775">
        <v>0</v>
      </c>
      <c r="G196" s="775">
        <v>-150</v>
      </c>
      <c r="H196" s="775">
        <v>0</v>
      </c>
      <c r="I196" s="775">
        <v>0</v>
      </c>
      <c r="J196" s="775">
        <v>0</v>
      </c>
      <c r="K196" s="775">
        <v>0</v>
      </c>
      <c r="L196" s="775">
        <v>0</v>
      </c>
      <c r="M196" s="775">
        <v>0</v>
      </c>
      <c r="N196" s="775">
        <v>0</v>
      </c>
      <c r="O196" s="775">
        <f t="shared" si="2"/>
        <v>430</v>
      </c>
    </row>
    <row r="197" spans="1:15" hidden="1" outlineLevel="1">
      <c r="A197">
        <v>711028</v>
      </c>
      <c r="B197" t="s">
        <v>1308</v>
      </c>
      <c r="C197" s="775">
        <v>22938</v>
      </c>
      <c r="D197" s="775">
        <v>24466</v>
      </c>
      <c r="E197" s="775">
        <v>15864</v>
      </c>
      <c r="F197" s="775">
        <v>22738</v>
      </c>
      <c r="G197" s="775">
        <v>9070</v>
      </c>
      <c r="H197" s="775">
        <v>29078</v>
      </c>
      <c r="I197" s="775">
        <v>9234</v>
      </c>
      <c r="J197" s="775">
        <v>4929</v>
      </c>
      <c r="K197" s="775">
        <v>8889</v>
      </c>
      <c r="L197" s="775">
        <v>12361</v>
      </c>
      <c r="M197" s="775">
        <v>2541</v>
      </c>
      <c r="N197" s="775">
        <v>21708</v>
      </c>
      <c r="O197" s="775">
        <f t="shared" si="2"/>
        <v>183816</v>
      </c>
    </row>
    <row r="198" spans="1:15" hidden="1" outlineLevel="1">
      <c r="A198">
        <v>711095</v>
      </c>
      <c r="B198" t="s">
        <v>1309</v>
      </c>
      <c r="C198" s="775">
        <v>300</v>
      </c>
      <c r="D198" s="775">
        <v>50</v>
      </c>
      <c r="E198" s="775">
        <v>0</v>
      </c>
      <c r="F198" s="775">
        <v>0</v>
      </c>
      <c r="G198" s="775">
        <v>89</v>
      </c>
      <c r="H198" s="775">
        <v>477</v>
      </c>
      <c r="I198" s="775">
        <v>9</v>
      </c>
      <c r="J198" s="775">
        <v>191</v>
      </c>
      <c r="K198" s="775">
        <v>167</v>
      </c>
      <c r="L198" s="775">
        <v>357</v>
      </c>
      <c r="M198" s="775">
        <v>957</v>
      </c>
      <c r="N198" s="775">
        <v>70</v>
      </c>
      <c r="O198" s="775">
        <f t="shared" si="2"/>
        <v>2667</v>
      </c>
    </row>
    <row r="199" spans="1:15" collapsed="1">
      <c r="B199" s="1184" t="s">
        <v>547</v>
      </c>
      <c r="C199" s="1185">
        <v>25419</v>
      </c>
      <c r="D199" s="1185">
        <v>27970</v>
      </c>
      <c r="E199" s="1185">
        <v>17662</v>
      </c>
      <c r="F199" s="1185">
        <v>27152</v>
      </c>
      <c r="G199" s="1185">
        <v>9639</v>
      </c>
      <c r="H199" s="1185">
        <v>31859</v>
      </c>
      <c r="I199" s="1185">
        <v>11562</v>
      </c>
      <c r="J199" s="1185">
        <v>7606</v>
      </c>
      <c r="K199" s="1185">
        <v>9638</v>
      </c>
      <c r="L199" s="1185">
        <v>15640</v>
      </c>
      <c r="M199" s="1185">
        <v>5540</v>
      </c>
      <c r="N199" s="1185">
        <v>24898</v>
      </c>
      <c r="O199" s="1185">
        <f t="shared" si="2"/>
        <v>214585</v>
      </c>
    </row>
    <row r="200" spans="1:15" ht="12" thickBot="1">
      <c r="B200" s="1182" t="s">
        <v>1310</v>
      </c>
      <c r="C200" s="1183">
        <v>104092</v>
      </c>
      <c r="D200" s="1183">
        <v>91798</v>
      </c>
      <c r="E200" s="1183">
        <v>84099</v>
      </c>
      <c r="F200" s="1183">
        <v>97635</v>
      </c>
      <c r="G200" s="1183">
        <v>64434</v>
      </c>
      <c r="H200" s="1183">
        <v>98549</v>
      </c>
      <c r="I200" s="1183">
        <v>82991</v>
      </c>
      <c r="J200" s="1183">
        <v>74654</v>
      </c>
      <c r="K200" s="1183">
        <v>77588</v>
      </c>
      <c r="L200" s="1183">
        <v>87613</v>
      </c>
      <c r="M200" s="1183">
        <v>75197</v>
      </c>
      <c r="N200" s="1183">
        <v>96511</v>
      </c>
      <c r="O200" s="1183">
        <f t="shared" ref="O200:O252" si="3">SUM(C200:N200)</f>
        <v>1035161</v>
      </c>
    </row>
    <row r="201" spans="1:15" ht="12" hidden="1" outlineLevel="1" thickTop="1">
      <c r="A201">
        <v>750000</v>
      </c>
      <c r="B201" t="s">
        <v>1008</v>
      </c>
      <c r="C201" s="775">
        <v>21236</v>
      </c>
      <c r="D201" s="775">
        <v>19554</v>
      </c>
      <c r="E201" s="775">
        <v>19117</v>
      </c>
      <c r="F201" s="775">
        <v>19033</v>
      </c>
      <c r="G201" s="775">
        <v>19613</v>
      </c>
      <c r="H201" s="775">
        <v>19524</v>
      </c>
      <c r="I201" s="775">
        <v>22019</v>
      </c>
      <c r="J201" s="775">
        <v>20104</v>
      </c>
      <c r="K201" s="775">
        <v>19028</v>
      </c>
      <c r="L201" s="775">
        <v>22019</v>
      </c>
      <c r="M201" s="775">
        <v>16825</v>
      </c>
      <c r="N201" s="775">
        <v>21497</v>
      </c>
      <c r="O201" s="775">
        <f t="shared" si="3"/>
        <v>239569</v>
      </c>
    </row>
    <row r="202" spans="1:15" hidden="1" outlineLevel="1">
      <c r="A202">
        <v>750005</v>
      </c>
      <c r="B202" t="s">
        <v>1311</v>
      </c>
      <c r="C202" s="775">
        <v>9689</v>
      </c>
      <c r="D202" s="775">
        <v>11865</v>
      </c>
      <c r="E202" s="775">
        <v>10769</v>
      </c>
      <c r="F202" s="775">
        <v>13147</v>
      </c>
      <c r="G202" s="775">
        <v>11837</v>
      </c>
      <c r="H202" s="775">
        <v>11840</v>
      </c>
      <c r="I202" s="775">
        <v>14564</v>
      </c>
      <c r="J202" s="775">
        <v>11931</v>
      </c>
      <c r="K202" s="775">
        <v>13883</v>
      </c>
      <c r="L202" s="775">
        <v>15342</v>
      </c>
      <c r="M202" s="775">
        <v>13199</v>
      </c>
      <c r="N202" s="775">
        <v>14871</v>
      </c>
      <c r="O202" s="775">
        <f t="shared" si="3"/>
        <v>152937</v>
      </c>
    </row>
    <row r="203" spans="1:15" hidden="1" outlineLevel="1">
      <c r="A203">
        <v>750055</v>
      </c>
      <c r="B203" t="s">
        <v>1312</v>
      </c>
      <c r="C203" s="775">
        <v>0</v>
      </c>
      <c r="D203" s="775">
        <v>0</v>
      </c>
      <c r="E203" s="775">
        <v>0</v>
      </c>
      <c r="F203" s="775">
        <v>0</v>
      </c>
      <c r="G203" s="775">
        <v>734</v>
      </c>
      <c r="H203" s="775">
        <v>993</v>
      </c>
      <c r="I203" s="775">
        <v>-2798</v>
      </c>
      <c r="J203" s="775">
        <v>5112</v>
      </c>
      <c r="K203" s="775">
        <v>3506</v>
      </c>
      <c r="L203" s="775">
        <v>0</v>
      </c>
      <c r="M203" s="775">
        <v>0</v>
      </c>
      <c r="N203" s="775">
        <v>0</v>
      </c>
      <c r="O203" s="775">
        <f t="shared" si="3"/>
        <v>7547</v>
      </c>
    </row>
    <row r="204" spans="1:15" hidden="1" outlineLevel="1">
      <c r="A204">
        <v>750060</v>
      </c>
      <c r="B204" t="s">
        <v>1313</v>
      </c>
      <c r="C204" s="775">
        <v>0</v>
      </c>
      <c r="D204" s="775">
        <v>0</v>
      </c>
      <c r="E204" s="775">
        <v>0</v>
      </c>
      <c r="F204" s="775">
        <v>0</v>
      </c>
      <c r="G204" s="775">
        <v>742</v>
      </c>
      <c r="H204" s="775">
        <v>0</v>
      </c>
      <c r="I204" s="775">
        <v>0</v>
      </c>
      <c r="J204" s="775">
        <v>0</v>
      </c>
      <c r="K204" s="775">
        <v>0</v>
      </c>
      <c r="L204" s="775">
        <v>0</v>
      </c>
      <c r="M204" s="775">
        <v>0</v>
      </c>
      <c r="N204" s="775">
        <v>0</v>
      </c>
      <c r="O204" s="775">
        <f t="shared" si="3"/>
        <v>742</v>
      </c>
    </row>
    <row r="205" spans="1:15" hidden="1" outlineLevel="1">
      <c r="A205">
        <v>750061</v>
      </c>
      <c r="B205" t="s">
        <v>1009</v>
      </c>
      <c r="C205" s="775">
        <v>8496</v>
      </c>
      <c r="D205" s="775">
        <v>7997</v>
      </c>
      <c r="E205" s="775">
        <v>7997</v>
      </c>
      <c r="F205" s="775">
        <v>7997</v>
      </c>
      <c r="G205" s="775">
        <v>-21730</v>
      </c>
      <c r="H205" s="775">
        <v>45558</v>
      </c>
      <c r="I205" s="775">
        <v>7997</v>
      </c>
      <c r="J205" s="775">
        <v>7997</v>
      </c>
      <c r="K205" s="775">
        <v>7997</v>
      </c>
      <c r="L205" s="775">
        <v>7997</v>
      </c>
      <c r="M205" s="775">
        <v>7997</v>
      </c>
      <c r="N205" s="775">
        <v>7997</v>
      </c>
      <c r="O205" s="775">
        <f t="shared" si="3"/>
        <v>104297</v>
      </c>
    </row>
    <row r="206" spans="1:15" hidden="1" outlineLevel="1">
      <c r="A206">
        <v>750170</v>
      </c>
      <c r="B206" t="s">
        <v>1314</v>
      </c>
      <c r="C206" s="775">
        <v>3152</v>
      </c>
      <c r="D206" s="775">
        <v>3309</v>
      </c>
      <c r="E206" s="775">
        <v>3193</v>
      </c>
      <c r="F206" s="775">
        <v>4360</v>
      </c>
      <c r="G206" s="775">
        <v>2000</v>
      </c>
      <c r="H206" s="775">
        <v>3840</v>
      </c>
      <c r="I206" s="775">
        <v>2606</v>
      </c>
      <c r="J206" s="775">
        <v>2743</v>
      </c>
      <c r="K206" s="775">
        <v>3285</v>
      </c>
      <c r="L206" s="775">
        <v>3490</v>
      </c>
      <c r="M206" s="775">
        <v>3074</v>
      </c>
      <c r="N206" s="775">
        <v>5503</v>
      </c>
      <c r="O206" s="775">
        <f t="shared" si="3"/>
        <v>40555</v>
      </c>
    </row>
    <row r="207" spans="1:15" hidden="1" outlineLevel="1">
      <c r="A207">
        <v>750173</v>
      </c>
      <c r="B207" t="s">
        <v>1315</v>
      </c>
      <c r="C207" s="775">
        <v>0</v>
      </c>
      <c r="D207" s="775">
        <v>406</v>
      </c>
      <c r="E207" s="775">
        <v>1118</v>
      </c>
      <c r="F207" s="775">
        <v>2304</v>
      </c>
      <c r="G207" s="775">
        <v>1547</v>
      </c>
      <c r="H207" s="775">
        <v>1554</v>
      </c>
      <c r="I207" s="775">
        <v>0</v>
      </c>
      <c r="J207" s="775">
        <v>1205</v>
      </c>
      <c r="K207" s="775">
        <v>153</v>
      </c>
      <c r="L207" s="775">
        <v>1200</v>
      </c>
      <c r="M207" s="775">
        <v>1200</v>
      </c>
      <c r="N207" s="775">
        <v>0</v>
      </c>
      <c r="O207" s="775">
        <f t="shared" si="3"/>
        <v>10687</v>
      </c>
    </row>
    <row r="208" spans="1:15" hidden="1" outlineLevel="1">
      <c r="A208">
        <v>750174</v>
      </c>
      <c r="B208" t="s">
        <v>1316</v>
      </c>
      <c r="C208" s="775">
        <v>1952</v>
      </c>
      <c r="D208" s="775">
        <v>2148</v>
      </c>
      <c r="E208" s="775">
        <v>787</v>
      </c>
      <c r="F208" s="775">
        <v>3908</v>
      </c>
      <c r="G208" s="775">
        <v>2992</v>
      </c>
      <c r="H208" s="775">
        <v>1347</v>
      </c>
      <c r="I208" s="775">
        <v>435</v>
      </c>
      <c r="J208" s="775">
        <v>2407</v>
      </c>
      <c r="K208" s="775">
        <v>4358</v>
      </c>
      <c r="L208" s="775">
        <v>1202</v>
      </c>
      <c r="M208" s="775">
        <v>4120</v>
      </c>
      <c r="N208" s="775">
        <v>1956</v>
      </c>
      <c r="O208" s="775">
        <f t="shared" si="3"/>
        <v>27612</v>
      </c>
    </row>
    <row r="209" spans="1:15" hidden="1" outlineLevel="1">
      <c r="A209">
        <v>750176</v>
      </c>
      <c r="B209" t="s">
        <v>1317</v>
      </c>
      <c r="C209" s="775">
        <v>5602</v>
      </c>
      <c r="D209" s="775">
        <v>5040</v>
      </c>
      <c r="E209" s="775">
        <v>5020</v>
      </c>
      <c r="F209" s="775">
        <v>5692</v>
      </c>
      <c r="G209" s="775">
        <v>5800</v>
      </c>
      <c r="H209" s="775">
        <v>5253</v>
      </c>
      <c r="I209" s="775">
        <v>5511</v>
      </c>
      <c r="J209" s="775">
        <v>5856</v>
      </c>
      <c r="K209" s="775">
        <v>6205</v>
      </c>
      <c r="L209" s="775">
        <v>6743</v>
      </c>
      <c r="M209" s="775">
        <v>5553</v>
      </c>
      <c r="N209" s="775">
        <v>6851</v>
      </c>
      <c r="O209" s="775">
        <f t="shared" si="3"/>
        <v>69126</v>
      </c>
    </row>
    <row r="210" spans="1:15" hidden="1" outlineLevel="1">
      <c r="A210">
        <v>750177</v>
      </c>
      <c r="B210" t="s">
        <v>1318</v>
      </c>
      <c r="C210" s="775">
        <v>927</v>
      </c>
      <c r="D210" s="775">
        <v>929</v>
      </c>
      <c r="E210" s="775">
        <v>2661</v>
      </c>
      <c r="F210" s="775">
        <v>999</v>
      </c>
      <c r="G210" s="775">
        <v>665</v>
      </c>
      <c r="H210" s="775">
        <v>848</v>
      </c>
      <c r="I210" s="775">
        <v>912</v>
      </c>
      <c r="J210" s="775">
        <v>849</v>
      </c>
      <c r="K210" s="775">
        <v>994</v>
      </c>
      <c r="L210" s="775">
        <v>974</v>
      </c>
      <c r="M210" s="775">
        <v>872</v>
      </c>
      <c r="N210" s="775">
        <v>1014</v>
      </c>
      <c r="O210" s="775">
        <f t="shared" si="3"/>
        <v>12644</v>
      </c>
    </row>
    <row r="211" spans="1:15" ht="12" collapsed="1" thickTop="1">
      <c r="B211" s="1184" t="s">
        <v>550</v>
      </c>
      <c r="C211" s="1185">
        <v>51054</v>
      </c>
      <c r="D211" s="1185">
        <v>51248</v>
      </c>
      <c r="E211" s="1185">
        <v>50662</v>
      </c>
      <c r="F211" s="1185">
        <v>57442</v>
      </c>
      <c r="G211" s="1185">
        <v>24200</v>
      </c>
      <c r="H211" s="1185">
        <v>90756</v>
      </c>
      <c r="I211" s="1185">
        <v>51246</v>
      </c>
      <c r="J211" s="1185">
        <v>58205</v>
      </c>
      <c r="K211" s="1185">
        <v>59409</v>
      </c>
      <c r="L211" s="1185">
        <v>58966</v>
      </c>
      <c r="M211" s="1185">
        <v>52841</v>
      </c>
      <c r="N211" s="1185">
        <v>59689</v>
      </c>
      <c r="O211" s="1185">
        <f t="shared" si="3"/>
        <v>665718</v>
      </c>
    </row>
    <row r="212" spans="1:15" outlineLevel="1">
      <c r="A212">
        <v>751102</v>
      </c>
      <c r="B212" t="s">
        <v>1319</v>
      </c>
      <c r="C212" s="775">
        <v>0</v>
      </c>
      <c r="D212" s="775">
        <v>0</v>
      </c>
      <c r="E212" s="775">
        <v>0</v>
      </c>
      <c r="F212" s="775">
        <v>0</v>
      </c>
      <c r="G212" s="775">
        <v>0</v>
      </c>
      <c r="H212" s="775">
        <v>0</v>
      </c>
      <c r="I212" s="775">
        <v>1618</v>
      </c>
      <c r="J212" s="775">
        <v>0</v>
      </c>
      <c r="K212" s="775">
        <v>0</v>
      </c>
      <c r="L212" s="775">
        <v>0</v>
      </c>
      <c r="M212" s="775">
        <v>0</v>
      </c>
      <c r="N212" s="775">
        <v>150</v>
      </c>
      <c r="O212" s="775">
        <f t="shared" si="3"/>
        <v>1768</v>
      </c>
    </row>
    <row r="213" spans="1:15" outlineLevel="1">
      <c r="A213">
        <v>751104</v>
      </c>
      <c r="B213" t="s">
        <v>1320</v>
      </c>
      <c r="C213" s="775">
        <v>0</v>
      </c>
      <c r="D213" s="775">
        <v>0</v>
      </c>
      <c r="E213" s="775">
        <v>0</v>
      </c>
      <c r="F213" s="775">
        <v>-500</v>
      </c>
      <c r="G213" s="775">
        <v>0</v>
      </c>
      <c r="H213" s="775">
        <v>0</v>
      </c>
      <c r="I213" s="775">
        <v>0</v>
      </c>
      <c r="J213" s="775">
        <v>65</v>
      </c>
      <c r="K213" s="775">
        <v>0</v>
      </c>
      <c r="L213" s="775">
        <v>94</v>
      </c>
      <c r="M213" s="775">
        <v>49</v>
      </c>
      <c r="N213" s="775">
        <v>0</v>
      </c>
      <c r="O213" s="775">
        <f t="shared" si="3"/>
        <v>-292</v>
      </c>
    </row>
    <row r="214" spans="1:15" outlineLevel="1">
      <c r="A214">
        <v>751105</v>
      </c>
      <c r="B214" t="s">
        <v>1321</v>
      </c>
      <c r="C214" s="775">
        <v>520</v>
      </c>
      <c r="D214" s="775">
        <v>71</v>
      </c>
      <c r="E214" s="775">
        <v>174</v>
      </c>
      <c r="F214" s="775">
        <v>0</v>
      </c>
      <c r="G214" s="775">
        <v>288</v>
      </c>
      <c r="H214" s="775">
        <v>310</v>
      </c>
      <c r="I214" s="775">
        <v>652</v>
      </c>
      <c r="J214" s="775">
        <v>76</v>
      </c>
      <c r="K214" s="775">
        <v>155</v>
      </c>
      <c r="L214" s="775">
        <v>552</v>
      </c>
      <c r="M214" s="775">
        <v>244</v>
      </c>
      <c r="N214" s="775">
        <v>384</v>
      </c>
      <c r="O214" s="775">
        <f t="shared" si="3"/>
        <v>3426</v>
      </c>
    </row>
    <row r="215" spans="1:15" outlineLevel="1">
      <c r="A215">
        <v>751106</v>
      </c>
      <c r="B215" t="s">
        <v>1322</v>
      </c>
      <c r="C215" s="775">
        <v>12</v>
      </c>
      <c r="D215" s="775">
        <v>338</v>
      </c>
      <c r="E215" s="775">
        <v>894</v>
      </c>
      <c r="F215" s="775">
        <v>642</v>
      </c>
      <c r="G215" s="775">
        <v>1118</v>
      </c>
      <c r="H215" s="775">
        <v>639</v>
      </c>
      <c r="I215" s="775">
        <v>2588</v>
      </c>
      <c r="J215" s="775">
        <v>1081</v>
      </c>
      <c r="K215" s="775">
        <v>295</v>
      </c>
      <c r="L215" s="775">
        <v>613</v>
      </c>
      <c r="M215" s="775">
        <v>-1157</v>
      </c>
      <c r="N215" s="775">
        <v>739</v>
      </c>
      <c r="O215" s="775">
        <f t="shared" si="3"/>
        <v>7802</v>
      </c>
    </row>
    <row r="216" spans="1:15" outlineLevel="1">
      <c r="A216">
        <v>751109</v>
      </c>
      <c r="B216" t="s">
        <v>1323</v>
      </c>
      <c r="C216" s="775">
        <v>672</v>
      </c>
      <c r="D216" s="775">
        <v>681</v>
      </c>
      <c r="E216" s="775">
        <v>771</v>
      </c>
      <c r="F216" s="775">
        <v>404</v>
      </c>
      <c r="G216" s="775">
        <v>1244</v>
      </c>
      <c r="H216" s="775">
        <v>-70</v>
      </c>
      <c r="I216" s="775">
        <v>1069</v>
      </c>
      <c r="J216" s="775">
        <v>458</v>
      </c>
      <c r="K216" s="775">
        <v>138</v>
      </c>
      <c r="L216" s="775">
        <v>1951</v>
      </c>
      <c r="M216" s="775">
        <v>197</v>
      </c>
      <c r="N216" s="775">
        <v>550</v>
      </c>
      <c r="O216" s="775">
        <f t="shared" si="3"/>
        <v>8065</v>
      </c>
    </row>
    <row r="217" spans="1:15" outlineLevel="1">
      <c r="A217">
        <v>751110</v>
      </c>
      <c r="B217" t="s">
        <v>1324</v>
      </c>
      <c r="C217" s="775">
        <v>4423</v>
      </c>
      <c r="D217" s="775">
        <v>1633</v>
      </c>
      <c r="E217" s="775">
        <v>1645</v>
      </c>
      <c r="F217" s="775">
        <v>4277</v>
      </c>
      <c r="G217" s="775">
        <v>2223</v>
      </c>
      <c r="H217" s="775">
        <v>1063</v>
      </c>
      <c r="I217" s="775">
        <v>3177</v>
      </c>
      <c r="J217" s="775">
        <v>238</v>
      </c>
      <c r="K217" s="775">
        <v>3503</v>
      </c>
      <c r="L217" s="775">
        <v>1459</v>
      </c>
      <c r="M217" s="775">
        <v>1206</v>
      </c>
      <c r="N217" s="775">
        <v>2825</v>
      </c>
      <c r="O217" s="775">
        <f t="shared" si="3"/>
        <v>27672</v>
      </c>
    </row>
    <row r="218" spans="1:15" outlineLevel="1">
      <c r="A218">
        <v>751111</v>
      </c>
      <c r="B218" t="s">
        <v>1325</v>
      </c>
      <c r="C218" s="775">
        <v>1351</v>
      </c>
      <c r="D218" s="775">
        <v>1263</v>
      </c>
      <c r="E218" s="775">
        <v>1465</v>
      </c>
      <c r="F218" s="775">
        <v>2151</v>
      </c>
      <c r="G218" s="775">
        <v>3551</v>
      </c>
      <c r="H218" s="775">
        <v>3326</v>
      </c>
      <c r="I218" s="775">
        <v>3323</v>
      </c>
      <c r="J218" s="775">
        <v>3276</v>
      </c>
      <c r="K218" s="775">
        <v>3100</v>
      </c>
      <c r="L218" s="775">
        <v>2288</v>
      </c>
      <c r="M218" s="775">
        <v>2684</v>
      </c>
      <c r="N218" s="775">
        <v>2540</v>
      </c>
      <c r="O218" s="775">
        <f t="shared" si="3"/>
        <v>30318</v>
      </c>
    </row>
    <row r="219" spans="1:15" outlineLevel="1">
      <c r="A219">
        <v>751112</v>
      </c>
      <c r="B219" t="s">
        <v>1326</v>
      </c>
      <c r="C219" s="775">
        <v>4845</v>
      </c>
      <c r="D219" s="775">
        <v>12310</v>
      </c>
      <c r="E219" s="775">
        <v>22157</v>
      </c>
      <c r="F219" s="775">
        <v>3437</v>
      </c>
      <c r="G219" s="775">
        <v>5038</v>
      </c>
      <c r="H219" s="775">
        <v>9977</v>
      </c>
      <c r="I219" s="775">
        <v>1148</v>
      </c>
      <c r="J219" s="775">
        <v>2319</v>
      </c>
      <c r="K219" s="775">
        <v>973</v>
      </c>
      <c r="L219" s="775">
        <v>5191</v>
      </c>
      <c r="M219" s="775">
        <v>855</v>
      </c>
      <c r="N219" s="775">
        <v>2397</v>
      </c>
      <c r="O219" s="775">
        <f t="shared" si="3"/>
        <v>70647</v>
      </c>
    </row>
    <row r="220" spans="1:15" outlineLevel="1">
      <c r="A220">
        <v>751114</v>
      </c>
      <c r="B220" t="s">
        <v>1327</v>
      </c>
      <c r="C220" s="775">
        <v>1970</v>
      </c>
      <c r="D220" s="775">
        <v>7861</v>
      </c>
      <c r="E220" s="775">
        <v>1979</v>
      </c>
      <c r="F220" s="775">
        <v>2240</v>
      </c>
      <c r="G220" s="775">
        <v>4019</v>
      </c>
      <c r="H220" s="775">
        <v>1854</v>
      </c>
      <c r="I220" s="775">
        <v>2034</v>
      </c>
      <c r="J220" s="775">
        <v>3887</v>
      </c>
      <c r="K220" s="775">
        <v>0</v>
      </c>
      <c r="L220" s="775">
        <v>3944</v>
      </c>
      <c r="M220" s="775">
        <v>3887</v>
      </c>
      <c r="N220" s="775">
        <v>0</v>
      </c>
      <c r="O220" s="775">
        <f t="shared" si="3"/>
        <v>33675</v>
      </c>
    </row>
    <row r="221" spans="1:15" outlineLevel="1">
      <c r="A221">
        <v>751116</v>
      </c>
      <c r="B221" t="s">
        <v>1328</v>
      </c>
      <c r="C221" s="775">
        <v>3703</v>
      </c>
      <c r="D221" s="775">
        <v>3214</v>
      </c>
      <c r="E221" s="775">
        <v>4319</v>
      </c>
      <c r="F221" s="775">
        <v>2572</v>
      </c>
      <c r="G221" s="775">
        <v>2645</v>
      </c>
      <c r="H221" s="775">
        <v>3326</v>
      </c>
      <c r="I221" s="775">
        <v>3348</v>
      </c>
      <c r="J221" s="775">
        <v>2663</v>
      </c>
      <c r="K221" s="775">
        <v>2705</v>
      </c>
      <c r="L221" s="775">
        <v>4942</v>
      </c>
      <c r="M221" s="775">
        <v>2183</v>
      </c>
      <c r="N221" s="775">
        <v>6204</v>
      </c>
      <c r="O221" s="775">
        <f t="shared" si="3"/>
        <v>41824</v>
      </c>
    </row>
    <row r="222" spans="1:15" outlineLevel="1">
      <c r="A222">
        <v>751117</v>
      </c>
      <c r="B222" t="s">
        <v>1010</v>
      </c>
      <c r="C222" s="775">
        <v>1500</v>
      </c>
      <c r="D222" s="775">
        <v>1000</v>
      </c>
      <c r="E222" s="775">
        <v>1000</v>
      </c>
      <c r="F222" s="775">
        <v>1000</v>
      </c>
      <c r="G222" s="775">
        <v>1000</v>
      </c>
      <c r="H222" s="775">
        <v>1109</v>
      </c>
      <c r="I222" s="775">
        <v>1000</v>
      </c>
      <c r="J222" s="775">
        <v>877</v>
      </c>
      <c r="K222" s="775">
        <v>1210</v>
      </c>
      <c r="L222" s="775">
        <v>1000</v>
      </c>
      <c r="M222" s="775">
        <v>1000</v>
      </c>
      <c r="N222" s="775">
        <v>1000</v>
      </c>
      <c r="O222" s="775">
        <f t="shared" si="3"/>
        <v>12696</v>
      </c>
    </row>
    <row r="223" spans="1:15" outlineLevel="1">
      <c r="A223">
        <v>751118</v>
      </c>
      <c r="B223" t="s">
        <v>1329</v>
      </c>
      <c r="C223" s="775">
        <v>0</v>
      </c>
      <c r="D223" s="775">
        <v>0</v>
      </c>
      <c r="E223" s="775">
        <v>0</v>
      </c>
      <c r="F223" s="775">
        <v>0</v>
      </c>
      <c r="G223" s="775">
        <v>0</v>
      </c>
      <c r="H223" s="775">
        <v>0</v>
      </c>
      <c r="I223" s="775">
        <v>0</v>
      </c>
      <c r="J223" s="775">
        <v>0</v>
      </c>
      <c r="K223" s="775">
        <v>0</v>
      </c>
      <c r="L223" s="775">
        <v>20</v>
      </c>
      <c r="M223" s="775">
        <v>0</v>
      </c>
      <c r="N223" s="775">
        <v>0</v>
      </c>
      <c r="O223" s="775">
        <f t="shared" si="3"/>
        <v>20</v>
      </c>
    </row>
    <row r="224" spans="1:15" outlineLevel="1">
      <c r="A224">
        <v>751120</v>
      </c>
      <c r="B224" t="s">
        <v>1011</v>
      </c>
      <c r="C224" s="775">
        <v>1470</v>
      </c>
      <c r="D224" s="775">
        <v>1665</v>
      </c>
      <c r="E224" s="775">
        <v>2940</v>
      </c>
      <c r="F224" s="775">
        <v>0</v>
      </c>
      <c r="G224" s="775">
        <v>1470</v>
      </c>
      <c r="H224" s="775">
        <v>1470</v>
      </c>
      <c r="I224" s="775">
        <v>1220</v>
      </c>
      <c r="J224" s="775">
        <v>1644</v>
      </c>
      <c r="K224" s="775">
        <v>1450</v>
      </c>
      <c r="L224" s="775">
        <v>1470</v>
      </c>
      <c r="M224" s="775">
        <v>1474</v>
      </c>
      <c r="N224" s="775">
        <v>1374</v>
      </c>
      <c r="O224" s="775">
        <f t="shared" si="3"/>
        <v>17647</v>
      </c>
    </row>
    <row r="225" spans="1:15" outlineLevel="1">
      <c r="A225">
        <v>751121</v>
      </c>
      <c r="B225" t="s">
        <v>1330</v>
      </c>
      <c r="C225" s="775">
        <v>1560</v>
      </c>
      <c r="D225" s="775">
        <v>1610</v>
      </c>
      <c r="E225" s="775">
        <v>1769</v>
      </c>
      <c r="F225" s="775">
        <v>2227</v>
      </c>
      <c r="G225" s="775">
        <v>1499</v>
      </c>
      <c r="H225" s="775">
        <v>2115</v>
      </c>
      <c r="I225" s="775">
        <v>2024</v>
      </c>
      <c r="J225" s="775">
        <v>2274</v>
      </c>
      <c r="K225" s="775">
        <v>591</v>
      </c>
      <c r="L225" s="775">
        <v>2039</v>
      </c>
      <c r="M225" s="775">
        <v>1805</v>
      </c>
      <c r="N225" s="775">
        <v>1742</v>
      </c>
      <c r="O225" s="775">
        <f t="shared" si="3"/>
        <v>21255</v>
      </c>
    </row>
    <row r="226" spans="1:15" outlineLevel="1">
      <c r="A226">
        <v>751122</v>
      </c>
      <c r="B226" t="s">
        <v>1012</v>
      </c>
      <c r="C226" s="775">
        <v>0</v>
      </c>
      <c r="D226" s="775">
        <v>13</v>
      </c>
      <c r="E226" s="775">
        <v>33</v>
      </c>
      <c r="F226" s="775">
        <v>0</v>
      </c>
      <c r="G226" s="775">
        <v>0</v>
      </c>
      <c r="H226" s="775">
        <v>0</v>
      </c>
      <c r="I226" s="775">
        <v>0</v>
      </c>
      <c r="J226" s="775">
        <v>0</v>
      </c>
      <c r="K226" s="775">
        <v>0</v>
      </c>
      <c r="L226" s="775">
        <v>0</v>
      </c>
      <c r="M226" s="775">
        <v>-22</v>
      </c>
      <c r="N226" s="775">
        <v>44</v>
      </c>
      <c r="O226" s="775">
        <f t="shared" si="3"/>
        <v>68</v>
      </c>
    </row>
    <row r="227" spans="1:15" outlineLevel="1">
      <c r="A227">
        <v>751126</v>
      </c>
      <c r="B227" t="s">
        <v>1331</v>
      </c>
      <c r="C227" s="775">
        <v>3705</v>
      </c>
      <c r="D227" s="775">
        <v>603</v>
      </c>
      <c r="E227" s="775">
        <v>533</v>
      </c>
      <c r="F227" s="775">
        <v>423</v>
      </c>
      <c r="G227" s="775">
        <v>613</v>
      </c>
      <c r="H227" s="775">
        <v>632</v>
      </c>
      <c r="I227" s="775">
        <v>632</v>
      </c>
      <c r="J227" s="775">
        <v>595</v>
      </c>
      <c r="K227" s="775">
        <v>727</v>
      </c>
      <c r="L227" s="775">
        <v>1053</v>
      </c>
      <c r="M227" s="775">
        <v>1202</v>
      </c>
      <c r="N227" s="775">
        <v>993</v>
      </c>
      <c r="O227" s="775">
        <f t="shared" si="3"/>
        <v>11711</v>
      </c>
    </row>
    <row r="228" spans="1:15" outlineLevel="1">
      <c r="A228">
        <v>751128</v>
      </c>
      <c r="B228" t="s">
        <v>1332</v>
      </c>
      <c r="C228" s="775">
        <v>1063</v>
      </c>
      <c r="D228" s="775">
        <v>3424</v>
      </c>
      <c r="E228" s="775">
        <v>1992</v>
      </c>
      <c r="F228" s="775">
        <v>0</v>
      </c>
      <c r="G228" s="775">
        <v>1250</v>
      </c>
      <c r="H228" s="775">
        <v>8424</v>
      </c>
      <c r="I228" s="775">
        <v>0</v>
      </c>
      <c r="J228" s="775">
        <v>1291</v>
      </c>
      <c r="K228" s="775">
        <v>0</v>
      </c>
      <c r="L228" s="775">
        <v>3216</v>
      </c>
      <c r="M228" s="775">
        <v>-25</v>
      </c>
      <c r="N228" s="775">
        <v>-100</v>
      </c>
      <c r="O228" s="775">
        <f t="shared" si="3"/>
        <v>20535</v>
      </c>
    </row>
    <row r="229" spans="1:15" outlineLevel="1">
      <c r="A229">
        <v>751130</v>
      </c>
      <c r="B229" t="s">
        <v>1333</v>
      </c>
      <c r="C229" s="775">
        <v>1587</v>
      </c>
      <c r="D229" s="775">
        <v>450</v>
      </c>
      <c r="E229" s="775">
        <v>313</v>
      </c>
      <c r="F229" s="775">
        <v>873</v>
      </c>
      <c r="G229" s="775">
        <v>688</v>
      </c>
      <c r="H229" s="775">
        <v>2266</v>
      </c>
      <c r="I229" s="775">
        <v>5169</v>
      </c>
      <c r="J229" s="775">
        <v>6197</v>
      </c>
      <c r="K229" s="775">
        <v>1239</v>
      </c>
      <c r="L229" s="775">
        <v>3284</v>
      </c>
      <c r="M229" s="775">
        <v>1271</v>
      </c>
      <c r="N229" s="775">
        <v>2908</v>
      </c>
      <c r="O229" s="775">
        <f t="shared" si="3"/>
        <v>26245</v>
      </c>
    </row>
    <row r="230" spans="1:15" outlineLevel="1">
      <c r="A230">
        <v>751134</v>
      </c>
      <c r="B230" t="s">
        <v>1334</v>
      </c>
      <c r="C230" s="775">
        <v>0</v>
      </c>
      <c r="D230" s="775">
        <v>385</v>
      </c>
      <c r="E230" s="775">
        <v>1500</v>
      </c>
      <c r="F230" s="775">
        <v>0</v>
      </c>
      <c r="G230" s="775">
        <v>0</v>
      </c>
      <c r="H230" s="775">
        <v>9352</v>
      </c>
      <c r="I230" s="775">
        <v>7625</v>
      </c>
      <c r="J230" s="775">
        <v>0</v>
      </c>
      <c r="K230" s="775">
        <v>0</v>
      </c>
      <c r="L230" s="775">
        <v>2500</v>
      </c>
      <c r="M230" s="775">
        <v>1800</v>
      </c>
      <c r="N230" s="775">
        <v>0</v>
      </c>
      <c r="O230" s="775">
        <f t="shared" si="3"/>
        <v>23162</v>
      </c>
    </row>
    <row r="231" spans="1:15" outlineLevel="1">
      <c r="A231">
        <v>751138</v>
      </c>
      <c r="B231" t="s">
        <v>1335</v>
      </c>
      <c r="C231" s="775">
        <v>0</v>
      </c>
      <c r="D231" s="775">
        <v>0</v>
      </c>
      <c r="E231" s="775">
        <v>0</v>
      </c>
      <c r="F231" s="775">
        <v>0</v>
      </c>
      <c r="G231" s="775">
        <v>1500</v>
      </c>
      <c r="H231" s="775">
        <v>4000</v>
      </c>
      <c r="I231" s="775">
        <v>0</v>
      </c>
      <c r="J231" s="775">
        <v>0</v>
      </c>
      <c r="K231" s="775">
        <v>0</v>
      </c>
      <c r="L231" s="775">
        <v>0</v>
      </c>
      <c r="M231" s="775">
        <v>0</v>
      </c>
      <c r="N231" s="775">
        <v>0</v>
      </c>
      <c r="O231" s="775">
        <f t="shared" si="3"/>
        <v>5500</v>
      </c>
    </row>
    <row r="232" spans="1:15" outlineLevel="1">
      <c r="A232">
        <v>751140</v>
      </c>
      <c r="B232" t="s">
        <v>1336</v>
      </c>
      <c r="C232" s="775">
        <v>32644</v>
      </c>
      <c r="D232" s="775">
        <v>30617</v>
      </c>
      <c r="E232" s="775">
        <v>29760</v>
      </c>
      <c r="F232" s="775">
        <v>33154</v>
      </c>
      <c r="G232" s="775">
        <v>35971</v>
      </c>
      <c r="H232" s="775">
        <v>32659</v>
      </c>
      <c r="I232" s="775">
        <v>36830</v>
      </c>
      <c r="J232" s="775">
        <v>34715</v>
      </c>
      <c r="K232" s="775">
        <v>33424</v>
      </c>
      <c r="L232" s="775">
        <v>36706</v>
      </c>
      <c r="M232" s="775">
        <v>33947</v>
      </c>
      <c r="N232" s="775">
        <v>31373</v>
      </c>
      <c r="O232" s="775">
        <f t="shared" si="3"/>
        <v>401800</v>
      </c>
    </row>
    <row r="233" spans="1:15" outlineLevel="1">
      <c r="A233">
        <v>751144</v>
      </c>
      <c r="B233" t="s">
        <v>1337</v>
      </c>
      <c r="C233" s="775">
        <v>16187</v>
      </c>
      <c r="D233" s="775">
        <v>5519</v>
      </c>
      <c r="E233" s="775">
        <v>3634</v>
      </c>
      <c r="F233" s="775">
        <v>13426</v>
      </c>
      <c r="G233" s="775">
        <v>16641</v>
      </c>
      <c r="H233" s="775">
        <v>33059</v>
      </c>
      <c r="I233" s="775">
        <v>63055</v>
      </c>
      <c r="J233" s="775">
        <v>19858</v>
      </c>
      <c r="K233" s="775">
        <v>28974</v>
      </c>
      <c r="L233" s="775">
        <v>16917</v>
      </c>
      <c r="M233" s="775">
        <v>11825</v>
      </c>
      <c r="N233" s="775">
        <v>5402</v>
      </c>
      <c r="O233" s="775">
        <f t="shared" si="3"/>
        <v>234497</v>
      </c>
    </row>
    <row r="234" spans="1:15" outlineLevel="1">
      <c r="A234">
        <v>751145</v>
      </c>
      <c r="B234" t="s">
        <v>1338</v>
      </c>
      <c r="C234" s="775">
        <v>6848</v>
      </c>
      <c r="D234" s="775">
        <v>31688</v>
      </c>
      <c r="E234" s="775">
        <v>0</v>
      </c>
      <c r="F234" s="775">
        <v>0</v>
      </c>
      <c r="G234" s="775">
        <v>16064</v>
      </c>
      <c r="H234" s="775">
        <v>0</v>
      </c>
      <c r="I234" s="775">
        <v>0</v>
      </c>
      <c r="J234" s="775">
        <v>53936</v>
      </c>
      <c r="K234" s="775">
        <v>0</v>
      </c>
      <c r="L234" s="775">
        <v>0</v>
      </c>
      <c r="M234" s="775">
        <v>0</v>
      </c>
      <c r="N234" s="775">
        <v>0</v>
      </c>
      <c r="O234" s="775">
        <f t="shared" si="3"/>
        <v>108536</v>
      </c>
    </row>
    <row r="235" spans="1:15" outlineLevel="1">
      <c r="A235">
        <v>751152</v>
      </c>
      <c r="B235" t="s">
        <v>1339</v>
      </c>
      <c r="C235" s="775">
        <v>5000</v>
      </c>
      <c r="D235" s="775">
        <v>5000</v>
      </c>
      <c r="E235" s="775">
        <v>5000</v>
      </c>
      <c r="F235" s="775">
        <v>5000</v>
      </c>
      <c r="G235" s="775">
        <v>5000</v>
      </c>
      <c r="H235" s="775">
        <v>3000</v>
      </c>
      <c r="I235" s="775">
        <v>3000</v>
      </c>
      <c r="J235" s="775">
        <v>3000</v>
      </c>
      <c r="K235" s="775">
        <v>3000</v>
      </c>
      <c r="L235" s="775">
        <v>3000</v>
      </c>
      <c r="M235" s="775">
        <v>3000</v>
      </c>
      <c r="N235" s="775">
        <v>3000</v>
      </c>
      <c r="O235" s="775">
        <f t="shared" si="3"/>
        <v>46000</v>
      </c>
    </row>
    <row r="236" spans="1:15" outlineLevel="1">
      <c r="A236">
        <v>751153</v>
      </c>
      <c r="B236" t="s">
        <v>1340</v>
      </c>
      <c r="C236" s="775">
        <v>321</v>
      </c>
      <c r="D236" s="775">
        <v>315</v>
      </c>
      <c r="E236" s="775">
        <v>325</v>
      </c>
      <c r="F236" s="775">
        <v>315</v>
      </c>
      <c r="G236" s="775">
        <v>395</v>
      </c>
      <c r="H236" s="775">
        <v>380</v>
      </c>
      <c r="I236" s="775">
        <v>393</v>
      </c>
      <c r="J236" s="775">
        <v>390</v>
      </c>
      <c r="K236" s="775">
        <v>386</v>
      </c>
      <c r="L236" s="775">
        <v>397</v>
      </c>
      <c r="M236" s="775">
        <v>404</v>
      </c>
      <c r="N236" s="775">
        <v>382</v>
      </c>
      <c r="O236" s="775">
        <f t="shared" si="3"/>
        <v>4403</v>
      </c>
    </row>
    <row r="237" spans="1:15" outlineLevel="1">
      <c r="A237">
        <v>751156</v>
      </c>
      <c r="B237" t="s">
        <v>1341</v>
      </c>
      <c r="C237" s="775">
        <v>1267</v>
      </c>
      <c r="D237" s="775">
        <v>1326</v>
      </c>
      <c r="E237" s="775">
        <v>1400</v>
      </c>
      <c r="F237" s="775">
        <v>778</v>
      </c>
      <c r="G237" s="775">
        <v>2451</v>
      </c>
      <c r="H237" s="775">
        <v>2229</v>
      </c>
      <c r="I237" s="775">
        <v>2106</v>
      </c>
      <c r="J237" s="775">
        <v>2274</v>
      </c>
      <c r="K237" s="775">
        <v>549</v>
      </c>
      <c r="L237" s="775">
        <v>1829</v>
      </c>
      <c r="M237" s="775">
        <v>2631</v>
      </c>
      <c r="N237" s="775">
        <v>1636</v>
      </c>
      <c r="O237" s="775">
        <f t="shared" si="3"/>
        <v>20476</v>
      </c>
    </row>
    <row r="238" spans="1:15" outlineLevel="1">
      <c r="A238">
        <v>751158</v>
      </c>
      <c r="B238" t="s">
        <v>1342</v>
      </c>
      <c r="C238" s="775">
        <v>12411</v>
      </c>
      <c r="D238" s="775">
        <v>5000</v>
      </c>
      <c r="E238" s="775">
        <v>366</v>
      </c>
      <c r="F238" s="775">
        <v>2388</v>
      </c>
      <c r="G238" s="775">
        <v>-1620</v>
      </c>
      <c r="H238" s="775">
        <v>958</v>
      </c>
      <c r="I238" s="775">
        <v>993</v>
      </c>
      <c r="J238" s="775">
        <v>4422</v>
      </c>
      <c r="K238" s="775">
        <v>440</v>
      </c>
      <c r="L238" s="775">
        <v>17415</v>
      </c>
      <c r="M238" s="775">
        <v>3703</v>
      </c>
      <c r="N238" s="775">
        <v>18069</v>
      </c>
      <c r="O238" s="775">
        <f t="shared" si="3"/>
        <v>64545</v>
      </c>
    </row>
    <row r="239" spans="1:15" outlineLevel="1">
      <c r="A239">
        <v>751164</v>
      </c>
      <c r="B239" t="s">
        <v>1343</v>
      </c>
      <c r="C239" s="775">
        <v>0</v>
      </c>
      <c r="D239" s="775">
        <v>0</v>
      </c>
      <c r="E239" s="775">
        <v>0</v>
      </c>
      <c r="F239" s="775">
        <v>0</v>
      </c>
      <c r="G239" s="775">
        <v>4359</v>
      </c>
      <c r="H239" s="775">
        <v>0</v>
      </c>
      <c r="I239" s="775">
        <v>0</v>
      </c>
      <c r="J239" s="775">
        <v>0</v>
      </c>
      <c r="K239" s="775">
        <v>0</v>
      </c>
      <c r="L239" s="775">
        <v>0</v>
      </c>
      <c r="M239" s="775">
        <v>0</v>
      </c>
      <c r="N239" s="775">
        <v>0</v>
      </c>
      <c r="O239" s="775">
        <f t="shared" si="3"/>
        <v>4359</v>
      </c>
    </row>
    <row r="240" spans="1:15" outlineLevel="1">
      <c r="A240">
        <v>751166</v>
      </c>
      <c r="B240" t="s">
        <v>1013</v>
      </c>
      <c r="C240" s="775">
        <v>413</v>
      </c>
      <c r="D240" s="775">
        <v>491</v>
      </c>
      <c r="E240" s="775">
        <v>373</v>
      </c>
      <c r="F240" s="775">
        <v>373</v>
      </c>
      <c r="G240" s="775">
        <v>401</v>
      </c>
      <c r="H240" s="775">
        <v>-401</v>
      </c>
      <c r="I240" s="775">
        <v>1204</v>
      </c>
      <c r="J240" s="775">
        <v>1204</v>
      </c>
      <c r="K240" s="775">
        <v>0</v>
      </c>
      <c r="L240" s="775">
        <v>0</v>
      </c>
      <c r="M240" s="775">
        <v>0</v>
      </c>
      <c r="N240" s="775">
        <v>0</v>
      </c>
      <c r="O240" s="775">
        <f t="shared" si="3"/>
        <v>4058</v>
      </c>
    </row>
    <row r="241" spans="1:15" outlineLevel="1">
      <c r="A241">
        <v>751168</v>
      </c>
      <c r="B241" t="s">
        <v>1344</v>
      </c>
      <c r="C241" s="775">
        <v>303</v>
      </c>
      <c r="D241" s="775">
        <v>264</v>
      </c>
      <c r="E241" s="775">
        <v>326</v>
      </c>
      <c r="F241" s="775">
        <v>3462</v>
      </c>
      <c r="G241" s="775">
        <v>0</v>
      </c>
      <c r="H241" s="775">
        <v>1382</v>
      </c>
      <c r="I241" s="775">
        <v>2631</v>
      </c>
      <c r="J241" s="775">
        <v>250</v>
      </c>
      <c r="K241" s="775">
        <v>1209</v>
      </c>
      <c r="L241" s="775">
        <v>0</v>
      </c>
      <c r="M241" s="775">
        <v>0</v>
      </c>
      <c r="N241" s="775">
        <v>-25</v>
      </c>
      <c r="O241" s="775">
        <f t="shared" si="3"/>
        <v>9802</v>
      </c>
    </row>
    <row r="242" spans="1:15" outlineLevel="1">
      <c r="A242">
        <v>751170</v>
      </c>
      <c r="B242" t="s">
        <v>1345</v>
      </c>
      <c r="C242" s="775">
        <v>300</v>
      </c>
      <c r="D242" s="775">
        <v>0</v>
      </c>
      <c r="E242" s="775">
        <v>0</v>
      </c>
      <c r="F242" s="775">
        <v>0</v>
      </c>
      <c r="G242" s="775">
        <v>0</v>
      </c>
      <c r="H242" s="775">
        <v>0</v>
      </c>
      <c r="I242" s="775">
        <v>0</v>
      </c>
      <c r="J242" s="775">
        <v>0</v>
      </c>
      <c r="K242" s="775">
        <v>0</v>
      </c>
      <c r="L242" s="775">
        <v>0</v>
      </c>
      <c r="M242" s="775">
        <v>0</v>
      </c>
      <c r="N242" s="775">
        <v>0</v>
      </c>
      <c r="O242" s="775">
        <f t="shared" si="3"/>
        <v>300</v>
      </c>
    </row>
    <row r="243" spans="1:15" outlineLevel="1">
      <c r="A243">
        <v>751172</v>
      </c>
      <c r="B243" t="s">
        <v>1014</v>
      </c>
      <c r="C243" s="775">
        <v>0</v>
      </c>
      <c r="D243" s="775">
        <v>0</v>
      </c>
      <c r="E243" s="775">
        <v>0</v>
      </c>
      <c r="F243" s="775">
        <v>0</v>
      </c>
      <c r="G243" s="775">
        <v>0</v>
      </c>
      <c r="H243" s="775">
        <v>900</v>
      </c>
      <c r="I243" s="775">
        <v>3000</v>
      </c>
      <c r="J243" s="775">
        <v>1200</v>
      </c>
      <c r="K243" s="775">
        <v>300</v>
      </c>
      <c r="L243" s="775">
        <v>1100</v>
      </c>
      <c r="M243" s="775">
        <v>0</v>
      </c>
      <c r="N243" s="775">
        <v>1000</v>
      </c>
      <c r="O243" s="775">
        <f t="shared" si="3"/>
        <v>7500</v>
      </c>
    </row>
    <row r="244" spans="1:15" outlineLevel="1">
      <c r="A244">
        <v>751194</v>
      </c>
      <c r="B244" t="s">
        <v>1346</v>
      </c>
      <c r="C244" s="775">
        <v>-1005</v>
      </c>
      <c r="D244" s="775">
        <v>-377</v>
      </c>
      <c r="E244" s="775">
        <v>-241</v>
      </c>
      <c r="F244" s="775">
        <v>-219</v>
      </c>
      <c r="G244" s="775">
        <v>-380</v>
      </c>
      <c r="H244" s="775">
        <v>-1194</v>
      </c>
      <c r="I244" s="775">
        <v>-301</v>
      </c>
      <c r="J244" s="775">
        <v>-267</v>
      </c>
      <c r="K244" s="775">
        <v>-138</v>
      </c>
      <c r="L244" s="775">
        <v>-256</v>
      </c>
      <c r="M244" s="775">
        <v>-96</v>
      </c>
      <c r="N244" s="775">
        <v>-404</v>
      </c>
      <c r="O244" s="775">
        <f t="shared" si="3"/>
        <v>-4878</v>
      </c>
    </row>
    <row r="245" spans="1:15" outlineLevel="1">
      <c r="A245">
        <v>751195</v>
      </c>
      <c r="B245" t="s">
        <v>1347</v>
      </c>
      <c r="C245" s="775">
        <v>65</v>
      </c>
      <c r="D245" s="775">
        <v>-616</v>
      </c>
      <c r="E245" s="775">
        <v>918</v>
      </c>
      <c r="F245" s="775">
        <v>-59</v>
      </c>
      <c r="G245" s="775">
        <v>4827</v>
      </c>
      <c r="H245" s="775">
        <v>-377</v>
      </c>
      <c r="I245" s="775">
        <v>-38</v>
      </c>
      <c r="J245" s="775">
        <v>-550</v>
      </c>
      <c r="K245" s="775">
        <v>-1219</v>
      </c>
      <c r="L245" s="775">
        <v>681</v>
      </c>
      <c r="M245" s="775">
        <v>-541</v>
      </c>
      <c r="N245" s="775">
        <v>-1499</v>
      </c>
      <c r="O245" s="775">
        <f t="shared" si="3"/>
        <v>1592</v>
      </c>
    </row>
    <row r="246" spans="1:15" outlineLevel="1">
      <c r="A246">
        <v>755000</v>
      </c>
      <c r="B246" t="s">
        <v>1348</v>
      </c>
      <c r="C246" s="775">
        <v>3216</v>
      </c>
      <c r="D246" s="775">
        <v>-64</v>
      </c>
      <c r="E246" s="775">
        <v>7670</v>
      </c>
      <c r="F246" s="775">
        <v>4092</v>
      </c>
      <c r="G246" s="775">
        <v>5541</v>
      </c>
      <c r="H246" s="775">
        <v>9211</v>
      </c>
      <c r="I246" s="775">
        <v>2899</v>
      </c>
      <c r="J246" s="775">
        <v>2934</v>
      </c>
      <c r="K246" s="775">
        <v>9144</v>
      </c>
      <c r="L246" s="775">
        <v>6068</v>
      </c>
      <c r="M246" s="775">
        <v>4682</v>
      </c>
      <c r="N246" s="775">
        <v>10295</v>
      </c>
      <c r="O246" s="775">
        <f t="shared" si="3"/>
        <v>65688</v>
      </c>
    </row>
    <row r="247" spans="1:15" outlineLevel="1">
      <c r="A247">
        <v>755992</v>
      </c>
      <c r="B247" t="s">
        <v>1015</v>
      </c>
      <c r="C247" s="775">
        <v>931</v>
      </c>
      <c r="D247" s="775">
        <v>-2556</v>
      </c>
      <c r="E247" s="775">
        <v>101</v>
      </c>
      <c r="F247" s="775">
        <v>2830</v>
      </c>
      <c r="G247" s="775">
        <v>-446</v>
      </c>
      <c r="H247" s="775">
        <v>686</v>
      </c>
      <c r="I247" s="775">
        <v>-4813</v>
      </c>
      <c r="J247" s="775">
        <v>4819</v>
      </c>
      <c r="K247" s="775">
        <v>761</v>
      </c>
      <c r="L247" s="775">
        <v>-568</v>
      </c>
      <c r="M247" s="775">
        <v>420</v>
      </c>
      <c r="N247" s="775">
        <v>-1072</v>
      </c>
      <c r="O247" s="775">
        <f t="shared" si="3"/>
        <v>1093</v>
      </c>
    </row>
    <row r="248" spans="1:15" outlineLevel="1">
      <c r="A248">
        <v>755995</v>
      </c>
      <c r="B248" t="s">
        <v>1349</v>
      </c>
      <c r="C248" s="775">
        <v>100078</v>
      </c>
      <c r="D248" s="775">
        <v>102328</v>
      </c>
      <c r="E248" s="775">
        <v>108232</v>
      </c>
      <c r="F248" s="775">
        <v>108938</v>
      </c>
      <c r="G248" s="775">
        <v>81725</v>
      </c>
      <c r="H248" s="775">
        <v>80279</v>
      </c>
      <c r="I248" s="775">
        <v>84594</v>
      </c>
      <c r="J248" s="775">
        <v>83544</v>
      </c>
      <c r="K248" s="775">
        <v>83752</v>
      </c>
      <c r="L248" s="775">
        <v>86058</v>
      </c>
      <c r="M248" s="775">
        <v>85452</v>
      </c>
      <c r="N248" s="775">
        <v>87354</v>
      </c>
      <c r="O248" s="775">
        <f t="shared" si="3"/>
        <v>1092334</v>
      </c>
    </row>
    <row r="249" spans="1:15">
      <c r="B249" s="1184" t="s">
        <v>551</v>
      </c>
      <c r="C249" s="1185">
        <v>207362</v>
      </c>
      <c r="D249" s="1185">
        <v>215455</v>
      </c>
      <c r="E249" s="1185">
        <v>201346</v>
      </c>
      <c r="F249" s="1185">
        <v>194226</v>
      </c>
      <c r="G249" s="1185">
        <v>199075</v>
      </c>
      <c r="H249" s="1185">
        <v>212560</v>
      </c>
      <c r="I249" s="1185">
        <v>232179</v>
      </c>
      <c r="J249" s="1185">
        <v>238670</v>
      </c>
      <c r="K249" s="1185">
        <v>176668</v>
      </c>
      <c r="L249" s="1185">
        <v>204963</v>
      </c>
      <c r="M249" s="1185">
        <v>164079</v>
      </c>
      <c r="N249" s="1185">
        <v>179260</v>
      </c>
      <c r="O249" s="1185">
        <f t="shared" si="3"/>
        <v>2425843</v>
      </c>
    </row>
    <row r="250" spans="1:15" ht="12" thickBot="1">
      <c r="B250" s="1182" t="s">
        <v>1350</v>
      </c>
      <c r="C250" s="1183">
        <v>258416</v>
      </c>
      <c r="D250" s="1183">
        <v>266704</v>
      </c>
      <c r="E250" s="1183">
        <v>252008</v>
      </c>
      <c r="F250" s="1183">
        <v>251669</v>
      </c>
      <c r="G250" s="1183">
        <v>223275</v>
      </c>
      <c r="H250" s="1183">
        <v>303316</v>
      </c>
      <c r="I250" s="1183">
        <v>283425</v>
      </c>
      <c r="J250" s="1183">
        <v>296876</v>
      </c>
      <c r="K250" s="1183">
        <v>236077</v>
      </c>
      <c r="L250" s="1183">
        <v>263929</v>
      </c>
      <c r="M250" s="1183">
        <v>216920</v>
      </c>
      <c r="N250" s="1183">
        <v>238949</v>
      </c>
      <c r="O250" s="1183">
        <f t="shared" si="3"/>
        <v>3091564</v>
      </c>
    </row>
    <row r="251" spans="1:15" ht="12" thickTop="1">
      <c r="B251" s="744" t="s">
        <v>1351</v>
      </c>
      <c r="C251" s="1181">
        <v>362508</v>
      </c>
      <c r="D251" s="1181">
        <v>358502</v>
      </c>
      <c r="E251" s="1181">
        <v>336107</v>
      </c>
      <c r="F251" s="1181">
        <v>349303</v>
      </c>
      <c r="G251" s="1181">
        <v>287709</v>
      </c>
      <c r="H251" s="1181">
        <v>401865</v>
      </c>
      <c r="I251" s="1181">
        <v>366416</v>
      </c>
      <c r="J251" s="1181">
        <v>371530</v>
      </c>
      <c r="K251" s="1181">
        <v>313664</v>
      </c>
      <c r="L251" s="1181">
        <v>351542</v>
      </c>
      <c r="M251" s="1181">
        <v>292117</v>
      </c>
      <c r="N251" s="1181">
        <v>335459</v>
      </c>
      <c r="O251" s="1181">
        <f t="shared" si="3"/>
        <v>4126722</v>
      </c>
    </row>
    <row r="252" spans="1:15" ht="12" thickBot="1">
      <c r="B252" s="1186" t="s">
        <v>1352</v>
      </c>
      <c r="C252" s="1187">
        <v>-261310</v>
      </c>
      <c r="D252" s="1187">
        <v>-114046</v>
      </c>
      <c r="E252" s="1187">
        <v>18081</v>
      </c>
      <c r="F252" s="1187">
        <v>-415997</v>
      </c>
      <c r="G252" s="1187">
        <v>-23738</v>
      </c>
      <c r="H252" s="1187">
        <v>-405040</v>
      </c>
      <c r="I252" s="1187">
        <v>-254969</v>
      </c>
      <c r="J252" s="1187">
        <v>-275067</v>
      </c>
      <c r="K252" s="1187">
        <v>-213651</v>
      </c>
      <c r="L252" s="1187">
        <v>-399995</v>
      </c>
      <c r="M252" s="1187">
        <v>-285562</v>
      </c>
      <c r="N252" s="1187">
        <v>-471652</v>
      </c>
      <c r="O252" s="1187">
        <f t="shared" si="3"/>
        <v>-3102946</v>
      </c>
    </row>
    <row r="253" spans="1:15">
      <c r="C253" s="775"/>
      <c r="D253" s="775"/>
      <c r="E253" s="775"/>
      <c r="F253" s="775"/>
      <c r="G253" s="775"/>
      <c r="H253" s="775"/>
      <c r="I253" s="775"/>
      <c r="J253" s="775"/>
      <c r="K253" s="775"/>
      <c r="L253" s="775"/>
      <c r="M253" s="775"/>
      <c r="N253" s="775"/>
      <c r="O253" s="775"/>
    </row>
    <row r="254" spans="1:15">
      <c r="C254" s="775"/>
      <c r="D254" s="775"/>
      <c r="E254" s="775"/>
      <c r="F254" s="775"/>
      <c r="G254" s="775"/>
      <c r="H254" s="775"/>
      <c r="I254" s="775"/>
      <c r="J254" s="775"/>
      <c r="K254" s="775"/>
      <c r="L254" s="775"/>
      <c r="M254" s="775"/>
      <c r="N254" s="775"/>
      <c r="O254" s="775"/>
    </row>
    <row r="255" spans="1:15">
      <c r="C255" s="775"/>
      <c r="D255" s="775"/>
      <c r="E255" s="775"/>
      <c r="F255" s="775"/>
      <c r="G255" s="775"/>
      <c r="H255" s="775"/>
      <c r="I255" s="775"/>
      <c r="J255" s="775"/>
      <c r="K255" s="775"/>
      <c r="L255" s="775"/>
      <c r="M255" s="775"/>
      <c r="N255" s="775"/>
      <c r="O255" s="775"/>
    </row>
    <row r="256" spans="1:15">
      <c r="C256" s="775"/>
      <c r="D256" s="775"/>
      <c r="E256" s="775"/>
      <c r="F256" s="775"/>
      <c r="G256" s="775"/>
      <c r="H256" s="775"/>
      <c r="I256" s="775"/>
      <c r="J256" s="775"/>
      <c r="K256" s="775"/>
      <c r="L256" s="775"/>
      <c r="M256" s="775"/>
      <c r="N256" s="775"/>
      <c r="O256" s="775"/>
    </row>
    <row r="257" spans="3:15">
      <c r="C257" s="775"/>
      <c r="D257" s="775"/>
      <c r="E257" s="775"/>
      <c r="F257" s="775"/>
      <c r="G257" s="775"/>
      <c r="H257" s="775"/>
      <c r="I257" s="775"/>
      <c r="J257" s="775"/>
      <c r="K257" s="775"/>
      <c r="L257" s="775"/>
      <c r="M257" s="775"/>
      <c r="N257" s="775"/>
      <c r="O257" s="775"/>
    </row>
    <row r="258" spans="3:15">
      <c r="C258" s="775"/>
      <c r="D258" s="775"/>
      <c r="E258" s="775"/>
      <c r="F258" s="775"/>
      <c r="G258" s="775"/>
      <c r="H258" s="775"/>
      <c r="I258" s="775"/>
      <c r="J258" s="775"/>
      <c r="K258" s="775"/>
      <c r="L258" s="775"/>
      <c r="M258" s="775"/>
      <c r="N258" s="775"/>
      <c r="O258" s="775"/>
    </row>
    <row r="259" spans="3:15">
      <c r="C259" s="775"/>
      <c r="D259" s="775"/>
      <c r="E259" s="775"/>
      <c r="F259" s="775"/>
      <c r="G259" s="775"/>
      <c r="H259" s="775"/>
      <c r="I259" s="775"/>
      <c r="J259" s="775"/>
      <c r="K259" s="775"/>
      <c r="L259" s="775"/>
      <c r="M259" s="775"/>
      <c r="N259" s="775"/>
      <c r="O259" s="775"/>
    </row>
    <row r="260" spans="3:15">
      <c r="C260" s="775"/>
      <c r="D260" s="775"/>
      <c r="E260" s="775"/>
      <c r="F260" s="775"/>
      <c r="G260" s="775"/>
      <c r="H260" s="775"/>
      <c r="I260" s="775"/>
      <c r="J260" s="775"/>
      <c r="K260" s="775"/>
      <c r="L260" s="775"/>
      <c r="M260" s="775"/>
      <c r="N260" s="775"/>
      <c r="O260" s="775"/>
    </row>
    <row r="261" spans="3:15">
      <c r="C261" s="775"/>
      <c r="D261" s="775"/>
      <c r="E261" s="775"/>
      <c r="F261" s="775"/>
      <c r="G261" s="775"/>
      <c r="H261" s="775"/>
      <c r="I261" s="775"/>
      <c r="J261" s="775"/>
      <c r="K261" s="775"/>
      <c r="L261" s="775"/>
      <c r="M261" s="775"/>
      <c r="N261" s="775"/>
      <c r="O261" s="775"/>
    </row>
    <row r="262" spans="3:15">
      <c r="C262" s="775"/>
      <c r="D262" s="775"/>
      <c r="E262" s="775"/>
      <c r="F262" s="775"/>
      <c r="G262" s="775"/>
      <c r="H262" s="775"/>
      <c r="I262" s="775"/>
      <c r="J262" s="775"/>
      <c r="K262" s="775"/>
      <c r="L262" s="775"/>
      <c r="M262" s="775"/>
      <c r="N262" s="775"/>
      <c r="O262" s="775"/>
    </row>
    <row r="263" spans="3:15">
      <c r="C263" s="775"/>
      <c r="D263" s="775"/>
      <c r="E263" s="775"/>
      <c r="F263" s="775"/>
      <c r="G263" s="775"/>
      <c r="H263" s="775"/>
      <c r="I263" s="775"/>
      <c r="J263" s="775"/>
      <c r="K263" s="775"/>
      <c r="L263" s="775"/>
      <c r="M263" s="775"/>
      <c r="N263" s="775"/>
      <c r="O263" s="775"/>
    </row>
    <row r="264" spans="3:15">
      <c r="C264" s="775"/>
      <c r="D264" s="775"/>
      <c r="E264" s="775"/>
      <c r="F264" s="775"/>
      <c r="G264" s="775"/>
      <c r="H264" s="775"/>
      <c r="I264" s="775"/>
      <c r="J264" s="775"/>
      <c r="K264" s="775"/>
      <c r="L264" s="775"/>
      <c r="M264" s="775"/>
      <c r="N264" s="775"/>
      <c r="O264" s="775"/>
    </row>
    <row r="265" spans="3:15">
      <c r="C265" s="775"/>
      <c r="D265" s="775"/>
      <c r="E265" s="775"/>
      <c r="F265" s="775"/>
      <c r="G265" s="775"/>
      <c r="H265" s="775"/>
      <c r="I265" s="775"/>
      <c r="J265" s="775"/>
      <c r="K265" s="775"/>
      <c r="L265" s="775"/>
      <c r="M265" s="775"/>
      <c r="N265" s="775"/>
      <c r="O265" s="775"/>
    </row>
    <row r="266" spans="3:15">
      <c r="C266" s="775"/>
      <c r="D266" s="775"/>
      <c r="E266" s="775"/>
      <c r="F266" s="775"/>
      <c r="G266" s="775"/>
      <c r="H266" s="775"/>
      <c r="I266" s="775"/>
      <c r="J266" s="775"/>
      <c r="K266" s="775"/>
      <c r="L266" s="775"/>
      <c r="M266" s="775"/>
      <c r="N266" s="775"/>
      <c r="O266" s="775"/>
    </row>
    <row r="267" spans="3:15">
      <c r="C267" s="775"/>
      <c r="D267" s="775"/>
      <c r="E267" s="775"/>
      <c r="F267" s="775"/>
      <c r="G267" s="775"/>
      <c r="H267" s="775"/>
      <c r="I267" s="775"/>
      <c r="J267" s="775"/>
      <c r="K267" s="775"/>
      <c r="L267" s="775"/>
      <c r="M267" s="775"/>
      <c r="N267" s="775"/>
      <c r="O267" s="775"/>
    </row>
    <row r="268" spans="3:15">
      <c r="C268" s="775"/>
      <c r="D268" s="775"/>
      <c r="E268" s="775"/>
      <c r="F268" s="775"/>
      <c r="G268" s="775"/>
      <c r="H268" s="775"/>
      <c r="I268" s="775"/>
      <c r="J268" s="775"/>
      <c r="K268" s="775"/>
      <c r="L268" s="775"/>
      <c r="M268" s="775"/>
      <c r="N268" s="775"/>
      <c r="O268" s="775"/>
    </row>
    <row r="269" spans="3:15">
      <c r="C269" s="775"/>
      <c r="D269" s="775"/>
      <c r="E269" s="775"/>
      <c r="F269" s="775"/>
      <c r="G269" s="775"/>
      <c r="H269" s="775"/>
      <c r="I269" s="775"/>
      <c r="J269" s="775"/>
      <c r="K269" s="775"/>
      <c r="L269" s="775"/>
      <c r="M269" s="775"/>
      <c r="N269" s="775"/>
      <c r="O269" s="775"/>
    </row>
    <row r="270" spans="3:15">
      <c r="C270" s="775"/>
      <c r="D270" s="775"/>
      <c r="E270" s="775"/>
      <c r="F270" s="775"/>
      <c r="G270" s="775"/>
      <c r="H270" s="775"/>
      <c r="I270" s="775"/>
      <c r="J270" s="775"/>
      <c r="K270" s="775"/>
      <c r="L270" s="775"/>
      <c r="M270" s="775"/>
      <c r="N270" s="775"/>
      <c r="O270" s="775"/>
    </row>
    <row r="271" spans="3:15">
      <c r="C271" s="775"/>
      <c r="D271" s="775"/>
      <c r="E271" s="775"/>
      <c r="F271" s="775"/>
      <c r="G271" s="775"/>
      <c r="H271" s="775"/>
      <c r="I271" s="775"/>
      <c r="J271" s="775"/>
      <c r="K271" s="775"/>
      <c r="L271" s="775"/>
      <c r="M271" s="775"/>
      <c r="N271" s="775"/>
      <c r="O271" s="775"/>
    </row>
    <row r="272" spans="3:15">
      <c r="C272" s="775"/>
      <c r="D272" s="775"/>
      <c r="E272" s="775"/>
      <c r="F272" s="775"/>
      <c r="G272" s="775"/>
      <c r="H272" s="775"/>
      <c r="I272" s="775"/>
      <c r="J272" s="775"/>
      <c r="K272" s="775"/>
      <c r="L272" s="775"/>
      <c r="M272" s="775"/>
      <c r="N272" s="775"/>
      <c r="O272" s="775"/>
    </row>
    <row r="273" spans="3:15">
      <c r="C273" s="775"/>
      <c r="D273" s="775"/>
      <c r="E273" s="775"/>
      <c r="F273" s="775"/>
      <c r="G273" s="775"/>
      <c r="H273" s="775"/>
      <c r="I273" s="775"/>
      <c r="J273" s="775"/>
      <c r="K273" s="775"/>
      <c r="L273" s="775"/>
      <c r="M273" s="775"/>
      <c r="N273" s="775"/>
      <c r="O273" s="775"/>
    </row>
    <row r="274" spans="3:15">
      <c r="C274" s="775"/>
      <c r="D274" s="775"/>
      <c r="E274" s="775"/>
      <c r="F274" s="775"/>
      <c r="G274" s="775"/>
      <c r="H274" s="775"/>
      <c r="I274" s="775"/>
      <c r="J274" s="775"/>
      <c r="K274" s="775"/>
      <c r="L274" s="775"/>
      <c r="M274" s="775"/>
      <c r="N274" s="775"/>
      <c r="O274" s="775"/>
    </row>
    <row r="275" spans="3:15">
      <c r="C275" s="775"/>
      <c r="D275" s="775"/>
      <c r="E275" s="775"/>
      <c r="F275" s="775"/>
      <c r="G275" s="775"/>
      <c r="H275" s="775"/>
      <c r="I275" s="775"/>
      <c r="J275" s="775"/>
      <c r="K275" s="775"/>
      <c r="L275" s="775"/>
      <c r="M275" s="775"/>
      <c r="N275" s="775"/>
      <c r="O275" s="775"/>
    </row>
    <row r="276" spans="3:15">
      <c r="C276" s="775"/>
      <c r="D276" s="775"/>
      <c r="E276" s="775"/>
      <c r="F276" s="775"/>
      <c r="G276" s="775"/>
      <c r="H276" s="775"/>
      <c r="I276" s="775"/>
      <c r="J276" s="775"/>
      <c r="K276" s="775"/>
      <c r="L276" s="775"/>
      <c r="M276" s="775"/>
      <c r="N276" s="775"/>
      <c r="O276" s="775"/>
    </row>
    <row r="277" spans="3:15">
      <c r="C277" s="775"/>
      <c r="D277" s="775"/>
      <c r="E277" s="775"/>
      <c r="F277" s="775"/>
      <c r="G277" s="775"/>
      <c r="H277" s="775"/>
      <c r="I277" s="775"/>
      <c r="J277" s="775"/>
      <c r="K277" s="775"/>
      <c r="L277" s="775"/>
      <c r="M277" s="775"/>
      <c r="N277" s="775"/>
      <c r="O277" s="775"/>
    </row>
    <row r="278" spans="3:15">
      <c r="C278" s="775"/>
      <c r="D278" s="775"/>
      <c r="E278" s="775"/>
      <c r="F278" s="775"/>
      <c r="G278" s="775"/>
      <c r="H278" s="775"/>
      <c r="I278" s="775"/>
      <c r="J278" s="775"/>
      <c r="K278" s="775"/>
      <c r="L278" s="775"/>
      <c r="M278" s="775"/>
      <c r="N278" s="775"/>
      <c r="O278" s="775"/>
    </row>
    <row r="279" spans="3:15">
      <c r="C279" s="775"/>
      <c r="D279" s="775"/>
      <c r="E279" s="775"/>
      <c r="F279" s="775"/>
      <c r="G279" s="775"/>
      <c r="H279" s="775"/>
      <c r="I279" s="775"/>
      <c r="J279" s="775"/>
      <c r="K279" s="775"/>
      <c r="L279" s="775"/>
      <c r="M279" s="775"/>
      <c r="N279" s="775"/>
      <c r="O279" s="775"/>
    </row>
    <row r="280" spans="3:15">
      <c r="C280" s="775"/>
      <c r="D280" s="775"/>
      <c r="E280" s="775"/>
      <c r="F280" s="775"/>
      <c r="G280" s="775"/>
      <c r="H280" s="775"/>
      <c r="I280" s="775"/>
      <c r="J280" s="775"/>
      <c r="K280" s="775"/>
      <c r="L280" s="775"/>
      <c r="M280" s="775"/>
      <c r="N280" s="775"/>
      <c r="O280" s="775"/>
    </row>
  </sheetData>
  <pageMargins left="0.25" right="0.25" top="0.75" bottom="0.75" header="0.3" footer="0.3"/>
  <pageSetup scale="68" fitToHeight="0"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0000"/>
    <pageSetUpPr autoPageBreaks="0" fitToPage="1"/>
  </sheetPr>
  <dimension ref="A1:Z444"/>
  <sheetViews>
    <sheetView showGridLines="0" zoomScaleNormal="100" workbookViewId="0">
      <pane xSplit="2" ySplit="9" topLeftCell="C224" activePane="bottomRight" state="frozen"/>
      <selection activeCell="L18" sqref="L18"/>
      <selection pane="topRight" activeCell="L18" sqref="L18"/>
      <selection pane="bottomLeft" activeCell="L18" sqref="L18"/>
      <selection pane="bottomRight" activeCell="K209" sqref="K209"/>
    </sheetView>
  </sheetViews>
  <sheetFormatPr defaultColWidth="15.1640625" defaultRowHeight="11.25" outlineLevelRow="1"/>
  <cols>
    <col min="1" max="1" width="10.5" style="73" bestFit="1" customWidth="1"/>
    <col min="2" max="2" width="54.5" style="77" customWidth="1"/>
    <col min="3" max="3" width="16.33203125" style="1377" customWidth="1"/>
    <col min="4" max="7" width="22.1640625" style="43" customWidth="1"/>
    <col min="8" max="8" width="22.1640625" style="1383" customWidth="1"/>
    <col min="9" max="9" width="22.1640625" style="43" customWidth="1"/>
    <col min="10" max="10" width="6" style="43" bestFit="1" customWidth="1"/>
    <col min="11" max="12" width="22.1640625" style="43" customWidth="1"/>
    <col min="13" max="13" width="2.83203125" style="1321" customWidth="1"/>
    <col min="14" max="14" width="19.5" style="43" customWidth="1"/>
    <col min="15" max="16" width="21.6640625" style="43" customWidth="1"/>
    <col min="17" max="17" width="19.5" style="43" customWidth="1"/>
    <col min="18" max="18" width="20.5" style="59" customWidth="1"/>
    <col min="19" max="20" width="16.5" style="59" customWidth="1"/>
    <col min="21" max="21" width="15.33203125" style="59" bestFit="1" customWidth="1"/>
    <col min="22" max="25" width="19.6640625" style="44" customWidth="1"/>
    <col min="26" max="16384" width="15.1640625" style="44"/>
  </cols>
  <sheetData>
    <row r="1" spans="1:26" s="23" customFormat="1" ht="5.25" customHeight="1">
      <c r="A1" s="17"/>
      <c r="B1" s="18"/>
      <c r="C1" s="1376"/>
      <c r="D1" s="19"/>
      <c r="E1" s="19"/>
      <c r="F1" s="19"/>
      <c r="G1" s="19"/>
      <c r="H1" s="1400"/>
      <c r="I1" s="19"/>
      <c r="J1" s="19"/>
      <c r="K1" s="20"/>
      <c r="M1" s="1314"/>
      <c r="R1" s="21"/>
      <c r="S1" s="22"/>
      <c r="T1" s="21"/>
      <c r="U1" s="21"/>
    </row>
    <row r="2" spans="1:26" s="23" customFormat="1">
      <c r="A2" s="17"/>
      <c r="B2" s="18" t="str">
        <f>Summary!$C$3</f>
        <v>Eastside</v>
      </c>
      <c r="C2" s="1376"/>
      <c r="D2" s="19"/>
      <c r="E2" s="19"/>
      <c r="F2" s="19"/>
      <c r="G2" s="19"/>
      <c r="H2" s="1400"/>
      <c r="I2" s="19"/>
      <c r="J2" s="19"/>
      <c r="K2" s="20" t="s">
        <v>119</v>
      </c>
      <c r="L2" s="596" t="s">
        <v>555</v>
      </c>
      <c r="M2" s="1314"/>
      <c r="N2" s="125">
        <f>Summary!$E$14</f>
        <v>0.23635453981543936</v>
      </c>
      <c r="O2" s="125">
        <f>Summary!$E$15</f>
        <v>0.18931633611607324</v>
      </c>
      <c r="P2" s="125">
        <f>Summary!$E$16</f>
        <v>4.1851427803689965E-2</v>
      </c>
      <c r="Q2" s="125">
        <f>Summary!$E$17</f>
        <v>0.53247769626479735</v>
      </c>
      <c r="R2" s="21"/>
      <c r="S2" s="22"/>
      <c r="T2" s="21"/>
      <c r="U2" s="21"/>
    </row>
    <row r="3" spans="1:26" s="23" customFormat="1">
      <c r="A3" s="17"/>
      <c r="B3" s="18" t="s">
        <v>120</v>
      </c>
      <c r="C3" s="1376"/>
      <c r="D3" s="19"/>
      <c r="E3" s="19"/>
      <c r="F3" s="19"/>
      <c r="G3" s="19"/>
      <c r="H3" s="1400"/>
      <c r="I3" s="19"/>
      <c r="J3" s="19"/>
      <c r="K3" s="20" t="s">
        <v>10</v>
      </c>
      <c r="L3" s="25">
        <f>Summary!$C$10</f>
        <v>0.14344888907984618</v>
      </c>
      <c r="M3" s="1314"/>
      <c r="N3" s="125">
        <f>Summary!$C$14</f>
        <v>0.26161891668393106</v>
      </c>
      <c r="O3" s="125">
        <f>Summary!$C$15</f>
        <v>0.20955271180292639</v>
      </c>
      <c r="P3" s="125">
        <f>Summary!$C$16</f>
        <v>4.6325004851723577E-2</v>
      </c>
      <c r="Q3" s="125">
        <f>Summary!$C$17</f>
        <v>0.48250336666141902</v>
      </c>
      <c r="R3" s="26"/>
      <c r="S3" s="22"/>
      <c r="T3" s="21"/>
      <c r="U3" s="21"/>
    </row>
    <row r="4" spans="1:26" s="23" customFormat="1">
      <c r="A4" s="17"/>
      <c r="B4" s="18"/>
      <c r="C4" s="1376"/>
      <c r="D4" s="19"/>
      <c r="E4" s="19"/>
      <c r="F4" s="19"/>
      <c r="G4" s="19"/>
      <c r="H4" s="1400"/>
      <c r="I4" s="19"/>
      <c r="J4" s="19"/>
      <c r="K4" s="20" t="s">
        <v>344</v>
      </c>
      <c r="L4" s="28">
        <f>Summary!F10</f>
        <v>0.17803514994970926</v>
      </c>
      <c r="M4" s="1314"/>
      <c r="N4" s="125">
        <f>Summary!F14</f>
        <v>0.36006552116066054</v>
      </c>
      <c r="O4" s="125">
        <f>Summary!F15</f>
        <v>0.2465400815671592</v>
      </c>
      <c r="P4" s="125">
        <f>Summary!F16</f>
        <v>1.597914020191215E-2</v>
      </c>
      <c r="Q4" s="125">
        <f>Summary!F17</f>
        <v>0.37741525707026813</v>
      </c>
      <c r="R4" s="26"/>
      <c r="S4" s="22"/>
      <c r="T4" s="21"/>
      <c r="U4" s="21"/>
    </row>
    <row r="5" spans="1:26" s="23" customFormat="1">
      <c r="A5" s="17"/>
      <c r="B5" s="18" t="s">
        <v>121</v>
      </c>
      <c r="C5" s="1376"/>
      <c r="D5" s="19"/>
      <c r="E5" s="19"/>
      <c r="F5" s="19"/>
      <c r="G5" s="19"/>
      <c r="H5" s="1400"/>
      <c r="I5" s="19"/>
      <c r="J5" s="19"/>
      <c r="K5" s="20" t="s">
        <v>14</v>
      </c>
      <c r="L5" s="28">
        <f>Summary!$H$10</f>
        <v>0.14499999999999999</v>
      </c>
      <c r="M5" s="1314"/>
      <c r="N5" s="125">
        <f>Summary!$H$14</f>
        <v>0.20399999999999999</v>
      </c>
      <c r="O5" s="125">
        <f>Summary!$H$15</f>
        <v>0.17100000000000001</v>
      </c>
      <c r="P5" s="125">
        <f>Summary!$H$16</f>
        <v>2.5000000000000001E-2</v>
      </c>
      <c r="Q5" s="125">
        <f>Summary!$H$17</f>
        <v>0.6</v>
      </c>
      <c r="R5" s="29" t="s">
        <v>122</v>
      </c>
      <c r="S5" s="30" t="s">
        <v>123</v>
      </c>
      <c r="T5" s="29" t="s">
        <v>11</v>
      </c>
      <c r="U5" s="21"/>
    </row>
    <row r="6" spans="1:26" s="23" customFormat="1" ht="12" thickBot="1">
      <c r="A6" s="17"/>
      <c r="B6" s="18"/>
      <c r="C6" s="1376"/>
      <c r="D6" s="19"/>
      <c r="E6" s="19"/>
      <c r="F6" s="19"/>
      <c r="G6" s="19"/>
      <c r="H6" s="1400"/>
      <c r="I6" s="19"/>
      <c r="J6" s="19"/>
      <c r="K6" s="20" t="s">
        <v>13</v>
      </c>
      <c r="L6" s="595">
        <f>L10</f>
        <v>0.12699356418875865</v>
      </c>
      <c r="M6" s="1314"/>
      <c r="N6" s="595">
        <f>N10</f>
        <v>0.20620614019703276</v>
      </c>
      <c r="O6" s="595">
        <f>O10</f>
        <v>0.16196384419410775</v>
      </c>
      <c r="P6" s="595">
        <f>P10</f>
        <v>2.1289047759694233E-2</v>
      </c>
      <c r="Q6" s="595">
        <f>Q10</f>
        <v>0.61054096784916534</v>
      </c>
      <c r="R6" s="29"/>
      <c r="S6" s="30"/>
      <c r="T6" s="29"/>
      <c r="U6" s="21"/>
    </row>
    <row r="7" spans="1:26" s="23" customFormat="1" ht="12" thickBot="1">
      <c r="A7" s="17"/>
      <c r="B7" s="18" t="str">
        <f>TEXT(EDATE(Summary!C5,-12)+1,"mmmm d, yyyy")&amp;" thru "&amp;TEXT(Summary!C5,"mmmm d, yyyy")</f>
        <v>May 1, 2013 thru April 30, 2014</v>
      </c>
      <c r="C7" s="1376"/>
      <c r="D7" s="19"/>
      <c r="E7" s="19"/>
      <c r="F7" s="19"/>
      <c r="G7" s="19"/>
      <c r="H7" s="1400"/>
      <c r="I7" s="19"/>
      <c r="J7" s="19"/>
      <c r="K7" s="19"/>
      <c r="L7" s="31" t="s">
        <v>105</v>
      </c>
      <c r="M7" s="1314"/>
      <c r="N7" s="2191" t="s">
        <v>124</v>
      </c>
      <c r="O7" s="2192"/>
      <c r="P7" s="2192"/>
      <c r="Q7" s="2193"/>
      <c r="R7" s="29" t="s">
        <v>125</v>
      </c>
      <c r="S7" s="30" t="s">
        <v>126</v>
      </c>
      <c r="T7" s="29" t="s">
        <v>148</v>
      </c>
      <c r="U7" s="29"/>
      <c r="V7" s="2194" t="s">
        <v>517</v>
      </c>
      <c r="W7" s="2195"/>
      <c r="X7" s="2195"/>
      <c r="Y7" s="2196"/>
    </row>
    <row r="8" spans="1:26" s="23" customFormat="1">
      <c r="A8" s="18" t="s">
        <v>139</v>
      </c>
      <c r="B8" s="34"/>
      <c r="C8" s="1401"/>
      <c r="D8" s="144" t="s">
        <v>1353</v>
      </c>
      <c r="E8" s="2039" t="s">
        <v>134</v>
      </c>
      <c r="F8" s="2040" t="s">
        <v>140</v>
      </c>
      <c r="G8" s="2028" t="s">
        <v>134</v>
      </c>
      <c r="H8" s="1384" t="s">
        <v>140</v>
      </c>
      <c r="I8" s="145" t="s">
        <v>141</v>
      </c>
      <c r="J8" s="140"/>
      <c r="K8" s="658" t="s">
        <v>142</v>
      </c>
      <c r="L8" s="660" t="s">
        <v>127</v>
      </c>
      <c r="M8" s="1315"/>
      <c r="N8" s="133" t="s">
        <v>127</v>
      </c>
      <c r="O8" s="662" t="s">
        <v>127</v>
      </c>
      <c r="P8" s="133" t="s">
        <v>143</v>
      </c>
      <c r="Q8" s="664" t="s">
        <v>127</v>
      </c>
      <c r="R8" s="29" t="s">
        <v>144</v>
      </c>
      <c r="S8" s="30" t="s">
        <v>145</v>
      </c>
      <c r="T8" s="29" t="s">
        <v>50</v>
      </c>
      <c r="U8" s="29" t="s">
        <v>123</v>
      </c>
      <c r="V8" s="133" t="s">
        <v>127</v>
      </c>
      <c r="W8" s="129" t="s">
        <v>127</v>
      </c>
      <c r="X8" s="133" t="s">
        <v>143</v>
      </c>
      <c r="Y8" s="129" t="s">
        <v>127</v>
      </c>
    </row>
    <row r="9" spans="1:26" s="23" customFormat="1" ht="23.25" thickBot="1">
      <c r="A9" s="18" t="s">
        <v>164</v>
      </c>
      <c r="B9" s="34" t="s">
        <v>165</v>
      </c>
      <c r="C9" s="1402" t="s">
        <v>1704</v>
      </c>
      <c r="D9" s="146" t="s">
        <v>105</v>
      </c>
      <c r="E9" s="2035" t="s">
        <v>2437</v>
      </c>
      <c r="F9" s="2036" t="s">
        <v>2437</v>
      </c>
      <c r="G9" s="1826" t="s">
        <v>2350</v>
      </c>
      <c r="H9" s="1826" t="s">
        <v>2350</v>
      </c>
      <c r="I9" s="1827" t="s">
        <v>2349</v>
      </c>
      <c r="J9" s="140"/>
      <c r="K9" s="659" t="s">
        <v>166</v>
      </c>
      <c r="L9" s="661" t="s">
        <v>166</v>
      </c>
      <c r="M9" s="1315"/>
      <c r="N9" s="135" t="s">
        <v>146</v>
      </c>
      <c r="O9" s="663" t="s">
        <v>147</v>
      </c>
      <c r="P9" s="135" t="s">
        <v>146</v>
      </c>
      <c r="Q9" s="665" t="s">
        <v>149</v>
      </c>
      <c r="R9" s="29" t="s">
        <v>167</v>
      </c>
      <c r="S9" s="30" t="s">
        <v>168</v>
      </c>
      <c r="T9" s="29"/>
      <c r="U9" s="29" t="s">
        <v>169</v>
      </c>
      <c r="V9" s="135" t="s">
        <v>146</v>
      </c>
      <c r="W9" s="136" t="s">
        <v>147</v>
      </c>
      <c r="X9" s="135" t="s">
        <v>146</v>
      </c>
      <c r="Y9" s="136" t="s">
        <v>149</v>
      </c>
    </row>
    <row r="10" spans="1:26" s="38" customFormat="1" ht="12.75" thickBot="1">
      <c r="A10" s="570" t="s">
        <v>180</v>
      </c>
      <c r="B10" s="749"/>
      <c r="C10" s="1403"/>
      <c r="D10" s="566"/>
      <c r="E10" s="568"/>
      <c r="F10" s="568"/>
      <c r="G10" s="568"/>
      <c r="H10" s="2027"/>
      <c r="I10" s="567"/>
      <c r="J10" s="141"/>
      <c r="K10" s="148">
        <f>K20/I20</f>
        <v>0.87300643581124138</v>
      </c>
      <c r="L10" s="130">
        <f>L20/I20</f>
        <v>0.12699356418875865</v>
      </c>
      <c r="M10" s="1316"/>
      <c r="N10" s="134">
        <f>N20/$L$20</f>
        <v>0.20620614019703276</v>
      </c>
      <c r="O10" s="130">
        <f>O20/$L$20</f>
        <v>0.16196384419410775</v>
      </c>
      <c r="P10" s="130">
        <f>P20/$L$20</f>
        <v>2.1289047759694233E-2</v>
      </c>
      <c r="Q10" s="35">
        <f>Q20/$L$20</f>
        <v>0.61054096784916534</v>
      </c>
      <c r="R10" s="36"/>
      <c r="S10" s="37"/>
      <c r="T10" s="36"/>
      <c r="U10" s="151">
        <f t="shared" ref="U10:U80" si="0">L10-N10-O10-Q10-P10</f>
        <v>-0.87300643581124138</v>
      </c>
      <c r="V10" s="667">
        <f>' LG recycle'!E6</f>
        <v>101915.14186997172</v>
      </c>
      <c r="W10" s="668">
        <f>'LG Yardwaste'!E6</f>
        <v>139638.75208777931</v>
      </c>
      <c r="X10" s="668">
        <f>'LG MF Recycle'!E6</f>
        <v>42348.84676666226</v>
      </c>
      <c r="Y10" s="669">
        <f>'LG Garbage'!E6</f>
        <v>164972.68273437498</v>
      </c>
      <c r="Z10" s="38" t="s">
        <v>587</v>
      </c>
    </row>
    <row r="11" spans="1:26" s="38" customFormat="1" outlineLevel="1">
      <c r="A11" s="54" t="s">
        <v>521</v>
      </c>
      <c r="B11" s="744" t="s">
        <v>1144</v>
      </c>
      <c r="C11" s="1404">
        <v>6880649</v>
      </c>
      <c r="D11" s="147">
        <v>7320244</v>
      </c>
      <c r="E11" s="2029">
        <v>-4138706.44</v>
      </c>
      <c r="F11" s="2030">
        <v>0</v>
      </c>
      <c r="G11" s="2021"/>
      <c r="H11" s="1385">
        <f>'Adj - Proforma'!L11</f>
        <v>0</v>
      </c>
      <c r="I11" s="42">
        <f t="shared" ref="I11:I19" si="1">SUM(D11:H11)</f>
        <v>3181537.56</v>
      </c>
      <c r="J11" s="60"/>
      <c r="K11" s="51">
        <f>I11-L11</f>
        <v>2888606.0368521004</v>
      </c>
      <c r="L11" s="127">
        <f>'WUTC Revenue'!O41</f>
        <v>292931.52314789983</v>
      </c>
      <c r="M11" s="1317"/>
      <c r="N11" s="127">
        <v>0</v>
      </c>
      <c r="O11" s="127">
        <v>0</v>
      </c>
      <c r="P11" s="127">
        <f>'Drop Box Price Out'!H94</f>
        <v>51905.88</v>
      </c>
      <c r="Q11" s="127">
        <f>L11-N11-O11-P11</f>
        <v>241025.64314789983</v>
      </c>
      <c r="R11" s="36" t="s">
        <v>25</v>
      </c>
      <c r="S11" s="37"/>
      <c r="T11" s="36"/>
      <c r="U11" s="151">
        <f t="shared" si="0"/>
        <v>0</v>
      </c>
      <c r="V11" s="127">
        <f t="shared" ref="V11:W18" si="2">N11</f>
        <v>0</v>
      </c>
      <c r="W11" s="127">
        <f t="shared" si="2"/>
        <v>0</v>
      </c>
      <c r="X11" s="127">
        <f t="shared" ref="X11:X18" si="3">P11</f>
        <v>51905.88</v>
      </c>
      <c r="Y11" s="127">
        <f t="shared" ref="Y11:Y18" si="4">Q11</f>
        <v>241025.64314789983</v>
      </c>
    </row>
    <row r="12" spans="1:26" s="38" customFormat="1" outlineLevel="1">
      <c r="A12" s="54" t="s">
        <v>521</v>
      </c>
      <c r="B12" s="559" t="s">
        <v>523</v>
      </c>
      <c r="C12" s="1401"/>
      <c r="D12" s="147">
        <v>0</v>
      </c>
      <c r="E12" s="2029">
        <v>4138706.44</v>
      </c>
      <c r="F12" s="2030">
        <v>0</v>
      </c>
      <c r="G12" s="2021"/>
      <c r="H12" s="1385">
        <f>'Adj - Proforma'!L12</f>
        <v>0</v>
      </c>
      <c r="I12" s="42">
        <f>SUM(D12:H12)</f>
        <v>4138706.44</v>
      </c>
      <c r="J12" s="60"/>
      <c r="K12" s="51">
        <f t="shared" ref="K12:K18" si="5">I12-L12</f>
        <v>3988203.2331479001</v>
      </c>
      <c r="L12" s="127">
        <f>-'WUTC Revenue'!O35</f>
        <v>150503.20685210003</v>
      </c>
      <c r="M12" s="1317"/>
      <c r="N12" s="127">
        <v>0</v>
      </c>
      <c r="O12" s="127">
        <v>0</v>
      </c>
      <c r="P12" s="127">
        <v>0</v>
      </c>
      <c r="Q12" s="127">
        <f t="shared" ref="Q12:Q18" si="6">L12-N12-O12-P12</f>
        <v>150503.20685210003</v>
      </c>
      <c r="R12" s="36" t="s">
        <v>25</v>
      </c>
      <c r="S12" s="37"/>
      <c r="T12" s="36"/>
      <c r="U12" s="151">
        <f t="shared" si="0"/>
        <v>0</v>
      </c>
      <c r="V12" s="127">
        <f t="shared" si="2"/>
        <v>0</v>
      </c>
      <c r="W12" s="127">
        <f t="shared" si="2"/>
        <v>0</v>
      </c>
      <c r="X12" s="127">
        <f t="shared" si="3"/>
        <v>0</v>
      </c>
      <c r="Y12" s="127">
        <f t="shared" si="4"/>
        <v>150503.20685210003</v>
      </c>
    </row>
    <row r="13" spans="1:26" s="38" customFormat="1" outlineLevel="1">
      <c r="A13" s="54" t="s">
        <v>522</v>
      </c>
      <c r="B13" s="744" t="s">
        <v>1153</v>
      </c>
      <c r="C13" s="1404">
        <v>12401650</v>
      </c>
      <c r="D13" s="147">
        <v>13086624</v>
      </c>
      <c r="E13" s="2029">
        <v>0</v>
      </c>
      <c r="F13" s="2030">
        <v>0</v>
      </c>
      <c r="G13" s="2021"/>
      <c r="H13" s="1385">
        <f>'Adj - Proforma'!L13</f>
        <v>0</v>
      </c>
      <c r="I13" s="42">
        <f>SUM(D13:H13)</f>
        <v>13086624</v>
      </c>
      <c r="J13" s="60"/>
      <c r="K13" s="51">
        <f t="shared" si="5"/>
        <v>12066142.5</v>
      </c>
      <c r="L13" s="127">
        <f>'WUTC Revenue'!O29</f>
        <v>1020481.5000000001</v>
      </c>
      <c r="M13" s="1317"/>
      <c r="N13" s="127">
        <v>0</v>
      </c>
      <c r="O13" s="127">
        <v>0</v>
      </c>
      <c r="P13" s="127">
        <f>'MF Recy Price Out'!L65</f>
        <v>65413.936812000029</v>
      </c>
      <c r="Q13" s="127">
        <f>L13-N13-O13-P13</f>
        <v>955067.56318800012</v>
      </c>
      <c r="R13" s="36" t="s">
        <v>25</v>
      </c>
      <c r="S13" s="37"/>
      <c r="T13" s="36"/>
      <c r="U13" s="151">
        <f t="shared" si="0"/>
        <v>0</v>
      </c>
      <c r="V13" s="127">
        <f t="shared" si="2"/>
        <v>0</v>
      </c>
      <c r="W13" s="127">
        <f t="shared" si="2"/>
        <v>0</v>
      </c>
      <c r="X13" s="127">
        <f t="shared" si="3"/>
        <v>65413.936812000029</v>
      </c>
      <c r="Y13" s="127">
        <f t="shared" si="4"/>
        <v>955067.56318800012</v>
      </c>
    </row>
    <row r="14" spans="1:26" s="38" customFormat="1" outlineLevel="1">
      <c r="A14" s="54" t="s">
        <v>525</v>
      </c>
      <c r="B14" s="744" t="s">
        <v>1157</v>
      </c>
      <c r="C14" s="1404">
        <v>19834497</v>
      </c>
      <c r="D14" s="147">
        <v>20290803</v>
      </c>
      <c r="E14" s="2029">
        <v>0</v>
      </c>
      <c r="F14" s="2030">
        <v>0</v>
      </c>
      <c r="G14" s="2021"/>
      <c r="H14" s="1385">
        <f>'Adj - Proforma'!L14</f>
        <v>0</v>
      </c>
      <c r="I14" s="42">
        <f t="shared" si="1"/>
        <v>20290803</v>
      </c>
      <c r="J14" s="60"/>
      <c r="K14" s="51">
        <f t="shared" si="5"/>
        <v>16243913.01</v>
      </c>
      <c r="L14" s="127">
        <f>'WUTC Revenue'!O14</f>
        <v>4046889.9899999998</v>
      </c>
      <c r="M14" s="1317"/>
      <c r="N14" s="127">
        <f>'Resi Price Out'!H65</f>
        <v>1136362.08</v>
      </c>
      <c r="O14" s="127">
        <f>'Resi Price Out'!H76</f>
        <v>892551.35999999987</v>
      </c>
      <c r="P14" s="127">
        <v>0</v>
      </c>
      <c r="Q14" s="127">
        <f>L14-N14-O14-P14</f>
        <v>2017976.5499999998</v>
      </c>
      <c r="R14" s="36" t="s">
        <v>25</v>
      </c>
      <c r="S14" s="37"/>
      <c r="T14" s="36"/>
      <c r="U14" s="151">
        <f t="shared" si="0"/>
        <v>0</v>
      </c>
      <c r="V14" s="127">
        <f t="shared" si="2"/>
        <v>1136362.08</v>
      </c>
      <c r="W14" s="127">
        <f t="shared" si="2"/>
        <v>892551.35999999987</v>
      </c>
      <c r="X14" s="127">
        <f t="shared" si="3"/>
        <v>0</v>
      </c>
      <c r="Y14" s="127">
        <f>Q14</f>
        <v>2017976.5499999998</v>
      </c>
    </row>
    <row r="15" spans="1:26" s="38" customFormat="1" outlineLevel="1">
      <c r="A15" s="54"/>
      <c r="B15" s="559"/>
      <c r="C15" s="1401"/>
      <c r="D15" s="147"/>
      <c r="E15" s="2029">
        <v>0</v>
      </c>
      <c r="F15" s="2030">
        <v>0</v>
      </c>
      <c r="G15" s="2021"/>
      <c r="H15" s="1385">
        <f>'Adj - Proforma'!L15</f>
        <v>0</v>
      </c>
      <c r="I15" s="42"/>
      <c r="J15" s="60"/>
      <c r="K15" s="51"/>
      <c r="L15" s="63"/>
      <c r="M15" s="1318"/>
      <c r="N15" s="594"/>
      <c r="O15" s="63"/>
      <c r="P15" s="594"/>
      <c r="Q15" s="63"/>
      <c r="R15" s="36"/>
      <c r="S15" s="37"/>
      <c r="T15" s="36"/>
      <c r="U15" s="151">
        <f t="shared" si="0"/>
        <v>0</v>
      </c>
      <c r="V15" s="127"/>
      <c r="W15" s="127"/>
      <c r="X15" s="127"/>
      <c r="Y15" s="127"/>
    </row>
    <row r="16" spans="1:26" s="38" customFormat="1" outlineLevel="1">
      <c r="A16" s="54" t="s">
        <v>679</v>
      </c>
      <c r="B16" s="744" t="s">
        <v>1160</v>
      </c>
      <c r="C16" s="1401">
        <v>72398</v>
      </c>
      <c r="D16" s="147">
        <v>180065</v>
      </c>
      <c r="E16" s="2029">
        <v>0</v>
      </c>
      <c r="F16" s="2030">
        <v>0</v>
      </c>
      <c r="G16" s="2021"/>
      <c r="H16" s="1385">
        <f>'Adj - Proforma'!L16</f>
        <v>0</v>
      </c>
      <c r="I16" s="42">
        <f t="shared" si="1"/>
        <v>180065</v>
      </c>
      <c r="J16" s="60"/>
      <c r="K16" s="51">
        <f t="shared" si="5"/>
        <v>180065</v>
      </c>
      <c r="L16" s="127">
        <v>0</v>
      </c>
      <c r="M16" s="1318"/>
      <c r="N16" s="132"/>
      <c r="O16" s="62"/>
      <c r="P16" s="132"/>
      <c r="Q16" s="62"/>
      <c r="R16" s="36"/>
      <c r="S16" s="37"/>
      <c r="T16" s="36"/>
      <c r="U16" s="151">
        <f t="shared" si="0"/>
        <v>0</v>
      </c>
      <c r="V16" s="127"/>
      <c r="W16" s="127"/>
      <c r="X16" s="127"/>
      <c r="Y16" s="127"/>
    </row>
    <row r="17" spans="1:25" s="38" customFormat="1" outlineLevel="1">
      <c r="A17" s="54" t="s">
        <v>526</v>
      </c>
      <c r="B17" s="744" t="s">
        <v>1162</v>
      </c>
      <c r="C17" s="1401">
        <v>1154398</v>
      </c>
      <c r="D17" s="147">
        <v>861622</v>
      </c>
      <c r="E17" s="2029">
        <v>0</v>
      </c>
      <c r="F17" s="2030">
        <v>0</v>
      </c>
      <c r="G17" s="2021"/>
      <c r="H17" s="1385">
        <f>'Adj - Proforma'!L17</f>
        <v>0</v>
      </c>
      <c r="I17" s="42">
        <f t="shared" si="1"/>
        <v>861622</v>
      </c>
      <c r="J17" s="60"/>
      <c r="K17" s="51">
        <f t="shared" si="5"/>
        <v>861622</v>
      </c>
      <c r="L17" s="127">
        <v>0</v>
      </c>
      <c r="M17" s="1317"/>
      <c r="N17" s="127">
        <v>0</v>
      </c>
      <c r="O17" s="127">
        <v>0</v>
      </c>
      <c r="P17" s="127">
        <v>0</v>
      </c>
      <c r="Q17" s="127">
        <f t="shared" si="6"/>
        <v>0</v>
      </c>
      <c r="R17" s="36" t="s">
        <v>25</v>
      </c>
      <c r="S17" s="37"/>
      <c r="T17" s="36"/>
      <c r="U17" s="151">
        <f t="shared" si="0"/>
        <v>0</v>
      </c>
      <c r="V17" s="127">
        <f t="shared" si="2"/>
        <v>0</v>
      </c>
      <c r="W17" s="127">
        <f t="shared" si="2"/>
        <v>0</v>
      </c>
      <c r="X17" s="127">
        <f t="shared" si="3"/>
        <v>0</v>
      </c>
      <c r="Y17" s="127">
        <f t="shared" si="4"/>
        <v>0</v>
      </c>
    </row>
    <row r="18" spans="1:25" s="38" customFormat="1" outlineLevel="1">
      <c r="A18" s="54" t="s">
        <v>527</v>
      </c>
      <c r="B18" s="744" t="s">
        <v>1164</v>
      </c>
      <c r="C18" s="1401">
        <v>2376560</v>
      </c>
      <c r="D18" s="147">
        <v>1655016</v>
      </c>
      <c r="E18" s="2029">
        <v>0</v>
      </c>
      <c r="F18" s="2030">
        <v>0</v>
      </c>
      <c r="G18" s="2021"/>
      <c r="H18" s="1385">
        <f>'Adj - Proforma'!L18</f>
        <v>0</v>
      </c>
      <c r="I18" s="42">
        <f t="shared" si="1"/>
        <v>1655016</v>
      </c>
      <c r="J18" s="60"/>
      <c r="K18" s="51">
        <f t="shared" si="5"/>
        <v>1655016</v>
      </c>
      <c r="L18" s="127">
        <v>0</v>
      </c>
      <c r="M18" s="1317"/>
      <c r="N18" s="127">
        <v>0</v>
      </c>
      <c r="O18" s="127">
        <v>0</v>
      </c>
      <c r="P18" s="127">
        <v>0</v>
      </c>
      <c r="Q18" s="127">
        <f t="shared" si="6"/>
        <v>0</v>
      </c>
      <c r="R18" s="36" t="s">
        <v>25</v>
      </c>
      <c r="S18" s="37"/>
      <c r="T18" s="36"/>
      <c r="U18" s="151">
        <f t="shared" si="0"/>
        <v>0</v>
      </c>
      <c r="V18" s="127">
        <f t="shared" si="2"/>
        <v>0</v>
      </c>
      <c r="W18" s="127">
        <f t="shared" si="2"/>
        <v>0</v>
      </c>
      <c r="X18" s="127">
        <f t="shared" si="3"/>
        <v>0</v>
      </c>
      <c r="Y18" s="127">
        <f t="shared" si="4"/>
        <v>0</v>
      </c>
    </row>
    <row r="19" spans="1:25" s="38" customFormat="1" outlineLevel="1">
      <c r="A19" s="57"/>
      <c r="B19" s="736"/>
      <c r="C19" s="1401"/>
      <c r="D19" s="147"/>
      <c r="E19" s="2029"/>
      <c r="F19" s="2030"/>
      <c r="G19" s="2021"/>
      <c r="H19" s="1385"/>
      <c r="I19" s="42">
        <f t="shared" si="1"/>
        <v>0</v>
      </c>
      <c r="J19" s="60"/>
      <c r="K19" s="53"/>
      <c r="L19" s="63"/>
      <c r="M19" s="1318"/>
      <c r="N19" s="594"/>
      <c r="O19" s="63"/>
      <c r="P19" s="594"/>
      <c r="Q19" s="63"/>
      <c r="R19" s="36"/>
      <c r="S19" s="37"/>
      <c r="T19" s="36"/>
      <c r="U19" s="151">
        <f t="shared" si="0"/>
        <v>0</v>
      </c>
      <c r="V19" s="128"/>
      <c r="W19" s="127"/>
      <c r="X19" s="127"/>
      <c r="Y19" s="127"/>
    </row>
    <row r="20" spans="1:25" s="38" customFormat="1" ht="12">
      <c r="A20" s="47"/>
      <c r="B20" s="560" t="s">
        <v>190</v>
      </c>
      <c r="C20" s="1405">
        <f>SUM(C11:C18)</f>
        <v>42720152</v>
      </c>
      <c r="D20" s="561">
        <v>43394374</v>
      </c>
      <c r="E20" s="2032">
        <v>0</v>
      </c>
      <c r="F20" s="2032">
        <v>0</v>
      </c>
      <c r="G20" s="2022"/>
      <c r="H20" s="1386">
        <f>SUM(H11:H19)</f>
        <v>0</v>
      </c>
      <c r="I20" s="562">
        <f>SUM(I11:I19)</f>
        <v>43394374</v>
      </c>
      <c r="J20" s="142"/>
      <c r="K20" s="562">
        <f>SUM(K11:K19)</f>
        <v>37883567.780000001</v>
      </c>
      <c r="L20" s="562">
        <f>SUM(L11:L19)</f>
        <v>5510806.2199999997</v>
      </c>
      <c r="M20" s="1319"/>
      <c r="N20" s="562">
        <f>SUM(N11:N19)</f>
        <v>1136362.08</v>
      </c>
      <c r="O20" s="562">
        <f>SUM(O11:O19)</f>
        <v>892551.35999999987</v>
      </c>
      <c r="P20" s="562">
        <f>SUM(P11:P19)</f>
        <v>117319.81681200003</v>
      </c>
      <c r="Q20" s="562">
        <f>SUM(Q11:Q19)</f>
        <v>3364572.963188</v>
      </c>
      <c r="R20" s="36"/>
      <c r="S20" s="37"/>
      <c r="T20" s="36"/>
      <c r="U20" s="151">
        <f t="shared" si="0"/>
        <v>-2.6193447411060333E-10</v>
      </c>
      <c r="V20" s="546">
        <f>SUM(V10:V19)</f>
        <v>1238277.2218699718</v>
      </c>
      <c r="W20" s="546">
        <f>SUM(W10:W19)</f>
        <v>1032190.1120877792</v>
      </c>
      <c r="X20" s="546">
        <f>SUM(X10:X19)</f>
        <v>159668.66357866229</v>
      </c>
      <c r="Y20" s="546">
        <f>SUM(Y10:Y19)</f>
        <v>3529545.6459223749</v>
      </c>
    </row>
    <row r="21" spans="1:25" s="38" customFormat="1">
      <c r="A21" s="47"/>
      <c r="B21" s="559"/>
      <c r="C21" s="1406"/>
      <c r="D21" s="2041"/>
      <c r="E21" s="2031"/>
      <c r="F21" s="2030"/>
      <c r="G21" s="2023"/>
      <c r="H21" s="1385"/>
      <c r="I21" s="550"/>
      <c r="J21" s="142"/>
      <c r="K21" s="550"/>
      <c r="L21" s="551"/>
      <c r="M21" s="1319"/>
      <c r="N21" s="551"/>
      <c r="O21" s="551"/>
      <c r="P21" s="551"/>
      <c r="Q21" s="551"/>
      <c r="R21" s="36"/>
      <c r="S21" s="36"/>
      <c r="T21" s="36"/>
      <c r="U21" s="151">
        <f t="shared" si="0"/>
        <v>0</v>
      </c>
      <c r="V21" s="552"/>
      <c r="W21" s="552"/>
      <c r="X21" s="552"/>
      <c r="Y21" s="552"/>
    </row>
    <row r="22" spans="1:25" s="38" customFormat="1" outlineLevel="1">
      <c r="A22" s="57" t="s">
        <v>530</v>
      </c>
      <c r="B22" s="744" t="s">
        <v>1167</v>
      </c>
      <c r="C22" s="1404">
        <v>10155269</v>
      </c>
      <c r="D22" s="147">
        <v>11906869</v>
      </c>
      <c r="E22" s="2029">
        <v>5797860</v>
      </c>
      <c r="F22" s="2030">
        <v>0</v>
      </c>
      <c r="G22" s="2021"/>
      <c r="H22" s="1385">
        <f>'Adj - Proforma'!L22</f>
        <v>0</v>
      </c>
      <c r="I22" s="42">
        <f>SUM(D22:H22)</f>
        <v>17704729</v>
      </c>
      <c r="J22" s="60"/>
      <c r="K22" s="42">
        <f>I22-L22</f>
        <v>15838925.149255913</v>
      </c>
      <c r="L22" s="127">
        <f>Disposal!R167</f>
        <v>1865803.8507440875</v>
      </c>
      <c r="M22" s="1317"/>
      <c r="N22" s="127">
        <f>Disposal!R159</f>
        <v>287357.24795915699</v>
      </c>
      <c r="O22" s="127">
        <f>Disposal!R160</f>
        <v>273174.19929999998</v>
      </c>
      <c r="P22" s="127">
        <f>Disposal!R154</f>
        <v>30638.932444421076</v>
      </c>
      <c r="Q22" s="127">
        <f>L22-N22-O22-P22</f>
        <v>1274633.4710405094</v>
      </c>
      <c r="R22" s="36" t="s">
        <v>25</v>
      </c>
      <c r="S22" s="36" t="s">
        <v>25</v>
      </c>
      <c r="T22" s="36" t="s">
        <v>25</v>
      </c>
      <c r="U22" s="151">
        <f t="shared" si="0"/>
        <v>3.2741809263825417E-11</v>
      </c>
      <c r="V22" s="127">
        <f t="shared" ref="V22:Y24" si="7">N22</f>
        <v>287357.24795915699</v>
      </c>
      <c r="W22" s="127">
        <f t="shared" si="7"/>
        <v>273174.19929999998</v>
      </c>
      <c r="X22" s="127">
        <f t="shared" si="7"/>
        <v>30638.932444421076</v>
      </c>
      <c r="Y22" s="62">
        <f t="shared" si="7"/>
        <v>1274633.4710405094</v>
      </c>
    </row>
    <row r="23" spans="1:25" s="38" customFormat="1" outlineLevel="1">
      <c r="A23" s="57" t="s">
        <v>531</v>
      </c>
      <c r="B23" s="744" t="s">
        <v>1354</v>
      </c>
      <c r="C23" s="1404"/>
      <c r="D23" s="147">
        <v>0</v>
      </c>
      <c r="E23" s="2029">
        <v>0</v>
      </c>
      <c r="F23" s="2030">
        <v>0</v>
      </c>
      <c r="G23" s="2021"/>
      <c r="H23" s="1385">
        <f>'Adj - Proforma'!L23</f>
        <v>0</v>
      </c>
      <c r="I23" s="42">
        <f>SUM(D23:H23)</f>
        <v>0</v>
      </c>
      <c r="J23" s="60"/>
      <c r="K23" s="42">
        <f>I23-L23</f>
        <v>0</v>
      </c>
      <c r="L23" s="127">
        <v>0</v>
      </c>
      <c r="M23" s="1317"/>
      <c r="N23" s="127">
        <v>0</v>
      </c>
      <c r="O23" s="127">
        <v>0</v>
      </c>
      <c r="P23" s="127">
        <v>0</v>
      </c>
      <c r="Q23" s="127">
        <f>L23-N23-O23-P23</f>
        <v>0</v>
      </c>
      <c r="R23" s="36" t="s">
        <v>25</v>
      </c>
      <c r="S23" s="36" t="s">
        <v>25</v>
      </c>
      <c r="T23" s="36" t="s">
        <v>25</v>
      </c>
      <c r="U23" s="151">
        <f t="shared" si="0"/>
        <v>0</v>
      </c>
      <c r="V23" s="127">
        <f t="shared" si="7"/>
        <v>0</v>
      </c>
      <c r="W23" s="127">
        <f t="shared" si="7"/>
        <v>0</v>
      </c>
      <c r="X23" s="127">
        <f t="shared" si="7"/>
        <v>0</v>
      </c>
      <c r="Y23" s="62">
        <f t="shared" si="7"/>
        <v>0</v>
      </c>
    </row>
    <row r="24" spans="1:25" s="38" customFormat="1" ht="12">
      <c r="A24" s="54"/>
      <c r="B24" s="560" t="s">
        <v>193</v>
      </c>
      <c r="C24" s="1405">
        <f>SUM(C22:C23)</f>
        <v>10155269</v>
      </c>
      <c r="D24" s="561">
        <v>11906869</v>
      </c>
      <c r="E24" s="2032">
        <v>5797860</v>
      </c>
      <c r="F24" s="2032">
        <v>0</v>
      </c>
      <c r="G24" s="2022"/>
      <c r="H24" s="1386">
        <f>SUM(H22:H23)</f>
        <v>0</v>
      </c>
      <c r="I24" s="562">
        <f>SUM(I22:I23)</f>
        <v>17704729</v>
      </c>
      <c r="J24" s="60"/>
      <c r="K24" s="562">
        <f>SUM(K22:K23)</f>
        <v>15838925.149255913</v>
      </c>
      <c r="L24" s="562">
        <f>SUM(L22:L23)</f>
        <v>1865803.8507440875</v>
      </c>
      <c r="M24" s="1317"/>
      <c r="N24" s="562">
        <f>SUM(N22:N23)</f>
        <v>287357.24795915699</v>
      </c>
      <c r="O24" s="562">
        <f>SUM(O22:O23)</f>
        <v>273174.19929999998</v>
      </c>
      <c r="P24" s="562">
        <f>SUM(P22:P23)</f>
        <v>30638.932444421076</v>
      </c>
      <c r="Q24" s="562">
        <f>SUM(Q22:Q23)</f>
        <v>1274633.4710405094</v>
      </c>
      <c r="R24" s="36"/>
      <c r="S24" s="37"/>
      <c r="T24" s="36"/>
      <c r="U24" s="151">
        <f t="shared" si="0"/>
        <v>3.2741809263825417E-11</v>
      </c>
      <c r="V24" s="55">
        <f t="shared" si="7"/>
        <v>287357.24795915699</v>
      </c>
      <c r="W24" s="55">
        <f t="shared" si="7"/>
        <v>273174.19929999998</v>
      </c>
      <c r="X24" s="55">
        <f t="shared" si="7"/>
        <v>30638.932444421076</v>
      </c>
      <c r="Y24" s="46">
        <f t="shared" si="7"/>
        <v>1274633.4710405094</v>
      </c>
    </row>
    <row r="25" spans="1:25" s="24" customFormat="1">
      <c r="A25" s="553"/>
      <c r="B25" s="558"/>
      <c r="C25" s="1406"/>
      <c r="D25" s="2042"/>
      <c r="E25" s="2031"/>
      <c r="F25" s="2030"/>
      <c r="G25" s="2023"/>
      <c r="H25" s="1385"/>
      <c r="I25" s="139"/>
      <c r="J25" s="138"/>
      <c r="K25" s="139"/>
      <c r="L25" s="62"/>
      <c r="M25" s="1318"/>
      <c r="N25" s="62"/>
      <c r="O25" s="62"/>
      <c r="P25" s="62"/>
      <c r="Q25" s="62"/>
      <c r="R25" s="21"/>
      <c r="S25" s="22"/>
      <c r="T25" s="21"/>
      <c r="U25" s="151">
        <f t="shared" si="0"/>
        <v>0</v>
      </c>
      <c r="V25" s="65"/>
      <c r="W25" s="65"/>
      <c r="X25" s="65"/>
      <c r="Y25" s="63"/>
    </row>
    <row r="26" spans="1:25" s="48" customFormat="1" outlineLevel="1">
      <c r="A26" s="54">
        <v>402000</v>
      </c>
      <c r="B26" s="744" t="e">
        <f>VLOOKUP(A26,'Income Statement'!$A$6:$B$254,2,FALSE)</f>
        <v>#N/A</v>
      </c>
      <c r="C26" s="1404"/>
      <c r="D26" s="147">
        <v>0</v>
      </c>
      <c r="E26" s="2029">
        <v>0</v>
      </c>
      <c r="F26" s="2030">
        <v>67598.996899999998</v>
      </c>
      <c r="G26" s="2021"/>
      <c r="H26" s="1385"/>
      <c r="I26" s="42">
        <f>SUM(D26:H26)</f>
        <v>67598.996899999998</v>
      </c>
      <c r="J26" s="60"/>
      <c r="K26" s="42">
        <f>I26-L26</f>
        <v>67598.996899999998</v>
      </c>
      <c r="L26" s="127">
        <v>0</v>
      </c>
      <c r="M26" s="1317"/>
      <c r="N26" s="127"/>
      <c r="O26" s="127">
        <f>L26</f>
        <v>0</v>
      </c>
      <c r="P26" s="127"/>
      <c r="Q26" s="127"/>
      <c r="R26" s="36" t="s">
        <v>25</v>
      </c>
      <c r="S26" s="37" t="s">
        <v>13</v>
      </c>
      <c r="T26" s="36" t="s">
        <v>13</v>
      </c>
      <c r="U26" s="151">
        <f t="shared" si="0"/>
        <v>0</v>
      </c>
      <c r="V26" s="55">
        <f t="shared" ref="V26:Y31" si="8">N26</f>
        <v>0</v>
      </c>
      <c r="W26" s="55">
        <f t="shared" si="8"/>
        <v>0</v>
      </c>
      <c r="X26" s="55">
        <f t="shared" si="8"/>
        <v>0</v>
      </c>
      <c r="Y26" s="55">
        <f t="shared" si="8"/>
        <v>0</v>
      </c>
    </row>
    <row r="27" spans="1:25" s="48" customFormat="1" outlineLevel="1">
      <c r="A27" s="54">
        <v>402008</v>
      </c>
      <c r="B27" s="744" t="str">
        <f>VLOOKUP(A27,'Income Statement'!$A$6:$B$254,2,FALSE)</f>
        <v>COGS REC Other O/S</v>
      </c>
      <c r="C27" s="1404">
        <v>752928</v>
      </c>
      <c r="D27" s="147">
        <v>1315776</v>
      </c>
      <c r="E27" s="2029">
        <v>-1315776</v>
      </c>
      <c r="F27" s="2030">
        <v>0</v>
      </c>
      <c r="G27" s="2021"/>
      <c r="H27" s="1385">
        <f>'Adj - Proforma'!L27</f>
        <v>0</v>
      </c>
      <c r="I27" s="42">
        <f>SUM(D27:H27)</f>
        <v>0</v>
      </c>
      <c r="J27" s="60"/>
      <c r="K27" s="42">
        <f>I27-L27</f>
        <v>0</v>
      </c>
      <c r="L27" s="127">
        <v>0</v>
      </c>
      <c r="M27" s="1317"/>
      <c r="N27" s="127"/>
      <c r="O27" s="127">
        <f>L27</f>
        <v>0</v>
      </c>
      <c r="P27" s="127"/>
      <c r="Q27" s="127"/>
      <c r="R27" s="36" t="s">
        <v>25</v>
      </c>
      <c r="S27" s="37" t="s">
        <v>13</v>
      </c>
      <c r="T27" s="36" t="s">
        <v>13</v>
      </c>
      <c r="U27" s="151">
        <f>L27-N27-O27-Q27-P27</f>
        <v>0</v>
      </c>
      <c r="V27" s="55">
        <f>N27</f>
        <v>0</v>
      </c>
      <c r="W27" s="55">
        <f>O27</f>
        <v>0</v>
      </c>
      <c r="X27" s="55">
        <f>P27</f>
        <v>0</v>
      </c>
      <c r="Y27" s="55">
        <f>Q27</f>
        <v>0</v>
      </c>
    </row>
    <row r="28" spans="1:25" s="48" customFormat="1" outlineLevel="1">
      <c r="A28" s="54">
        <v>412000</v>
      </c>
      <c r="B28" s="744" t="str">
        <f>VLOOKUP(A28,'Income Statement'!$A$6:$B$254,2,FALSE)</f>
        <v>COGS REC SOM I/C</v>
      </c>
      <c r="C28" s="1404">
        <v>5115938</v>
      </c>
      <c r="D28" s="147">
        <v>4482084</v>
      </c>
      <c r="E28" s="2029">
        <v>-4482084</v>
      </c>
      <c r="F28" s="2030">
        <v>0</v>
      </c>
      <c r="G28" s="2021"/>
      <c r="H28" s="1385">
        <f>'Adj - Proforma'!L28</f>
        <v>0</v>
      </c>
      <c r="I28" s="42"/>
      <c r="J28" s="60"/>
      <c r="K28" s="42"/>
      <c r="L28" s="127"/>
      <c r="M28" s="1317"/>
      <c r="N28" s="127"/>
      <c r="O28" s="127"/>
      <c r="P28" s="127"/>
      <c r="Q28" s="127"/>
      <c r="R28" s="36"/>
      <c r="S28" s="37"/>
      <c r="T28" s="36"/>
      <c r="U28" s="151">
        <f t="shared" si="0"/>
        <v>0</v>
      </c>
      <c r="V28" s="55"/>
      <c r="W28" s="55"/>
      <c r="X28" s="55"/>
      <c r="Y28" s="55"/>
    </row>
    <row r="29" spans="1:25" s="48" customFormat="1" outlineLevel="1">
      <c r="A29" s="1382">
        <v>406100</v>
      </c>
      <c r="B29" s="1393" t="str">
        <f>VLOOKUP(A29,'Income Statement'!$A$6:$B$254,2,FALSE)</f>
        <v>Franchise Fees O/S</v>
      </c>
      <c r="C29" s="1404">
        <v>1673981</v>
      </c>
      <c r="D29" s="147">
        <v>1787664</v>
      </c>
      <c r="E29" s="2029">
        <v>0</v>
      </c>
      <c r="F29" s="2030">
        <v>0</v>
      </c>
      <c r="G29" s="2021"/>
      <c r="H29" s="1385">
        <f>'Adj - Proforma'!L29</f>
        <v>0</v>
      </c>
      <c r="I29" s="42">
        <f>SUM(D29:H29)</f>
        <v>1787664</v>
      </c>
      <c r="J29" s="60"/>
      <c r="K29" s="42">
        <f>I29-L29</f>
        <v>1764105.3034095</v>
      </c>
      <c r="L29" s="815">
        <f>L20*'Combined LG'!$H$19</f>
        <v>23558.6965905</v>
      </c>
      <c r="M29" s="1317"/>
      <c r="N29" s="815">
        <f>N20*'Combined LG'!$H$19</f>
        <v>4857.9478920000001</v>
      </c>
      <c r="O29" s="127">
        <f>O20*'Combined LG'!$H$19</f>
        <v>3815.6570639999995</v>
      </c>
      <c r="P29" s="127">
        <f>P20*'Combined LG'!$H$19</f>
        <v>501.54221687130018</v>
      </c>
      <c r="Q29" s="127">
        <f>L29-N29-O29-P29</f>
        <v>14383.549417628701</v>
      </c>
      <c r="R29" s="36" t="s">
        <v>25</v>
      </c>
      <c r="S29" s="37" t="s">
        <v>13</v>
      </c>
      <c r="T29" s="36" t="s">
        <v>13</v>
      </c>
      <c r="U29" s="151">
        <f t="shared" si="0"/>
        <v>-7.9580786405131221E-13</v>
      </c>
      <c r="V29" s="55">
        <f>N29</f>
        <v>4857.9478920000001</v>
      </c>
      <c r="W29" s="55">
        <f>O29</f>
        <v>3815.6570639999995</v>
      </c>
      <c r="X29" s="55">
        <f>P29</f>
        <v>501.54221687130018</v>
      </c>
      <c r="Y29" s="55">
        <f>Q29</f>
        <v>14383.549417628701</v>
      </c>
    </row>
    <row r="30" spans="1:25" s="48" customFormat="1" outlineLevel="1">
      <c r="A30" s="57"/>
      <c r="B30" s="557"/>
      <c r="C30" s="1401"/>
      <c r="D30" s="45"/>
      <c r="E30" s="2029">
        <v>0</v>
      </c>
      <c r="F30" s="2030">
        <v>0</v>
      </c>
      <c r="G30" s="2021"/>
      <c r="H30" s="1385">
        <f>'Adj - Proforma'!L30</f>
        <v>0</v>
      </c>
      <c r="I30" s="42">
        <f>SUM(D30:H30)</f>
        <v>0</v>
      </c>
      <c r="J30" s="60"/>
      <c r="K30" s="42">
        <f>I30-L30</f>
        <v>0</v>
      </c>
      <c r="L30" s="127">
        <v>0</v>
      </c>
      <c r="M30" s="1317"/>
      <c r="N30" s="127"/>
      <c r="O30" s="127"/>
      <c r="P30" s="127"/>
      <c r="Q30" s="127"/>
      <c r="R30" s="36" t="s">
        <v>25</v>
      </c>
      <c r="S30" s="37" t="s">
        <v>13</v>
      </c>
      <c r="T30" s="36" t="s">
        <v>13</v>
      </c>
      <c r="U30" s="151">
        <f t="shared" si="0"/>
        <v>0</v>
      </c>
      <c r="V30" s="55">
        <f t="shared" si="8"/>
        <v>0</v>
      </c>
      <c r="W30" s="55">
        <f t="shared" si="8"/>
        <v>0</v>
      </c>
      <c r="X30" s="55">
        <f t="shared" si="8"/>
        <v>0</v>
      </c>
      <c r="Y30" s="55">
        <f t="shared" si="8"/>
        <v>0</v>
      </c>
    </row>
    <row r="31" spans="1:25" s="38" customFormat="1" outlineLevel="1">
      <c r="A31" s="57"/>
      <c r="B31" s="745"/>
      <c r="C31" s="1407"/>
      <c r="D31" s="2037"/>
      <c r="E31" s="2029">
        <v>0</v>
      </c>
      <c r="F31" s="2030">
        <v>0</v>
      </c>
      <c r="G31" s="2021"/>
      <c r="H31" s="1385">
        <f>'Adj - Proforma'!L31</f>
        <v>0</v>
      </c>
      <c r="I31" s="64">
        <f>SUM(D31:H31)</f>
        <v>0</v>
      </c>
      <c r="J31" s="60"/>
      <c r="K31" s="42">
        <f>I31-L31</f>
        <v>0</v>
      </c>
      <c r="L31" s="127"/>
      <c r="M31" s="1317"/>
      <c r="N31" s="127"/>
      <c r="O31" s="127"/>
      <c r="P31" s="127"/>
      <c r="Q31" s="127"/>
      <c r="R31" s="36" t="s">
        <v>25</v>
      </c>
      <c r="S31" s="37" t="s">
        <v>13</v>
      </c>
      <c r="T31" s="36" t="s">
        <v>13</v>
      </c>
      <c r="U31" s="151">
        <f t="shared" si="0"/>
        <v>0</v>
      </c>
      <c r="V31" s="132">
        <f t="shared" si="8"/>
        <v>0</v>
      </c>
      <c r="W31" s="41">
        <f t="shared" si="8"/>
        <v>0</v>
      </c>
      <c r="X31" s="132">
        <f t="shared" si="8"/>
        <v>0</v>
      </c>
      <c r="Y31" s="62">
        <f t="shared" si="8"/>
        <v>0</v>
      </c>
    </row>
    <row r="32" spans="1:25" s="38" customFormat="1" ht="12">
      <c r="A32" s="57"/>
      <c r="B32" s="560" t="s">
        <v>532</v>
      </c>
      <c r="C32" s="1408">
        <f>SUM(C24:C31)</f>
        <v>17698116</v>
      </c>
      <c r="D32" s="561">
        <v>19492393</v>
      </c>
      <c r="E32" s="2032">
        <v>0</v>
      </c>
      <c r="F32" s="2032">
        <v>67598.996899999998</v>
      </c>
      <c r="G32" s="2022"/>
      <c r="H32" s="1386">
        <f>SUM(H24:H31)</f>
        <v>0</v>
      </c>
      <c r="I32" s="562">
        <f>SUM(I24:I31)</f>
        <v>19559991.9969</v>
      </c>
      <c r="J32" s="60"/>
      <c r="K32" s="562">
        <f>SUM(K24:K31)</f>
        <v>17670629.449565411</v>
      </c>
      <c r="L32" s="562">
        <f>SUM(L24:L31)</f>
        <v>1889362.5473345874</v>
      </c>
      <c r="M32" s="1317"/>
      <c r="N32" s="562">
        <f>SUM(N24:N31)</f>
        <v>292215.19585115701</v>
      </c>
      <c r="O32" s="562">
        <f>SUM(O24:O31)</f>
        <v>276989.85636400001</v>
      </c>
      <c r="P32" s="562">
        <f>SUM(P24:P31)</f>
        <v>31140.474661292377</v>
      </c>
      <c r="Q32" s="562">
        <f>SUM(Q24:Q31)</f>
        <v>1289017.0204581381</v>
      </c>
      <c r="R32" s="36"/>
      <c r="S32" s="37"/>
      <c r="T32" s="36"/>
      <c r="U32" s="151">
        <f t="shared" si="0"/>
        <v>1.3096723705530167E-10</v>
      </c>
      <c r="V32" s="772">
        <f>SUM(V24:V31)</f>
        <v>292215.19585115701</v>
      </c>
      <c r="W32" s="772">
        <f>SUM(W24:W31)</f>
        <v>276989.85636400001</v>
      </c>
      <c r="X32" s="772">
        <f>SUM(X24:X31)</f>
        <v>31140.474661292377</v>
      </c>
      <c r="Y32" s="772">
        <f>SUM(Y24:Y31)</f>
        <v>1289017.0204581381</v>
      </c>
    </row>
    <row r="33" spans="1:25" s="38" customFormat="1">
      <c r="A33" s="57"/>
      <c r="B33" s="556"/>
      <c r="C33" s="1409"/>
      <c r="D33" s="45"/>
      <c r="E33" s="2029"/>
      <c r="F33" s="2030"/>
      <c r="G33" s="2021"/>
      <c r="H33" s="1385"/>
      <c r="I33" s="42"/>
      <c r="J33" s="60"/>
      <c r="K33" s="42"/>
      <c r="L33" s="62"/>
      <c r="M33" s="1317"/>
      <c r="N33" s="62"/>
      <c r="O33" s="62"/>
      <c r="P33" s="62"/>
      <c r="Q33" s="62"/>
      <c r="R33" s="36"/>
      <c r="S33" s="37"/>
      <c r="T33" s="36"/>
      <c r="U33" s="151">
        <f t="shared" si="0"/>
        <v>0</v>
      </c>
      <c r="V33" s="132"/>
      <c r="W33" s="41"/>
      <c r="X33" s="132"/>
      <c r="Y33" s="62"/>
    </row>
    <row r="34" spans="1:25" s="38" customFormat="1" ht="12">
      <c r="A34" s="57"/>
      <c r="B34" s="560" t="s">
        <v>533</v>
      </c>
      <c r="C34" s="1408">
        <f>+C20-C32</f>
        <v>25022036</v>
      </c>
      <c r="D34" s="561">
        <v>23901981</v>
      </c>
      <c r="E34" s="2032">
        <v>0</v>
      </c>
      <c r="F34" s="2032">
        <v>-67598.996899999998</v>
      </c>
      <c r="G34" s="2022"/>
      <c r="H34" s="1386">
        <f>+H20-H32</f>
        <v>0</v>
      </c>
      <c r="I34" s="562">
        <f t="shared" ref="I34:Q34" si="9">+I20-I32</f>
        <v>23834382.0031</v>
      </c>
      <c r="J34" s="60"/>
      <c r="K34" s="562">
        <f t="shared" si="9"/>
        <v>20212938.330434591</v>
      </c>
      <c r="L34" s="562">
        <f>+L20-L32</f>
        <v>3621443.6726654125</v>
      </c>
      <c r="M34" s="1317"/>
      <c r="N34" s="562">
        <f t="shared" si="9"/>
        <v>844146.88414884312</v>
      </c>
      <c r="O34" s="562">
        <f t="shared" si="9"/>
        <v>615561.50363599986</v>
      </c>
      <c r="P34" s="562">
        <f t="shared" si="9"/>
        <v>86179.342150707656</v>
      </c>
      <c r="Q34" s="562">
        <f t="shared" si="9"/>
        <v>2075555.9427298619</v>
      </c>
      <c r="R34" s="36"/>
      <c r="S34" s="37"/>
      <c r="T34" s="36"/>
      <c r="U34" s="151">
        <f t="shared" si="0"/>
        <v>0</v>
      </c>
      <c r="V34" s="772">
        <f>+V20-V32</f>
        <v>946062.02601881488</v>
      </c>
      <c r="W34" s="772">
        <f>+W20-W32</f>
        <v>755200.25572377921</v>
      </c>
      <c r="X34" s="772">
        <f>+X20-X32</f>
        <v>128528.18891736992</v>
      </c>
      <c r="Y34" s="772">
        <f>+Y20-Y32</f>
        <v>2240528.6254642368</v>
      </c>
    </row>
    <row r="35" spans="1:25" s="38" customFormat="1">
      <c r="A35" s="57"/>
      <c r="B35" s="556"/>
      <c r="C35" s="1410"/>
      <c r="D35" s="45"/>
      <c r="E35" s="2029"/>
      <c r="F35" s="2030"/>
      <c r="G35" s="2021"/>
      <c r="H35" s="1385"/>
      <c r="I35" s="42"/>
      <c r="J35" s="60"/>
      <c r="K35" s="773">
        <f>K34/K20</f>
        <v>0.53355424303794519</v>
      </c>
      <c r="L35" s="773">
        <f>L34/L20</f>
        <v>0.65715315111650086</v>
      </c>
      <c r="M35" s="1317"/>
      <c r="N35" s="773">
        <f>+N34/N20</f>
        <v>0.74285027545871918</v>
      </c>
      <c r="O35" s="773">
        <f>+O34/O20</f>
        <v>0.68966507836142887</v>
      </c>
      <c r="P35" s="773">
        <f>+P34/P20</f>
        <v>0.73456765014222913</v>
      </c>
      <c r="Q35" s="773">
        <f>+Q34/Q20</f>
        <v>0.61688540133878722</v>
      </c>
      <c r="R35" s="36"/>
      <c r="S35" s="37"/>
      <c r="T35" s="36"/>
      <c r="U35" s="151">
        <f t="shared" si="0"/>
        <v>-2.1268152541846637</v>
      </c>
      <c r="V35" s="132"/>
      <c r="W35" s="41"/>
      <c r="X35" s="132"/>
      <c r="Y35" s="62"/>
    </row>
    <row r="36" spans="1:25" s="17" customFormat="1" ht="12" thickBot="1">
      <c r="A36" s="553"/>
      <c r="B36" s="557"/>
      <c r="C36" s="1406"/>
      <c r="D36" s="2042"/>
      <c r="E36" s="2029"/>
      <c r="F36" s="2030"/>
      <c r="G36" s="2021"/>
      <c r="H36" s="1385"/>
      <c r="I36" s="139"/>
      <c r="J36" s="138"/>
      <c r="K36" s="61"/>
      <c r="L36" s="62"/>
      <c r="M36" s="1318"/>
      <c r="N36" s="62"/>
      <c r="O36" s="62"/>
      <c r="P36" s="62"/>
      <c r="Q36" s="62"/>
      <c r="R36" s="21"/>
      <c r="S36" s="22"/>
      <c r="T36" s="21"/>
      <c r="U36" s="151">
        <f t="shared" si="0"/>
        <v>0</v>
      </c>
      <c r="V36" s="62"/>
      <c r="W36" s="62"/>
      <c r="X36" s="62"/>
      <c r="Y36" s="62"/>
    </row>
    <row r="37" spans="1:25" s="38" customFormat="1" ht="12.75" thickBot="1">
      <c r="A37" s="569" t="s">
        <v>553</v>
      </c>
      <c r="B37" s="747"/>
      <c r="C37" s="1411"/>
      <c r="D37" s="2044"/>
      <c r="E37" s="568"/>
      <c r="F37" s="568"/>
      <c r="G37" s="568"/>
      <c r="H37" s="2027"/>
      <c r="I37" s="567"/>
      <c r="J37" s="143"/>
      <c r="K37" s="149"/>
      <c r="L37" s="50"/>
      <c r="M37" s="1317"/>
      <c r="N37" s="50"/>
      <c r="O37" s="50"/>
      <c r="P37" s="50"/>
      <c r="Q37" s="50"/>
      <c r="R37" s="36"/>
      <c r="S37" s="37"/>
      <c r="T37" s="36"/>
      <c r="U37" s="151">
        <f t="shared" si="0"/>
        <v>0</v>
      </c>
      <c r="V37" s="131"/>
      <c r="W37" s="131"/>
      <c r="X37" s="131"/>
      <c r="Y37" s="67"/>
    </row>
    <row r="38" spans="1:25" s="24" customFormat="1" ht="12">
      <c r="A38" s="776"/>
      <c r="B38" s="1394"/>
      <c r="C38" s="1412"/>
      <c r="D38" s="2045"/>
      <c r="E38" s="2029"/>
      <c r="F38" s="2030"/>
      <c r="G38" s="2021"/>
      <c r="H38" s="1385"/>
      <c r="I38" s="777"/>
      <c r="J38" s="778"/>
      <c r="K38" s="674"/>
      <c r="L38" s="779"/>
      <c r="M38" s="1318"/>
      <c r="N38" s="779"/>
      <c r="O38" s="779"/>
      <c r="P38" s="779"/>
      <c r="Q38" s="779"/>
      <c r="R38" s="21"/>
      <c r="S38" s="21"/>
      <c r="T38" s="21"/>
      <c r="U38" s="151">
        <f t="shared" si="0"/>
        <v>0</v>
      </c>
      <c r="V38" s="780"/>
      <c r="W38" s="780"/>
      <c r="X38" s="780"/>
      <c r="Y38" s="62"/>
    </row>
    <row r="39" spans="1:25" s="38" customFormat="1" outlineLevel="1">
      <c r="A39" s="57">
        <v>500010</v>
      </c>
      <c r="B39" s="765" t="str">
        <f>VLOOKUP(A39,'Income Statement'!$A$6:$B$254,2,FALSE)</f>
        <v>Drivers</v>
      </c>
      <c r="C39" s="1413">
        <v>5457671</v>
      </c>
      <c r="D39" s="147">
        <v>5591572</v>
      </c>
      <c r="E39" s="2029">
        <v>0</v>
      </c>
      <c r="F39" s="2030">
        <v>0</v>
      </c>
      <c r="G39" s="2021"/>
      <c r="H39" s="1385">
        <f>'[4]Staff Compare and Adj'!$D$13-D39</f>
        <v>193916.78110539913</v>
      </c>
      <c r="I39" s="42">
        <f t="shared" ref="I39:I52" si="10">SUM(D39:H39)</f>
        <v>5785488.7811053991</v>
      </c>
      <c r="J39" s="60"/>
      <c r="K39" s="51">
        <f t="shared" ref="K39:K52" si="11">I39-L39</f>
        <v>4955566.8426719159</v>
      </c>
      <c r="L39" s="1030">
        <f>I39*VLOOKUP($R39,$K$3:$L$6,2,FALSE)</f>
        <v>829921.93843348289</v>
      </c>
      <c r="M39" s="1322"/>
      <c r="N39" s="1025">
        <f>L39*VLOOKUP($S39,$K$2:$Q$6,4,FALSE)</f>
        <v>196155.81784118325</v>
      </c>
      <c r="O39" s="1030">
        <f>L39*VLOOKUP($S39,$K$2:$Q$6,5,FALSE)</f>
        <v>157117.78064657628</v>
      </c>
      <c r="P39" s="1025">
        <f>L39*VLOOKUP($S39,$K$2:$Q$6,6,FALSE)</f>
        <v>34733.418089047336</v>
      </c>
      <c r="Q39" s="41">
        <f t="shared" ref="Q39:Q52" si="12">L39-N39-O39-P39</f>
        <v>441914.921856676</v>
      </c>
      <c r="R39" s="21" t="s">
        <v>10</v>
      </c>
      <c r="S39" s="36" t="s">
        <v>119</v>
      </c>
      <c r="T39" s="36"/>
      <c r="U39" s="151">
        <f t="shared" si="0"/>
        <v>0</v>
      </c>
      <c r="V39" s="132">
        <f t="shared" ref="V39:Y41" si="13">N39</f>
        <v>196155.81784118325</v>
      </c>
      <c r="W39" s="41">
        <f t="shared" si="13"/>
        <v>157117.78064657628</v>
      </c>
      <c r="X39" s="132">
        <f t="shared" si="13"/>
        <v>34733.418089047336</v>
      </c>
      <c r="Y39" s="62">
        <f t="shared" si="13"/>
        <v>441914.921856676</v>
      </c>
    </row>
    <row r="40" spans="1:25" s="38" customFormat="1" outlineLevel="1">
      <c r="A40" s="57">
        <v>500040</v>
      </c>
      <c r="B40" s="765" t="str">
        <f>VLOOKUP(A40,'Income Statement'!$A$6:$B$254,2,FALSE)</f>
        <v>Secondary</v>
      </c>
      <c r="C40" s="1413">
        <v>111308</v>
      </c>
      <c r="D40" s="147">
        <v>63935</v>
      </c>
      <c r="E40" s="2029">
        <v>0</v>
      </c>
      <c r="F40" s="2030">
        <v>0</v>
      </c>
      <c r="G40" s="2021"/>
      <c r="H40" s="1385">
        <f>'[4]Staff Compare and Adj'!$D$14-D40</f>
        <v>9430.4749999999913</v>
      </c>
      <c r="I40" s="42">
        <f>SUM(D40:H40)</f>
        <v>73365.474999999991</v>
      </c>
      <c r="J40" s="60"/>
      <c r="K40" s="51">
        <f>I40-L40</f>
        <v>62841.279114434765</v>
      </c>
      <c r="L40" s="41">
        <f>I40*VLOOKUP($R40,$K$3:$L$6,2,FALSE)</f>
        <v>10524.195885565226</v>
      </c>
      <c r="M40" s="1322"/>
      <c r="N40" s="1025">
        <f>L40*VLOOKUP($S40,$K$2:$Q$6,4,FALSE)</f>
        <v>2487.4414754603094</v>
      </c>
      <c r="O40" s="1030">
        <f>L40*VLOOKUP($S40,$K$2:$Q$6,5,FALSE)</f>
        <v>1992.4022056230615</v>
      </c>
      <c r="P40" s="1025">
        <f>L40*VLOOKUP($S40,$K$2:$Q$6,6,FALSE)</f>
        <v>440.45262429662404</v>
      </c>
      <c r="Q40" s="41">
        <f>L40-N40-O40-P40</f>
        <v>5603.8995801852316</v>
      </c>
      <c r="R40" s="21" t="s">
        <v>10</v>
      </c>
      <c r="S40" s="36" t="s">
        <v>119</v>
      </c>
      <c r="T40" s="36"/>
      <c r="U40" s="151">
        <f>L40-N40-O40-Q40-P40</f>
        <v>0</v>
      </c>
      <c r="V40" s="132">
        <f t="shared" si="13"/>
        <v>2487.4414754603094</v>
      </c>
      <c r="W40" s="41">
        <f t="shared" si="13"/>
        <v>1992.4022056230615</v>
      </c>
      <c r="X40" s="132">
        <f t="shared" si="13"/>
        <v>440.45262429662404</v>
      </c>
      <c r="Y40" s="62">
        <f t="shared" si="13"/>
        <v>5603.8995801852316</v>
      </c>
    </row>
    <row r="41" spans="1:25" s="38" customFormat="1" outlineLevel="1">
      <c r="A41" s="57">
        <v>500050</v>
      </c>
      <c r="B41" s="765" t="str">
        <f>VLOOKUP(A41,'Income Statement'!$A$6:$B$254,2,FALSE)</f>
        <v>Container Delivery</v>
      </c>
      <c r="C41" s="1413"/>
      <c r="D41" s="147">
        <v>89738</v>
      </c>
      <c r="E41" s="2029">
        <v>0</v>
      </c>
      <c r="F41" s="2030">
        <v>0</v>
      </c>
      <c r="G41" s="2021"/>
      <c r="H41" s="1385">
        <f>'[4]Staff Compare and Adj'!$E$15</f>
        <v>-5457.116001919494</v>
      </c>
      <c r="I41" s="42">
        <f t="shared" si="10"/>
        <v>84280.883998080506</v>
      </c>
      <c r="J41" s="60"/>
      <c r="K41" s="51">
        <f t="shared" si="11"/>
        <v>72190.884817888465</v>
      </c>
      <c r="L41" s="41">
        <f t="shared" ref="L41:L52" si="14">I41*VLOOKUP($R41,$K$3:$L$6,2,FALSE)</f>
        <v>12089.999180192033</v>
      </c>
      <c r="M41" s="1322"/>
      <c r="N41" s="1025">
        <f t="shared" ref="N41:N52" si="15">L41*VLOOKUP($S41,$K$2:$Q$6,4,FALSE)</f>
        <v>2857.5261926033272</v>
      </c>
      <c r="O41" s="1030">
        <f t="shared" ref="O41:O52" si="16">L41*VLOOKUP($S41,$K$2:$Q$6,5,FALSE)</f>
        <v>2288.8343484402849</v>
      </c>
      <c r="P41" s="1025">
        <f t="shared" ref="P41:P52" si="17">L41*VLOOKUP($S41,$K$2:$Q$6,6,FALSE)</f>
        <v>505.98372783647773</v>
      </c>
      <c r="Q41" s="41">
        <f t="shared" si="12"/>
        <v>6437.6549113119436</v>
      </c>
      <c r="R41" s="21" t="s">
        <v>10</v>
      </c>
      <c r="S41" s="36" t="s">
        <v>119</v>
      </c>
      <c r="T41" s="36"/>
      <c r="U41" s="151">
        <f t="shared" si="0"/>
        <v>0</v>
      </c>
      <c r="V41" s="132">
        <f t="shared" si="13"/>
        <v>2857.5261926033272</v>
      </c>
      <c r="W41" s="41">
        <f t="shared" si="13"/>
        <v>2288.8343484402849</v>
      </c>
      <c r="X41" s="132">
        <f t="shared" si="13"/>
        <v>505.98372783647773</v>
      </c>
      <c r="Y41" s="62">
        <f t="shared" si="13"/>
        <v>6437.6549113119436</v>
      </c>
    </row>
    <row r="42" spans="1:25" s="38" customFormat="1" outlineLevel="1">
      <c r="A42" s="57">
        <v>500055</v>
      </c>
      <c r="B42" s="765" t="e">
        <f>VLOOKUP(A42,'Income Statement'!$A$6:$B$254,2,FALSE)</f>
        <v>#N/A</v>
      </c>
      <c r="C42" s="1413"/>
      <c r="D42" s="147">
        <v>0</v>
      </c>
      <c r="E42" s="2029">
        <v>0</v>
      </c>
      <c r="F42" s="2030">
        <v>0</v>
      </c>
      <c r="G42" s="2021"/>
      <c r="H42" s="1385"/>
      <c r="I42" s="42">
        <f t="shared" si="10"/>
        <v>0</v>
      </c>
      <c r="J42" s="60"/>
      <c r="K42" s="51">
        <f>I42-L42</f>
        <v>0</v>
      </c>
      <c r="L42" s="41">
        <f t="shared" si="14"/>
        <v>0</v>
      </c>
      <c r="M42" s="1322"/>
      <c r="N42" s="1025">
        <f t="shared" si="15"/>
        <v>0</v>
      </c>
      <c r="O42" s="1030">
        <f t="shared" si="16"/>
        <v>0</v>
      </c>
      <c r="P42" s="1025">
        <f t="shared" si="17"/>
        <v>0</v>
      </c>
      <c r="Q42" s="41">
        <f>L42-N42-O42-P42</f>
        <v>0</v>
      </c>
      <c r="R42" s="21" t="s">
        <v>10</v>
      </c>
      <c r="S42" s="36" t="s">
        <v>119</v>
      </c>
      <c r="T42" s="36"/>
      <c r="U42" s="151">
        <f t="shared" si="0"/>
        <v>0</v>
      </c>
      <c r="V42" s="132"/>
      <c r="W42" s="41"/>
      <c r="X42" s="132"/>
      <c r="Y42" s="62"/>
    </row>
    <row r="43" spans="1:25" s="38" customFormat="1" outlineLevel="1">
      <c r="A43" s="57">
        <v>500060</v>
      </c>
      <c r="B43" s="765" t="e">
        <f>VLOOKUP(A43,'Income Statement'!$A$6:$B$254,2,FALSE)</f>
        <v>#N/A</v>
      </c>
      <c r="C43" s="1413">
        <v>3416</v>
      </c>
      <c r="D43" s="147">
        <v>0</v>
      </c>
      <c r="E43" s="2029">
        <v>0</v>
      </c>
      <c r="F43" s="2030">
        <v>0</v>
      </c>
      <c r="G43" s="2021"/>
      <c r="H43" s="1385"/>
      <c r="I43" s="42">
        <f t="shared" si="10"/>
        <v>0</v>
      </c>
      <c r="J43" s="60"/>
      <c r="K43" s="51">
        <f>I43-L43</f>
        <v>0</v>
      </c>
      <c r="L43" s="41">
        <f t="shared" si="14"/>
        <v>0</v>
      </c>
      <c r="M43" s="1322"/>
      <c r="N43" s="1025">
        <f t="shared" si="15"/>
        <v>0</v>
      </c>
      <c r="O43" s="1030">
        <f t="shared" si="16"/>
        <v>0</v>
      </c>
      <c r="P43" s="1025">
        <f t="shared" si="17"/>
        <v>0</v>
      </c>
      <c r="Q43" s="41">
        <f>L43-N43-O43-P43</f>
        <v>0</v>
      </c>
      <c r="R43" s="21" t="s">
        <v>10</v>
      </c>
      <c r="S43" s="36" t="s">
        <v>119</v>
      </c>
      <c r="T43" s="36"/>
      <c r="U43" s="151">
        <f t="shared" si="0"/>
        <v>0</v>
      </c>
      <c r="V43" s="132">
        <f t="shared" ref="V43:V53" si="18">N43</f>
        <v>0</v>
      </c>
      <c r="W43" s="41">
        <f t="shared" ref="W43:W53" si="19">O43</f>
        <v>0</v>
      </c>
      <c r="X43" s="132">
        <f t="shared" ref="X43:X53" si="20">P43</f>
        <v>0</v>
      </c>
      <c r="Y43" s="62">
        <f t="shared" ref="Y43:Y53" si="21">Q43</f>
        <v>0</v>
      </c>
    </row>
    <row r="44" spans="1:25" s="38" customFormat="1" outlineLevel="1">
      <c r="A44" s="57">
        <v>500170</v>
      </c>
      <c r="B44" s="765" t="str">
        <f>VLOOKUP(A44,'Income Statement'!$A$6:$B$254,2,FALSE)</f>
        <v>Payroll Taxes - Oper Labor</v>
      </c>
      <c r="C44" s="1413">
        <v>585799</v>
      </c>
      <c r="D44" s="147">
        <v>545544</v>
      </c>
      <c r="E44" s="2029">
        <v>0</v>
      </c>
      <c r="F44" s="2030">
        <v>0</v>
      </c>
      <c r="G44" s="2021"/>
      <c r="H44" s="1385">
        <f>'[4]Staff Compare and Adj'!$D$18-D44</f>
        <v>-4282.102386265411</v>
      </c>
      <c r="I44" s="42">
        <f t="shared" si="10"/>
        <v>541261.89761373459</v>
      </c>
      <c r="J44" s="60"/>
      <c r="K44" s="51">
        <f>I44-L44</f>
        <v>463618.4796997949</v>
      </c>
      <c r="L44" s="41">
        <f t="shared" si="14"/>
        <v>77643.417913939673</v>
      </c>
      <c r="M44" s="1322"/>
      <c r="N44" s="1025">
        <f t="shared" si="15"/>
        <v>18351.374310747051</v>
      </c>
      <c r="O44" s="1030">
        <f t="shared" si="16"/>
        <v>14699.167402996145</v>
      </c>
      <c r="P44" s="1025">
        <f t="shared" si="17"/>
        <v>3249.4878992569743</v>
      </c>
      <c r="Q44" s="41">
        <f>L44-N44-O44-P44</f>
        <v>41343.388300939507</v>
      </c>
      <c r="R44" s="21" t="s">
        <v>10</v>
      </c>
      <c r="S44" s="36" t="s">
        <v>119</v>
      </c>
      <c r="T44" s="36"/>
      <c r="U44" s="151">
        <f t="shared" si="0"/>
        <v>0</v>
      </c>
      <c r="V44" s="132">
        <f t="shared" si="18"/>
        <v>18351.374310747051</v>
      </c>
      <c r="W44" s="41">
        <f t="shared" si="19"/>
        <v>14699.167402996145</v>
      </c>
      <c r="X44" s="132">
        <f t="shared" si="20"/>
        <v>3249.4878992569743</v>
      </c>
      <c r="Y44" s="62">
        <f t="shared" si="21"/>
        <v>41343.388300939507</v>
      </c>
    </row>
    <row r="45" spans="1:25" s="38" customFormat="1" outlineLevel="1">
      <c r="A45" s="57">
        <v>500172</v>
      </c>
      <c r="B45" s="765" t="str">
        <f>VLOOKUP(A45,'Income Statement'!$A$6:$B$254,2,FALSE)</f>
        <v>Personal Time - Oper Labor</v>
      </c>
      <c r="C45" s="1413">
        <v>7730</v>
      </c>
      <c r="D45" s="147">
        <v>6628</v>
      </c>
      <c r="E45" s="2029">
        <v>0</v>
      </c>
      <c r="F45" s="2030">
        <v>0</v>
      </c>
      <c r="G45" s="2021"/>
      <c r="H45" s="1385">
        <f>'[4]Staff Compare and Adj'!$D$19-D45</f>
        <v>308.59991589034871</v>
      </c>
      <c r="I45" s="42">
        <f t="shared" si="10"/>
        <v>6936.5999158903487</v>
      </c>
      <c r="J45" s="60"/>
      <c r="K45" s="51">
        <f>I45-L45</f>
        <v>5941.5523639645235</v>
      </c>
      <c r="L45" s="41">
        <f t="shared" si="14"/>
        <v>995.04755192582502</v>
      </c>
      <c r="M45" s="1322"/>
      <c r="N45" s="1025">
        <f t="shared" si="15"/>
        <v>202.9897005928683</v>
      </c>
      <c r="O45" s="1030">
        <f t="shared" si="16"/>
        <v>170.15313137931608</v>
      </c>
      <c r="P45" s="1025">
        <f t="shared" si="17"/>
        <v>24.876188798145627</v>
      </c>
      <c r="Q45" s="41">
        <f t="shared" si="12"/>
        <v>597.02853115549499</v>
      </c>
      <c r="R45" s="21" t="s">
        <v>10</v>
      </c>
      <c r="S45" s="36" t="s">
        <v>14</v>
      </c>
      <c r="T45" s="36"/>
      <c r="U45" s="151">
        <f t="shared" si="0"/>
        <v>4.9737991503207013E-14</v>
      </c>
      <c r="V45" s="132">
        <f t="shared" si="18"/>
        <v>202.9897005928683</v>
      </c>
      <c r="W45" s="41">
        <f t="shared" si="19"/>
        <v>170.15313137931608</v>
      </c>
      <c r="X45" s="132">
        <f t="shared" si="20"/>
        <v>24.876188798145627</v>
      </c>
      <c r="Y45" s="62">
        <f t="shared" si="21"/>
        <v>597.02853115549499</v>
      </c>
    </row>
    <row r="46" spans="1:25" s="38" customFormat="1" outlineLevel="1">
      <c r="A46" s="57">
        <v>500173</v>
      </c>
      <c r="B46" s="765" t="str">
        <f>VLOOKUP(A46,'Income Statement'!$A$6:$B$254,2,FALSE)</f>
        <v>Holiday Pay - Oper Labor</v>
      </c>
      <c r="C46" s="1413">
        <v>174034</v>
      </c>
      <c r="D46" s="147">
        <v>167861</v>
      </c>
      <c r="E46" s="2029">
        <v>0</v>
      </c>
      <c r="F46" s="2030">
        <v>0</v>
      </c>
      <c r="G46" s="2021"/>
      <c r="H46" s="1385">
        <f>'[4]Staff Compare and Adj'!$D$20-D46</f>
        <v>4488.6414625802427</v>
      </c>
      <c r="I46" s="42">
        <f t="shared" si="10"/>
        <v>172349.64146258024</v>
      </c>
      <c r="J46" s="60"/>
      <c r="K46" s="51">
        <f>I46-L46</f>
        <v>147626.27686146332</v>
      </c>
      <c r="L46" s="41">
        <f t="shared" si="14"/>
        <v>24723.364601116933</v>
      </c>
      <c r="M46" s="1322"/>
      <c r="N46" s="1025">
        <f t="shared" si="15"/>
        <v>5043.5663786278537</v>
      </c>
      <c r="O46" s="1030">
        <f t="shared" si="16"/>
        <v>4227.6953467909962</v>
      </c>
      <c r="P46" s="1025">
        <f t="shared" si="17"/>
        <v>618.08411502792342</v>
      </c>
      <c r="Q46" s="41">
        <f t="shared" si="12"/>
        <v>14834.018760670162</v>
      </c>
      <c r="R46" s="21" t="s">
        <v>10</v>
      </c>
      <c r="S46" s="36" t="s">
        <v>14</v>
      </c>
      <c r="T46" s="36"/>
      <c r="U46" s="151">
        <f t="shared" si="0"/>
        <v>0</v>
      </c>
      <c r="V46" s="132">
        <f t="shared" si="18"/>
        <v>5043.5663786278537</v>
      </c>
      <c r="W46" s="41">
        <f t="shared" si="19"/>
        <v>4227.6953467909962</v>
      </c>
      <c r="X46" s="132">
        <f t="shared" si="20"/>
        <v>618.08411502792342</v>
      </c>
      <c r="Y46" s="62">
        <f t="shared" si="21"/>
        <v>14834.018760670162</v>
      </c>
    </row>
    <row r="47" spans="1:25" s="38" customFormat="1" outlineLevel="1">
      <c r="A47" s="57">
        <v>500174</v>
      </c>
      <c r="B47" s="765" t="str">
        <f>VLOOKUP(A47,'Income Statement'!$A$6:$B$254,2,FALSE)</f>
        <v>Vacation/Sick - Oper Labor</v>
      </c>
      <c r="C47" s="1413">
        <v>473289</v>
      </c>
      <c r="D47" s="147">
        <v>447069</v>
      </c>
      <c r="E47" s="2029">
        <v>0</v>
      </c>
      <c r="F47" s="2030">
        <v>0</v>
      </c>
      <c r="G47" s="2021"/>
      <c r="H47" s="1385">
        <f>'[4]Staff Compare and Adj'!$D$21-D47</f>
        <v>-353601.88431087579</v>
      </c>
      <c r="I47" s="42">
        <f t="shared" si="10"/>
        <v>93467.115689124214</v>
      </c>
      <c r="J47" s="60"/>
      <c r="K47" s="51">
        <f t="shared" si="11"/>
        <v>80059.361778021877</v>
      </c>
      <c r="L47" s="41">
        <f t="shared" si="14"/>
        <v>13407.753911102331</v>
      </c>
      <c r="M47" s="1322"/>
      <c r="N47" s="1025">
        <f t="shared" si="15"/>
        <v>2735.1817978648751</v>
      </c>
      <c r="O47" s="1030">
        <f t="shared" si="16"/>
        <v>2292.7259187984987</v>
      </c>
      <c r="P47" s="1025">
        <f t="shared" si="17"/>
        <v>335.19384777755829</v>
      </c>
      <c r="Q47" s="41">
        <f t="shared" si="12"/>
        <v>8044.6523466613999</v>
      </c>
      <c r="R47" s="21" t="s">
        <v>10</v>
      </c>
      <c r="S47" s="36" t="s">
        <v>14</v>
      </c>
      <c r="T47" s="36"/>
      <c r="U47" s="151">
        <f t="shared" si="0"/>
        <v>0</v>
      </c>
      <c r="V47" s="132">
        <f t="shared" si="18"/>
        <v>2735.1817978648751</v>
      </c>
      <c r="W47" s="41">
        <f t="shared" si="19"/>
        <v>2292.7259187984987</v>
      </c>
      <c r="X47" s="132">
        <f t="shared" si="20"/>
        <v>335.19384777755829</v>
      </c>
      <c r="Y47" s="62">
        <f t="shared" si="21"/>
        <v>8044.6523466613999</v>
      </c>
    </row>
    <row r="48" spans="1:25" s="432" customFormat="1" ht="12.75" outlineLevel="1">
      <c r="A48" s="57">
        <v>500175</v>
      </c>
      <c r="B48" s="765" t="str">
        <f>VLOOKUP(A48,'Income Statement'!$A$6:$B$254,2,FALSE)</f>
        <v>Benefits Non-Corp - Oper Labor</v>
      </c>
      <c r="C48" s="1413">
        <v>2368681</v>
      </c>
      <c r="D48" s="147">
        <v>2488248</v>
      </c>
      <c r="E48" s="2029">
        <v>0</v>
      </c>
      <c r="F48" s="2030">
        <v>0</v>
      </c>
      <c r="G48" s="2021"/>
      <c r="H48" s="1385">
        <f>'[4]Staff Compare and Adj'!$D$22-D48</f>
        <v>420468.43999999855</v>
      </c>
      <c r="I48" s="42">
        <f t="shared" si="10"/>
        <v>2908716.4399999985</v>
      </c>
      <c r="J48" s="60"/>
      <c r="K48" s="51">
        <f t="shared" si="11"/>
        <v>2491464.2980337138</v>
      </c>
      <c r="L48" s="41">
        <f t="shared" si="14"/>
        <v>417252.14196628483</v>
      </c>
      <c r="M48" s="1322"/>
      <c r="N48" s="1025">
        <f t="shared" si="15"/>
        <v>85119.436961122105</v>
      </c>
      <c r="O48" s="1030">
        <f t="shared" si="16"/>
        <v>71350.116276234708</v>
      </c>
      <c r="P48" s="1025">
        <f t="shared" si="17"/>
        <v>10431.303549157121</v>
      </c>
      <c r="Q48" s="41">
        <f t="shared" si="12"/>
        <v>250351.2851797709</v>
      </c>
      <c r="R48" s="21" t="s">
        <v>10</v>
      </c>
      <c r="S48" s="36" t="s">
        <v>14</v>
      </c>
      <c r="T48" s="36"/>
      <c r="U48" s="151">
        <f t="shared" si="0"/>
        <v>1.4551915228366852E-11</v>
      </c>
      <c r="V48" s="132">
        <f t="shared" si="18"/>
        <v>85119.436961122105</v>
      </c>
      <c r="W48" s="41">
        <f t="shared" si="19"/>
        <v>71350.116276234708</v>
      </c>
      <c r="X48" s="132">
        <f t="shared" si="20"/>
        <v>10431.303549157121</v>
      </c>
      <c r="Y48" s="62">
        <f t="shared" si="21"/>
        <v>250351.2851797709</v>
      </c>
    </row>
    <row r="49" spans="1:25" s="38" customFormat="1" outlineLevel="1">
      <c r="A49" s="57">
        <v>500176</v>
      </c>
      <c r="B49" s="765" t="str">
        <f>VLOOKUP(A49,'Income Statement'!$A$6:$B$254,2,FALSE)</f>
        <v>Benefits Corp - Oper Labor</v>
      </c>
      <c r="C49" s="1413">
        <v>11503</v>
      </c>
      <c r="D49" s="147">
        <v>12245</v>
      </c>
      <c r="E49" s="2029">
        <v>0</v>
      </c>
      <c r="F49" s="2030">
        <v>0</v>
      </c>
      <c r="G49" s="2021">
        <f>'[4]Staff Compare and Adj'!$D$23-D49</f>
        <v>-12245</v>
      </c>
      <c r="H49" s="1385">
        <v>0</v>
      </c>
      <c r="I49" s="42">
        <f>SUM(D49:H49)</f>
        <v>0</v>
      </c>
      <c r="J49" s="60"/>
      <c r="K49" s="51">
        <f>I49-L49</f>
        <v>0</v>
      </c>
      <c r="L49" s="41">
        <f>I49*VLOOKUP($R49,$K$3:$L$6,2,FALSE)</f>
        <v>0</v>
      </c>
      <c r="M49" s="1322"/>
      <c r="N49" s="1025">
        <f>L49*VLOOKUP($S49,$K$2:$Q$6,4,FALSE)</f>
        <v>0</v>
      </c>
      <c r="O49" s="1030">
        <f>L49*VLOOKUP($S49,$K$2:$Q$6,5,FALSE)</f>
        <v>0</v>
      </c>
      <c r="P49" s="1025">
        <f>L49*VLOOKUP($S49,$K$2:$Q$6,6,FALSE)</f>
        <v>0</v>
      </c>
      <c r="Q49" s="41">
        <f>L49-N49-O49-P49</f>
        <v>0</v>
      </c>
      <c r="R49" s="21" t="s">
        <v>10</v>
      </c>
      <c r="S49" s="36" t="s">
        <v>14</v>
      </c>
      <c r="T49" s="36"/>
      <c r="U49" s="151">
        <f>L49-N49-O49-Q49-P49</f>
        <v>0</v>
      </c>
      <c r="V49" s="132">
        <f t="shared" si="18"/>
        <v>0</v>
      </c>
      <c r="W49" s="41">
        <f t="shared" si="19"/>
        <v>0</v>
      </c>
      <c r="X49" s="132">
        <f t="shared" si="20"/>
        <v>0</v>
      </c>
      <c r="Y49" s="62">
        <f t="shared" si="21"/>
        <v>0</v>
      </c>
    </row>
    <row r="50" spans="1:25" s="38" customFormat="1" outlineLevel="1">
      <c r="A50" s="57">
        <v>500177</v>
      </c>
      <c r="B50" s="765" t="e">
        <f>VLOOKUP(A50,'Income Statement'!$A$6:$B$254,2,FALSE)</f>
        <v>#N/A</v>
      </c>
      <c r="C50" s="1413"/>
      <c r="D50" s="147">
        <v>0</v>
      </c>
      <c r="E50" s="2029">
        <v>0</v>
      </c>
      <c r="F50" s="2030">
        <v>0</v>
      </c>
      <c r="G50" s="2021"/>
      <c r="H50" s="1385"/>
      <c r="I50" s="42">
        <f t="shared" si="10"/>
        <v>0</v>
      </c>
      <c r="J50" s="60"/>
      <c r="K50" s="51">
        <f t="shared" si="11"/>
        <v>0</v>
      </c>
      <c r="L50" s="41">
        <f t="shared" si="14"/>
        <v>0</v>
      </c>
      <c r="M50" s="1322"/>
      <c r="N50" s="1025">
        <f t="shared" si="15"/>
        <v>0</v>
      </c>
      <c r="O50" s="1030">
        <f t="shared" si="16"/>
        <v>0</v>
      </c>
      <c r="P50" s="1025">
        <f t="shared" si="17"/>
        <v>0</v>
      </c>
      <c r="Q50" s="41">
        <f t="shared" si="12"/>
        <v>0</v>
      </c>
      <c r="R50" s="21" t="s">
        <v>10</v>
      </c>
      <c r="S50" s="36" t="s">
        <v>14</v>
      </c>
      <c r="T50" s="36"/>
      <c r="U50" s="151">
        <f t="shared" si="0"/>
        <v>0</v>
      </c>
      <c r="V50" s="132">
        <f t="shared" si="18"/>
        <v>0</v>
      </c>
      <c r="W50" s="41">
        <f t="shared" si="19"/>
        <v>0</v>
      </c>
      <c r="X50" s="132">
        <f t="shared" si="20"/>
        <v>0</v>
      </c>
      <c r="Y50" s="62">
        <f t="shared" si="21"/>
        <v>0</v>
      </c>
    </row>
    <row r="51" spans="1:25" s="38" customFormat="1" outlineLevel="1">
      <c r="A51" s="57">
        <v>500188</v>
      </c>
      <c r="B51" s="765" t="str">
        <f>VLOOKUP(A51,'Income Statement'!$A$6:$B$254,2,FALSE)</f>
        <v>Uniforms &amp; Safety - Oper Labor</v>
      </c>
      <c r="C51" s="1413">
        <v>4562</v>
      </c>
      <c r="D51" s="147">
        <v>4684</v>
      </c>
      <c r="E51" s="2029">
        <v>0</v>
      </c>
      <c r="F51" s="2030">
        <v>0</v>
      </c>
      <c r="G51" s="2021"/>
      <c r="H51" s="1385"/>
      <c r="I51" s="42">
        <f t="shared" si="10"/>
        <v>4684</v>
      </c>
      <c r="J51" s="60"/>
      <c r="K51" s="51">
        <f t="shared" si="11"/>
        <v>4012.0854035500006</v>
      </c>
      <c r="L51" s="41">
        <f t="shared" si="14"/>
        <v>671.91459644999952</v>
      </c>
      <c r="M51" s="1322"/>
      <c r="N51" s="1025">
        <f t="shared" si="15"/>
        <v>137.07057767579988</v>
      </c>
      <c r="O51" s="1030">
        <f t="shared" si="16"/>
        <v>114.89739599294992</v>
      </c>
      <c r="P51" s="1025">
        <f t="shared" si="17"/>
        <v>16.797864911249988</v>
      </c>
      <c r="Q51" s="41">
        <f t="shared" si="12"/>
        <v>403.14875786999977</v>
      </c>
      <c r="R51" s="21" t="s">
        <v>10</v>
      </c>
      <c r="S51" s="36" t="s">
        <v>14</v>
      </c>
      <c r="T51" s="36"/>
      <c r="U51" s="151">
        <f t="shared" si="0"/>
        <v>0</v>
      </c>
      <c r="V51" s="132">
        <f t="shared" si="18"/>
        <v>137.07057767579988</v>
      </c>
      <c r="W51" s="41">
        <f t="shared" si="19"/>
        <v>114.89739599294992</v>
      </c>
      <c r="X51" s="132">
        <f t="shared" si="20"/>
        <v>16.797864911249988</v>
      </c>
      <c r="Y51" s="62">
        <f t="shared" si="21"/>
        <v>403.14875786999977</v>
      </c>
    </row>
    <row r="52" spans="1:25" s="38" customFormat="1" outlineLevel="1">
      <c r="A52" s="57">
        <v>500998</v>
      </c>
      <c r="B52" s="765" t="e">
        <f>VLOOKUP(A52,'Income Statement'!$A$6:$B$254,2,FALSE)</f>
        <v>#N/A</v>
      </c>
      <c r="C52" s="1413"/>
      <c r="D52" s="147">
        <v>0</v>
      </c>
      <c r="E52" s="2029">
        <v>0</v>
      </c>
      <c r="F52" s="2030">
        <v>0</v>
      </c>
      <c r="G52" s="2021"/>
      <c r="H52" s="1385"/>
      <c r="I52" s="42">
        <f t="shared" si="10"/>
        <v>0</v>
      </c>
      <c r="J52" s="60"/>
      <c r="K52" s="51">
        <f t="shared" si="11"/>
        <v>0</v>
      </c>
      <c r="L52" s="41">
        <f t="shared" si="14"/>
        <v>0</v>
      </c>
      <c r="M52" s="1322"/>
      <c r="N52" s="1025">
        <f t="shared" si="15"/>
        <v>0</v>
      </c>
      <c r="O52" s="1030">
        <f t="shared" si="16"/>
        <v>0</v>
      </c>
      <c r="P52" s="1025">
        <f t="shared" si="17"/>
        <v>0</v>
      </c>
      <c r="Q52" s="41">
        <f t="shared" si="12"/>
        <v>0</v>
      </c>
      <c r="R52" s="21" t="s">
        <v>10</v>
      </c>
      <c r="S52" s="36" t="s">
        <v>14</v>
      </c>
      <c r="T52" s="36"/>
      <c r="U52" s="151">
        <f t="shared" si="0"/>
        <v>0</v>
      </c>
      <c r="V52" s="132">
        <f t="shared" si="18"/>
        <v>0</v>
      </c>
      <c r="W52" s="41">
        <f t="shared" si="19"/>
        <v>0</v>
      </c>
      <c r="X52" s="132">
        <f t="shared" si="20"/>
        <v>0</v>
      </c>
      <c r="Y52" s="62">
        <f t="shared" si="21"/>
        <v>0</v>
      </c>
    </row>
    <row r="53" spans="1:25" s="38" customFormat="1" ht="12">
      <c r="A53" s="54"/>
      <c r="B53" s="560" t="s">
        <v>191</v>
      </c>
      <c r="C53" s="1408">
        <f>SUM(C39:C52)</f>
        <v>9197993</v>
      </c>
      <c r="D53" s="561">
        <v>9417524</v>
      </c>
      <c r="E53" s="2032">
        <v>0</v>
      </c>
      <c r="F53" s="2032">
        <v>220306.43018234457</v>
      </c>
      <c r="G53" s="2022"/>
      <c r="H53" s="1386">
        <f>SUM(H39:H52)</f>
        <v>265271.83478480752</v>
      </c>
      <c r="I53" s="562">
        <f>SUM(I39:I52)</f>
        <v>9670550.8347848058</v>
      </c>
      <c r="J53" s="60"/>
      <c r="K53" s="562">
        <f>SUM(K39:K52)</f>
        <v>8283321.0607447475</v>
      </c>
      <c r="L53" s="562">
        <f>SUM(L39:L52)</f>
        <v>1387229.7740400599</v>
      </c>
      <c r="M53" s="1322"/>
      <c r="N53" s="562">
        <f>SUM(N39:N52)</f>
        <v>313090.40523587744</v>
      </c>
      <c r="O53" s="562">
        <f>SUM(O39:O52)</f>
        <v>254253.77267283227</v>
      </c>
      <c r="P53" s="562">
        <f>SUM(P39:P52)</f>
        <v>50355.597906109404</v>
      </c>
      <c r="Q53" s="562">
        <f>SUM(Q39:Q52)</f>
        <v>769529.99822524062</v>
      </c>
      <c r="R53" s="21"/>
      <c r="S53" s="37"/>
      <c r="T53" s="36"/>
      <c r="U53" s="151">
        <f t="shared" si="0"/>
        <v>1.2369127944111824E-10</v>
      </c>
      <c r="V53" s="55">
        <f t="shared" si="18"/>
        <v>313090.40523587744</v>
      </c>
      <c r="W53" s="55">
        <f t="shared" si="19"/>
        <v>254253.77267283227</v>
      </c>
      <c r="X53" s="55">
        <f t="shared" si="20"/>
        <v>50355.597906109404</v>
      </c>
      <c r="Y53" s="55">
        <f t="shared" si="21"/>
        <v>769529.99822524062</v>
      </c>
    </row>
    <row r="54" spans="1:25" s="24" customFormat="1">
      <c r="A54" s="553"/>
      <c r="B54" s="557"/>
      <c r="C54" s="1406"/>
      <c r="D54" s="2043"/>
      <c r="E54" s="2029"/>
      <c r="F54" s="2030"/>
      <c r="G54" s="2021"/>
      <c r="H54" s="1385"/>
      <c r="I54" s="139"/>
      <c r="J54" s="138"/>
      <c r="K54" s="61"/>
      <c r="L54" s="62"/>
      <c r="M54" s="1322"/>
      <c r="N54" s="132"/>
      <c r="O54" s="62"/>
      <c r="P54" s="132"/>
      <c r="Q54" s="62"/>
      <c r="R54" s="21"/>
      <c r="S54" s="22"/>
      <c r="T54" s="21"/>
      <c r="U54" s="151">
        <f t="shared" si="0"/>
        <v>0</v>
      </c>
      <c r="V54" s="62"/>
      <c r="W54" s="62"/>
      <c r="X54" s="62"/>
      <c r="Y54" s="62"/>
    </row>
    <row r="55" spans="1:25" s="38" customFormat="1" outlineLevel="1">
      <c r="A55" s="57">
        <v>510010</v>
      </c>
      <c r="B55" s="765" t="str">
        <f>VLOOKUP(A55,'Income Statement'!$A$6:$B$254,2,FALSE)</f>
        <v>Mgr/Supervision</v>
      </c>
      <c r="C55" s="1413">
        <v>493248</v>
      </c>
      <c r="D55" s="147">
        <v>425106</v>
      </c>
      <c r="E55" s="2029">
        <v>0</v>
      </c>
      <c r="F55" s="2030">
        <v>0</v>
      </c>
      <c r="G55" s="2021"/>
      <c r="H55" s="1385">
        <f>'[4]Staff Compare and Adj'!$D$25-D55</f>
        <v>26915.440000000002</v>
      </c>
      <c r="I55" s="42">
        <f t="shared" ref="I55:I69" si="22">SUM(D55:H55)</f>
        <v>452021.44</v>
      </c>
      <c r="J55" s="60"/>
      <c r="K55" s="51">
        <f t="shared" ref="K55:K65" si="23">I55-L55</f>
        <v>387179.46659172769</v>
      </c>
      <c r="L55" s="41">
        <f t="shared" ref="L55:L69" si="24">I55*VLOOKUP($R55,$K$3:$L$6,2,FALSE)</f>
        <v>64841.973408272344</v>
      </c>
      <c r="M55" s="1322"/>
      <c r="N55" s="1025">
        <f>L55*VLOOKUP($S55,$K$2:$Q$6,4,FALSE)</f>
        <v>13370.813059278476</v>
      </c>
      <c r="O55" s="1030">
        <f>L55*VLOOKUP($S55,$K$2:$Q$6,5,FALSE)</f>
        <v>10502.0552783359</v>
      </c>
      <c r="P55" s="1025">
        <f>L55*VLOOKUP($S55,$K$2:$Q$6,6,FALSE)</f>
        <v>1380.4238687215334</v>
      </c>
      <c r="Q55" s="41">
        <f t="shared" ref="Q55:Q65" si="25">L55-N55-O55-P55</f>
        <v>39588.681201936437</v>
      </c>
      <c r="R55" s="21" t="s">
        <v>10</v>
      </c>
      <c r="S55" s="37" t="s">
        <v>13</v>
      </c>
      <c r="T55" s="36" t="s">
        <v>13</v>
      </c>
      <c r="U55" s="151">
        <f>L55-N55-O55-Q55-P55</f>
        <v>0</v>
      </c>
      <c r="V55" s="132">
        <f t="shared" ref="V55:Y57" si="26">N55</f>
        <v>13370.813059278476</v>
      </c>
      <c r="W55" s="41">
        <f t="shared" si="26"/>
        <v>10502.0552783359</v>
      </c>
      <c r="X55" s="132">
        <f t="shared" si="26"/>
        <v>1380.4238687215334</v>
      </c>
      <c r="Y55" s="62">
        <f t="shared" si="26"/>
        <v>39588.681201936437</v>
      </c>
    </row>
    <row r="56" spans="1:25" s="38" customFormat="1" outlineLevel="1">
      <c r="A56" s="57">
        <v>510020</v>
      </c>
      <c r="B56" s="765" t="str">
        <f>VLOOKUP(A56,'Income Statement'!$A$6:$B$254,2,FALSE)</f>
        <v>Ops Support</v>
      </c>
      <c r="C56" s="1413">
        <v>235999</v>
      </c>
      <c r="D56" s="147">
        <v>292781</v>
      </c>
      <c r="E56" s="2029">
        <v>0</v>
      </c>
      <c r="F56" s="2030">
        <v>0</v>
      </c>
      <c r="G56" s="2021"/>
      <c r="H56" s="1385">
        <f>'[4]Staff Compare and Adj'!$D$26-D56</f>
        <v>8257.9929674739833</v>
      </c>
      <c r="I56" s="42">
        <f t="shared" si="22"/>
        <v>301038.99296747398</v>
      </c>
      <c r="J56" s="60"/>
      <c r="K56" s="51">
        <f t="shared" si="23"/>
        <v>257855.28385657421</v>
      </c>
      <c r="L56" s="41">
        <f t="shared" si="24"/>
        <v>43183.70911089977</v>
      </c>
      <c r="M56" s="1322"/>
      <c r="N56" s="1025">
        <f t="shared" ref="N56:N69" si="27">L56*VLOOKUP($S56,$K$2:$Q$6,4,FALSE)</f>
        <v>8904.7459751500792</v>
      </c>
      <c r="O56" s="1030">
        <f t="shared" ref="O56:O69" si="28">L56*VLOOKUP($S56,$K$2:$Q$6,5,FALSE)</f>
        <v>6994.199534161442</v>
      </c>
      <c r="P56" s="1025">
        <f t="shared" ref="P56:P69" si="29">L56*VLOOKUP($S56,$K$2:$Q$6,6,FALSE)</f>
        <v>919.34004570268814</v>
      </c>
      <c r="Q56" s="41">
        <f t="shared" si="25"/>
        <v>26365.423555885562</v>
      </c>
      <c r="R56" s="21" t="s">
        <v>10</v>
      </c>
      <c r="S56" s="37" t="s">
        <v>13</v>
      </c>
      <c r="T56" s="36" t="s">
        <v>13</v>
      </c>
      <c r="U56" s="151">
        <f t="shared" si="0"/>
        <v>0</v>
      </c>
      <c r="V56" s="132">
        <f t="shared" si="26"/>
        <v>8904.7459751500792</v>
      </c>
      <c r="W56" s="41">
        <f t="shared" si="26"/>
        <v>6994.199534161442</v>
      </c>
      <c r="X56" s="132">
        <f t="shared" si="26"/>
        <v>919.34004570268814</v>
      </c>
      <c r="Y56" s="62">
        <f t="shared" si="26"/>
        <v>26365.423555885562</v>
      </c>
    </row>
    <row r="57" spans="1:25" s="38" customFormat="1" outlineLevel="1">
      <c r="A57" s="57">
        <v>510055</v>
      </c>
      <c r="B57" s="765" t="e">
        <f>VLOOKUP(A57,'Income Statement'!$A$6:$B$254,2,FALSE)</f>
        <v>#N/A</v>
      </c>
      <c r="C57" s="1413">
        <v>76618</v>
      </c>
      <c r="D57" s="147">
        <v>0</v>
      </c>
      <c r="E57" s="2029">
        <v>0</v>
      </c>
      <c r="F57" s="2030">
        <v>0</v>
      </c>
      <c r="G57" s="2021"/>
      <c r="H57" s="1385"/>
      <c r="I57" s="42">
        <f t="shared" si="22"/>
        <v>0</v>
      </c>
      <c r="J57" s="60"/>
      <c r="K57" s="51">
        <f t="shared" si="23"/>
        <v>0</v>
      </c>
      <c r="L57" s="41">
        <f t="shared" si="24"/>
        <v>0</v>
      </c>
      <c r="M57" s="1322"/>
      <c r="N57" s="1025">
        <f t="shared" si="27"/>
        <v>0</v>
      </c>
      <c r="O57" s="1030">
        <f t="shared" si="28"/>
        <v>0</v>
      </c>
      <c r="P57" s="1025">
        <f t="shared" si="29"/>
        <v>0</v>
      </c>
      <c r="Q57" s="41">
        <f t="shared" si="25"/>
        <v>0</v>
      </c>
      <c r="R57" s="21" t="s">
        <v>10</v>
      </c>
      <c r="S57" s="37" t="s">
        <v>13</v>
      </c>
      <c r="T57" s="36" t="s">
        <v>13</v>
      </c>
      <c r="U57" s="151">
        <f t="shared" si="0"/>
        <v>0</v>
      </c>
      <c r="V57" s="132">
        <f t="shared" si="26"/>
        <v>0</v>
      </c>
      <c r="W57" s="41">
        <f t="shared" si="26"/>
        <v>0</v>
      </c>
      <c r="X57" s="132">
        <f t="shared" si="26"/>
        <v>0</v>
      </c>
      <c r="Y57" s="62">
        <f t="shared" si="26"/>
        <v>0</v>
      </c>
    </row>
    <row r="58" spans="1:25" s="38" customFormat="1" outlineLevel="1">
      <c r="A58" s="57">
        <v>510060</v>
      </c>
      <c r="B58" s="765" t="e">
        <f>VLOOKUP(A58,'Income Statement'!$A$6:$B$254,2,FALSE)</f>
        <v>#N/A</v>
      </c>
      <c r="C58" s="1413"/>
      <c r="D58" s="147">
        <v>0</v>
      </c>
      <c r="E58" s="2029">
        <v>0</v>
      </c>
      <c r="F58" s="2030">
        <v>0</v>
      </c>
      <c r="G58" s="2021"/>
      <c r="H58" s="1385"/>
      <c r="I58" s="42">
        <f t="shared" si="22"/>
        <v>0</v>
      </c>
      <c r="J58" s="60"/>
      <c r="K58" s="51">
        <f>I58-L58</f>
        <v>0</v>
      </c>
      <c r="L58" s="41">
        <f>I58*VLOOKUP($R58,$K$3:$L$6,2,FALSE)</f>
        <v>0</v>
      </c>
      <c r="M58" s="1322"/>
      <c r="N58" s="1025">
        <f t="shared" si="27"/>
        <v>0</v>
      </c>
      <c r="O58" s="1030">
        <f t="shared" si="28"/>
        <v>0</v>
      </c>
      <c r="P58" s="1025">
        <f t="shared" si="29"/>
        <v>0</v>
      </c>
      <c r="Q58" s="41">
        <f>L58-N58-O58-P58</f>
        <v>0</v>
      </c>
      <c r="R58" s="21" t="s">
        <v>10</v>
      </c>
      <c r="S58" s="37" t="s">
        <v>13</v>
      </c>
      <c r="T58" s="36" t="s">
        <v>13</v>
      </c>
      <c r="U58" s="151">
        <f t="shared" si="0"/>
        <v>0</v>
      </c>
      <c r="V58" s="132"/>
      <c r="W58" s="41"/>
      <c r="X58" s="132"/>
      <c r="Y58" s="62"/>
    </row>
    <row r="59" spans="1:25" s="38" customFormat="1" outlineLevel="1">
      <c r="A59" s="1382">
        <v>510061</v>
      </c>
      <c r="B59" s="1395" t="str">
        <f>VLOOKUP(A59,'Income Statement'!$A$6:$B$254,2,FALSE)</f>
        <v>Bonus Pay Corp - Sup Labor</v>
      </c>
      <c r="C59" s="1413">
        <v>31799</v>
      </c>
      <c r="D59" s="147">
        <v>20137</v>
      </c>
      <c r="E59" s="2029">
        <v>-20137</v>
      </c>
      <c r="F59" s="2030">
        <v>0</v>
      </c>
      <c r="G59" s="2021"/>
      <c r="H59" s="1385"/>
      <c r="I59" s="42">
        <f t="shared" si="22"/>
        <v>0</v>
      </c>
      <c r="J59" s="60"/>
      <c r="K59" s="51">
        <f t="shared" si="23"/>
        <v>0</v>
      </c>
      <c r="L59" s="41">
        <f t="shared" si="24"/>
        <v>0</v>
      </c>
      <c r="M59" s="1322"/>
      <c r="N59" s="1025">
        <f t="shared" si="27"/>
        <v>0</v>
      </c>
      <c r="O59" s="1030">
        <f t="shared" si="28"/>
        <v>0</v>
      </c>
      <c r="P59" s="1025">
        <f t="shared" si="29"/>
        <v>0</v>
      </c>
      <c r="Q59" s="41">
        <f t="shared" si="25"/>
        <v>0</v>
      </c>
      <c r="R59" s="21" t="s">
        <v>10</v>
      </c>
      <c r="S59" s="37" t="s">
        <v>13</v>
      </c>
      <c r="T59" s="36" t="s">
        <v>13</v>
      </c>
      <c r="U59" s="151">
        <f t="shared" si="0"/>
        <v>0</v>
      </c>
      <c r="V59" s="132">
        <f t="shared" ref="V59:Y65" si="30">N59</f>
        <v>0</v>
      </c>
      <c r="W59" s="41">
        <f t="shared" si="30"/>
        <v>0</v>
      </c>
      <c r="X59" s="132">
        <f t="shared" si="30"/>
        <v>0</v>
      </c>
      <c r="Y59" s="62">
        <f t="shared" si="30"/>
        <v>0</v>
      </c>
    </row>
    <row r="60" spans="1:25" s="38" customFormat="1" outlineLevel="1">
      <c r="A60" s="57">
        <v>510170</v>
      </c>
      <c r="B60" s="765" t="str">
        <f>VLOOKUP(A60,'Income Statement'!$A$6:$B$254,2,FALSE)</f>
        <v>Payroll Taxes - Sup Labor</v>
      </c>
      <c r="C60" s="1413">
        <v>74844</v>
      </c>
      <c r="D60" s="147">
        <v>66956</v>
      </c>
      <c r="E60" s="2029">
        <v>0</v>
      </c>
      <c r="F60" s="2030">
        <v>0</v>
      </c>
      <c r="G60" s="2021"/>
      <c r="H60" s="1385">
        <f>'[4]Staff Compare and Adj'!$D$27-D60</f>
        <v>1467.4355240804871</v>
      </c>
      <c r="I60" s="42">
        <f t="shared" si="22"/>
        <v>68423.435524080487</v>
      </c>
      <c r="J60" s="60"/>
      <c r="K60" s="51">
        <f>I60-L60</f>
        <v>58608.169711124661</v>
      </c>
      <c r="L60" s="41">
        <f>I60*VLOOKUP($R60,$K$3:$L$6,2,FALSE)</f>
        <v>9815.2658129558295</v>
      </c>
      <c r="M60" s="1322"/>
      <c r="N60" s="1025">
        <f>L60*VLOOKUP($S60,$K$2:$Q$6,4,FALSE)</f>
        <v>2023.9680782975124</v>
      </c>
      <c r="O60" s="1030">
        <f>L60*VLOOKUP($S60,$K$2:$Q$6,5,FALSE)</f>
        <v>1589.7181828533303</v>
      </c>
      <c r="P60" s="1025">
        <f>L60*VLOOKUP($S60,$K$2:$Q$6,6,FALSE)</f>
        <v>208.95766266611071</v>
      </c>
      <c r="Q60" s="41">
        <f>L60-N60-O60-P60</f>
        <v>5992.6218891388762</v>
      </c>
      <c r="R60" s="21" t="s">
        <v>10</v>
      </c>
      <c r="S60" s="37" t="s">
        <v>13</v>
      </c>
      <c r="T60" s="36" t="s">
        <v>13</v>
      </c>
      <c r="U60" s="151">
        <f>L60-N60-O60-Q60-P60</f>
        <v>2.8421709430404007E-13</v>
      </c>
      <c r="V60" s="132">
        <f t="shared" si="30"/>
        <v>2023.9680782975124</v>
      </c>
      <c r="W60" s="41">
        <f t="shared" si="30"/>
        <v>1589.7181828533303</v>
      </c>
      <c r="X60" s="132">
        <f t="shared" si="30"/>
        <v>208.95766266611071</v>
      </c>
      <c r="Y60" s="62">
        <f t="shared" si="30"/>
        <v>5992.6218891388762</v>
      </c>
    </row>
    <row r="61" spans="1:25" s="38" customFormat="1" outlineLevel="1">
      <c r="A61" s="57">
        <v>510172</v>
      </c>
      <c r="B61" s="765" t="str">
        <f>VLOOKUP(A61,'Income Statement'!$A$6:$B$254,2,FALSE)</f>
        <v>Personal Time - Sup Labor</v>
      </c>
      <c r="C61" s="1413">
        <v>1307</v>
      </c>
      <c r="D61" s="147">
        <v>694</v>
      </c>
      <c r="E61" s="2029">
        <v>0</v>
      </c>
      <c r="F61" s="2030">
        <v>0</v>
      </c>
      <c r="G61" s="2021"/>
      <c r="H61" s="1385">
        <f>'[4]Staff Compare and Adj'!$D$28-D61</f>
        <v>112.16467150954429</v>
      </c>
      <c r="I61" s="42">
        <f t="shared" si="22"/>
        <v>806.16467150954429</v>
      </c>
      <c r="J61" s="60"/>
      <c r="K61" s="51">
        <f>I61-L61</f>
        <v>690.52124496608099</v>
      </c>
      <c r="L61" s="41">
        <f>I61*VLOOKUP($R61,$K$3:$L$6,2,FALSE)</f>
        <v>115.64342654346325</v>
      </c>
      <c r="M61" s="1322"/>
      <c r="N61" s="1025">
        <f>L61*VLOOKUP($S61,$K$2:$Q$6,4,FALSE)</f>
        <v>23.846384626686643</v>
      </c>
      <c r="O61" s="1030">
        <f>L61*VLOOKUP($S61,$K$2:$Q$6,5,FALSE)</f>
        <v>18.730053918758227</v>
      </c>
      <c r="P61" s="1025">
        <f>L61*VLOOKUP($S61,$K$2:$Q$6,6,FALSE)</f>
        <v>2.4619384307784808</v>
      </c>
      <c r="Q61" s="41">
        <f>L61-N61-O61-P61</f>
        <v>70.605049567239902</v>
      </c>
      <c r="R61" s="21" t="s">
        <v>10</v>
      </c>
      <c r="S61" s="37" t="s">
        <v>13</v>
      </c>
      <c r="T61" s="36" t="s">
        <v>13</v>
      </c>
      <c r="U61" s="151">
        <f>L61-N61-O61-Q61-P61</f>
        <v>-6.6613381477509392E-15</v>
      </c>
      <c r="V61" s="132">
        <f t="shared" si="30"/>
        <v>23.846384626686643</v>
      </c>
      <c r="W61" s="41">
        <f t="shared" si="30"/>
        <v>18.730053918758227</v>
      </c>
      <c r="X61" s="132">
        <f t="shared" si="30"/>
        <v>2.4619384307784808</v>
      </c>
      <c r="Y61" s="62">
        <f t="shared" si="30"/>
        <v>70.605049567239902</v>
      </c>
    </row>
    <row r="62" spans="1:25" s="38" customFormat="1" outlineLevel="1">
      <c r="A62" s="57">
        <v>510173</v>
      </c>
      <c r="B62" s="765" t="str">
        <f>VLOOKUP(A62,'Income Statement'!$A$6:$B$254,2,FALSE)</f>
        <v>Holiday Pay - Sup Labor</v>
      </c>
      <c r="C62" s="1413">
        <v>10636</v>
      </c>
      <c r="D62" s="147">
        <v>11386</v>
      </c>
      <c r="E62" s="2029">
        <v>0</v>
      </c>
      <c r="F62" s="2030">
        <v>0</v>
      </c>
      <c r="G62" s="2021"/>
      <c r="H62" s="1385">
        <f>'[4]Staff Compare and Adj'!$D$29-D62</f>
        <v>361.85279288474703</v>
      </c>
      <c r="I62" s="42">
        <f t="shared" si="22"/>
        <v>11747.852792884747</v>
      </c>
      <c r="J62" s="60"/>
      <c r="K62" s="51">
        <f>I62-L62</f>
        <v>10062.636360671862</v>
      </c>
      <c r="L62" s="41">
        <f>I62*VLOOKUP($R62,$K$3:$L$6,2,FALSE)</f>
        <v>1685.2164322128851</v>
      </c>
      <c r="M62" s="1322"/>
      <c r="N62" s="1025">
        <f>L62*VLOOKUP($S62,$K$2:$Q$6,4,FALSE)</f>
        <v>347.50197588323357</v>
      </c>
      <c r="O62" s="1030">
        <f>L62*VLOOKUP($S62,$K$2:$Q$6,5,FALSE)</f>
        <v>272.94413166027789</v>
      </c>
      <c r="P62" s="1025">
        <f>L62*VLOOKUP($S62,$K$2:$Q$6,6,FALSE)</f>
        <v>35.876653110801634</v>
      </c>
      <c r="Q62" s="41">
        <f>L62-N62-O62-P62</f>
        <v>1028.8936715585719</v>
      </c>
      <c r="R62" s="21" t="s">
        <v>10</v>
      </c>
      <c r="S62" s="37" t="s">
        <v>13</v>
      </c>
      <c r="T62" s="36" t="s">
        <v>13</v>
      </c>
      <c r="U62" s="151">
        <f>L62-N62-O62-Q62-P62</f>
        <v>9.2370555648813024E-14</v>
      </c>
      <c r="V62" s="132">
        <f t="shared" si="30"/>
        <v>347.50197588323357</v>
      </c>
      <c r="W62" s="41">
        <f t="shared" si="30"/>
        <v>272.94413166027789</v>
      </c>
      <c r="X62" s="132">
        <f t="shared" si="30"/>
        <v>35.876653110801634</v>
      </c>
      <c r="Y62" s="62">
        <f t="shared" si="30"/>
        <v>1028.8936715585719</v>
      </c>
    </row>
    <row r="63" spans="1:25" s="38" customFormat="1" outlineLevel="1">
      <c r="A63" s="57">
        <v>510174</v>
      </c>
      <c r="B63" s="765" t="str">
        <f>VLOOKUP(A63,'Income Statement'!$A$6:$B$254,2,FALSE)</f>
        <v>Vacation/Sick - Sup Labor</v>
      </c>
      <c r="C63" s="1413">
        <v>54422</v>
      </c>
      <c r="D63" s="147">
        <v>42471</v>
      </c>
      <c r="E63" s="2029">
        <v>0</v>
      </c>
      <c r="F63" s="2030">
        <v>0</v>
      </c>
      <c r="G63" s="2021"/>
      <c r="H63" s="1385">
        <f>'[4]Staff Compare and Adj'!$D$30-D63</f>
        <v>-13524.049877153459</v>
      </c>
      <c r="I63" s="42">
        <f t="shared" si="22"/>
        <v>28946.950122846541</v>
      </c>
      <c r="J63" s="60"/>
      <c r="K63" s="51">
        <f t="shared" si="23"/>
        <v>24794.54228547449</v>
      </c>
      <c r="L63" s="41">
        <f t="shared" si="24"/>
        <v>4152.4078373720531</v>
      </c>
      <c r="M63" s="1322"/>
      <c r="N63" s="1025">
        <f t="shared" si="27"/>
        <v>856.25199266839923</v>
      </c>
      <c r="O63" s="1030">
        <f t="shared" si="28"/>
        <v>672.53993600251908</v>
      </c>
      <c r="P63" s="1025">
        <f t="shared" si="29"/>
        <v>88.400808767542287</v>
      </c>
      <c r="Q63" s="41">
        <f t="shared" si="25"/>
        <v>2535.2150999335927</v>
      </c>
      <c r="R63" s="21" t="s">
        <v>10</v>
      </c>
      <c r="S63" s="37" t="s">
        <v>13</v>
      </c>
      <c r="T63" s="36" t="s">
        <v>13</v>
      </c>
      <c r="U63" s="151">
        <f t="shared" si="0"/>
        <v>1.7053025658242404E-13</v>
      </c>
      <c r="V63" s="132">
        <f t="shared" si="30"/>
        <v>856.25199266839923</v>
      </c>
      <c r="W63" s="41">
        <f t="shared" si="30"/>
        <v>672.53993600251908</v>
      </c>
      <c r="X63" s="132">
        <f t="shared" si="30"/>
        <v>88.400808767542287</v>
      </c>
      <c r="Y63" s="62">
        <f t="shared" si="30"/>
        <v>2535.2150999335927</v>
      </c>
    </row>
    <row r="64" spans="1:25" s="38" customFormat="1" outlineLevel="1">
      <c r="A64" s="57">
        <v>510175</v>
      </c>
      <c r="B64" s="765" t="str">
        <f>VLOOKUP(A64,'Income Statement'!$A$6:$B$254,2,FALSE)</f>
        <v>Benefits Non-Corp - Sup Labor</v>
      </c>
      <c r="C64" s="1413">
        <v>86103</v>
      </c>
      <c r="D64" s="147">
        <v>92577</v>
      </c>
      <c r="E64" s="2029">
        <v>0</v>
      </c>
      <c r="F64" s="2030">
        <v>0</v>
      </c>
      <c r="G64" s="2021"/>
      <c r="H64" s="1385">
        <f>'[4]Staff Compare and Adj'!$D$31-D64</f>
        <v>92302.570000000065</v>
      </c>
      <c r="I64" s="42">
        <f t="shared" si="22"/>
        <v>184879.57000000007</v>
      </c>
      <c r="J64" s="60"/>
      <c r="K64" s="51">
        <f>I64-L64</f>
        <v>158358.80106994038</v>
      </c>
      <c r="L64" s="41">
        <f>I64*VLOOKUP($R64,$K$3:$L$6,2,FALSE)</f>
        <v>26520.768930059668</v>
      </c>
      <c r="M64" s="1322"/>
      <c r="N64" s="1025">
        <f>L64*VLOOKUP($S64,$K$2:$Q$6,4,FALSE)</f>
        <v>5468.7453961249948</v>
      </c>
      <c r="O64" s="1030">
        <f>L64*VLOOKUP($S64,$K$2:$Q$6,5,FALSE)</f>
        <v>4295.4056868961179</v>
      </c>
      <c r="P64" s="1025">
        <f>L64*VLOOKUP($S64,$K$2:$Q$6,6,FALSE)</f>
        <v>564.60191637585524</v>
      </c>
      <c r="Q64" s="41">
        <f>L64-N64-O64-P64</f>
        <v>16192.015930662701</v>
      </c>
      <c r="R64" s="21" t="s">
        <v>10</v>
      </c>
      <c r="S64" s="37" t="s">
        <v>13</v>
      </c>
      <c r="T64" s="36" t="s">
        <v>13</v>
      </c>
      <c r="U64" s="151">
        <f>L64-N64-O64-Q64-P64</f>
        <v>0</v>
      </c>
      <c r="V64" s="132">
        <f t="shared" si="30"/>
        <v>5468.7453961249948</v>
      </c>
      <c r="W64" s="41">
        <f t="shared" si="30"/>
        <v>4295.4056868961179</v>
      </c>
      <c r="X64" s="132">
        <f t="shared" si="30"/>
        <v>564.60191637585524</v>
      </c>
      <c r="Y64" s="62">
        <f t="shared" si="30"/>
        <v>16192.015930662701</v>
      </c>
    </row>
    <row r="65" spans="1:25" s="38" customFormat="1" outlineLevel="1">
      <c r="A65" s="57">
        <v>510176</v>
      </c>
      <c r="B65" s="765" t="str">
        <f>VLOOKUP(A65,'Income Statement'!$A$6:$B$254,2,FALSE)</f>
        <v>Benefits Corp - Sup Labor</v>
      </c>
      <c r="C65" s="1413">
        <v>70028</v>
      </c>
      <c r="D65" s="147">
        <v>59341</v>
      </c>
      <c r="E65" s="2029">
        <v>0</v>
      </c>
      <c r="F65" s="2030">
        <v>0</v>
      </c>
      <c r="G65" s="2021"/>
      <c r="H65" s="1385">
        <f>'[4]Staff Compare and Adj'!$D$32-D65</f>
        <v>-59341</v>
      </c>
      <c r="I65" s="42">
        <f t="shared" si="22"/>
        <v>0</v>
      </c>
      <c r="J65" s="60"/>
      <c r="K65" s="51">
        <f t="shared" si="23"/>
        <v>0</v>
      </c>
      <c r="L65" s="41">
        <f t="shared" si="24"/>
        <v>0</v>
      </c>
      <c r="M65" s="1322"/>
      <c r="N65" s="1025">
        <f t="shared" si="27"/>
        <v>0</v>
      </c>
      <c r="O65" s="1030">
        <f t="shared" si="28"/>
        <v>0</v>
      </c>
      <c r="P65" s="1025">
        <f t="shared" si="29"/>
        <v>0</v>
      </c>
      <c r="Q65" s="41">
        <f t="shared" si="25"/>
        <v>0</v>
      </c>
      <c r="R65" s="21" t="s">
        <v>10</v>
      </c>
      <c r="S65" s="37" t="s">
        <v>13</v>
      </c>
      <c r="T65" s="36" t="s">
        <v>13</v>
      </c>
      <c r="U65" s="151">
        <f t="shared" si="0"/>
        <v>0</v>
      </c>
      <c r="V65" s="132">
        <f t="shared" si="30"/>
        <v>0</v>
      </c>
      <c r="W65" s="41">
        <f t="shared" si="30"/>
        <v>0</v>
      </c>
      <c r="X65" s="132">
        <f t="shared" si="30"/>
        <v>0</v>
      </c>
      <c r="Y65" s="62">
        <f t="shared" si="30"/>
        <v>0</v>
      </c>
    </row>
    <row r="66" spans="1:25" s="38" customFormat="1" outlineLevel="1">
      <c r="A66" s="57">
        <v>510177</v>
      </c>
      <c r="B66" s="765" t="str">
        <f>VLOOKUP(A66,'Income Statement'!$A$6:$B$254,2,FALSE)</f>
        <v>Employer 401k - Sup Labor</v>
      </c>
      <c r="C66" s="1413">
        <v>7777</v>
      </c>
      <c r="D66" s="147">
        <v>10024</v>
      </c>
      <c r="E66" s="2029">
        <v>0</v>
      </c>
      <c r="F66" s="2030">
        <v>0</v>
      </c>
      <c r="G66" s="2021"/>
      <c r="H66" s="1385">
        <f>'[4]Staff Compare and Adj'!$D$33-D66</f>
        <v>-61.309999999999491</v>
      </c>
      <c r="I66" s="42">
        <f t="shared" si="22"/>
        <v>9962.69</v>
      </c>
      <c r="J66" s="60"/>
      <c r="K66" s="51">
        <f>I66-L66</f>
        <v>8533.5531872531083</v>
      </c>
      <c r="L66" s="41">
        <f t="shared" si="24"/>
        <v>1429.1368127468929</v>
      </c>
      <c r="M66" s="1322"/>
      <c r="N66" s="1025">
        <f t="shared" si="27"/>
        <v>294.69678597002638</v>
      </c>
      <c r="O66" s="1030">
        <f t="shared" si="28"/>
        <v>231.46849207180151</v>
      </c>
      <c r="P66" s="1025">
        <f t="shared" si="29"/>
        <v>30.424961861705796</v>
      </c>
      <c r="Q66" s="41">
        <f>L66-N66-O66-P66</f>
        <v>872.54657284335917</v>
      </c>
      <c r="R66" s="21" t="s">
        <v>10</v>
      </c>
      <c r="S66" s="37" t="s">
        <v>13</v>
      </c>
      <c r="T66" s="36" t="s">
        <v>13</v>
      </c>
      <c r="U66" s="151">
        <f t="shared" si="0"/>
        <v>0</v>
      </c>
      <c r="V66" s="132">
        <f t="shared" ref="V66:Y69" si="31">N66</f>
        <v>294.69678597002638</v>
      </c>
      <c r="W66" s="41">
        <f t="shared" si="31"/>
        <v>231.46849207180151</v>
      </c>
      <c r="X66" s="132">
        <f t="shared" si="31"/>
        <v>30.424961861705796</v>
      </c>
      <c r="Y66" s="62">
        <f t="shared" si="31"/>
        <v>872.54657284335917</v>
      </c>
    </row>
    <row r="67" spans="1:25" s="38" customFormat="1" outlineLevel="1">
      <c r="A67" s="1382">
        <v>510188</v>
      </c>
      <c r="B67" s="1395" t="str">
        <f>VLOOKUP(A67,'Income Statement'!$A$6:$B$254,2,FALSE)</f>
        <v>Uniforms &amp; Safety - Sup Labor</v>
      </c>
      <c r="C67" s="1413">
        <v>50073</v>
      </c>
      <c r="D67" s="147">
        <v>86764</v>
      </c>
      <c r="E67" s="2029">
        <v>0</v>
      </c>
      <c r="F67" s="2030">
        <v>0</v>
      </c>
      <c r="G67" s="2021"/>
      <c r="H67" s="1385"/>
      <c r="I67" s="42">
        <f t="shared" si="22"/>
        <v>86764</v>
      </c>
      <c r="J67" s="60"/>
      <c r="K67" s="51">
        <f>I67-L67</f>
        <v>74317.80058787622</v>
      </c>
      <c r="L67" s="41">
        <f>I67*VLOOKUP($R67,$K$3:$L$6,2,FALSE)</f>
        <v>12446.199412123775</v>
      </c>
      <c r="M67" s="1322"/>
      <c r="N67" s="1025">
        <f>L67*VLOOKUP($S67,$K$2:$Q$6,4,FALSE)</f>
        <v>2566.4827408966216</v>
      </c>
      <c r="O67" s="1030">
        <f>L67*VLOOKUP($S67,$K$2:$Q$6,5,FALSE)</f>
        <v>2015.8343023940106</v>
      </c>
      <c r="P67" s="1025">
        <f>L67*VLOOKUP($S67,$K$2:$Q$6,6,FALSE)</f>
        <v>264.96773371138136</v>
      </c>
      <c r="Q67" s="41">
        <f>L67-N67-O67-P67</f>
        <v>7598.9146351217614</v>
      </c>
      <c r="R67" s="21" t="s">
        <v>10</v>
      </c>
      <c r="S67" s="37" t="s">
        <v>13</v>
      </c>
      <c r="T67" s="36" t="s">
        <v>13</v>
      </c>
      <c r="U67" s="151">
        <f>L67-N67-O67-Q67-P67</f>
        <v>0</v>
      </c>
      <c r="V67" s="132">
        <f>N67</f>
        <v>2566.4827408966216</v>
      </c>
      <c r="W67" s="41">
        <f>O67</f>
        <v>2015.8343023940106</v>
      </c>
      <c r="X67" s="132">
        <f>P67</f>
        <v>264.96773371138136</v>
      </c>
      <c r="Y67" s="62">
        <f>Q67</f>
        <v>7598.9146351217614</v>
      </c>
    </row>
    <row r="68" spans="1:25" s="38" customFormat="1" outlineLevel="1">
      <c r="A68" s="57">
        <v>510998</v>
      </c>
      <c r="B68" s="765" t="str">
        <f>VLOOKUP(A68,'Income Statement'!$A$6:$B$254,2,FALSE)</f>
        <v>Ops Supv Alloc-In</v>
      </c>
      <c r="C68" s="1413">
        <v>1192853</v>
      </c>
      <c r="D68" s="147">
        <v>1107250</v>
      </c>
      <c r="E68" s="2029">
        <v>0</v>
      </c>
      <c r="F68" s="2030">
        <v>0</v>
      </c>
      <c r="G68" s="2021"/>
      <c r="H68" s="1385"/>
      <c r="I68" s="42">
        <f t="shared" si="22"/>
        <v>1107250</v>
      </c>
      <c r="J68" s="60"/>
      <c r="K68" s="51">
        <f>I68-L68</f>
        <v>948416.21756634035</v>
      </c>
      <c r="L68" s="41">
        <f t="shared" si="24"/>
        <v>158833.78243365968</v>
      </c>
      <c r="M68" s="1322"/>
      <c r="N68" s="1025">
        <f t="shared" si="27"/>
        <v>32752.501208540227</v>
      </c>
      <c r="O68" s="1030">
        <f t="shared" si="28"/>
        <v>25725.329990846065</v>
      </c>
      <c r="P68" s="1025">
        <f t="shared" si="29"/>
        <v>3381.4199800830638</v>
      </c>
      <c r="Q68" s="41">
        <f>L68-N68-O68-P68</f>
        <v>96974.531254190326</v>
      </c>
      <c r="R68" s="21" t="s">
        <v>10</v>
      </c>
      <c r="S68" s="37" t="s">
        <v>13</v>
      </c>
      <c r="T68" s="36" t="s">
        <v>13</v>
      </c>
      <c r="U68" s="151">
        <f t="shared" si="0"/>
        <v>4.5474735088646412E-12</v>
      </c>
      <c r="V68" s="132">
        <f t="shared" si="31"/>
        <v>32752.501208540227</v>
      </c>
      <c r="W68" s="41">
        <f t="shared" si="31"/>
        <v>25725.329990846065</v>
      </c>
      <c r="X68" s="132">
        <f t="shared" si="31"/>
        <v>3381.4199800830638</v>
      </c>
      <c r="Y68" s="62">
        <f t="shared" si="31"/>
        <v>96974.531254190326</v>
      </c>
    </row>
    <row r="69" spans="1:25" s="38" customFormat="1" outlineLevel="1">
      <c r="A69" s="57">
        <v>510999</v>
      </c>
      <c r="B69" s="765" t="str">
        <f>VLOOKUP(A69,'Income Statement'!$A$6:$B$254,2,FALSE)</f>
        <v>Ops Supv Alloc-Out</v>
      </c>
      <c r="C69" s="1413">
        <f>-C68</f>
        <v>-1192853</v>
      </c>
      <c r="D69" s="147">
        <v>-1107250</v>
      </c>
      <c r="E69" s="2029">
        <v>0</v>
      </c>
      <c r="F69" s="2030">
        <v>0</v>
      </c>
      <c r="G69" s="2021"/>
      <c r="H69" s="1385"/>
      <c r="I69" s="42">
        <f t="shared" si="22"/>
        <v>-1107250</v>
      </c>
      <c r="J69" s="60"/>
      <c r="K69" s="51">
        <f>I69-L69</f>
        <v>-948416.21756634035</v>
      </c>
      <c r="L69" s="41">
        <f t="shared" si="24"/>
        <v>-158833.78243365968</v>
      </c>
      <c r="M69" s="1322"/>
      <c r="N69" s="1025">
        <f t="shared" si="27"/>
        <v>-32752.501208540227</v>
      </c>
      <c r="O69" s="1030">
        <f t="shared" si="28"/>
        <v>-25725.329990846065</v>
      </c>
      <c r="P69" s="1025">
        <f t="shared" si="29"/>
        <v>-3381.4199800830638</v>
      </c>
      <c r="Q69" s="41">
        <f>L69-N69-O69-P69</f>
        <v>-96974.531254190326</v>
      </c>
      <c r="R69" s="21" t="s">
        <v>10</v>
      </c>
      <c r="S69" s="37" t="s">
        <v>13</v>
      </c>
      <c r="T69" s="36" t="s">
        <v>13</v>
      </c>
      <c r="U69" s="151">
        <f t="shared" si="0"/>
        <v>-4.5474735088646412E-12</v>
      </c>
      <c r="V69" s="132">
        <f t="shared" si="31"/>
        <v>-32752.501208540227</v>
      </c>
      <c r="W69" s="41">
        <f t="shared" si="31"/>
        <v>-25725.329990846065</v>
      </c>
      <c r="X69" s="132">
        <f t="shared" si="31"/>
        <v>-3381.4199800830638</v>
      </c>
      <c r="Y69" s="62">
        <f t="shared" si="31"/>
        <v>-96974.531254190326</v>
      </c>
    </row>
    <row r="70" spans="1:25" s="38" customFormat="1" ht="12">
      <c r="A70" s="54"/>
      <c r="B70" s="560" t="s">
        <v>534</v>
      </c>
      <c r="C70" s="1408">
        <f>SUM(C55:C69)</f>
        <v>1192854</v>
      </c>
      <c r="D70" s="561">
        <v>1108237</v>
      </c>
      <c r="E70" s="2032">
        <v>-20137</v>
      </c>
      <c r="F70" s="2032">
        <v>22655.457206190167</v>
      </c>
      <c r="G70" s="2022"/>
      <c r="H70" s="1386">
        <f>SUM(H55:H69)</f>
        <v>56491.096078795366</v>
      </c>
      <c r="I70" s="562">
        <f>SUM(I55:I69)</f>
        <v>1144591.0960787954</v>
      </c>
      <c r="J70" s="60"/>
      <c r="K70" s="562">
        <f>SUM(K55:K69)</f>
        <v>980400.77489560854</v>
      </c>
      <c r="L70" s="562">
        <f>SUM(L55:L69)</f>
        <v>164190.32118318669</v>
      </c>
      <c r="M70" s="1322"/>
      <c r="N70" s="562">
        <f>SUM(N55:N69)</f>
        <v>33857.052388896031</v>
      </c>
      <c r="O70" s="562">
        <f>SUM(O55:O69)</f>
        <v>26592.895598294159</v>
      </c>
      <c r="P70" s="562">
        <f>SUM(P55:P69)</f>
        <v>3495.4555893483966</v>
      </c>
      <c r="Q70" s="562">
        <f>SUM(Q55:Q69)</f>
        <v>100244.9176066481</v>
      </c>
      <c r="R70" s="21"/>
      <c r="S70" s="37"/>
      <c r="T70" s="36"/>
      <c r="U70" s="151">
        <f t="shared" si="0"/>
        <v>1.0004441719502211E-11</v>
      </c>
      <c r="V70" s="55">
        <f>N70</f>
        <v>33857.052388896031</v>
      </c>
      <c r="W70" s="55">
        <f>O70</f>
        <v>26592.895598294159</v>
      </c>
      <c r="X70" s="55">
        <f>P70</f>
        <v>3495.4555893483966</v>
      </c>
      <c r="Y70" s="55">
        <f>Q70</f>
        <v>100244.9176066481</v>
      </c>
    </row>
    <row r="71" spans="1:25" s="38" customFormat="1">
      <c r="A71" s="54"/>
      <c r="B71" s="1396"/>
      <c r="C71" s="1413"/>
      <c r="D71" s="147"/>
      <c r="E71" s="2029"/>
      <c r="F71" s="2030"/>
      <c r="G71" s="2021"/>
      <c r="H71" s="1385"/>
      <c r="I71" s="42"/>
      <c r="J71" s="60"/>
      <c r="K71" s="51"/>
      <c r="L71" s="41"/>
      <c r="M71" s="1322"/>
      <c r="N71" s="41"/>
      <c r="O71" s="41"/>
      <c r="P71" s="41"/>
      <c r="Q71" s="41"/>
      <c r="R71" s="21"/>
      <c r="S71" s="37"/>
      <c r="T71" s="36"/>
      <c r="U71" s="151">
        <f t="shared" si="0"/>
        <v>0</v>
      </c>
      <c r="V71" s="132"/>
      <c r="W71" s="41"/>
      <c r="X71" s="132"/>
      <c r="Y71" s="62"/>
    </row>
    <row r="72" spans="1:25" s="38" customFormat="1" ht="12">
      <c r="A72" s="54"/>
      <c r="B72" s="560" t="s">
        <v>535</v>
      </c>
      <c r="C72" s="1408">
        <f>+C53+C70</f>
        <v>10390847</v>
      </c>
      <c r="D72" s="561">
        <v>10525761</v>
      </c>
      <c r="E72" s="2032">
        <v>-20137</v>
      </c>
      <c r="F72" s="2032">
        <v>242961.88738853473</v>
      </c>
      <c r="G72" s="2022"/>
      <c r="H72" s="1386">
        <f>+H53+H70</f>
        <v>321762.9308636029</v>
      </c>
      <c r="I72" s="562">
        <f>+I53+I70</f>
        <v>10815141.9308636</v>
      </c>
      <c r="J72" s="60"/>
      <c r="K72" s="562">
        <f>+K53+K70</f>
        <v>9263721.8356403559</v>
      </c>
      <c r="L72" s="562">
        <f>+L53+L70</f>
        <v>1551420.0952232466</v>
      </c>
      <c r="M72" s="1322"/>
      <c r="N72" s="562">
        <f>+N53+N70</f>
        <v>346947.45762477349</v>
      </c>
      <c r="O72" s="562">
        <f>+O53+O70</f>
        <v>280846.66827112646</v>
      </c>
      <c r="P72" s="562">
        <f>+P53+P70</f>
        <v>53851.053495457803</v>
      </c>
      <c r="Q72" s="562">
        <f>+Q53+Q70</f>
        <v>869774.91583188868</v>
      </c>
      <c r="R72" s="21"/>
      <c r="S72" s="37"/>
      <c r="T72" s="36"/>
      <c r="U72" s="151">
        <f t="shared" si="0"/>
        <v>1.7462298274040222E-10</v>
      </c>
      <c r="V72" s="132"/>
      <c r="W72" s="41"/>
      <c r="X72" s="132"/>
      <c r="Y72" s="62"/>
    </row>
    <row r="73" spans="1:25" s="38" customFormat="1">
      <c r="A73" s="54"/>
      <c r="B73" s="765" t="s">
        <v>1705</v>
      </c>
      <c r="C73" s="1413"/>
      <c r="D73" s="147"/>
      <c r="E73" s="2029"/>
      <c r="F73" s="2030"/>
      <c r="G73" s="2021"/>
      <c r="H73" s="1385"/>
      <c r="I73" s="42"/>
      <c r="J73" s="60"/>
      <c r="K73" s="51"/>
      <c r="L73" s="41"/>
      <c r="M73" s="1322"/>
      <c r="N73" s="132"/>
      <c r="O73" s="41"/>
      <c r="P73" s="132"/>
      <c r="Q73" s="41"/>
      <c r="R73" s="21"/>
      <c r="S73" s="37"/>
      <c r="T73" s="36"/>
      <c r="U73" s="151">
        <f t="shared" si="0"/>
        <v>0</v>
      </c>
      <c r="V73" s="132"/>
      <c r="W73" s="41"/>
      <c r="X73" s="132"/>
      <c r="Y73" s="62"/>
    </row>
    <row r="74" spans="1:25" s="38" customFormat="1" outlineLevel="1">
      <c r="A74" s="57">
        <v>520010</v>
      </c>
      <c r="B74" s="765" t="str">
        <f>VLOOKUP(A74,'Income Statement'!$A$6:$B$254,2,FALSE)</f>
        <v>TShop Mgr/Supv</v>
      </c>
      <c r="C74" s="1413">
        <v>89110</v>
      </c>
      <c r="D74" s="147">
        <v>108685</v>
      </c>
      <c r="E74" s="2029">
        <v>0</v>
      </c>
      <c r="F74" s="2030">
        <v>0</v>
      </c>
      <c r="G74" s="2021"/>
      <c r="H74" s="1385"/>
      <c r="I74" s="42">
        <f t="shared" ref="I74:I87" si="32">SUM(D74:H74)</f>
        <v>108685</v>
      </c>
      <c r="J74" s="60"/>
      <c r="K74" s="51">
        <f t="shared" ref="K74:K87" si="33">I74-L74</f>
        <v>93094.257490356918</v>
      </c>
      <c r="L74" s="41">
        <f t="shared" ref="L74:L85" si="34">I74*VLOOKUP($R74,$K$3:$L$6,2,FALSE)</f>
        <v>15590.742509643082</v>
      </c>
      <c r="M74" s="1322"/>
      <c r="N74" s="1025">
        <f t="shared" ref="N74:N86" si="35">L74*VLOOKUP($S74,$K$2:$Q$6,4,FALSE)</f>
        <v>4078.8331656709356</v>
      </c>
      <c r="O74" s="1030">
        <f t="shared" ref="O74:O86" si="36">L74*VLOOKUP($S74,$K$2:$Q$6,5,FALSE)</f>
        <v>3267.0823719168702</v>
      </c>
      <c r="P74" s="1025">
        <f t="shared" ref="P74:P86" si="37">L74*VLOOKUP($S74,$K$2:$Q$6,6,FALSE)</f>
        <v>722.24122240118879</v>
      </c>
      <c r="Q74" s="41">
        <f t="shared" ref="Q74:Q87" si="38">L74-N74-O74-P74</f>
        <v>7522.5857496540857</v>
      </c>
      <c r="R74" s="21" t="s">
        <v>10</v>
      </c>
      <c r="S74" s="36" t="s">
        <v>10</v>
      </c>
      <c r="T74" s="36" t="s">
        <v>13</v>
      </c>
      <c r="U74" s="151">
        <f t="shared" si="0"/>
        <v>0</v>
      </c>
      <c r="V74" s="132">
        <f t="shared" ref="V74:V87" si="39">N74</f>
        <v>4078.8331656709356</v>
      </c>
      <c r="W74" s="41">
        <f t="shared" ref="W74:W87" si="40">O74</f>
        <v>3267.0823719168702</v>
      </c>
      <c r="X74" s="132">
        <f t="shared" ref="X74:X87" si="41">P74</f>
        <v>722.24122240118879</v>
      </c>
      <c r="Y74" s="62">
        <f t="shared" ref="Y74:Y87" si="42">Q74</f>
        <v>7522.5857496540857</v>
      </c>
    </row>
    <row r="75" spans="1:25" s="38" customFormat="1" outlineLevel="1">
      <c r="A75" s="57">
        <v>520020</v>
      </c>
      <c r="B75" s="765" t="str">
        <f>VLOOKUP(A75,'Income Statement'!$A$6:$B$254,2,FALSE)</f>
        <v>TShop Mech/Welder</v>
      </c>
      <c r="C75" s="1413">
        <v>657868</v>
      </c>
      <c r="D75" s="147">
        <v>636322</v>
      </c>
      <c r="E75" s="2029">
        <v>0</v>
      </c>
      <c r="F75" s="2030">
        <v>1930.9724886636125</v>
      </c>
      <c r="G75" s="2021"/>
      <c r="H75" s="1385"/>
      <c r="I75" s="42">
        <f t="shared" si="32"/>
        <v>638252.97248866362</v>
      </c>
      <c r="J75" s="60"/>
      <c r="K75" s="51">
        <f t="shared" si="33"/>
        <v>546696.29263325525</v>
      </c>
      <c r="L75" s="41">
        <f t="shared" si="34"/>
        <v>91556.679855408423</v>
      </c>
      <c r="M75" s="1322"/>
      <c r="N75" s="1025">
        <f t="shared" si="35"/>
        <v>23952.959398949446</v>
      </c>
      <c r="O75" s="1030">
        <f t="shared" si="36"/>
        <v>19185.950547373199</v>
      </c>
      <c r="P75" s="1025">
        <f t="shared" si="37"/>
        <v>4241.3636385094978</v>
      </c>
      <c r="Q75" s="41">
        <f t="shared" si="38"/>
        <v>44176.406270576277</v>
      </c>
      <c r="R75" s="21" t="s">
        <v>10</v>
      </c>
      <c r="S75" s="36" t="s">
        <v>10</v>
      </c>
      <c r="T75" s="36" t="s">
        <v>13</v>
      </c>
      <c r="U75" s="151">
        <f t="shared" si="0"/>
        <v>0</v>
      </c>
      <c r="V75" s="132">
        <f t="shared" si="39"/>
        <v>23952.959398949446</v>
      </c>
      <c r="W75" s="41">
        <f t="shared" si="40"/>
        <v>19185.950547373199</v>
      </c>
      <c r="X75" s="132">
        <f t="shared" si="41"/>
        <v>4241.3636385094978</v>
      </c>
      <c r="Y75" s="62">
        <f t="shared" si="42"/>
        <v>44176.406270576277</v>
      </c>
    </row>
    <row r="76" spans="1:25" s="38" customFormat="1" outlineLevel="1">
      <c r="A76" s="57">
        <v>520030</v>
      </c>
      <c r="B76" s="765" t="str">
        <f>VLOOKUP(A76,'Income Statement'!$A$6:$B$254,2,FALSE)</f>
        <v>TShop Support</v>
      </c>
      <c r="C76" s="1413">
        <v>81065</v>
      </c>
      <c r="D76" s="147">
        <v>75760</v>
      </c>
      <c r="E76" s="2029">
        <v>0</v>
      </c>
      <c r="F76" s="2030">
        <v>0</v>
      </c>
      <c r="G76" s="2021"/>
      <c r="H76" s="1385"/>
      <c r="I76" s="42">
        <f t="shared" si="32"/>
        <v>75760</v>
      </c>
      <c r="J76" s="60"/>
      <c r="K76" s="51">
        <f t="shared" si="33"/>
        <v>64892.312163310853</v>
      </c>
      <c r="L76" s="41">
        <f t="shared" si="34"/>
        <v>10867.687836689147</v>
      </c>
      <c r="M76" s="1322"/>
      <c r="N76" s="1025">
        <f t="shared" si="35"/>
        <v>2843.1927186937487</v>
      </c>
      <c r="O76" s="1030">
        <f t="shared" si="36"/>
        <v>2277.3534572058893</v>
      </c>
      <c r="P76" s="1025">
        <f t="shared" si="37"/>
        <v>503.44569176164202</v>
      </c>
      <c r="Q76" s="41">
        <f t="shared" si="38"/>
        <v>5243.6959690278682</v>
      </c>
      <c r="R76" s="21" t="s">
        <v>10</v>
      </c>
      <c r="S76" s="36" t="s">
        <v>10</v>
      </c>
      <c r="T76" s="36" t="s">
        <v>13</v>
      </c>
      <c r="U76" s="151">
        <f t="shared" si="0"/>
        <v>0</v>
      </c>
      <c r="V76" s="132">
        <f t="shared" si="39"/>
        <v>2843.1927186937487</v>
      </c>
      <c r="W76" s="41">
        <f t="shared" si="40"/>
        <v>2277.3534572058893</v>
      </c>
      <c r="X76" s="132">
        <f t="shared" si="41"/>
        <v>503.44569176164202</v>
      </c>
      <c r="Y76" s="62">
        <f t="shared" si="42"/>
        <v>5243.6959690278682</v>
      </c>
    </row>
    <row r="77" spans="1:25" s="38" customFormat="1" outlineLevel="1">
      <c r="A77" s="57">
        <v>520055</v>
      </c>
      <c r="B77" s="765" t="e">
        <f>VLOOKUP(A77,'Income Statement'!$A$6:$B$254,2,FALSE)</f>
        <v>#N/A</v>
      </c>
      <c r="C77" s="1413">
        <v>23621</v>
      </c>
      <c r="D77" s="147">
        <v>0</v>
      </c>
      <c r="E77" s="2029">
        <v>0</v>
      </c>
      <c r="F77" s="2030">
        <v>0</v>
      </c>
      <c r="G77" s="2021"/>
      <c r="H77" s="1385"/>
      <c r="I77" s="42">
        <f t="shared" si="32"/>
        <v>0</v>
      </c>
      <c r="J77" s="60"/>
      <c r="K77" s="51">
        <f t="shared" si="33"/>
        <v>0</v>
      </c>
      <c r="L77" s="41">
        <f>I77*VLOOKUP($R77,$K$3:$L$6,2,FALSE)</f>
        <v>0</v>
      </c>
      <c r="M77" s="1322"/>
      <c r="N77" s="1025">
        <f t="shared" si="35"/>
        <v>0</v>
      </c>
      <c r="O77" s="1030">
        <f t="shared" si="36"/>
        <v>0</v>
      </c>
      <c r="P77" s="1025">
        <f t="shared" si="37"/>
        <v>0</v>
      </c>
      <c r="Q77" s="41">
        <f t="shared" si="38"/>
        <v>0</v>
      </c>
      <c r="R77" s="21" t="s">
        <v>10</v>
      </c>
      <c r="S77" s="36" t="s">
        <v>10</v>
      </c>
      <c r="T77" s="36" t="s">
        <v>13</v>
      </c>
      <c r="U77" s="151">
        <f t="shared" si="0"/>
        <v>0</v>
      </c>
      <c r="V77" s="132">
        <f t="shared" si="39"/>
        <v>0</v>
      </c>
      <c r="W77" s="41">
        <f t="shared" si="40"/>
        <v>0</v>
      </c>
      <c r="X77" s="132">
        <f t="shared" si="41"/>
        <v>0</v>
      </c>
      <c r="Y77" s="62">
        <f t="shared" si="42"/>
        <v>0</v>
      </c>
    </row>
    <row r="78" spans="1:25" s="38" customFormat="1" outlineLevel="1">
      <c r="A78" s="57">
        <v>520060</v>
      </c>
      <c r="B78" s="765" t="str">
        <f>VLOOKUP(A78,'Income Statement'!$A$6:$B$254,2,FALSE)</f>
        <v>TShop Bonus Non-Corp</v>
      </c>
      <c r="C78" s="1413">
        <v>741</v>
      </c>
      <c r="D78" s="147">
        <v>2000</v>
      </c>
      <c r="E78" s="2029">
        <v>0</v>
      </c>
      <c r="F78" s="2030">
        <v>0</v>
      </c>
      <c r="G78" s="2021"/>
      <c r="H78" s="1385"/>
      <c r="I78" s="42">
        <f t="shared" si="32"/>
        <v>2000</v>
      </c>
      <c r="J78" s="60"/>
      <c r="K78" s="51">
        <f t="shared" si="33"/>
        <v>1713.1022218403077</v>
      </c>
      <c r="L78" s="41">
        <f>I78*VLOOKUP($R78,$K$3:$L$6,2,FALSE)</f>
        <v>286.89777815969234</v>
      </c>
      <c r="M78" s="1322"/>
      <c r="N78" s="1025">
        <f>L78*VLOOKUP($S78,$K$2:$Q$6,4,FALSE)</f>
        <v>75.057885921165479</v>
      </c>
      <c r="O78" s="1030">
        <f>L78*VLOOKUP($S78,$K$2:$Q$6,5,FALSE)</f>
        <v>60.120207423597918</v>
      </c>
      <c r="P78" s="1025">
        <f>L78*VLOOKUP($S78,$K$2:$Q$6,6,FALSE)</f>
        <v>13.290540965196461</v>
      </c>
      <c r="Q78" s="41">
        <f t="shared" si="38"/>
        <v>138.42914384973247</v>
      </c>
      <c r="R78" s="21" t="s">
        <v>10</v>
      </c>
      <c r="S78" s="36" t="s">
        <v>10</v>
      </c>
      <c r="T78" s="36" t="s">
        <v>13</v>
      </c>
      <c r="U78" s="151">
        <f>L78-N78-O78-Q78-P78</f>
        <v>0</v>
      </c>
      <c r="V78" s="132">
        <f t="shared" si="39"/>
        <v>75.057885921165479</v>
      </c>
      <c r="W78" s="41">
        <f t="shared" si="40"/>
        <v>60.120207423597918</v>
      </c>
      <c r="X78" s="132">
        <f t="shared" si="41"/>
        <v>13.290540965196461</v>
      </c>
      <c r="Y78" s="62">
        <f t="shared" si="42"/>
        <v>138.42914384973247</v>
      </c>
    </row>
    <row r="79" spans="1:25" s="38" customFormat="1" outlineLevel="1">
      <c r="A79" s="57">
        <v>520061</v>
      </c>
      <c r="B79" s="765" t="str">
        <f>VLOOKUP(A79,'Income Statement'!$A$6:$B$254,2,FALSE)</f>
        <v>TShop Bonus Pay Corp</v>
      </c>
      <c r="C79" s="1413">
        <v>13799</v>
      </c>
      <c r="D79" s="147">
        <v>17238</v>
      </c>
      <c r="E79" s="2029">
        <v>-17238</v>
      </c>
      <c r="F79" s="2030">
        <v>0</v>
      </c>
      <c r="G79" s="2021"/>
      <c r="H79" s="1385"/>
      <c r="I79" s="42">
        <f t="shared" si="32"/>
        <v>0</v>
      </c>
      <c r="J79" s="60"/>
      <c r="K79" s="51">
        <f t="shared" si="33"/>
        <v>0</v>
      </c>
      <c r="L79" s="41">
        <f>I79*VLOOKUP($R79,$K$3:$L$6,2,FALSE)</f>
        <v>0</v>
      </c>
      <c r="M79" s="1322"/>
      <c r="N79" s="1025">
        <f t="shared" si="35"/>
        <v>0</v>
      </c>
      <c r="O79" s="1030">
        <f t="shared" si="36"/>
        <v>0</v>
      </c>
      <c r="P79" s="1025">
        <f t="shared" si="37"/>
        <v>0</v>
      </c>
      <c r="Q79" s="41">
        <f t="shared" si="38"/>
        <v>0</v>
      </c>
      <c r="R79" s="21" t="s">
        <v>10</v>
      </c>
      <c r="S79" s="36" t="s">
        <v>10</v>
      </c>
      <c r="T79" s="36" t="s">
        <v>13</v>
      </c>
      <c r="U79" s="151">
        <f t="shared" si="0"/>
        <v>0</v>
      </c>
      <c r="V79" s="132">
        <f t="shared" si="39"/>
        <v>0</v>
      </c>
      <c r="W79" s="41">
        <f t="shared" si="40"/>
        <v>0</v>
      </c>
      <c r="X79" s="132">
        <f t="shared" si="41"/>
        <v>0</v>
      </c>
      <c r="Y79" s="62">
        <f t="shared" si="42"/>
        <v>0</v>
      </c>
    </row>
    <row r="80" spans="1:25" s="38" customFormat="1" outlineLevel="1">
      <c r="A80" s="57">
        <v>520170</v>
      </c>
      <c r="B80" s="765" t="str">
        <f>VLOOKUP(A80,'Income Statement'!$A$6:$B$254,2,FALSE)</f>
        <v>TShop Payroll Tax</v>
      </c>
      <c r="C80" s="1413">
        <v>90661</v>
      </c>
      <c r="D80" s="147">
        <v>83573</v>
      </c>
      <c r="E80" s="2029">
        <v>0</v>
      </c>
      <c r="F80" s="2030">
        <v>161.87594446534396</v>
      </c>
      <c r="G80" s="2021"/>
      <c r="H80" s="1385"/>
      <c r="I80" s="42">
        <f t="shared" si="32"/>
        <v>83734.875944465341</v>
      </c>
      <c r="J80" s="60"/>
      <c r="K80" s="51">
        <f t="shared" si="33"/>
        <v>71723.201012993057</v>
      </c>
      <c r="L80" s="41">
        <f>I80*VLOOKUP($R80,$K$3:$L$6,2,FALSE)</f>
        <v>12011.674931472289</v>
      </c>
      <c r="M80" s="1322"/>
      <c r="N80" s="1025">
        <f t="shared" si="35"/>
        <v>3142.4813831313122</v>
      </c>
      <c r="O80" s="1030">
        <f t="shared" si="36"/>
        <v>2517.0790551852483</v>
      </c>
      <c r="P80" s="1025">
        <f t="shared" si="37"/>
        <v>556.44089947778025</v>
      </c>
      <c r="Q80" s="41">
        <f t="shared" si="38"/>
        <v>5795.6735936779478</v>
      </c>
      <c r="R80" s="21" t="s">
        <v>10</v>
      </c>
      <c r="S80" s="36" t="s">
        <v>10</v>
      </c>
      <c r="T80" s="36" t="s">
        <v>13</v>
      </c>
      <c r="U80" s="151">
        <f t="shared" si="0"/>
        <v>0</v>
      </c>
      <c r="V80" s="132">
        <f t="shared" si="39"/>
        <v>3142.4813831313122</v>
      </c>
      <c r="W80" s="41">
        <f t="shared" si="40"/>
        <v>2517.0790551852483</v>
      </c>
      <c r="X80" s="132">
        <f t="shared" si="41"/>
        <v>556.44089947778025</v>
      </c>
      <c r="Y80" s="62">
        <f t="shared" si="42"/>
        <v>5795.6735936779478</v>
      </c>
    </row>
    <row r="81" spans="1:25" s="38" customFormat="1" outlineLevel="1">
      <c r="A81" s="57">
        <v>520172</v>
      </c>
      <c r="B81" s="765" t="str">
        <f>VLOOKUP(A81,'Income Statement'!$A$6:$B$254,2,FALSE)</f>
        <v>TShop Personal Time</v>
      </c>
      <c r="C81" s="1413">
        <v>477</v>
      </c>
      <c r="D81" s="147">
        <v>1180</v>
      </c>
      <c r="E81" s="2029">
        <v>0</v>
      </c>
      <c r="F81" s="2030">
        <v>0</v>
      </c>
      <c r="G81" s="2021"/>
      <c r="H81" s="1385"/>
      <c r="I81" s="42">
        <f t="shared" si="32"/>
        <v>1180</v>
      </c>
      <c r="J81" s="60"/>
      <c r="K81" s="51">
        <f t="shared" si="33"/>
        <v>1010.7303108857815</v>
      </c>
      <c r="L81" s="41">
        <f t="shared" si="34"/>
        <v>169.26968911421849</v>
      </c>
      <c r="M81" s="1322"/>
      <c r="N81" s="1025">
        <f t="shared" si="35"/>
        <v>44.284152693487641</v>
      </c>
      <c r="O81" s="1030">
        <f t="shared" si="36"/>
        <v>35.470922379922776</v>
      </c>
      <c r="P81" s="1025">
        <f t="shared" si="37"/>
        <v>7.8414191694659134</v>
      </c>
      <c r="Q81" s="62">
        <f t="shared" si="38"/>
        <v>81.673194871342176</v>
      </c>
      <c r="R81" s="21" t="s">
        <v>10</v>
      </c>
      <c r="S81" s="36" t="s">
        <v>10</v>
      </c>
      <c r="T81" s="36" t="s">
        <v>13</v>
      </c>
      <c r="U81" s="151">
        <f t="shared" ref="U81:U147" si="43">L81-N81-O81-Q81-P81</f>
        <v>0</v>
      </c>
      <c r="V81" s="132">
        <f t="shared" si="39"/>
        <v>44.284152693487641</v>
      </c>
      <c r="W81" s="41">
        <f t="shared" si="40"/>
        <v>35.470922379922776</v>
      </c>
      <c r="X81" s="132">
        <f t="shared" si="41"/>
        <v>7.8414191694659134</v>
      </c>
      <c r="Y81" s="62">
        <f t="shared" si="42"/>
        <v>81.673194871342176</v>
      </c>
    </row>
    <row r="82" spans="1:25" s="38" customFormat="1" outlineLevel="1">
      <c r="A82" s="57">
        <v>520173</v>
      </c>
      <c r="B82" s="765" t="str">
        <f>VLOOKUP(A82,'Income Statement'!$A$6:$B$254,2,FALSE)</f>
        <v>TShop Holiday Pay</v>
      </c>
      <c r="C82" s="1413">
        <v>23413</v>
      </c>
      <c r="D82" s="147">
        <v>25850</v>
      </c>
      <c r="E82" s="2029">
        <v>0</v>
      </c>
      <c r="F82" s="2030">
        <v>0</v>
      </c>
      <c r="G82" s="2021"/>
      <c r="H82" s="1385"/>
      <c r="I82" s="42">
        <f t="shared" si="32"/>
        <v>25850</v>
      </c>
      <c r="J82" s="60"/>
      <c r="K82" s="51">
        <f t="shared" si="33"/>
        <v>22141.846217285976</v>
      </c>
      <c r="L82" s="41">
        <f t="shared" si="34"/>
        <v>3708.1537827140237</v>
      </c>
      <c r="M82" s="1322"/>
      <c r="N82" s="1025">
        <f t="shared" si="35"/>
        <v>970.12317553106391</v>
      </c>
      <c r="O82" s="1030">
        <f t="shared" si="36"/>
        <v>777.05368095000313</v>
      </c>
      <c r="P82" s="1025">
        <f t="shared" si="37"/>
        <v>171.78024197516427</v>
      </c>
      <c r="Q82" s="62">
        <f t="shared" si="38"/>
        <v>1789.1966842577926</v>
      </c>
      <c r="R82" s="21" t="s">
        <v>10</v>
      </c>
      <c r="S82" s="36" t="s">
        <v>10</v>
      </c>
      <c r="T82" s="36" t="s">
        <v>13</v>
      </c>
      <c r="U82" s="151">
        <f t="shared" si="43"/>
        <v>0</v>
      </c>
      <c r="V82" s="132">
        <f t="shared" si="39"/>
        <v>970.12317553106391</v>
      </c>
      <c r="W82" s="41">
        <f t="shared" si="40"/>
        <v>777.05368095000313</v>
      </c>
      <c r="X82" s="132">
        <f t="shared" si="41"/>
        <v>171.78024197516427</v>
      </c>
      <c r="Y82" s="62">
        <f t="shared" si="42"/>
        <v>1789.1966842577926</v>
      </c>
    </row>
    <row r="83" spans="1:25" s="38" customFormat="1" outlineLevel="1">
      <c r="A83" s="57">
        <v>520174</v>
      </c>
      <c r="B83" s="765" t="str">
        <f>VLOOKUP(A83,'Income Statement'!$A$6:$B$254,2,FALSE)</f>
        <v>TShop Vacation/Sick</v>
      </c>
      <c r="C83" s="1413">
        <v>60315</v>
      </c>
      <c r="D83" s="147">
        <v>60583</v>
      </c>
      <c r="E83" s="2029">
        <v>0</v>
      </c>
      <c r="F83" s="2030">
        <v>0</v>
      </c>
      <c r="G83" s="2021"/>
      <c r="H83" s="1385"/>
      <c r="I83" s="42">
        <f t="shared" si="32"/>
        <v>60583</v>
      </c>
      <c r="J83" s="60"/>
      <c r="K83" s="51">
        <f t="shared" si="33"/>
        <v>51892.435952875676</v>
      </c>
      <c r="L83" s="41">
        <f t="shared" si="34"/>
        <v>8690.5640471243205</v>
      </c>
      <c r="M83" s="1322"/>
      <c r="N83" s="1025">
        <f t="shared" si="35"/>
        <v>2273.6159513809844</v>
      </c>
      <c r="O83" s="1030">
        <f t="shared" si="36"/>
        <v>1821.1312631719163</v>
      </c>
      <c r="P83" s="1025">
        <f t="shared" si="37"/>
        <v>402.5904216472486</v>
      </c>
      <c r="Q83" s="62">
        <f t="shared" si="38"/>
        <v>4193.2264109241714</v>
      </c>
      <c r="R83" s="21" t="s">
        <v>10</v>
      </c>
      <c r="S83" s="36" t="s">
        <v>10</v>
      </c>
      <c r="T83" s="36" t="s">
        <v>13</v>
      </c>
      <c r="U83" s="151">
        <f t="shared" si="43"/>
        <v>-4.5474735088646412E-13</v>
      </c>
      <c r="V83" s="132">
        <f t="shared" si="39"/>
        <v>2273.6159513809844</v>
      </c>
      <c r="W83" s="41">
        <f t="shared" si="40"/>
        <v>1821.1312631719163</v>
      </c>
      <c r="X83" s="132">
        <f t="shared" si="41"/>
        <v>402.5904216472486</v>
      </c>
      <c r="Y83" s="62">
        <f t="shared" si="42"/>
        <v>4193.2264109241714</v>
      </c>
    </row>
    <row r="84" spans="1:25" s="38" customFormat="1" outlineLevel="1">
      <c r="A84" s="57">
        <v>520175</v>
      </c>
      <c r="B84" s="765" t="str">
        <f>VLOOKUP(A84,'Income Statement'!$A$6:$B$254,2,FALSE)</f>
        <v>TShop Benefits Non-Corp</v>
      </c>
      <c r="C84" s="1413">
        <v>321937</v>
      </c>
      <c r="D84" s="147">
        <v>384856</v>
      </c>
      <c r="E84" s="2029">
        <v>0</v>
      </c>
      <c r="F84" s="2030">
        <v>0</v>
      </c>
      <c r="G84" s="2021"/>
      <c r="H84" s="1385"/>
      <c r="I84" s="42">
        <f t="shared" si="32"/>
        <v>384856</v>
      </c>
      <c r="J84" s="60"/>
      <c r="K84" s="51">
        <f t="shared" si="33"/>
        <v>329648.8343442867</v>
      </c>
      <c r="L84" s="41">
        <f t="shared" si="34"/>
        <v>55207.165655713281</v>
      </c>
      <c r="M84" s="1322"/>
      <c r="N84" s="1025">
        <f t="shared" si="35"/>
        <v>14443.238872038033</v>
      </c>
      <c r="O84" s="1030">
        <f t="shared" si="36"/>
        <v>11568.8112741081</v>
      </c>
      <c r="P84" s="1025">
        <f t="shared" si="37"/>
        <v>2557.4722168508251</v>
      </c>
      <c r="Q84" s="62">
        <f t="shared" si="38"/>
        <v>26637.643292716326</v>
      </c>
      <c r="R84" s="21" t="s">
        <v>10</v>
      </c>
      <c r="S84" s="36" t="s">
        <v>10</v>
      </c>
      <c r="T84" s="36" t="s">
        <v>13</v>
      </c>
      <c r="U84" s="151">
        <f t="shared" si="43"/>
        <v>0</v>
      </c>
      <c r="V84" s="132">
        <f t="shared" si="39"/>
        <v>14443.238872038033</v>
      </c>
      <c r="W84" s="41">
        <f t="shared" si="40"/>
        <v>11568.8112741081</v>
      </c>
      <c r="X84" s="132">
        <f t="shared" si="41"/>
        <v>2557.4722168508251</v>
      </c>
      <c r="Y84" s="62">
        <f t="shared" si="42"/>
        <v>26637.643292716326</v>
      </c>
    </row>
    <row r="85" spans="1:25" s="38" customFormat="1" outlineLevel="1">
      <c r="A85" s="57">
        <v>520176</v>
      </c>
      <c r="B85" s="765" t="str">
        <f>VLOOKUP(A85,'Income Statement'!$A$6:$B$254,2,FALSE)</f>
        <v>TShop Benefits Corp</v>
      </c>
      <c r="C85" s="1413">
        <v>7209</v>
      </c>
      <c r="D85" s="147">
        <v>20729</v>
      </c>
      <c r="E85" s="2029">
        <v>0</v>
      </c>
      <c r="F85" s="2030">
        <v>39455.840000000004</v>
      </c>
      <c r="G85" s="2021"/>
      <c r="H85" s="1385"/>
      <c r="I85" s="42">
        <f t="shared" si="32"/>
        <v>60184.840000000004</v>
      </c>
      <c r="J85" s="60"/>
      <c r="K85" s="51">
        <f t="shared" si="33"/>
        <v>51551.391562551711</v>
      </c>
      <c r="L85" s="41">
        <f t="shared" si="34"/>
        <v>8633.4484374482909</v>
      </c>
      <c r="M85" s="1322"/>
      <c r="N85" s="1025">
        <f t="shared" si="35"/>
        <v>2258.6734274517994</v>
      </c>
      <c r="O85" s="1030">
        <f t="shared" si="36"/>
        <v>1809.1625322780269</v>
      </c>
      <c r="P85" s="1025">
        <f t="shared" si="37"/>
        <v>399.94454075189742</v>
      </c>
      <c r="Q85" s="62">
        <f t="shared" si="38"/>
        <v>4165.6679369665671</v>
      </c>
      <c r="R85" s="21" t="s">
        <v>10</v>
      </c>
      <c r="S85" s="36" t="s">
        <v>10</v>
      </c>
      <c r="T85" s="36" t="s">
        <v>13</v>
      </c>
      <c r="U85" s="151">
        <f t="shared" si="43"/>
        <v>4.5474735088646412E-13</v>
      </c>
      <c r="V85" s="132">
        <f t="shared" si="39"/>
        <v>2258.6734274517994</v>
      </c>
      <c r="W85" s="41">
        <f t="shared" si="40"/>
        <v>1809.1625322780269</v>
      </c>
      <c r="X85" s="132">
        <f t="shared" si="41"/>
        <v>399.94454075189742</v>
      </c>
      <c r="Y85" s="62">
        <f t="shared" si="42"/>
        <v>4165.6679369665671</v>
      </c>
    </row>
    <row r="86" spans="1:25" s="38" customFormat="1" outlineLevel="1">
      <c r="A86" s="57">
        <v>520188</v>
      </c>
      <c r="B86" s="765" t="str">
        <f>VLOOKUP(A86,'Income Statement'!$A$6:$B$254,2,FALSE)</f>
        <v>TShop Uniforms &amp; Safety</v>
      </c>
      <c r="C86" s="1413">
        <v>12217</v>
      </c>
      <c r="D86" s="147">
        <v>5294</v>
      </c>
      <c r="E86" s="2029">
        <v>0</v>
      </c>
      <c r="F86" s="2030">
        <v>0</v>
      </c>
      <c r="G86" s="2021"/>
      <c r="H86" s="1385"/>
      <c r="I86" s="42">
        <f t="shared" si="32"/>
        <v>5294</v>
      </c>
      <c r="J86" s="60"/>
      <c r="K86" s="51">
        <f t="shared" si="33"/>
        <v>4534.5815812112942</v>
      </c>
      <c r="L86" s="41">
        <f>I86*VLOOKUP($R86,$K$3:$L$6,2,FALSE)</f>
        <v>759.41841878870571</v>
      </c>
      <c r="M86" s="1322"/>
      <c r="N86" s="1025">
        <f t="shared" si="35"/>
        <v>198.67822403332505</v>
      </c>
      <c r="O86" s="1030">
        <f t="shared" si="36"/>
        <v>159.13818905026372</v>
      </c>
      <c r="P86" s="1025">
        <f t="shared" si="37"/>
        <v>35.180061934875042</v>
      </c>
      <c r="Q86" s="62">
        <f t="shared" si="38"/>
        <v>366.42194377024197</v>
      </c>
      <c r="R86" s="21" t="s">
        <v>10</v>
      </c>
      <c r="S86" s="36" t="s">
        <v>10</v>
      </c>
      <c r="T86" s="36" t="s">
        <v>13</v>
      </c>
      <c r="U86" s="151">
        <f t="shared" si="43"/>
        <v>0</v>
      </c>
      <c r="V86" s="132">
        <f t="shared" si="39"/>
        <v>198.67822403332505</v>
      </c>
      <c r="W86" s="41">
        <f t="shared" si="40"/>
        <v>159.13818905026372</v>
      </c>
      <c r="X86" s="132">
        <f t="shared" si="41"/>
        <v>35.180061934875042</v>
      </c>
      <c r="Y86" s="62">
        <f t="shared" si="42"/>
        <v>366.42194377024197</v>
      </c>
    </row>
    <row r="87" spans="1:25" s="38" customFormat="1" outlineLevel="1">
      <c r="A87" s="57">
        <v>520999</v>
      </c>
      <c r="B87" s="765" t="str">
        <f>VLOOKUP(A87,'Income Statement'!$A$6:$B$254,2,FALSE)</f>
        <v>TShop Labor Alloc-Out</v>
      </c>
      <c r="C87" s="1413">
        <v>-1382430</v>
      </c>
      <c r="D87" s="147">
        <v>-1422076</v>
      </c>
      <c r="E87" s="2029">
        <v>17238</v>
      </c>
      <c r="F87" s="2030">
        <v>-41548.688433128962</v>
      </c>
      <c r="G87" s="2021"/>
      <c r="H87" s="1385"/>
      <c r="I87" s="42">
        <f t="shared" si="32"/>
        <v>-1446386.6884331289</v>
      </c>
      <c r="J87" s="60"/>
      <c r="K87" s="51">
        <f t="shared" si="33"/>
        <v>-1238904.1247975188</v>
      </c>
      <c r="L87" s="1030">
        <f>I87*VLOOKUP($R87,$K$3:$L$6,2,FALSE)</f>
        <v>-207482.56363560993</v>
      </c>
      <c r="M87" s="1322"/>
      <c r="N87" s="1025">
        <f>L87*VLOOKUP($S87,$K$2:$Q$6,4,FALSE)</f>
        <v>-54281.363529153059</v>
      </c>
      <c r="O87" s="1030">
        <f>L87*VLOOKUP($S87,$K$2:$Q$6,5,FALSE)</f>
        <v>-43478.533861665303</v>
      </c>
      <c r="P87" s="1025">
        <f>L87*VLOOKUP($S87,$K$2:$Q$6,6,FALSE)</f>
        <v>-9611.6307670676761</v>
      </c>
      <c r="Q87" s="62">
        <f t="shared" si="38"/>
        <v>-100111.0354777239</v>
      </c>
      <c r="R87" s="21" t="s">
        <v>10</v>
      </c>
      <c r="S87" s="36" t="s">
        <v>10</v>
      </c>
      <c r="T87" s="36" t="s">
        <v>13</v>
      </c>
      <c r="U87" s="151">
        <f t="shared" si="43"/>
        <v>0</v>
      </c>
      <c r="V87" s="132">
        <f t="shared" si="39"/>
        <v>-54281.363529153059</v>
      </c>
      <c r="W87" s="41">
        <f t="shared" si="40"/>
        <v>-43478.533861665303</v>
      </c>
      <c r="X87" s="132">
        <f t="shared" si="41"/>
        <v>-9611.6307670676761</v>
      </c>
      <c r="Y87" s="62">
        <f t="shared" si="42"/>
        <v>-100111.0354777239</v>
      </c>
    </row>
    <row r="88" spans="1:25" s="38" customFormat="1" outlineLevel="1">
      <c r="A88" s="54"/>
      <c r="B88" s="1397" t="s">
        <v>1706</v>
      </c>
      <c r="C88" s="1413"/>
      <c r="D88" s="147"/>
      <c r="E88" s="2029">
        <v>0</v>
      </c>
      <c r="F88" s="2030"/>
      <c r="G88" s="2021"/>
      <c r="H88" s="1385"/>
      <c r="I88" s="42"/>
      <c r="J88" s="60"/>
      <c r="K88" s="51"/>
      <c r="L88" s="41"/>
      <c r="M88" s="1322"/>
      <c r="N88" s="132"/>
      <c r="O88" s="41"/>
      <c r="P88" s="132"/>
      <c r="Q88" s="62"/>
      <c r="R88" s="21"/>
      <c r="S88" s="37"/>
      <c r="T88" s="36"/>
      <c r="U88" s="151">
        <f t="shared" si="43"/>
        <v>0</v>
      </c>
      <c r="V88" s="132"/>
      <c r="W88" s="41"/>
      <c r="X88" s="132"/>
      <c r="Y88" s="62"/>
    </row>
    <row r="89" spans="1:25" s="38" customFormat="1" outlineLevel="1">
      <c r="A89" s="57">
        <v>525020</v>
      </c>
      <c r="B89" s="765" t="e">
        <f>VLOOKUP(A89,'Income Statement'!$A$6:$B$254,2,FALSE)</f>
        <v>#N/A</v>
      </c>
      <c r="C89" s="1413">
        <v>0</v>
      </c>
      <c r="D89" s="147">
        <v>0</v>
      </c>
      <c r="E89" s="2029">
        <v>0</v>
      </c>
      <c r="F89" s="2030">
        <v>0</v>
      </c>
      <c r="G89" s="2021"/>
      <c r="H89" s="1385"/>
      <c r="I89" s="42">
        <f t="shared" ref="I89:I97" si="44">SUM(D89:H89)</f>
        <v>0</v>
      </c>
      <c r="J89" s="60"/>
      <c r="K89" s="51">
        <f t="shared" ref="K89:K97" si="45">I89-L89</f>
        <v>0</v>
      </c>
      <c r="L89" s="41">
        <f t="shared" ref="L89:L97" si="46">I89*VLOOKUP($R89,$K$3:$L$6,2,FALSE)</f>
        <v>0</v>
      </c>
      <c r="M89" s="1322"/>
      <c r="N89" s="1025">
        <f t="shared" ref="N89:N98" si="47">L89*VLOOKUP($S89,$K$2:$Q$6,4,FALSE)</f>
        <v>0</v>
      </c>
      <c r="O89" s="1030">
        <f t="shared" ref="O89:O98" si="48">L89*VLOOKUP($S89,$K$2:$Q$6,5,FALSE)</f>
        <v>0</v>
      </c>
      <c r="P89" s="1025">
        <f t="shared" ref="P89:P98" si="49">L89*VLOOKUP($S89,$K$2:$Q$6,6,FALSE)</f>
        <v>0</v>
      </c>
      <c r="Q89" s="62">
        <f t="shared" ref="Q89:Q97" si="50">L89-N89-O89-P89</f>
        <v>0</v>
      </c>
      <c r="R89" s="21" t="s">
        <v>344</v>
      </c>
      <c r="S89" s="37" t="s">
        <v>344</v>
      </c>
      <c r="T89" s="36" t="s">
        <v>13</v>
      </c>
      <c r="U89" s="151">
        <f t="shared" si="43"/>
        <v>0</v>
      </c>
      <c r="V89" s="132">
        <f t="shared" ref="V89:V97" si="51">N89</f>
        <v>0</v>
      </c>
      <c r="W89" s="41">
        <f t="shared" ref="W89:W97" si="52">O89</f>
        <v>0</v>
      </c>
      <c r="X89" s="132">
        <f t="shared" ref="X89:X97" si="53">P89</f>
        <v>0</v>
      </c>
      <c r="Y89" s="62">
        <f t="shared" ref="Y89:Y97" si="54">Q89</f>
        <v>0</v>
      </c>
    </row>
    <row r="90" spans="1:25" s="38" customFormat="1" outlineLevel="1">
      <c r="A90" s="54">
        <v>525030</v>
      </c>
      <c r="B90" s="765" t="str">
        <f>VLOOKUP(A90,'Income Statement'!$A$6:$B$254,2,FALSE)</f>
        <v>CShop Support</v>
      </c>
      <c r="C90" s="1413">
        <v>0</v>
      </c>
      <c r="D90" s="147">
        <v>35783</v>
      </c>
      <c r="E90" s="2029">
        <v>0</v>
      </c>
      <c r="F90" s="2030">
        <v>0</v>
      </c>
      <c r="G90" s="2021"/>
      <c r="H90" s="1385"/>
      <c r="I90" s="42">
        <f>SUM(D90:H90)</f>
        <v>35783</v>
      </c>
      <c r="J90" s="60"/>
      <c r="K90" s="51">
        <f>I90-L90</f>
        <v>29412.368229349555</v>
      </c>
      <c r="L90" s="41">
        <f>I90*VLOOKUP($R90,$K$3:$L$6,2,FALSE)</f>
        <v>6370.631770650446</v>
      </c>
      <c r="M90" s="1322"/>
      <c r="N90" s="1025">
        <f t="shared" si="47"/>
        <v>2293.8448486219145</v>
      </c>
      <c r="O90" s="1030">
        <f t="shared" si="48"/>
        <v>1570.6160763704968</v>
      </c>
      <c r="P90" s="1025">
        <f t="shared" si="49"/>
        <v>101.79721823797932</v>
      </c>
      <c r="Q90" s="62">
        <f>L90-N90-O90-P90</f>
        <v>2404.3736274200551</v>
      </c>
      <c r="R90" s="21" t="s">
        <v>344</v>
      </c>
      <c r="S90" s="37" t="s">
        <v>344</v>
      </c>
      <c r="T90" s="36" t="s">
        <v>13</v>
      </c>
      <c r="U90" s="151">
        <f t="shared" si="43"/>
        <v>1.2789769243681803E-13</v>
      </c>
      <c r="V90" s="132">
        <f t="shared" ref="V90:Y91" si="55">N90</f>
        <v>2293.8448486219145</v>
      </c>
      <c r="W90" s="41">
        <f t="shared" si="55"/>
        <v>1570.6160763704968</v>
      </c>
      <c r="X90" s="132">
        <f t="shared" si="55"/>
        <v>101.79721823797932</v>
      </c>
      <c r="Y90" s="62">
        <f t="shared" si="55"/>
        <v>2404.3736274200551</v>
      </c>
    </row>
    <row r="91" spans="1:25" s="38" customFormat="1" outlineLevel="1">
      <c r="A91" s="54">
        <v>525055</v>
      </c>
      <c r="B91" s="765" t="e">
        <f>VLOOKUP(A91,'Income Statement'!$A$6:$B$254,2,FALSE)</f>
        <v>#N/A</v>
      </c>
      <c r="C91" s="1413">
        <v>0</v>
      </c>
      <c r="D91" s="147">
        <v>0</v>
      </c>
      <c r="E91" s="2029">
        <v>0</v>
      </c>
      <c r="F91" s="2030">
        <v>0</v>
      </c>
      <c r="G91" s="2021"/>
      <c r="H91" s="1385"/>
      <c r="I91" s="42">
        <f>SUM(D91:H91)</f>
        <v>0</v>
      </c>
      <c r="J91" s="60"/>
      <c r="K91" s="51">
        <f>I91-L91</f>
        <v>0</v>
      </c>
      <c r="L91" s="41">
        <f>I91*VLOOKUP($R91,$K$3:$L$6,2,FALSE)</f>
        <v>0</v>
      </c>
      <c r="M91" s="1322"/>
      <c r="N91" s="1025">
        <f t="shared" si="47"/>
        <v>0</v>
      </c>
      <c r="O91" s="1030">
        <f t="shared" si="48"/>
        <v>0</v>
      </c>
      <c r="P91" s="1025">
        <f t="shared" si="49"/>
        <v>0</v>
      </c>
      <c r="Q91" s="62">
        <f>L91-N91-O91-P91</f>
        <v>0</v>
      </c>
      <c r="R91" s="21" t="s">
        <v>344</v>
      </c>
      <c r="S91" s="37" t="s">
        <v>344</v>
      </c>
      <c r="T91" s="36" t="s">
        <v>13</v>
      </c>
      <c r="U91" s="151">
        <f t="shared" si="43"/>
        <v>0</v>
      </c>
      <c r="V91" s="132">
        <f t="shared" si="55"/>
        <v>0</v>
      </c>
      <c r="W91" s="41">
        <f t="shared" si="55"/>
        <v>0</v>
      </c>
      <c r="X91" s="132">
        <f t="shared" si="55"/>
        <v>0</v>
      </c>
      <c r="Y91" s="62">
        <f t="shared" si="55"/>
        <v>0</v>
      </c>
    </row>
    <row r="92" spans="1:25" s="38" customFormat="1" outlineLevel="1">
      <c r="A92" s="57">
        <v>525170</v>
      </c>
      <c r="B92" s="765" t="str">
        <f>VLOOKUP(A92,'Income Statement'!$A$6:$B$254,2,FALSE)</f>
        <v>CShop Payroll Tax</v>
      </c>
      <c r="C92" s="1413">
        <v>0</v>
      </c>
      <c r="D92" s="147">
        <v>7282</v>
      </c>
      <c r="E92" s="2029">
        <v>0</v>
      </c>
      <c r="F92" s="2030">
        <v>0</v>
      </c>
      <c r="G92" s="2021"/>
      <c r="H92" s="1385"/>
      <c r="I92" s="42">
        <f t="shared" si="44"/>
        <v>7282</v>
      </c>
      <c r="J92" s="60"/>
      <c r="K92" s="51">
        <f t="shared" si="45"/>
        <v>5985.5480380662175</v>
      </c>
      <c r="L92" s="41">
        <f t="shared" si="46"/>
        <v>1296.4519619337827</v>
      </c>
      <c r="M92" s="1322"/>
      <c r="N92" s="1025">
        <f t="shared" si="47"/>
        <v>466.80765133344835</v>
      </c>
      <c r="O92" s="1030">
        <f t="shared" si="48"/>
        <v>319.62737244305839</v>
      </c>
      <c r="P92" s="1025">
        <f t="shared" si="49"/>
        <v>20.716187664783988</v>
      </c>
      <c r="Q92" s="62">
        <f t="shared" si="50"/>
        <v>489.300750492492</v>
      </c>
      <c r="R92" s="21" t="s">
        <v>344</v>
      </c>
      <c r="S92" s="37" t="s">
        <v>344</v>
      </c>
      <c r="T92" s="36" t="s">
        <v>13</v>
      </c>
      <c r="U92" s="151">
        <f t="shared" si="43"/>
        <v>0</v>
      </c>
      <c r="V92" s="132">
        <f t="shared" si="51"/>
        <v>466.80765133344835</v>
      </c>
      <c r="W92" s="41">
        <f t="shared" si="52"/>
        <v>319.62737244305839</v>
      </c>
      <c r="X92" s="132">
        <f t="shared" si="53"/>
        <v>20.716187664783988</v>
      </c>
      <c r="Y92" s="62">
        <f t="shared" si="54"/>
        <v>489.300750492492</v>
      </c>
    </row>
    <row r="93" spans="1:25" s="38" customFormat="1" outlineLevel="1">
      <c r="A93" s="57">
        <v>525173</v>
      </c>
      <c r="B93" s="765" t="str">
        <f>VLOOKUP(A93,'Income Statement'!$A$6:$B$254,2,FALSE)</f>
        <v>CShop Holiday Pay</v>
      </c>
      <c r="C93" s="1413">
        <v>0</v>
      </c>
      <c r="D93" s="147">
        <v>1045</v>
      </c>
      <c r="E93" s="2029">
        <v>0</v>
      </c>
      <c r="F93" s="2030">
        <v>0</v>
      </c>
      <c r="G93" s="2021"/>
      <c r="H93" s="1385"/>
      <c r="I93" s="42">
        <f t="shared" si="44"/>
        <v>1045</v>
      </c>
      <c r="J93" s="60"/>
      <c r="K93" s="51">
        <f t="shared" si="45"/>
        <v>858.95326830255385</v>
      </c>
      <c r="L93" s="41">
        <f t="shared" si="46"/>
        <v>186.04673169744618</v>
      </c>
      <c r="M93" s="1322"/>
      <c r="N93" s="1025">
        <f t="shared" si="47"/>
        <v>66.989013408878535</v>
      </c>
      <c r="O93" s="1030">
        <f t="shared" si="48"/>
        <v>45.867976407991762</v>
      </c>
      <c r="P93" s="1025">
        <f t="shared" si="49"/>
        <v>2.9728668099010256</v>
      </c>
      <c r="Q93" s="62">
        <f t="shared" si="50"/>
        <v>70.21687507067486</v>
      </c>
      <c r="R93" s="21" t="s">
        <v>344</v>
      </c>
      <c r="S93" s="37" t="s">
        <v>344</v>
      </c>
      <c r="T93" s="36" t="s">
        <v>13</v>
      </c>
      <c r="U93" s="151">
        <f t="shared" si="43"/>
        <v>-4.8849813083506888E-15</v>
      </c>
      <c r="V93" s="132">
        <f t="shared" si="51"/>
        <v>66.989013408878535</v>
      </c>
      <c r="W93" s="41">
        <f t="shared" si="52"/>
        <v>45.867976407991762</v>
      </c>
      <c r="X93" s="132">
        <f t="shared" si="53"/>
        <v>2.9728668099010256</v>
      </c>
      <c r="Y93" s="62">
        <f t="shared" si="54"/>
        <v>70.21687507067486</v>
      </c>
    </row>
    <row r="94" spans="1:25" s="38" customFormat="1" outlineLevel="1">
      <c r="A94" s="57">
        <v>525174</v>
      </c>
      <c r="B94" s="765" t="str">
        <f>VLOOKUP(A94,'Income Statement'!$A$6:$B$254,2,FALSE)</f>
        <v>CShop Vacation/Sick</v>
      </c>
      <c r="C94" s="1413"/>
      <c r="D94" s="147">
        <v>1066</v>
      </c>
      <c r="E94" s="2029">
        <v>0</v>
      </c>
      <c r="F94" s="2030">
        <v>0</v>
      </c>
      <c r="G94" s="2021"/>
      <c r="H94" s="1385"/>
      <c r="I94" s="42">
        <f>SUM(D94:H94)</f>
        <v>1066</v>
      </c>
      <c r="J94" s="60"/>
      <c r="K94" s="51">
        <f>I94-L94</f>
        <v>876.21453015360999</v>
      </c>
      <c r="L94" s="41">
        <f>I94*VLOOKUP($R94,$K$3:$L$6,2,FALSE)</f>
        <v>189.78546984639007</v>
      </c>
      <c r="M94" s="1322"/>
      <c r="N94" s="1025">
        <f t="shared" si="47"/>
        <v>68.335204108961264</v>
      </c>
      <c r="O94" s="1030">
        <f t="shared" si="48"/>
        <v>46.789725216190639</v>
      </c>
      <c r="P94" s="1025">
        <f t="shared" si="49"/>
        <v>3.0326086309612377</v>
      </c>
      <c r="Q94" s="62">
        <f>L94-N94-O94-P94</f>
        <v>71.62793189027694</v>
      </c>
      <c r="R94" s="21" t="s">
        <v>344</v>
      </c>
      <c r="S94" s="37" t="s">
        <v>344</v>
      </c>
      <c r="T94" s="36" t="s">
        <v>13</v>
      </c>
      <c r="U94" s="151">
        <f>L94-N94-O94-Q94-P94</f>
        <v>0</v>
      </c>
      <c r="V94" s="132">
        <f t="shared" ref="V94:Y95" si="56">N94</f>
        <v>68.335204108961264</v>
      </c>
      <c r="W94" s="41">
        <f t="shared" si="56"/>
        <v>46.789725216190639</v>
      </c>
      <c r="X94" s="132">
        <f t="shared" si="56"/>
        <v>3.0326086309612377</v>
      </c>
      <c r="Y94" s="62">
        <f t="shared" si="56"/>
        <v>71.62793189027694</v>
      </c>
    </row>
    <row r="95" spans="1:25" s="38" customFormat="1" outlineLevel="1">
      <c r="A95" s="57">
        <v>525175</v>
      </c>
      <c r="B95" s="765" t="str">
        <f>VLOOKUP(A95,'Income Statement'!$A$6:$B$254,2,FALSE)</f>
        <v>CShop Benefits Non-Corp</v>
      </c>
      <c r="C95" s="1413"/>
      <c r="D95" s="147">
        <v>19925</v>
      </c>
      <c r="E95" s="2029">
        <v>0</v>
      </c>
      <c r="F95" s="2030">
        <v>0</v>
      </c>
      <c r="G95" s="2021"/>
      <c r="H95" s="1385"/>
      <c r="I95" s="42">
        <f>SUM(D95:H95)</f>
        <v>19925</v>
      </c>
      <c r="J95" s="60"/>
      <c r="K95" s="51">
        <f>I95-L95</f>
        <v>16377.649637252043</v>
      </c>
      <c r="L95" s="41">
        <f>I95*VLOOKUP($R95,$K$3:$L$6,2,FALSE)</f>
        <v>3547.3503627479572</v>
      </c>
      <c r="M95" s="1322"/>
      <c r="N95" s="1025">
        <f>L95*VLOOKUP($S95,$K$2:$Q$6,4,FALSE)</f>
        <v>1277.2785571023014</v>
      </c>
      <c r="O95" s="1030">
        <f>L95*VLOOKUP($S95,$K$2:$Q$6,5,FALSE)</f>
        <v>874.56404777917317</v>
      </c>
      <c r="P95" s="1025">
        <f>L95*VLOOKUP($S95,$K$2:$Q$6,6,FALSE)</f>
        <v>56.683608791653526</v>
      </c>
      <c r="Q95" s="62">
        <f>L95-N95-O95-P95</f>
        <v>1338.8241490748292</v>
      </c>
      <c r="R95" s="21" t="s">
        <v>344</v>
      </c>
      <c r="S95" s="37" t="s">
        <v>344</v>
      </c>
      <c r="T95" s="36" t="s">
        <v>13</v>
      </c>
      <c r="U95" s="151">
        <f>L95-N95-O95-Q95-P95</f>
        <v>0</v>
      </c>
      <c r="V95" s="132">
        <f t="shared" si="56"/>
        <v>1277.2785571023014</v>
      </c>
      <c r="W95" s="41">
        <f t="shared" si="56"/>
        <v>874.56404777917317</v>
      </c>
      <c r="X95" s="132">
        <f t="shared" si="56"/>
        <v>56.683608791653526</v>
      </c>
      <c r="Y95" s="62">
        <f t="shared" si="56"/>
        <v>1338.8241490748292</v>
      </c>
    </row>
    <row r="96" spans="1:25" s="38" customFormat="1" outlineLevel="1">
      <c r="A96" s="57">
        <v>525176</v>
      </c>
      <c r="B96" s="765" t="e">
        <f>VLOOKUP(A96,'Income Statement'!$A$6:$B$254,2,FALSE)</f>
        <v>#N/A</v>
      </c>
      <c r="C96" s="1413"/>
      <c r="D96" s="147">
        <v>0</v>
      </c>
      <c r="E96" s="2029">
        <v>0</v>
      </c>
      <c r="F96" s="2030">
        <v>0</v>
      </c>
      <c r="G96" s="2021"/>
      <c r="H96" s="1385"/>
      <c r="I96" s="42">
        <f t="shared" si="44"/>
        <v>0</v>
      </c>
      <c r="J96" s="60"/>
      <c r="K96" s="51">
        <f t="shared" si="45"/>
        <v>0</v>
      </c>
      <c r="L96" s="41">
        <f t="shared" si="46"/>
        <v>0</v>
      </c>
      <c r="M96" s="1322"/>
      <c r="N96" s="1025">
        <f t="shared" si="47"/>
        <v>0</v>
      </c>
      <c r="O96" s="1030">
        <f t="shared" si="48"/>
        <v>0</v>
      </c>
      <c r="P96" s="1025">
        <f t="shared" si="49"/>
        <v>0</v>
      </c>
      <c r="Q96" s="62">
        <f t="shared" si="50"/>
        <v>0</v>
      </c>
      <c r="R96" s="21" t="s">
        <v>344</v>
      </c>
      <c r="S96" s="37" t="s">
        <v>344</v>
      </c>
      <c r="T96" s="36" t="s">
        <v>13</v>
      </c>
      <c r="U96" s="151">
        <f t="shared" si="43"/>
        <v>0</v>
      </c>
      <c r="V96" s="132">
        <f t="shared" si="51"/>
        <v>0</v>
      </c>
      <c r="W96" s="41">
        <f t="shared" si="52"/>
        <v>0</v>
      </c>
      <c r="X96" s="132">
        <f t="shared" si="53"/>
        <v>0</v>
      </c>
      <c r="Y96" s="62">
        <f t="shared" si="54"/>
        <v>0</v>
      </c>
    </row>
    <row r="97" spans="1:25" s="38" customFormat="1" outlineLevel="1">
      <c r="A97" s="57">
        <v>525998</v>
      </c>
      <c r="B97" s="765" t="e">
        <f>VLOOKUP(A97,'Income Statement'!$A$6:$B$254,2,FALSE)</f>
        <v>#N/A</v>
      </c>
      <c r="C97" s="1413"/>
      <c r="D97" s="147">
        <v>0</v>
      </c>
      <c r="E97" s="2029">
        <v>0</v>
      </c>
      <c r="F97" s="2030">
        <v>0</v>
      </c>
      <c r="G97" s="2021"/>
      <c r="H97" s="1385">
        <f>'Adj - Proforma'!L97</f>
        <v>0</v>
      </c>
      <c r="I97" s="42">
        <f t="shared" si="44"/>
        <v>0</v>
      </c>
      <c r="J97" s="60"/>
      <c r="K97" s="51">
        <f t="shared" si="45"/>
        <v>0</v>
      </c>
      <c r="L97" s="41">
        <f t="shared" si="46"/>
        <v>0</v>
      </c>
      <c r="M97" s="1322"/>
      <c r="N97" s="1025">
        <f t="shared" si="47"/>
        <v>0</v>
      </c>
      <c r="O97" s="1030">
        <f t="shared" si="48"/>
        <v>0</v>
      </c>
      <c r="P97" s="1025">
        <f t="shared" si="49"/>
        <v>0</v>
      </c>
      <c r="Q97" s="41">
        <f t="shared" si="50"/>
        <v>0</v>
      </c>
      <c r="R97" s="21" t="s">
        <v>344</v>
      </c>
      <c r="S97" s="37" t="s">
        <v>344</v>
      </c>
      <c r="T97" s="36" t="s">
        <v>13</v>
      </c>
      <c r="U97" s="151">
        <f t="shared" si="43"/>
        <v>0</v>
      </c>
      <c r="V97" s="132">
        <f t="shared" si="51"/>
        <v>0</v>
      </c>
      <c r="W97" s="41">
        <f t="shared" si="52"/>
        <v>0</v>
      </c>
      <c r="X97" s="132">
        <f t="shared" si="53"/>
        <v>0</v>
      </c>
      <c r="Y97" s="62">
        <f t="shared" si="54"/>
        <v>0</v>
      </c>
    </row>
    <row r="98" spans="1:25" s="38" customFormat="1" outlineLevel="1">
      <c r="A98" s="54">
        <v>525999</v>
      </c>
      <c r="B98" s="765" t="str">
        <f>VLOOKUP(A98,'Income Statement'!$A$6:$B$254,2,FALSE)</f>
        <v>CShop Labor Alloc-Out</v>
      </c>
      <c r="C98" s="1413"/>
      <c r="D98" s="147">
        <v>-65102</v>
      </c>
      <c r="E98" s="2029">
        <v>0</v>
      </c>
      <c r="F98" s="2030">
        <v>0</v>
      </c>
      <c r="G98" s="2021"/>
      <c r="H98" s="1385">
        <f>'Adj - Proforma'!L98</f>
        <v>0</v>
      </c>
      <c r="I98" s="42">
        <f>SUM(D98:H98)</f>
        <v>-65102</v>
      </c>
      <c r="J98" s="60"/>
      <c r="K98" s="51">
        <f>I98-L98</f>
        <v>-53511.555667974026</v>
      </c>
      <c r="L98" s="41">
        <f>I98*VLOOKUP($R98,$K$3:$L$6,2,FALSE)</f>
        <v>-11590.444332025972</v>
      </c>
      <c r="M98" s="1322"/>
      <c r="N98" s="1025">
        <f t="shared" si="47"/>
        <v>-4173.3193788945555</v>
      </c>
      <c r="O98" s="1030">
        <f t="shared" si="48"/>
        <v>-2857.5090910173012</v>
      </c>
      <c r="P98" s="1025">
        <f t="shared" si="49"/>
        <v>-185.20533498390103</v>
      </c>
      <c r="Q98" s="41">
        <f>L98-N98-O98-P98</f>
        <v>-4374.4105271302151</v>
      </c>
      <c r="R98" s="21" t="s">
        <v>344</v>
      </c>
      <c r="S98" s="37" t="s">
        <v>344</v>
      </c>
      <c r="T98" s="36" t="s">
        <v>13</v>
      </c>
      <c r="U98" s="151">
        <f t="shared" si="43"/>
        <v>3.4106051316484809E-13</v>
      </c>
      <c r="V98" s="132">
        <f>N98</f>
        <v>-4173.3193788945555</v>
      </c>
      <c r="W98" s="41">
        <f>O98</f>
        <v>-2857.5090910173012</v>
      </c>
      <c r="X98" s="132">
        <f>P98</f>
        <v>-185.20533498390103</v>
      </c>
      <c r="Y98" s="62">
        <f>Q98</f>
        <v>-4374.4105271302151</v>
      </c>
    </row>
    <row r="99" spans="1:25" s="38" customFormat="1" outlineLevel="1">
      <c r="A99" s="57"/>
      <c r="B99" s="765"/>
      <c r="C99" s="1413"/>
      <c r="D99" s="147"/>
      <c r="E99" s="2029">
        <v>0</v>
      </c>
      <c r="F99" s="2030"/>
      <c r="G99" s="2021"/>
      <c r="H99" s="1385"/>
      <c r="I99" s="42"/>
      <c r="J99" s="60"/>
      <c r="K99" s="51"/>
      <c r="L99" s="41"/>
      <c r="M99" s="1322"/>
      <c r="N99" s="132"/>
      <c r="O99" s="41"/>
      <c r="P99" s="132"/>
      <c r="Q99" s="41"/>
      <c r="R99" s="21"/>
      <c r="S99" s="37"/>
      <c r="T99" s="36"/>
      <c r="U99" s="151">
        <f t="shared" si="43"/>
        <v>0</v>
      </c>
      <c r="V99" s="132"/>
      <c r="W99" s="41"/>
      <c r="X99" s="132"/>
      <c r="Y99" s="62"/>
    </row>
    <row r="100" spans="1:25" s="38" customFormat="1" outlineLevel="1">
      <c r="A100" s="57">
        <v>530010</v>
      </c>
      <c r="B100" s="1398" t="str">
        <f>VLOOKUP(A100,'Income Statement'!$A$6:$B$254,2,FALSE)</f>
        <v>Fuel</v>
      </c>
      <c r="C100" s="1413">
        <v>1615668</v>
      </c>
      <c r="D100" s="147">
        <v>1452791</v>
      </c>
      <c r="E100" s="2029">
        <v>0</v>
      </c>
      <c r="F100" s="2030"/>
      <c r="G100" s="2021"/>
      <c r="H100" s="1385">
        <f>'Staff Fuel Summary'!D31-Proforma!D100</f>
        <v>-47357.583777706372</v>
      </c>
      <c r="I100" s="42">
        <f t="shared" ref="I100:I112" si="57">SUM(D100:H100)</f>
        <v>1405433.4162222936</v>
      </c>
      <c r="J100" s="60"/>
      <c r="K100" s="51">
        <f t="shared" ref="K100:K112" si="58">I100-L100</f>
        <v>1203825.5539895126</v>
      </c>
      <c r="L100" s="41">
        <f t="shared" ref="L100:L108" si="59">I100*VLOOKUP($R100,$K$3:$L$6,2,FALSE)</f>
        <v>201607.8622327811</v>
      </c>
      <c r="M100" s="1322"/>
      <c r="N100" s="1025">
        <f t="shared" ref="N100:N107" si="60">L100*VLOOKUP($S100,$K$2:$Q$6,4,FALSE)</f>
        <v>52744.430512303414</v>
      </c>
      <c r="O100" s="1030">
        <f t="shared" ref="O100:O107" si="61">L100*VLOOKUP($S100,$K$2:$Q$6,5,FALSE)</f>
        <v>42247.474251670064</v>
      </c>
      <c r="P100" s="1025">
        <f t="shared" ref="P100:P107" si="62">L100*VLOOKUP($S100,$K$2:$Q$6,6,FALSE)</f>
        <v>9339.4851960792039</v>
      </c>
      <c r="Q100" s="41">
        <f t="shared" ref="Q100:Q112" si="63">L100-N100-O100-P100</f>
        <v>97276.472272728439</v>
      </c>
      <c r="R100" s="21" t="s">
        <v>10</v>
      </c>
      <c r="S100" s="36" t="s">
        <v>10</v>
      </c>
      <c r="T100" s="36" t="s">
        <v>13</v>
      </c>
      <c r="U100" s="151">
        <f t="shared" si="43"/>
        <v>0</v>
      </c>
      <c r="V100" s="132">
        <f t="shared" ref="V100:V113" si="64">N100</f>
        <v>52744.430512303414</v>
      </c>
      <c r="W100" s="41">
        <f t="shared" ref="W100:W113" si="65">O100</f>
        <v>42247.474251670064</v>
      </c>
      <c r="X100" s="132">
        <f t="shared" ref="X100:X113" si="66">P100</f>
        <v>9339.4851960792039</v>
      </c>
      <c r="Y100" s="62">
        <f t="shared" ref="Y100:Y113" si="67">Q100</f>
        <v>97276.472272728439</v>
      </c>
    </row>
    <row r="101" spans="1:25" s="38" customFormat="1" outlineLevel="1">
      <c r="A101" s="57">
        <v>530015</v>
      </c>
      <c r="B101" s="765" t="str">
        <f>VLOOKUP(A101,'Income Statement'!$A$6:$B$254,2,FALSE)</f>
        <v>Oil/Lubricants</v>
      </c>
      <c r="C101" s="1413">
        <v>130266</v>
      </c>
      <c r="D101" s="147">
        <v>128378</v>
      </c>
      <c r="E101" s="2029">
        <v>0</v>
      </c>
      <c r="F101" s="2030">
        <v>0</v>
      </c>
      <c r="G101" s="2021"/>
      <c r="H101" s="1385">
        <f>'Adj - Proforma'!L101</f>
        <v>0</v>
      </c>
      <c r="I101" s="42">
        <f t="shared" si="57"/>
        <v>128378</v>
      </c>
      <c r="J101" s="60"/>
      <c r="K101" s="51">
        <f t="shared" si="58"/>
        <v>109962.31851770751</v>
      </c>
      <c r="L101" s="41">
        <f t="shared" si="59"/>
        <v>18415.681482292493</v>
      </c>
      <c r="M101" s="1322"/>
      <c r="N101" s="1025">
        <f t="shared" si="60"/>
        <v>4817.8906393936923</v>
      </c>
      <c r="O101" s="1030">
        <f t="shared" si="61"/>
        <v>3859.0559943133271</v>
      </c>
      <c r="P101" s="1025">
        <f t="shared" si="62"/>
        <v>853.10653401499576</v>
      </c>
      <c r="Q101" s="41">
        <f t="shared" si="63"/>
        <v>8885.6283145704783</v>
      </c>
      <c r="R101" s="21" t="s">
        <v>10</v>
      </c>
      <c r="S101" s="36" t="s">
        <v>10</v>
      </c>
      <c r="T101" s="36" t="s">
        <v>13</v>
      </c>
      <c r="U101" s="151">
        <f t="shared" si="43"/>
        <v>0</v>
      </c>
      <c r="V101" s="132">
        <f t="shared" si="64"/>
        <v>4817.8906393936923</v>
      </c>
      <c r="W101" s="41">
        <f t="shared" si="65"/>
        <v>3859.0559943133271</v>
      </c>
      <c r="X101" s="132">
        <f t="shared" si="66"/>
        <v>853.10653401499576</v>
      </c>
      <c r="Y101" s="62">
        <f t="shared" si="67"/>
        <v>8885.6283145704783</v>
      </c>
    </row>
    <row r="102" spans="1:25" s="38" customFormat="1" outlineLevel="1">
      <c r="A102" s="57">
        <v>530030</v>
      </c>
      <c r="B102" s="765" t="str">
        <f>VLOOKUP(A102,'Income Statement'!$A$6:$B$254,2,FALSE)</f>
        <v>Truck/Equip Licenses</v>
      </c>
      <c r="C102" s="1413">
        <v>107433</v>
      </c>
      <c r="D102" s="147">
        <v>104345</v>
      </c>
      <c r="E102" s="2029">
        <v>0</v>
      </c>
      <c r="F102" s="2030">
        <v>0</v>
      </c>
      <c r="G102" s="2021"/>
      <c r="H102" s="1385">
        <f>'Adj - Proforma'!L102</f>
        <v>0</v>
      </c>
      <c r="I102" s="42">
        <f t="shared" si="57"/>
        <v>104345</v>
      </c>
      <c r="J102" s="60"/>
      <c r="K102" s="51">
        <f t="shared" si="58"/>
        <v>89376.825668963458</v>
      </c>
      <c r="L102" s="41">
        <f t="shared" si="59"/>
        <v>14968.174331036549</v>
      </c>
      <c r="M102" s="1322"/>
      <c r="N102" s="1025">
        <f t="shared" si="60"/>
        <v>3915.9575532220065</v>
      </c>
      <c r="O102" s="1030">
        <f t="shared" si="61"/>
        <v>3136.6215218076627</v>
      </c>
      <c r="P102" s="1025">
        <f t="shared" si="62"/>
        <v>693.40074850671249</v>
      </c>
      <c r="Q102" s="41">
        <f t="shared" si="63"/>
        <v>7222.1945075001677</v>
      </c>
      <c r="R102" s="21" t="s">
        <v>10</v>
      </c>
      <c r="S102" s="36" t="s">
        <v>10</v>
      </c>
      <c r="T102" s="36" t="s">
        <v>13</v>
      </c>
      <c r="U102" s="151">
        <f t="shared" si="43"/>
        <v>0</v>
      </c>
      <c r="V102" s="132">
        <f t="shared" si="64"/>
        <v>3915.9575532220065</v>
      </c>
      <c r="W102" s="41">
        <f t="shared" si="65"/>
        <v>3136.6215218076627</v>
      </c>
      <c r="X102" s="132">
        <f t="shared" si="66"/>
        <v>693.40074850671249</v>
      </c>
      <c r="Y102" s="62">
        <f t="shared" si="67"/>
        <v>7222.1945075001677</v>
      </c>
    </row>
    <row r="103" spans="1:25" s="38" customFormat="1" outlineLevel="1">
      <c r="A103" s="57">
        <v>530050</v>
      </c>
      <c r="B103" s="765" t="str">
        <f>VLOOKUP(A103,'Income Statement'!$A$6:$B$254,2,FALSE)</f>
        <v>Tolls</v>
      </c>
      <c r="C103" s="1413">
        <v>1611</v>
      </c>
      <c r="D103" s="147">
        <v>3332</v>
      </c>
      <c r="E103" s="2029">
        <v>0</v>
      </c>
      <c r="F103" s="2030">
        <v>0</v>
      </c>
      <c r="G103" s="2021"/>
      <c r="H103" s="1385">
        <f>'Adj - Proforma'!L103</f>
        <v>0</v>
      </c>
      <c r="I103" s="42">
        <f t="shared" si="57"/>
        <v>3332</v>
      </c>
      <c r="J103" s="60"/>
      <c r="K103" s="51">
        <f t="shared" si="58"/>
        <v>2854.0283015859527</v>
      </c>
      <c r="L103" s="41">
        <f>I103*VLOOKUP($R103,$K$3:$L$6,2,FALSE)</f>
        <v>477.97169841404747</v>
      </c>
      <c r="M103" s="1322"/>
      <c r="N103" s="1025">
        <f t="shared" si="60"/>
        <v>125.0464379446617</v>
      </c>
      <c r="O103" s="1030">
        <f t="shared" si="61"/>
        <v>100.16026556771413</v>
      </c>
      <c r="P103" s="1025">
        <f t="shared" si="62"/>
        <v>22.142041248017307</v>
      </c>
      <c r="Q103" s="41">
        <f t="shared" si="63"/>
        <v>230.62295365365432</v>
      </c>
      <c r="R103" s="21" t="s">
        <v>10</v>
      </c>
      <c r="S103" s="36" t="s">
        <v>10</v>
      </c>
      <c r="T103" s="36" t="s">
        <v>13</v>
      </c>
      <c r="U103" s="151">
        <f>L103-N103-O103-Q103-P103</f>
        <v>0</v>
      </c>
      <c r="V103" s="132">
        <f t="shared" si="64"/>
        <v>125.0464379446617</v>
      </c>
      <c r="W103" s="41">
        <f t="shared" si="65"/>
        <v>100.16026556771413</v>
      </c>
      <c r="X103" s="132">
        <f t="shared" si="66"/>
        <v>22.142041248017307</v>
      </c>
      <c r="Y103" s="62">
        <f t="shared" si="67"/>
        <v>230.62295365365432</v>
      </c>
    </row>
    <row r="104" spans="1:25" s="38" customFormat="1" outlineLevel="1">
      <c r="A104" s="57">
        <v>530060</v>
      </c>
      <c r="B104" s="765" t="str">
        <f>VLOOKUP(A104,'Income Statement'!$A$6:$B$254,2,FALSE)</f>
        <v>Equip Rental-3rd Party</v>
      </c>
      <c r="C104" s="1413"/>
      <c r="D104" s="147">
        <v>1259</v>
      </c>
      <c r="E104" s="2029">
        <v>0</v>
      </c>
      <c r="F104" s="2030">
        <v>0</v>
      </c>
      <c r="G104" s="2021"/>
      <c r="H104" s="1385">
        <f>'Adj - Proforma'!L104</f>
        <v>0</v>
      </c>
      <c r="I104" s="42">
        <f t="shared" si="57"/>
        <v>1259</v>
      </c>
      <c r="J104" s="60"/>
      <c r="K104" s="51">
        <f t="shared" si="58"/>
        <v>1078.3978486484737</v>
      </c>
      <c r="L104" s="41">
        <f>I104*VLOOKUP($R104,$K$3:$L$6,2,FALSE)</f>
        <v>180.60215135152635</v>
      </c>
      <c r="M104" s="1322"/>
      <c r="N104" s="1025">
        <f t="shared" si="60"/>
        <v>47.248939187373679</v>
      </c>
      <c r="O104" s="1030">
        <f t="shared" si="61"/>
        <v>37.845670573154891</v>
      </c>
      <c r="P104" s="1025">
        <f t="shared" si="62"/>
        <v>8.366395537591174</v>
      </c>
      <c r="Q104" s="41">
        <f t="shared" si="63"/>
        <v>87.141146053406601</v>
      </c>
      <c r="R104" s="21" t="s">
        <v>10</v>
      </c>
      <c r="S104" s="36" t="s">
        <v>10</v>
      </c>
      <c r="T104" s="36" t="s">
        <v>13</v>
      </c>
      <c r="U104" s="151">
        <f>L104-N104-O104-Q104-P104</f>
        <v>0</v>
      </c>
      <c r="V104" s="132">
        <f t="shared" si="64"/>
        <v>47.248939187373679</v>
      </c>
      <c r="W104" s="41">
        <f t="shared" si="65"/>
        <v>37.845670573154891</v>
      </c>
      <c r="X104" s="132">
        <f t="shared" si="66"/>
        <v>8.366395537591174</v>
      </c>
      <c r="Y104" s="62">
        <f t="shared" si="67"/>
        <v>87.141146053406601</v>
      </c>
    </row>
    <row r="105" spans="1:25" s="38" customFormat="1" outlineLevel="1">
      <c r="A105" s="57">
        <v>530064</v>
      </c>
      <c r="B105" s="765" t="str">
        <f>VLOOKUP(A105,'Income Statement'!$A$6:$B$254,2,FALSE)</f>
        <v>Truck/Equip Rental</v>
      </c>
      <c r="C105" s="1413"/>
      <c r="D105" s="147">
        <v>5971</v>
      </c>
      <c r="E105" s="2029">
        <v>0</v>
      </c>
      <c r="F105" s="2030">
        <v>0</v>
      </c>
      <c r="G105" s="2021"/>
      <c r="H105" s="1385">
        <f>'Adj - Proforma'!L105</f>
        <v>0</v>
      </c>
      <c r="I105" s="42">
        <f t="shared" si="57"/>
        <v>5971</v>
      </c>
      <c r="J105" s="60"/>
      <c r="K105" s="51">
        <f t="shared" si="58"/>
        <v>5114.4666833042384</v>
      </c>
      <c r="L105" s="41">
        <f>I105*VLOOKUP($R105,$K$3:$L$6,2,FALSE)</f>
        <v>856.53331669576153</v>
      </c>
      <c r="M105" s="1322"/>
      <c r="N105" s="1025">
        <f t="shared" si="60"/>
        <v>174.73279660593533</v>
      </c>
      <c r="O105" s="1030">
        <f t="shared" si="61"/>
        <v>146.46719715497522</v>
      </c>
      <c r="P105" s="1025">
        <f t="shared" si="62"/>
        <v>21.41333291739404</v>
      </c>
      <c r="Q105" s="41">
        <f t="shared" si="63"/>
        <v>513.91999001745694</v>
      </c>
      <c r="R105" s="21" t="s">
        <v>10</v>
      </c>
      <c r="S105" s="37" t="s">
        <v>14</v>
      </c>
      <c r="T105" s="36" t="s">
        <v>13</v>
      </c>
      <c r="U105" s="151">
        <f>L105-N105-O105-Q105-P105</f>
        <v>4.6185277824406512E-14</v>
      </c>
      <c r="V105" s="132">
        <f t="shared" si="64"/>
        <v>174.73279660593533</v>
      </c>
      <c r="W105" s="41">
        <f t="shared" si="65"/>
        <v>146.46719715497522</v>
      </c>
      <c r="X105" s="132">
        <f t="shared" si="66"/>
        <v>21.41333291739404</v>
      </c>
      <c r="Y105" s="62">
        <f t="shared" si="67"/>
        <v>513.91999001745694</v>
      </c>
    </row>
    <row r="106" spans="1:25" s="38" customFormat="1" outlineLevel="1">
      <c r="A106" s="57">
        <v>530065</v>
      </c>
      <c r="B106" s="765" t="str">
        <f>VLOOKUP(A106,'Income Statement'!$A$6:$B$254,2,FALSE)</f>
        <v>HENS Lease Expense</v>
      </c>
      <c r="C106" s="1413">
        <v>137726</v>
      </c>
      <c r="D106" s="147">
        <v>55730</v>
      </c>
      <c r="E106" s="2029">
        <v>0</v>
      </c>
      <c r="F106" s="2030">
        <v>0</v>
      </c>
      <c r="G106" s="2021"/>
      <c r="H106" s="1385">
        <f>'Adj - Proforma'!L106</f>
        <v>0</v>
      </c>
      <c r="I106" s="42">
        <f t="shared" si="57"/>
        <v>55730</v>
      </c>
      <c r="J106" s="60"/>
      <c r="K106" s="51">
        <f t="shared" si="58"/>
        <v>47735.593411580172</v>
      </c>
      <c r="L106" s="41">
        <f t="shared" si="59"/>
        <v>7994.406588419828</v>
      </c>
      <c r="M106" s="1322"/>
      <c r="N106" s="1025">
        <f t="shared" si="60"/>
        <v>1630.8589440376447</v>
      </c>
      <c r="O106" s="1030">
        <f t="shared" si="61"/>
        <v>1367.0435266197908</v>
      </c>
      <c r="P106" s="1025">
        <f t="shared" si="62"/>
        <v>199.86016471049572</v>
      </c>
      <c r="Q106" s="41">
        <f t="shared" si="63"/>
        <v>4796.6439530518965</v>
      </c>
      <c r="R106" s="21" t="s">
        <v>10</v>
      </c>
      <c r="S106" s="37" t="s">
        <v>14</v>
      </c>
      <c r="T106" s="36" t="s">
        <v>13</v>
      </c>
      <c r="U106" s="151">
        <f t="shared" si="43"/>
        <v>3.4106051316484809E-13</v>
      </c>
      <c r="V106" s="132">
        <f t="shared" si="64"/>
        <v>1630.8589440376447</v>
      </c>
      <c r="W106" s="41">
        <f t="shared" si="65"/>
        <v>1367.0435266197908</v>
      </c>
      <c r="X106" s="132">
        <f t="shared" si="66"/>
        <v>199.86016471049572</v>
      </c>
      <c r="Y106" s="62">
        <f t="shared" si="67"/>
        <v>4796.6439530518965</v>
      </c>
    </row>
    <row r="107" spans="1:25" s="38" customFormat="1" outlineLevel="1">
      <c r="A107" s="57">
        <v>530067</v>
      </c>
      <c r="B107" s="765" t="str">
        <f>VLOOKUP(A107,'Income Statement'!$A$6:$B$254,2,FALSE)</f>
        <v>Lease Sales Tax Expense</v>
      </c>
      <c r="C107" s="1413">
        <v>12664</v>
      </c>
      <c r="D107" s="147">
        <v>8556</v>
      </c>
      <c r="E107" s="2029">
        <v>0</v>
      </c>
      <c r="F107" s="2030">
        <v>0</v>
      </c>
      <c r="G107" s="2021"/>
      <c r="H107" s="1385">
        <f>'Adj - Proforma'!L107</f>
        <v>0</v>
      </c>
      <c r="I107" s="42">
        <f t="shared" si="57"/>
        <v>8556</v>
      </c>
      <c r="J107" s="60"/>
      <c r="K107" s="51">
        <f t="shared" si="58"/>
        <v>7328.6513050328358</v>
      </c>
      <c r="L107" s="41">
        <f t="shared" si="59"/>
        <v>1227.348694967164</v>
      </c>
      <c r="M107" s="1322"/>
      <c r="N107" s="1025">
        <f t="shared" si="60"/>
        <v>250.37913377330142</v>
      </c>
      <c r="O107" s="1030">
        <f t="shared" si="61"/>
        <v>209.87662683938507</v>
      </c>
      <c r="P107" s="1025">
        <f t="shared" si="62"/>
        <v>30.6837173741791</v>
      </c>
      <c r="Q107" s="41">
        <f t="shared" si="63"/>
        <v>736.40921698029842</v>
      </c>
      <c r="R107" s="21" t="s">
        <v>10</v>
      </c>
      <c r="S107" s="37" t="s">
        <v>14</v>
      </c>
      <c r="T107" s="36" t="s">
        <v>13</v>
      </c>
      <c r="U107" s="151">
        <f t="shared" si="43"/>
        <v>0</v>
      </c>
      <c r="V107" s="132">
        <f t="shared" si="64"/>
        <v>250.37913377330142</v>
      </c>
      <c r="W107" s="41">
        <f t="shared" si="65"/>
        <v>209.87662683938507</v>
      </c>
      <c r="X107" s="132">
        <f t="shared" si="66"/>
        <v>30.6837173741791</v>
      </c>
      <c r="Y107" s="62">
        <f t="shared" si="67"/>
        <v>736.40921698029842</v>
      </c>
    </row>
    <row r="108" spans="1:25" s="38" customFormat="1" outlineLevel="1">
      <c r="A108" s="57">
        <v>530068</v>
      </c>
      <c r="B108" s="765" t="str">
        <f>VLOOKUP(A108,'Income Statement'!$A$6:$B$254,2,FALSE)</f>
        <v>Lease Allocation</v>
      </c>
      <c r="C108" s="1413">
        <f>-C106</f>
        <v>-137726</v>
      </c>
      <c r="D108" s="147">
        <v>-55730</v>
      </c>
      <c r="E108" s="2029">
        <v>0</v>
      </c>
      <c r="F108" s="2030">
        <v>0</v>
      </c>
      <c r="G108" s="2021"/>
      <c r="H108" s="1385">
        <f>'Adj - Proforma'!L108</f>
        <v>0</v>
      </c>
      <c r="I108" s="42">
        <f t="shared" si="57"/>
        <v>-55730</v>
      </c>
      <c r="J108" s="60"/>
      <c r="K108" s="51">
        <f t="shared" si="58"/>
        <v>-47735.593411580172</v>
      </c>
      <c r="L108" s="41">
        <f t="shared" si="59"/>
        <v>-7994.406588419828</v>
      </c>
      <c r="M108" s="1322"/>
      <c r="N108" s="132">
        <f>L108*$N$3</f>
        <v>-2091.4879911932767</v>
      </c>
      <c r="O108" s="41">
        <f>L108*$O$3</f>
        <v>-1675.2495798585562</v>
      </c>
      <c r="P108" s="132">
        <f>L108*$P$10</f>
        <v>-170.19330367128396</v>
      </c>
      <c r="Q108" s="41">
        <f t="shared" si="63"/>
        <v>-4057.4757136967114</v>
      </c>
      <c r="R108" s="21" t="s">
        <v>10</v>
      </c>
      <c r="S108" s="21" t="s">
        <v>25</v>
      </c>
      <c r="T108" s="36" t="s">
        <v>13</v>
      </c>
      <c r="U108" s="151">
        <f t="shared" si="43"/>
        <v>0</v>
      </c>
      <c r="V108" s="132">
        <f t="shared" si="64"/>
        <v>-2091.4879911932767</v>
      </c>
      <c r="W108" s="41">
        <f t="shared" si="65"/>
        <v>-1675.2495798585562</v>
      </c>
      <c r="X108" s="132">
        <f t="shared" si="66"/>
        <v>-170.19330367128396</v>
      </c>
      <c r="Y108" s="62">
        <f t="shared" si="67"/>
        <v>-4057.4757136967114</v>
      </c>
    </row>
    <row r="109" spans="1:25" s="38" customFormat="1" outlineLevel="1">
      <c r="A109" s="57">
        <v>530070</v>
      </c>
      <c r="B109" s="765" t="str">
        <f>VLOOKUP(A109,'Income Statement'!$A$6:$B$254,2,FALSE)</f>
        <v>Operating Taxes</v>
      </c>
      <c r="C109" s="1413">
        <v>5484</v>
      </c>
      <c r="D109" s="147">
        <v>7262</v>
      </c>
      <c r="E109" s="2029">
        <v>0</v>
      </c>
      <c r="F109" s="2030">
        <v>0</v>
      </c>
      <c r="G109" s="2021"/>
      <c r="H109" s="1385">
        <f>'Adj - Proforma'!L109</f>
        <v>0</v>
      </c>
      <c r="I109" s="42">
        <f t="shared" si="57"/>
        <v>7262</v>
      </c>
      <c r="J109" s="60"/>
      <c r="K109" s="51">
        <f t="shared" si="58"/>
        <v>6220.2741675021571</v>
      </c>
      <c r="L109" s="41">
        <f>I109*VLOOKUP($R109,$K$3:$L$6,2,FALSE)</f>
        <v>1041.7258324978429</v>
      </c>
      <c r="M109" s="1322"/>
      <c r="N109" s="1025">
        <f>L109*VLOOKUP($S109,$K$2:$Q$6,4,FALSE)</f>
        <v>212.51206982955995</v>
      </c>
      <c r="O109" s="1030">
        <f>L109*VLOOKUP($S109,$K$2:$Q$6,5,FALSE)</f>
        <v>178.13511735713115</v>
      </c>
      <c r="P109" s="1025">
        <f>L109*VLOOKUP($S109,$K$2:$Q$6,6,FALSE)</f>
        <v>26.043145812446074</v>
      </c>
      <c r="Q109" s="41">
        <f t="shared" si="63"/>
        <v>625.0354994987058</v>
      </c>
      <c r="R109" s="21" t="s">
        <v>10</v>
      </c>
      <c r="S109" s="37" t="s">
        <v>14</v>
      </c>
      <c r="T109" s="36" t="s">
        <v>13</v>
      </c>
      <c r="U109" s="151">
        <f t="shared" si="43"/>
        <v>-4.6185277824406512E-14</v>
      </c>
      <c r="V109" s="132">
        <f t="shared" si="64"/>
        <v>212.51206982955995</v>
      </c>
      <c r="W109" s="41">
        <f t="shared" si="65"/>
        <v>178.13511735713115</v>
      </c>
      <c r="X109" s="132">
        <f t="shared" si="66"/>
        <v>26.043145812446074</v>
      </c>
      <c r="Y109" s="62">
        <f t="shared" si="67"/>
        <v>625.0354994987058</v>
      </c>
    </row>
    <row r="110" spans="1:25" s="38" customFormat="1" outlineLevel="1">
      <c r="A110" s="57">
        <v>530095</v>
      </c>
      <c r="B110" s="765" t="e">
        <f>VLOOKUP(A110,'Income Statement'!$A$6:$B$254,2,FALSE)</f>
        <v>#N/A</v>
      </c>
      <c r="C110" s="1413">
        <v>180</v>
      </c>
      <c r="D110" s="147">
        <v>0</v>
      </c>
      <c r="E110" s="2029">
        <v>0</v>
      </c>
      <c r="F110" s="2030">
        <v>0</v>
      </c>
      <c r="G110" s="2021"/>
      <c r="H110" s="1385">
        <f>'Adj - Proforma'!L110</f>
        <v>0</v>
      </c>
      <c r="I110" s="42">
        <f t="shared" si="57"/>
        <v>0</v>
      </c>
      <c r="J110" s="60"/>
      <c r="K110" s="51">
        <f t="shared" si="58"/>
        <v>0</v>
      </c>
      <c r="L110" s="41">
        <f>I110*VLOOKUP($R110,$K$3:$L$6,2,FALSE)</f>
        <v>0</v>
      </c>
      <c r="M110" s="1322"/>
      <c r="N110" s="1025">
        <f>L110*VLOOKUP($S110,$K$2:$Q$6,4,FALSE)</f>
        <v>0</v>
      </c>
      <c r="O110" s="1030">
        <f>L110*VLOOKUP($S110,$K$2:$Q$6,5,FALSE)</f>
        <v>0</v>
      </c>
      <c r="P110" s="1025">
        <f>L110*VLOOKUP($S110,$K$2:$Q$6,6,FALSE)</f>
        <v>0</v>
      </c>
      <c r="Q110" s="41">
        <f t="shared" si="63"/>
        <v>0</v>
      </c>
      <c r="R110" s="21" t="s">
        <v>10</v>
      </c>
      <c r="S110" s="37" t="s">
        <v>14</v>
      </c>
      <c r="T110" s="36" t="s">
        <v>13</v>
      </c>
      <c r="U110" s="151">
        <f t="shared" si="43"/>
        <v>0</v>
      </c>
      <c r="V110" s="132">
        <f t="shared" si="64"/>
        <v>0</v>
      </c>
      <c r="W110" s="41">
        <f t="shared" si="65"/>
        <v>0</v>
      </c>
      <c r="X110" s="132">
        <f t="shared" si="66"/>
        <v>0</v>
      </c>
      <c r="Y110" s="62">
        <f t="shared" si="67"/>
        <v>0</v>
      </c>
    </row>
    <row r="111" spans="1:25" s="38" customFormat="1" outlineLevel="1">
      <c r="A111" s="54">
        <v>530998</v>
      </c>
      <c r="B111" s="765" t="str">
        <f>VLOOKUP(A111,'Income Statement'!$A$6:$B$254,2,FALSE)</f>
        <v>Operating Alloc-In</v>
      </c>
      <c r="C111" s="1413">
        <v>324964</v>
      </c>
      <c r="D111" s="147">
        <v>162702</v>
      </c>
      <c r="E111" s="2029">
        <v>0</v>
      </c>
      <c r="F111" s="2030">
        <v>0</v>
      </c>
      <c r="G111" s="2021"/>
      <c r="H111" s="1385">
        <f>'Adj - Proforma'!L111</f>
        <v>0</v>
      </c>
      <c r="I111" s="42">
        <f t="shared" si="57"/>
        <v>162702</v>
      </c>
      <c r="J111" s="60"/>
      <c r="K111" s="51">
        <f t="shared" si="58"/>
        <v>139362.57884893086</v>
      </c>
      <c r="L111" s="41">
        <f>I111*VLOOKUP($R111,$K$3:$L$6,2,FALSE)</f>
        <v>23339.421151069135</v>
      </c>
      <c r="M111" s="1322"/>
      <c r="N111" s="1025">
        <f>L111*VLOOKUP($S111,$K$2:$Q$6,4,FALSE)</f>
        <v>4761.2419148181034</v>
      </c>
      <c r="O111" s="1030">
        <f>L111*VLOOKUP($S111,$K$2:$Q$6,5,FALSE)</f>
        <v>3991.0410168328222</v>
      </c>
      <c r="P111" s="1025">
        <f>L111*VLOOKUP($S111,$K$2:$Q$6,6,FALSE)</f>
        <v>583.48552877672842</v>
      </c>
      <c r="Q111" s="41">
        <f t="shared" si="63"/>
        <v>14003.652690641482</v>
      </c>
      <c r="R111" s="21" t="s">
        <v>10</v>
      </c>
      <c r="S111" s="37" t="s">
        <v>14</v>
      </c>
      <c r="T111" s="36" t="s">
        <v>13</v>
      </c>
      <c r="U111" s="151">
        <f t="shared" si="43"/>
        <v>0</v>
      </c>
      <c r="V111" s="132">
        <f t="shared" si="64"/>
        <v>4761.2419148181034</v>
      </c>
      <c r="W111" s="41">
        <f t="shared" si="65"/>
        <v>3991.0410168328222</v>
      </c>
      <c r="X111" s="132">
        <f t="shared" si="66"/>
        <v>583.48552877672842</v>
      </c>
      <c r="Y111" s="62">
        <f t="shared" si="67"/>
        <v>14003.652690641482</v>
      </c>
    </row>
    <row r="112" spans="1:25" s="38" customFormat="1" outlineLevel="1">
      <c r="A112" s="57">
        <v>530999</v>
      </c>
      <c r="B112" s="765" t="str">
        <f>VLOOKUP(A112,'Income Statement'!$A$6:$B$254,2,FALSE)</f>
        <v>Operating Alloc-Out</v>
      </c>
      <c r="C112" s="1413">
        <f>-C111</f>
        <v>-324964</v>
      </c>
      <c r="D112" s="147">
        <v>-162702</v>
      </c>
      <c r="E112" s="2029">
        <v>0</v>
      </c>
      <c r="F112" s="2030">
        <v>0</v>
      </c>
      <c r="G112" s="2021"/>
      <c r="H112" s="1385">
        <f>'Adj - Proforma'!L112</f>
        <v>0</v>
      </c>
      <c r="I112" s="42">
        <f t="shared" si="57"/>
        <v>-162702</v>
      </c>
      <c r="J112" s="60"/>
      <c r="K112" s="51">
        <f t="shared" si="58"/>
        <v>-139362.57884893086</v>
      </c>
      <c r="L112" s="41">
        <f>I112*VLOOKUP($R112,$K$3:$L$6,2,FALSE)</f>
        <v>-23339.421151069135</v>
      </c>
      <c r="M112" s="1322"/>
      <c r="N112" s="1025">
        <f>L112*VLOOKUP($S112,$K$2:$Q$6,4,FALSE)</f>
        <v>-4761.2419148181034</v>
      </c>
      <c r="O112" s="1030">
        <f>L112*VLOOKUP($S112,$K$2:$Q$6,5,FALSE)</f>
        <v>-3991.0410168328222</v>
      </c>
      <c r="P112" s="1025">
        <f>L112*VLOOKUP($S112,$K$2:$Q$6,6,FALSE)</f>
        <v>-583.48552877672842</v>
      </c>
      <c r="Q112" s="41">
        <f t="shared" si="63"/>
        <v>-14003.652690641482</v>
      </c>
      <c r="R112" s="21" t="s">
        <v>10</v>
      </c>
      <c r="S112" s="37" t="s">
        <v>14</v>
      </c>
      <c r="T112" s="36" t="s">
        <v>13</v>
      </c>
      <c r="U112" s="151">
        <f t="shared" si="43"/>
        <v>0</v>
      </c>
      <c r="V112" s="132">
        <f t="shared" si="64"/>
        <v>-4761.2419148181034</v>
      </c>
      <c r="W112" s="41">
        <f t="shared" si="65"/>
        <v>-3991.0410168328222</v>
      </c>
      <c r="X112" s="132">
        <f t="shared" si="66"/>
        <v>-583.48552877672842</v>
      </c>
      <c r="Y112" s="62">
        <f t="shared" si="67"/>
        <v>-14003.652690641482</v>
      </c>
    </row>
    <row r="113" spans="1:25" s="38" customFormat="1" ht="12">
      <c r="A113" s="54"/>
      <c r="B113" s="560" t="s">
        <v>536</v>
      </c>
      <c r="C113" s="1405">
        <f>SUM(C73:C112)</f>
        <v>1873309</v>
      </c>
      <c r="D113" s="561">
        <v>1711894</v>
      </c>
      <c r="E113" s="2032">
        <v>0</v>
      </c>
      <c r="F113" s="2032">
        <v>105211.14000000001</v>
      </c>
      <c r="G113" s="2022"/>
      <c r="H113" s="1386">
        <f>SUM(H100:H112)</f>
        <v>-47357.583777706372</v>
      </c>
      <c r="I113" s="562">
        <f>SUM(I100:I112)</f>
        <v>1664536.4162222936</v>
      </c>
      <c r="J113" s="60"/>
      <c r="K113" s="562">
        <f>SUM(K100:K112)</f>
        <v>1425760.5164822571</v>
      </c>
      <c r="L113" s="562">
        <f>SUM(L100:L112)</f>
        <v>238775.89974003649</v>
      </c>
      <c r="M113" s="1322"/>
      <c r="N113" s="562">
        <f>SUM(N100:N112)</f>
        <v>61827.569035104301</v>
      </c>
      <c r="O113" s="562">
        <f>SUM(O100:O112)</f>
        <v>49607.430592044642</v>
      </c>
      <c r="P113" s="562">
        <f>SUM(P100:P112)</f>
        <v>11024.30797252975</v>
      </c>
      <c r="Q113" s="562">
        <f>SUM(Q100:Q112)</f>
        <v>116316.5921403578</v>
      </c>
      <c r="R113" s="21"/>
      <c r="S113" s="37"/>
      <c r="T113" s="36"/>
      <c r="U113" s="151">
        <f t="shared" si="43"/>
        <v>0</v>
      </c>
      <c r="V113" s="55">
        <f t="shared" si="64"/>
        <v>61827.569035104301</v>
      </c>
      <c r="W113" s="55">
        <f t="shared" si="65"/>
        <v>49607.430592044642</v>
      </c>
      <c r="X113" s="55">
        <f t="shared" si="66"/>
        <v>11024.30797252975</v>
      </c>
      <c r="Y113" s="55">
        <f t="shared" si="67"/>
        <v>116316.5921403578</v>
      </c>
    </row>
    <row r="114" spans="1:25" s="24" customFormat="1">
      <c r="A114" s="553"/>
      <c r="B114" s="558"/>
      <c r="C114" s="1406"/>
      <c r="D114" s="2043"/>
      <c r="E114" s="2029"/>
      <c r="F114" s="2030"/>
      <c r="G114" s="2021"/>
      <c r="H114" s="1385"/>
      <c r="I114" s="139"/>
      <c r="J114" s="138"/>
      <c r="K114" s="61"/>
      <c r="L114" s="62"/>
      <c r="M114" s="1322"/>
      <c r="N114" s="132"/>
      <c r="O114" s="62"/>
      <c r="P114" s="132"/>
      <c r="Q114" s="62"/>
      <c r="R114" s="21"/>
      <c r="S114" s="22"/>
      <c r="T114" s="21"/>
      <c r="U114" s="151">
        <f t="shared" si="43"/>
        <v>0</v>
      </c>
      <c r="V114" s="62"/>
      <c r="W114" s="62"/>
      <c r="X114" s="62"/>
      <c r="Y114" s="62"/>
    </row>
    <row r="115" spans="1:25" s="38" customFormat="1" outlineLevel="1">
      <c r="A115" s="57">
        <v>540010</v>
      </c>
      <c r="B115" s="765" t="str">
        <f>VLOOKUP(A115,'Income Statement'!$A$6:$B$254,2,FALSE)</f>
        <v>Parts &amp; Matls</v>
      </c>
      <c r="C115" s="1413">
        <v>618082</v>
      </c>
      <c r="D115" s="147">
        <v>578852</v>
      </c>
      <c r="E115" s="2029">
        <v>0</v>
      </c>
      <c r="F115" s="2030">
        <v>0</v>
      </c>
      <c r="G115" s="2021"/>
      <c r="H115" s="1385">
        <f>'Adj - Proforma'!L115</f>
        <v>0</v>
      </c>
      <c r="I115" s="42">
        <f>SUM(D115:H115)</f>
        <v>578852</v>
      </c>
      <c r="J115" s="60"/>
      <c r="K115" s="51">
        <f>I115-L115</f>
        <v>495816.32365835289</v>
      </c>
      <c r="L115" s="41">
        <f>I115*VLOOKUP($R115,$K$3:$L$6,2,FALSE)</f>
        <v>83035.676341647122</v>
      </c>
      <c r="M115" s="1322"/>
      <c r="N115" s="1025">
        <f>L115*VLOOKUP($S115,$K$2:$Q$6,4,FALSE)</f>
        <v>19625.85906999377</v>
      </c>
      <c r="O115" s="1030">
        <f>L115*VLOOKUP($S115,$K$2:$Q$6,5,FALSE)</f>
        <v>15720.010011920736</v>
      </c>
      <c r="P115" s="1025">
        <f>L115*VLOOKUP($S115,$K$2:$Q$6,6,FALSE)</f>
        <v>3475.1616135430113</v>
      </c>
      <c r="Q115" s="62">
        <f>L115-N115-O115-P115</f>
        <v>44214.645646189609</v>
      </c>
      <c r="R115" s="21" t="s">
        <v>10</v>
      </c>
      <c r="S115" s="37" t="s">
        <v>119</v>
      </c>
      <c r="T115" s="36" t="s">
        <v>13</v>
      </c>
      <c r="U115" s="151">
        <f t="shared" si="43"/>
        <v>0</v>
      </c>
      <c r="V115" s="132">
        <f t="shared" ref="V115:Y116" si="68">N115</f>
        <v>19625.85906999377</v>
      </c>
      <c r="W115" s="41">
        <f t="shared" si="68"/>
        <v>15720.010011920736</v>
      </c>
      <c r="X115" s="132">
        <f t="shared" si="68"/>
        <v>3475.1616135430113</v>
      </c>
      <c r="Y115" s="62">
        <f t="shared" si="68"/>
        <v>44214.645646189609</v>
      </c>
    </row>
    <row r="116" spans="1:25" s="38" customFormat="1" outlineLevel="1">
      <c r="A116" s="57">
        <v>540014</v>
      </c>
      <c r="B116" s="765" t="e">
        <f>VLOOKUP(A116,'Income Statement'!$A$6:$B$254,2,FALSE)</f>
        <v>#N/A</v>
      </c>
      <c r="C116" s="1413"/>
      <c r="D116" s="147">
        <v>0</v>
      </c>
      <c r="E116" s="2029">
        <v>0</v>
      </c>
      <c r="F116" s="2030">
        <v>0</v>
      </c>
      <c r="G116" s="2021"/>
      <c r="H116" s="1385">
        <f>'Adj - Proforma'!L116</f>
        <v>0</v>
      </c>
      <c r="I116" s="42">
        <f>SUM(D116:H116)</f>
        <v>0</v>
      </c>
      <c r="J116" s="60"/>
      <c r="K116" s="51">
        <f>I116-L116</f>
        <v>0</v>
      </c>
      <c r="L116" s="41">
        <f>I116*VLOOKUP($R116,$K$3:$L$6,2,FALSE)</f>
        <v>0</v>
      </c>
      <c r="M116" s="1322"/>
      <c r="N116" s="1025">
        <f>L116*VLOOKUP($S116,$K$2:$Q$6,4,FALSE)</f>
        <v>0</v>
      </c>
      <c r="O116" s="1030">
        <f>L116*VLOOKUP($S116,$K$2:$Q$6,5,FALSE)</f>
        <v>0</v>
      </c>
      <c r="P116" s="1025">
        <f>L116*VLOOKUP($S116,$K$2:$Q$6,6,FALSE)</f>
        <v>0</v>
      </c>
      <c r="Q116" s="41">
        <f>L116-N116-O116-P116</f>
        <v>0</v>
      </c>
      <c r="R116" s="21" t="s">
        <v>10</v>
      </c>
      <c r="S116" s="37" t="s">
        <v>119</v>
      </c>
      <c r="T116" s="36" t="s">
        <v>13</v>
      </c>
      <c r="U116" s="151">
        <f t="shared" si="43"/>
        <v>0</v>
      </c>
      <c r="V116" s="132">
        <f t="shared" si="68"/>
        <v>0</v>
      </c>
      <c r="W116" s="41">
        <f t="shared" si="68"/>
        <v>0</v>
      </c>
      <c r="X116" s="132">
        <f t="shared" si="68"/>
        <v>0</v>
      </c>
      <c r="Y116" s="62">
        <f t="shared" si="68"/>
        <v>0</v>
      </c>
    </row>
    <row r="117" spans="1:25" s="38" customFormat="1" outlineLevel="1">
      <c r="A117" s="57">
        <v>545015</v>
      </c>
      <c r="B117" s="765" t="e">
        <f>VLOOKUP(A117,'Income Statement'!$A$6:$B$254,2,FALSE)</f>
        <v>#N/A</v>
      </c>
      <c r="C117" s="1413"/>
      <c r="D117" s="147">
        <v>0</v>
      </c>
      <c r="E117" s="2029">
        <v>0</v>
      </c>
      <c r="F117" s="2030">
        <v>0</v>
      </c>
      <c r="G117" s="2021"/>
      <c r="H117" s="1385">
        <f>'Adj - Proforma'!L117</f>
        <v>0</v>
      </c>
      <c r="I117" s="42">
        <f t="shared" ref="I117:I124" si="69">SUM(D117:H117)</f>
        <v>0</v>
      </c>
      <c r="J117" s="60"/>
      <c r="K117" s="51">
        <f t="shared" ref="K117:K124" si="70">I117-L117</f>
        <v>0</v>
      </c>
      <c r="L117" s="41">
        <f t="shared" ref="L117:L124" si="71">I117*VLOOKUP($R117,$K$3:$L$6,2,FALSE)</f>
        <v>0</v>
      </c>
      <c r="M117" s="1322"/>
      <c r="N117" s="1025">
        <f t="shared" ref="N117:N124" si="72">L117*VLOOKUP($S117,$K$2:$Q$6,4,FALSE)</f>
        <v>0</v>
      </c>
      <c r="O117" s="1030">
        <f t="shared" ref="O117:O124" si="73">L117*VLOOKUP($S117,$K$2:$Q$6,5,FALSE)</f>
        <v>0</v>
      </c>
      <c r="P117" s="1025">
        <f t="shared" ref="P117:P124" si="74">L117*VLOOKUP($S117,$K$2:$Q$6,6,FALSE)</f>
        <v>0</v>
      </c>
      <c r="Q117" s="41">
        <f t="shared" ref="Q117:Q124" si="75">L117-N117-O117-P117</f>
        <v>0</v>
      </c>
      <c r="R117" s="21" t="s">
        <v>10</v>
      </c>
      <c r="S117" s="37" t="s">
        <v>119</v>
      </c>
      <c r="T117" s="36" t="s">
        <v>13</v>
      </c>
      <c r="U117" s="151">
        <f t="shared" ref="U117:U124" si="76">L117-N117-O117-Q117-P117</f>
        <v>0</v>
      </c>
      <c r="V117" s="132">
        <f t="shared" ref="V117:V124" si="77">N117</f>
        <v>0</v>
      </c>
      <c r="W117" s="41">
        <f t="shared" ref="W117:W124" si="78">O117</f>
        <v>0</v>
      </c>
      <c r="X117" s="132">
        <f t="shared" ref="X117:X124" si="79">P117</f>
        <v>0</v>
      </c>
      <c r="Y117" s="62">
        <f t="shared" ref="Y117:Y124" si="80">Q117</f>
        <v>0</v>
      </c>
    </row>
    <row r="118" spans="1:25" s="38" customFormat="1" outlineLevel="1">
      <c r="A118" s="57">
        <v>540020</v>
      </c>
      <c r="B118" s="765" t="str">
        <f>VLOOKUP(A118,'Income Statement'!$A$6:$B$254,2,FALSE)</f>
        <v>Truck/Equip Supplies</v>
      </c>
      <c r="C118" s="1413">
        <v>57056</v>
      </c>
      <c r="D118" s="147">
        <v>40303</v>
      </c>
      <c r="E118" s="2029">
        <v>0</v>
      </c>
      <c r="F118" s="2030">
        <v>0</v>
      </c>
      <c r="G118" s="2021"/>
      <c r="H118" s="1385">
        <f>'Adj - Proforma'!L118</f>
        <v>0</v>
      </c>
      <c r="I118" s="42">
        <f t="shared" si="69"/>
        <v>40303</v>
      </c>
      <c r="J118" s="60"/>
      <c r="K118" s="51">
        <f t="shared" si="70"/>
        <v>34521.579423414958</v>
      </c>
      <c r="L118" s="41">
        <f t="shared" si="71"/>
        <v>5781.4205765850411</v>
      </c>
      <c r="M118" s="1322"/>
      <c r="N118" s="1025">
        <f t="shared" si="72"/>
        <v>1366.4649998582695</v>
      </c>
      <c r="O118" s="1030">
        <f t="shared" si="73"/>
        <v>1094.5173611051555</v>
      </c>
      <c r="P118" s="1025">
        <f t="shared" si="74"/>
        <v>241.96070586371647</v>
      </c>
      <c r="Q118" s="41">
        <f t="shared" si="75"/>
        <v>3078.4775097579</v>
      </c>
      <c r="R118" s="21" t="s">
        <v>10</v>
      </c>
      <c r="S118" s="37" t="s">
        <v>119</v>
      </c>
      <c r="T118" s="36" t="s">
        <v>13</v>
      </c>
      <c r="U118" s="151">
        <f t="shared" si="76"/>
        <v>0</v>
      </c>
      <c r="V118" s="132">
        <f t="shared" si="77"/>
        <v>1366.4649998582695</v>
      </c>
      <c r="W118" s="41">
        <f t="shared" si="78"/>
        <v>1094.5173611051555</v>
      </c>
      <c r="X118" s="132">
        <f t="shared" si="79"/>
        <v>241.96070586371647</v>
      </c>
      <c r="Y118" s="62">
        <f t="shared" si="80"/>
        <v>3078.4775097579</v>
      </c>
    </row>
    <row r="119" spans="1:25" s="38" customFormat="1" outlineLevel="1">
      <c r="A119" s="57">
        <v>540030</v>
      </c>
      <c r="B119" s="1398" t="str">
        <f>VLOOKUP(A119,'Income Statement'!$A$6:$B$254,2,FALSE)</f>
        <v>New Tire Expense</v>
      </c>
      <c r="C119" s="1413">
        <v>232584</v>
      </c>
      <c r="D119" s="147">
        <v>276633</v>
      </c>
      <c r="E119" s="2029">
        <v>0</v>
      </c>
      <c r="F119" s="2030">
        <v>0</v>
      </c>
      <c r="G119" s="2021"/>
      <c r="H119" s="1385">
        <f>'Adj - Proforma'!L119</f>
        <v>0</v>
      </c>
      <c r="I119" s="42">
        <f t="shared" si="69"/>
        <v>276633</v>
      </c>
      <c r="J119" s="60"/>
      <c r="K119" s="51">
        <f t="shared" si="70"/>
        <v>236950.3034671749</v>
      </c>
      <c r="L119" s="41">
        <f t="shared" si="71"/>
        <v>39682.696532825088</v>
      </c>
      <c r="M119" s="1322"/>
      <c r="N119" s="1025">
        <f t="shared" si="72"/>
        <v>9379.1854776516047</v>
      </c>
      <c r="O119" s="1030">
        <f t="shared" si="73"/>
        <v>7512.5827148004482</v>
      </c>
      <c r="P119" s="1025">
        <f t="shared" si="74"/>
        <v>1660.7775089992672</v>
      </c>
      <c r="Q119" s="41">
        <f t="shared" si="75"/>
        <v>21130.150831373769</v>
      </c>
      <c r="R119" s="21" t="s">
        <v>10</v>
      </c>
      <c r="S119" s="37" t="s">
        <v>119</v>
      </c>
      <c r="T119" s="36" t="s">
        <v>13</v>
      </c>
      <c r="U119" s="151">
        <f t="shared" si="76"/>
        <v>0</v>
      </c>
      <c r="V119" s="132">
        <f t="shared" si="77"/>
        <v>9379.1854776516047</v>
      </c>
      <c r="W119" s="41">
        <f t="shared" si="78"/>
        <v>7512.5827148004482</v>
      </c>
      <c r="X119" s="132">
        <f t="shared" si="79"/>
        <v>1660.7775089992672</v>
      </c>
      <c r="Y119" s="62">
        <f t="shared" si="80"/>
        <v>21130.150831373769</v>
      </c>
    </row>
    <row r="120" spans="1:25" s="38" customFormat="1" outlineLevel="1">
      <c r="A120" s="57">
        <v>540031</v>
      </c>
      <c r="B120" s="1398" t="str">
        <f>VLOOKUP(A120,'Income Statement'!$A$6:$B$254,2,FALSE)</f>
        <v>Tire Repair</v>
      </c>
      <c r="C120" s="1413">
        <v>101854</v>
      </c>
      <c r="D120" s="147">
        <v>94147</v>
      </c>
      <c r="E120" s="2029">
        <v>0</v>
      </c>
      <c r="F120" s="2030">
        <v>0</v>
      </c>
      <c r="G120" s="2021"/>
      <c r="H120" s="1385">
        <f>'Adj - Proforma'!L120</f>
        <v>0</v>
      </c>
      <c r="I120" s="42">
        <f t="shared" si="69"/>
        <v>94147</v>
      </c>
      <c r="J120" s="60"/>
      <c r="K120" s="51">
        <f t="shared" si="70"/>
        <v>80641.717439799715</v>
      </c>
      <c r="L120" s="41">
        <f t="shared" si="71"/>
        <v>13505.282560200278</v>
      </c>
      <c r="M120" s="1322"/>
      <c r="N120" s="1025">
        <f t="shared" si="72"/>
        <v>3192.0348445936152</v>
      </c>
      <c r="O120" s="1030">
        <f t="shared" si="73"/>
        <v>2556.7706125094178</v>
      </c>
      <c r="P120" s="1025">
        <f t="shared" si="74"/>
        <v>565.21535803665506</v>
      </c>
      <c r="Q120" s="41">
        <f t="shared" si="75"/>
        <v>7191.2617450605912</v>
      </c>
      <c r="R120" s="21" t="s">
        <v>10</v>
      </c>
      <c r="S120" s="37" t="s">
        <v>119</v>
      </c>
      <c r="T120" s="36" t="s">
        <v>13</v>
      </c>
      <c r="U120" s="151">
        <f t="shared" si="76"/>
        <v>0</v>
      </c>
      <c r="V120" s="132">
        <f t="shared" si="77"/>
        <v>3192.0348445936152</v>
      </c>
      <c r="W120" s="41">
        <f t="shared" si="78"/>
        <v>2556.7706125094178</v>
      </c>
      <c r="X120" s="132">
        <f t="shared" si="79"/>
        <v>565.21535803665506</v>
      </c>
      <c r="Y120" s="62">
        <f t="shared" si="80"/>
        <v>7191.2617450605912</v>
      </c>
    </row>
    <row r="121" spans="1:25" s="38" customFormat="1" outlineLevel="1">
      <c r="A121" s="57">
        <v>540040</v>
      </c>
      <c r="B121" s="765" t="str">
        <f>VLOOKUP(A121,'Income Statement'!$A$6:$B$254,2,FALSE)</f>
        <v>O/S Repair-Coll Equip</v>
      </c>
      <c r="C121" s="1413">
        <v>41797</v>
      </c>
      <c r="D121" s="147">
        <v>65232</v>
      </c>
      <c r="E121" s="2029">
        <v>0</v>
      </c>
      <c r="F121" s="2030">
        <v>0</v>
      </c>
      <c r="G121" s="2021"/>
      <c r="H121" s="1385">
        <f>'Adj - Proforma'!L121</f>
        <v>0</v>
      </c>
      <c r="I121" s="42">
        <f t="shared" si="69"/>
        <v>65232</v>
      </c>
      <c r="J121" s="60"/>
      <c r="K121" s="51">
        <f t="shared" si="70"/>
        <v>55874.542067543473</v>
      </c>
      <c r="L121" s="41">
        <f t="shared" si="71"/>
        <v>9357.4579324565257</v>
      </c>
      <c r="M121" s="1322"/>
      <c r="N121" s="1025">
        <f t="shared" si="72"/>
        <v>2211.6776634680946</v>
      </c>
      <c r="O121" s="1030">
        <f t="shared" si="73"/>
        <v>1771.5196511329552</v>
      </c>
      <c r="P121" s="1025">
        <f t="shared" si="74"/>
        <v>391.62297508627023</v>
      </c>
      <c r="Q121" s="41">
        <f t="shared" si="75"/>
        <v>4982.6376427692057</v>
      </c>
      <c r="R121" s="21" t="s">
        <v>10</v>
      </c>
      <c r="S121" s="37" t="s">
        <v>119</v>
      </c>
      <c r="T121" s="36" t="s">
        <v>13</v>
      </c>
      <c r="U121" s="151">
        <f t="shared" si="76"/>
        <v>0</v>
      </c>
      <c r="V121" s="132">
        <f t="shared" si="77"/>
        <v>2211.6776634680946</v>
      </c>
      <c r="W121" s="41">
        <f t="shared" si="78"/>
        <v>1771.5196511329552</v>
      </c>
      <c r="X121" s="132">
        <f t="shared" si="79"/>
        <v>391.62297508627023</v>
      </c>
      <c r="Y121" s="62">
        <f t="shared" si="80"/>
        <v>4982.6376427692057</v>
      </c>
    </row>
    <row r="122" spans="1:25" s="38" customFormat="1" outlineLevel="1">
      <c r="A122" s="57">
        <v>540050</v>
      </c>
      <c r="B122" s="765" t="str">
        <f>VLOOKUP(A122,'Income Statement'!$A$6:$B$254,2,FALSE)</f>
        <v>Towing</v>
      </c>
      <c r="C122" s="1413">
        <v>18231</v>
      </c>
      <c r="D122" s="147">
        <v>17639</v>
      </c>
      <c r="E122" s="2029">
        <v>0</v>
      </c>
      <c r="F122" s="2030">
        <v>0</v>
      </c>
      <c r="G122" s="2021"/>
      <c r="H122" s="1385">
        <f>'Adj - Proforma'!L122</f>
        <v>0</v>
      </c>
      <c r="I122" s="42">
        <f t="shared" si="69"/>
        <v>17639</v>
      </c>
      <c r="J122" s="60"/>
      <c r="K122" s="51">
        <f t="shared" si="70"/>
        <v>15108.705045520594</v>
      </c>
      <c r="L122" s="41">
        <f t="shared" si="71"/>
        <v>2530.2949544794069</v>
      </c>
      <c r="M122" s="1322"/>
      <c r="N122" s="1025">
        <f t="shared" si="72"/>
        <v>598.04669956330827</v>
      </c>
      <c r="O122" s="1030">
        <f t="shared" si="73"/>
        <v>479.02617007502761</v>
      </c>
      <c r="P122" s="1025">
        <f t="shared" si="74"/>
        <v>105.89645660943589</v>
      </c>
      <c r="Q122" s="41">
        <f t="shared" si="75"/>
        <v>1347.3256282316352</v>
      </c>
      <c r="R122" s="21" t="s">
        <v>10</v>
      </c>
      <c r="S122" s="37" t="s">
        <v>119</v>
      </c>
      <c r="T122" s="36" t="s">
        <v>13</v>
      </c>
      <c r="U122" s="151">
        <f t="shared" si="76"/>
        <v>0</v>
      </c>
      <c r="V122" s="132">
        <f t="shared" si="77"/>
        <v>598.04669956330827</v>
      </c>
      <c r="W122" s="41">
        <f t="shared" si="78"/>
        <v>479.02617007502761</v>
      </c>
      <c r="X122" s="132">
        <f t="shared" si="79"/>
        <v>105.89645660943589</v>
      </c>
      <c r="Y122" s="62">
        <f t="shared" si="80"/>
        <v>1347.3256282316352</v>
      </c>
    </row>
    <row r="123" spans="1:25" s="38" customFormat="1" outlineLevel="1">
      <c r="A123" s="57">
        <v>540090</v>
      </c>
      <c r="B123" s="765" t="str">
        <f>VLOOKUP(A123,'Income Statement'!$A$6:$B$254,2,FALSE)</f>
        <v>Truck &amp; Equip Washing</v>
      </c>
      <c r="C123" s="1413">
        <v>60876</v>
      </c>
      <c r="D123" s="147">
        <v>38694</v>
      </c>
      <c r="E123" s="2029">
        <v>0</v>
      </c>
      <c r="F123" s="2030">
        <v>27952.03</v>
      </c>
      <c r="G123" s="2021"/>
      <c r="H123" s="1385">
        <f>'Adj - Proforma'!L123</f>
        <v>0</v>
      </c>
      <c r="I123" s="42">
        <f t="shared" si="69"/>
        <v>66646.03</v>
      </c>
      <c r="J123" s="60"/>
      <c r="K123" s="51">
        <f t="shared" si="70"/>
        <v>57085.731034917902</v>
      </c>
      <c r="L123" s="41">
        <f t="shared" si="71"/>
        <v>9560.2989650821</v>
      </c>
      <c r="M123" s="1322"/>
      <c r="N123" s="1025">
        <f t="shared" si="72"/>
        <v>2259.6200623900008</v>
      </c>
      <c r="O123" s="1030">
        <f t="shared" si="73"/>
        <v>1809.9207722436299</v>
      </c>
      <c r="P123" s="1025">
        <f t="shared" si="74"/>
        <v>400.11216191882539</v>
      </c>
      <c r="Q123" s="41">
        <f t="shared" si="75"/>
        <v>5090.645968529645</v>
      </c>
      <c r="R123" s="21" t="s">
        <v>10</v>
      </c>
      <c r="S123" s="37" t="s">
        <v>119</v>
      </c>
      <c r="T123" s="36" t="s">
        <v>13</v>
      </c>
      <c r="U123" s="151">
        <f t="shared" si="76"/>
        <v>0</v>
      </c>
      <c r="V123" s="132">
        <f t="shared" si="77"/>
        <v>2259.6200623900008</v>
      </c>
      <c r="W123" s="41">
        <f t="shared" si="78"/>
        <v>1809.9207722436299</v>
      </c>
      <c r="X123" s="132">
        <f t="shared" si="79"/>
        <v>400.11216191882539</v>
      </c>
      <c r="Y123" s="62">
        <f t="shared" si="80"/>
        <v>5090.645968529645</v>
      </c>
    </row>
    <row r="124" spans="1:25" s="38" customFormat="1" outlineLevel="1">
      <c r="A124" s="54">
        <v>540095</v>
      </c>
      <c r="B124" s="765" t="str">
        <f>VLOOKUP(A124,'Income Statement'!$A$6:$B$254,2,FALSE)</f>
        <v>Other Repairs &amp; Maint</v>
      </c>
      <c r="C124" s="1413">
        <f>-3192+635</f>
        <v>-2557</v>
      </c>
      <c r="D124" s="147">
        <v>21951</v>
      </c>
      <c r="E124" s="2029">
        <v>0</v>
      </c>
      <c r="F124" s="2030">
        <v>0</v>
      </c>
      <c r="G124" s="2021"/>
      <c r="H124" s="1385">
        <f>'Adj - Proforma'!L124</f>
        <v>0</v>
      </c>
      <c r="I124" s="42">
        <f t="shared" si="69"/>
        <v>21951</v>
      </c>
      <c r="J124" s="60"/>
      <c r="K124" s="51">
        <f t="shared" si="70"/>
        <v>18802.153435808297</v>
      </c>
      <c r="L124" s="41">
        <f t="shared" si="71"/>
        <v>3148.8465641917037</v>
      </c>
      <c r="M124" s="1322"/>
      <c r="N124" s="1025">
        <f t="shared" si="72"/>
        <v>744.24418062895745</v>
      </c>
      <c r="O124" s="1030">
        <f t="shared" si="73"/>
        <v>596.1280945244589</v>
      </c>
      <c r="P124" s="1025">
        <f t="shared" si="74"/>
        <v>131.78372464616629</v>
      </c>
      <c r="Q124" s="41">
        <f t="shared" si="75"/>
        <v>1676.6905643921209</v>
      </c>
      <c r="R124" s="21" t="s">
        <v>10</v>
      </c>
      <c r="S124" s="37" t="s">
        <v>119</v>
      </c>
      <c r="T124" s="36" t="s">
        <v>13</v>
      </c>
      <c r="U124" s="151">
        <f t="shared" si="76"/>
        <v>0</v>
      </c>
      <c r="V124" s="132">
        <f t="shared" si="77"/>
        <v>744.24418062895745</v>
      </c>
      <c r="W124" s="41">
        <f t="shared" si="78"/>
        <v>596.1280945244589</v>
      </c>
      <c r="X124" s="132">
        <f t="shared" si="79"/>
        <v>131.78372464616629</v>
      </c>
      <c r="Y124" s="62">
        <f t="shared" si="80"/>
        <v>1676.6905643921209</v>
      </c>
    </row>
    <row r="125" spans="1:25" s="38" customFormat="1" outlineLevel="1">
      <c r="A125" s="54">
        <v>540991</v>
      </c>
      <c r="B125" s="765" t="str">
        <f>VLOOKUP(A125,'Income Statement'!$A$6:$B$254,2,FALSE)</f>
        <v>T/E Damage-Acc/A&amp;M Contra</v>
      </c>
      <c r="C125" s="1413">
        <v>-7080</v>
      </c>
      <c r="D125" s="147">
        <v>-15227</v>
      </c>
      <c r="E125" s="2029">
        <v>0</v>
      </c>
      <c r="F125" s="2030">
        <v>0</v>
      </c>
      <c r="G125" s="2021"/>
      <c r="H125" s="1385">
        <f>'Adj - Proforma'!L125</f>
        <v>0</v>
      </c>
      <c r="I125" s="42">
        <f>SUM(D125:H125)</f>
        <v>-15227</v>
      </c>
      <c r="J125" s="60"/>
      <c r="K125" s="51">
        <f>I125-L125</f>
        <v>-13042.703765981183</v>
      </c>
      <c r="L125" s="41">
        <f>I125*VLOOKUP($R125,$K$3:$L$6,2,FALSE)</f>
        <v>-2184.2962340188178</v>
      </c>
      <c r="M125" s="1322"/>
      <c r="N125" s="1025">
        <f>L125*VLOOKUP($S125,$K$2:$Q$6,4,FALSE)</f>
        <v>-516.26833121211496</v>
      </c>
      <c r="O125" s="1030">
        <f>L125*VLOOKUP($S125,$K$2:$Q$6,5,FALSE)</f>
        <v>-413.52296001657947</v>
      </c>
      <c r="P125" s="1025">
        <f>L125*VLOOKUP($S125,$K$2:$Q$6,6,FALSE)</f>
        <v>-91.415916139910436</v>
      </c>
      <c r="Q125" s="41">
        <f>L125-N125-O125-P125</f>
        <v>-1163.0890266502131</v>
      </c>
      <c r="R125" s="21" t="s">
        <v>10</v>
      </c>
      <c r="S125" s="37" t="s">
        <v>119</v>
      </c>
      <c r="T125" s="36" t="s">
        <v>13</v>
      </c>
      <c r="U125" s="151">
        <f t="shared" si="43"/>
        <v>0</v>
      </c>
      <c r="V125" s="132">
        <f t="shared" ref="V125:Y128" si="81">N125</f>
        <v>-516.26833121211496</v>
      </c>
      <c r="W125" s="41">
        <f t="shared" si="81"/>
        <v>-413.52296001657947</v>
      </c>
      <c r="X125" s="132">
        <f t="shared" si="81"/>
        <v>-91.415916139910436</v>
      </c>
      <c r="Y125" s="62">
        <f t="shared" si="81"/>
        <v>-1163.0890266502131</v>
      </c>
    </row>
    <row r="126" spans="1:25" s="38" customFormat="1" outlineLevel="1">
      <c r="A126" s="57">
        <v>540997</v>
      </c>
      <c r="B126" s="765" t="str">
        <f>VLOOKUP(A126,'Income Statement'!$A$6:$B$254,2,FALSE)</f>
        <v>TShop Labor Alloc-In.</v>
      </c>
      <c r="C126" s="1413">
        <v>1382430</v>
      </c>
      <c r="D126" s="147">
        <v>1422076</v>
      </c>
      <c r="E126" s="2029">
        <v>0</v>
      </c>
      <c r="F126" s="2030">
        <v>0</v>
      </c>
      <c r="G126" s="2021"/>
      <c r="H126" s="1385">
        <f>'Adj - Proforma'!L126</f>
        <v>0</v>
      </c>
      <c r="I126" s="42">
        <f>SUM(D126:H126)</f>
        <v>1422076</v>
      </c>
      <c r="J126" s="60"/>
      <c r="K126" s="51">
        <f>I126-L126</f>
        <v>1218080.7776128887</v>
      </c>
      <c r="L126" s="41">
        <f>I126*VLOOKUP($R126,$K$3:$L$6,2,FALSE)</f>
        <v>203995.22238711134</v>
      </c>
      <c r="M126" s="1322"/>
      <c r="N126" s="1025">
        <f>L126*VLOOKUP($S126,$K$2:$Q$6,4,FALSE)</f>
        <v>48215.196911853913</v>
      </c>
      <c r="O126" s="1030">
        <f>L126*VLOOKUP($S126,$K$2:$Q$6,5,FALSE)</f>
        <v>38619.628087511475</v>
      </c>
      <c r="P126" s="1025">
        <f>L126*VLOOKUP($S126,$K$2:$Q$6,6,FALSE)</f>
        <v>8537.4913220318685</v>
      </c>
      <c r="Q126" s="62">
        <f>L126-N126-O126-P126</f>
        <v>108622.90606571408</v>
      </c>
      <c r="R126" s="21" t="s">
        <v>10</v>
      </c>
      <c r="S126" s="37" t="s">
        <v>119</v>
      </c>
      <c r="T126" s="36" t="s">
        <v>13</v>
      </c>
      <c r="U126" s="151">
        <f t="shared" si="43"/>
        <v>0</v>
      </c>
      <c r="V126" s="132">
        <f t="shared" si="81"/>
        <v>48215.196911853913</v>
      </c>
      <c r="W126" s="41">
        <f t="shared" si="81"/>
        <v>38619.628087511475</v>
      </c>
      <c r="X126" s="132">
        <f t="shared" si="81"/>
        <v>8537.4913220318685</v>
      </c>
      <c r="Y126" s="62">
        <f t="shared" si="81"/>
        <v>108622.90606571408</v>
      </c>
    </row>
    <row r="127" spans="1:25" s="38" customFormat="1" outlineLevel="1">
      <c r="A127" s="57">
        <v>540998</v>
      </c>
      <c r="B127" s="765" t="str">
        <f>VLOOKUP(A127,'Income Statement'!$A$6:$B$254,2,FALSE)</f>
        <v>Trk/Equip Expense Alloc-In</v>
      </c>
      <c r="C127" s="1413">
        <v>102064</v>
      </c>
      <c r="D127" s="147">
        <v>29307</v>
      </c>
      <c r="E127" s="2029">
        <v>0</v>
      </c>
      <c r="F127" s="2030">
        <v>41548.688433128962</v>
      </c>
      <c r="G127" s="2021"/>
      <c r="H127" s="1385"/>
      <c r="I127" s="42">
        <f>SUM(D127:H127)</f>
        <v>70855.688433128962</v>
      </c>
      <c r="J127" s="60"/>
      <c r="K127" s="51">
        <f>I127-L127</f>
        <v>60691.518642408904</v>
      </c>
      <c r="L127" s="41">
        <f>I127*VLOOKUP($R127,$K$3:$L$6,2,FALSE)</f>
        <v>10164.169790720056</v>
      </c>
      <c r="M127" s="1322"/>
      <c r="N127" s="1025">
        <f>L127*VLOOKUP($S127,$K$2:$Q$6,4,FALSE)</f>
        <v>2402.3476734916294</v>
      </c>
      <c r="O127" s="1030">
        <f>L127*VLOOKUP($S127,$K$2:$Q$6,5,FALSE)</f>
        <v>1924.2433844407958</v>
      </c>
      <c r="P127" s="1025">
        <f>L127*VLOOKUP($S127,$K$2:$Q$6,6,FALSE)</f>
        <v>425.38501818076696</v>
      </c>
      <c r="Q127" s="62">
        <f>L127-N127-O127-P127</f>
        <v>5412.193714606864</v>
      </c>
      <c r="R127" s="21" t="s">
        <v>10</v>
      </c>
      <c r="S127" s="37" t="s">
        <v>119</v>
      </c>
      <c r="T127" s="36" t="s">
        <v>13</v>
      </c>
      <c r="U127" s="151">
        <f t="shared" si="43"/>
        <v>0</v>
      </c>
      <c r="V127" s="132">
        <f t="shared" si="81"/>
        <v>2402.3476734916294</v>
      </c>
      <c r="W127" s="41">
        <f t="shared" si="81"/>
        <v>1924.2433844407958</v>
      </c>
      <c r="X127" s="132">
        <f t="shared" si="81"/>
        <v>425.38501818076696</v>
      </c>
      <c r="Y127" s="62">
        <f t="shared" si="81"/>
        <v>5412.193714606864</v>
      </c>
    </row>
    <row r="128" spans="1:25" s="38" customFormat="1" outlineLevel="1">
      <c r="A128" s="57">
        <v>540999</v>
      </c>
      <c r="B128" s="765" t="str">
        <f>VLOOKUP(A128,'Income Statement'!$A$6:$B$254,2,FALSE)</f>
        <v>Trk/Equip Expense Alloc-Out</v>
      </c>
      <c r="C128" s="1413">
        <f>-C127</f>
        <v>-102064</v>
      </c>
      <c r="D128" s="147">
        <v>-29307</v>
      </c>
      <c r="E128" s="2029">
        <v>0</v>
      </c>
      <c r="F128" s="2030">
        <v>0</v>
      </c>
      <c r="G128" s="2021"/>
      <c r="H128" s="1385">
        <f>'Adj - Proforma'!L128</f>
        <v>0</v>
      </c>
      <c r="I128" s="42">
        <f>SUM(D128:H128)</f>
        <v>-29307</v>
      </c>
      <c r="J128" s="60"/>
      <c r="K128" s="51">
        <f>I128-L128</f>
        <v>-25102.943407736948</v>
      </c>
      <c r="L128" s="41">
        <f>I128*VLOOKUP($R128,$K$3:$L$6,2,FALSE)</f>
        <v>-4204.0565922630522</v>
      </c>
      <c r="M128" s="1322"/>
      <c r="N128" s="1025">
        <f>L128*VLOOKUP($S128,$K$2:$Q$6,4,FALSE)</f>
        <v>-993.64786122239786</v>
      </c>
      <c r="O128" s="1030">
        <f>L128*VLOOKUP($S128,$K$2:$Q$6,5,FALSE)</f>
        <v>-795.89659087186544</v>
      </c>
      <c r="P128" s="1025">
        <f>L128*VLOOKUP($S128,$K$2:$Q$6,6,FALSE)</f>
        <v>-175.94577095372398</v>
      </c>
      <c r="Q128" s="62">
        <f>L128-N128-O128-P128</f>
        <v>-2238.5663692150647</v>
      </c>
      <c r="R128" s="21" t="s">
        <v>10</v>
      </c>
      <c r="S128" s="37" t="s">
        <v>119</v>
      </c>
      <c r="T128" s="36" t="s">
        <v>13</v>
      </c>
      <c r="U128" s="151">
        <f t="shared" si="43"/>
        <v>0</v>
      </c>
      <c r="V128" s="132">
        <f t="shared" si="81"/>
        <v>-993.64786122239786</v>
      </c>
      <c r="W128" s="41">
        <f t="shared" si="81"/>
        <v>-795.89659087186544</v>
      </c>
      <c r="X128" s="132">
        <f t="shared" si="81"/>
        <v>-175.94577095372398</v>
      </c>
      <c r="Y128" s="62">
        <f t="shared" si="81"/>
        <v>-2238.5663692150647</v>
      </c>
    </row>
    <row r="129" spans="1:25" s="38" customFormat="1" ht="12">
      <c r="A129" s="54"/>
      <c r="B129" s="560" t="s">
        <v>537</v>
      </c>
      <c r="C129" s="1405">
        <f>SUM(C114:C128)</f>
        <v>2503273</v>
      </c>
      <c r="D129" s="561">
        <v>2540300</v>
      </c>
      <c r="E129" s="2032">
        <v>0</v>
      </c>
      <c r="F129" s="2032">
        <v>69500.718433128961</v>
      </c>
      <c r="G129" s="2022"/>
      <c r="H129" s="1386">
        <f>SUM(H115:H128)</f>
        <v>0</v>
      </c>
      <c r="I129" s="562">
        <f>SUM(I115:I128)</f>
        <v>2609800.7184331291</v>
      </c>
      <c r="J129" s="60"/>
      <c r="K129" s="562">
        <f>SUM(K115:K128)</f>
        <v>2235427.7046541125</v>
      </c>
      <c r="L129" s="562">
        <f>SUM(L115:L128)</f>
        <v>374373.01377901679</v>
      </c>
      <c r="M129" s="1322"/>
      <c r="N129" s="562">
        <f>SUM(N115:N128)</f>
        <v>88484.761391058651</v>
      </c>
      <c r="O129" s="562">
        <f>SUM(O115:O128)</f>
        <v>70874.927309375649</v>
      </c>
      <c r="P129" s="562">
        <f>SUM(P115:P128)</f>
        <v>15668.045157822349</v>
      </c>
      <c r="Q129" s="562">
        <f>SUM(Q115:Q128)</f>
        <v>199345.27992076013</v>
      </c>
      <c r="R129" s="21"/>
      <c r="S129" s="37"/>
      <c r="T129" s="36"/>
      <c r="U129" s="151">
        <f t="shared" si="43"/>
        <v>-3.4560798667371273E-11</v>
      </c>
      <c r="V129" s="55">
        <f>N129</f>
        <v>88484.761391058651</v>
      </c>
      <c r="W129" s="55">
        <f>O129</f>
        <v>70874.927309375649</v>
      </c>
      <c r="X129" s="55">
        <f t="shared" ref="X129:X194" si="82">P129</f>
        <v>15668.045157822349</v>
      </c>
      <c r="Y129" s="55">
        <f t="shared" ref="Y129:Y194" si="83">Q129</f>
        <v>199345.27992076013</v>
      </c>
    </row>
    <row r="130" spans="1:25" s="24" customFormat="1">
      <c r="A130" s="553"/>
      <c r="B130" s="557"/>
      <c r="C130" s="1406"/>
      <c r="D130" s="2042"/>
      <c r="E130" s="2029"/>
      <c r="F130" s="2030"/>
      <c r="G130" s="2021"/>
      <c r="H130" s="1385"/>
      <c r="I130" s="139"/>
      <c r="J130" s="138"/>
      <c r="K130" s="61"/>
      <c r="L130" s="62"/>
      <c r="M130" s="1322"/>
      <c r="N130" s="132"/>
      <c r="O130" s="62"/>
      <c r="P130" s="132"/>
      <c r="Q130" s="62"/>
      <c r="R130" s="21"/>
      <c r="S130" s="22"/>
      <c r="T130" s="21"/>
      <c r="U130" s="151">
        <f t="shared" si="43"/>
        <v>0</v>
      </c>
      <c r="V130" s="62"/>
      <c r="W130" s="62"/>
      <c r="X130" s="62"/>
      <c r="Y130" s="62"/>
    </row>
    <row r="131" spans="1:25" s="38" customFormat="1" outlineLevel="1">
      <c r="A131" s="57">
        <v>545010</v>
      </c>
      <c r="B131" s="765" t="str">
        <f>VLOOKUP(A131,'Income Statement'!$A$6:$B$254,2,FALSE)</f>
        <v>Cont/Comp Parts &amp; Matls</v>
      </c>
      <c r="C131" s="1413">
        <v>21752</v>
      </c>
      <c r="D131" s="147">
        <v>33860</v>
      </c>
      <c r="E131" s="2029">
        <v>0</v>
      </c>
      <c r="F131" s="2030">
        <v>0</v>
      </c>
      <c r="G131" s="2021"/>
      <c r="H131" s="1385">
        <f>'Adj - Proforma'!L131</f>
        <v>0</v>
      </c>
      <c r="I131" s="42">
        <f t="shared" ref="I131:I142" si="84">SUM(D131:H131)</f>
        <v>33860</v>
      </c>
      <c r="J131" s="60"/>
      <c r="K131" s="51">
        <f t="shared" ref="K131:K142" si="85">I131-L131</f>
        <v>27831.729822702844</v>
      </c>
      <c r="L131" s="41">
        <f t="shared" ref="L131:L142" si="86">I131*VLOOKUP($R131,$K$3:$L$6,2,FALSE)</f>
        <v>6028.2701772971559</v>
      </c>
      <c r="M131" s="1322"/>
      <c r="N131" s="1025">
        <f t="shared" ref="N131:N142" si="87">L131*VLOOKUP($S131,$K$2:$Q$6,4,FALSE)</f>
        <v>2170.5722430857682</v>
      </c>
      <c r="O131" s="1030">
        <f t="shared" ref="O131:O142" si="88">L131*VLOOKUP($S131,$K$2:$Q$6,5,FALSE)</f>
        <v>1486.2102212197142</v>
      </c>
      <c r="P131" s="1025">
        <f t="shared" ref="P131:P142" si="89">L131*VLOOKUP($S131,$K$2:$Q$6,6,FALSE)</f>
        <v>96.326574338037062</v>
      </c>
      <c r="Q131" s="41">
        <f t="shared" ref="Q131:Q142" si="90">L131-N131-O131-P131</f>
        <v>2275.1611386536365</v>
      </c>
      <c r="R131" s="21" t="s">
        <v>344</v>
      </c>
      <c r="S131" s="37" t="str">
        <f>+R131</f>
        <v>Container Count</v>
      </c>
      <c r="T131" s="36" t="s">
        <v>13</v>
      </c>
      <c r="U131" s="151">
        <f t="shared" si="43"/>
        <v>0</v>
      </c>
      <c r="V131" s="132">
        <f t="shared" ref="V131:V194" si="91">N131</f>
        <v>2170.5722430857682</v>
      </c>
      <c r="W131" s="41">
        <f t="shared" ref="W131:W137" si="92">O131</f>
        <v>1486.2102212197142</v>
      </c>
      <c r="X131" s="132">
        <f t="shared" si="82"/>
        <v>96.326574338037062</v>
      </c>
      <c r="Y131" s="62">
        <f t="shared" si="83"/>
        <v>2275.1611386536365</v>
      </c>
    </row>
    <row r="132" spans="1:25" s="38" customFormat="1" outlineLevel="1">
      <c r="A132" s="57">
        <v>545015</v>
      </c>
      <c r="B132" s="765" t="e">
        <f>VLOOKUP(A132,'Income Statement'!$A$6:$B$254,2,FALSE)</f>
        <v>#N/A</v>
      </c>
      <c r="C132" s="1413"/>
      <c r="D132" s="147">
        <v>0</v>
      </c>
      <c r="E132" s="2029">
        <v>0</v>
      </c>
      <c r="F132" s="2030">
        <v>0</v>
      </c>
      <c r="G132" s="2021"/>
      <c r="H132" s="1385">
        <f>'Adj - Proforma'!L132</f>
        <v>0</v>
      </c>
      <c r="I132" s="42">
        <f t="shared" si="84"/>
        <v>0</v>
      </c>
      <c r="J132" s="60"/>
      <c r="K132" s="51">
        <f t="shared" si="85"/>
        <v>0</v>
      </c>
      <c r="L132" s="41">
        <f t="shared" si="86"/>
        <v>0</v>
      </c>
      <c r="M132" s="1322"/>
      <c r="N132" s="1025">
        <f t="shared" si="87"/>
        <v>0</v>
      </c>
      <c r="O132" s="1030">
        <f t="shared" si="88"/>
        <v>0</v>
      </c>
      <c r="P132" s="1025">
        <f t="shared" si="89"/>
        <v>0</v>
      </c>
      <c r="Q132" s="41">
        <f t="shared" si="90"/>
        <v>0</v>
      </c>
      <c r="R132" s="21" t="s">
        <v>344</v>
      </c>
      <c r="S132" s="37" t="str">
        <f t="shared" ref="S132:S142" si="93">+R132</f>
        <v>Container Count</v>
      </c>
      <c r="T132" s="36" t="s">
        <v>13</v>
      </c>
      <c r="U132" s="151">
        <f t="shared" si="43"/>
        <v>0</v>
      </c>
      <c r="V132" s="132">
        <f t="shared" si="91"/>
        <v>0</v>
      </c>
      <c r="W132" s="41">
        <f t="shared" si="92"/>
        <v>0</v>
      </c>
      <c r="X132" s="132">
        <f t="shared" si="82"/>
        <v>0</v>
      </c>
      <c r="Y132" s="62">
        <f t="shared" si="83"/>
        <v>0</v>
      </c>
    </row>
    <row r="133" spans="1:25" s="38" customFormat="1" outlineLevel="1">
      <c r="A133" s="57">
        <v>545020</v>
      </c>
      <c r="B133" s="765" t="e">
        <f>VLOOKUP(A133,'Income Statement'!$A$6:$B$254,2,FALSE)</f>
        <v>#N/A</v>
      </c>
      <c r="C133" s="1413"/>
      <c r="D133" s="147">
        <v>0</v>
      </c>
      <c r="E133" s="2029">
        <v>0</v>
      </c>
      <c r="F133" s="2030">
        <v>0</v>
      </c>
      <c r="G133" s="2021"/>
      <c r="H133" s="1385">
        <f>'Adj - Proforma'!L133</f>
        <v>0</v>
      </c>
      <c r="I133" s="42">
        <f>SUM(D133:H133)</f>
        <v>0</v>
      </c>
      <c r="J133" s="60"/>
      <c r="K133" s="51">
        <f>I133-L133</f>
        <v>0</v>
      </c>
      <c r="L133" s="41">
        <f>I133*VLOOKUP($R133,$K$3:$L$6,2,FALSE)</f>
        <v>0</v>
      </c>
      <c r="M133" s="1322"/>
      <c r="N133" s="1025">
        <f t="shared" si="87"/>
        <v>0</v>
      </c>
      <c r="O133" s="1030">
        <f t="shared" si="88"/>
        <v>0</v>
      </c>
      <c r="P133" s="1025">
        <f t="shared" si="89"/>
        <v>0</v>
      </c>
      <c r="Q133" s="41">
        <f>L133-N133-O133-P133</f>
        <v>0</v>
      </c>
      <c r="R133" s="21" t="s">
        <v>344</v>
      </c>
      <c r="S133" s="37" t="str">
        <f t="shared" si="93"/>
        <v>Container Count</v>
      </c>
      <c r="T133" s="36" t="s">
        <v>13</v>
      </c>
      <c r="U133" s="151">
        <f t="shared" si="43"/>
        <v>0</v>
      </c>
      <c r="V133" s="132">
        <f>N133</f>
        <v>0</v>
      </c>
      <c r="W133" s="41">
        <f t="shared" si="92"/>
        <v>0</v>
      </c>
      <c r="X133" s="132">
        <f>P133</f>
        <v>0</v>
      </c>
      <c r="Y133" s="62">
        <f>Q133</f>
        <v>0</v>
      </c>
    </row>
    <row r="134" spans="1:25" s="38" customFormat="1" outlineLevel="1">
      <c r="A134" s="57">
        <v>545025</v>
      </c>
      <c r="B134" s="765" t="e">
        <f>VLOOKUP(A134,'Income Statement'!$A$6:$B$254,2,FALSE)</f>
        <v>#N/A</v>
      </c>
      <c r="C134" s="1413"/>
      <c r="D134" s="147">
        <v>0</v>
      </c>
      <c r="E134" s="2029">
        <v>0</v>
      </c>
      <c r="F134" s="2030">
        <v>0</v>
      </c>
      <c r="G134" s="2021"/>
      <c r="H134" s="1385">
        <f>'Adj - Proforma'!L134</f>
        <v>0</v>
      </c>
      <c r="I134" s="42">
        <f t="shared" si="84"/>
        <v>0</v>
      </c>
      <c r="J134" s="60"/>
      <c r="K134" s="51">
        <f t="shared" si="85"/>
        <v>0</v>
      </c>
      <c r="L134" s="41">
        <f t="shared" si="86"/>
        <v>0</v>
      </c>
      <c r="M134" s="1322"/>
      <c r="N134" s="1025">
        <f t="shared" si="87"/>
        <v>0</v>
      </c>
      <c r="O134" s="1030">
        <f t="shared" si="88"/>
        <v>0</v>
      </c>
      <c r="P134" s="1025">
        <f t="shared" si="89"/>
        <v>0</v>
      </c>
      <c r="Q134" s="41">
        <f t="shared" si="90"/>
        <v>0</v>
      </c>
      <c r="R134" s="21" t="s">
        <v>344</v>
      </c>
      <c r="S134" s="37" t="str">
        <f t="shared" si="93"/>
        <v>Container Count</v>
      </c>
      <c r="T134" s="36" t="s">
        <v>13</v>
      </c>
      <c r="U134" s="151">
        <f t="shared" si="43"/>
        <v>0</v>
      </c>
      <c r="V134" s="132">
        <f t="shared" si="91"/>
        <v>0</v>
      </c>
      <c r="W134" s="41">
        <f t="shared" si="92"/>
        <v>0</v>
      </c>
      <c r="X134" s="132">
        <f t="shared" si="82"/>
        <v>0</v>
      </c>
      <c r="Y134" s="62">
        <f t="shared" si="83"/>
        <v>0</v>
      </c>
    </row>
    <row r="135" spans="1:25" s="38" customFormat="1" outlineLevel="1">
      <c r="A135" s="57">
        <v>545030</v>
      </c>
      <c r="B135" s="765" t="e">
        <f>VLOOKUP(A135,'Income Statement'!$A$6:$B$254,2,FALSE)</f>
        <v>#N/A</v>
      </c>
      <c r="C135" s="1413"/>
      <c r="D135" s="147">
        <v>0</v>
      </c>
      <c r="E135" s="2029">
        <v>0</v>
      </c>
      <c r="F135" s="2030">
        <v>0</v>
      </c>
      <c r="G135" s="2021"/>
      <c r="H135" s="1385">
        <f>'Adj - Proforma'!L135</f>
        <v>0</v>
      </c>
      <c r="I135" s="42">
        <f>SUM(D135:H135)</f>
        <v>0</v>
      </c>
      <c r="J135" s="60"/>
      <c r="K135" s="51">
        <f>I135-L135</f>
        <v>0</v>
      </c>
      <c r="L135" s="41">
        <f>I135*VLOOKUP($R135,$K$3:$L$6,2,FALSE)</f>
        <v>0</v>
      </c>
      <c r="M135" s="1322"/>
      <c r="N135" s="1025">
        <f t="shared" si="87"/>
        <v>0</v>
      </c>
      <c r="O135" s="1030">
        <f t="shared" si="88"/>
        <v>0</v>
      </c>
      <c r="P135" s="1025">
        <f t="shared" si="89"/>
        <v>0</v>
      </c>
      <c r="Q135" s="41">
        <f>L135-N135-O135-P135</f>
        <v>0</v>
      </c>
      <c r="R135" s="21" t="s">
        <v>344</v>
      </c>
      <c r="S135" s="37" t="str">
        <f t="shared" si="93"/>
        <v>Container Count</v>
      </c>
      <c r="T135" s="36" t="s">
        <v>13</v>
      </c>
      <c r="U135" s="151">
        <f t="shared" si="43"/>
        <v>0</v>
      </c>
      <c r="V135" s="132">
        <f>N135</f>
        <v>0</v>
      </c>
      <c r="W135" s="41">
        <f t="shared" si="92"/>
        <v>0</v>
      </c>
      <c r="X135" s="132">
        <f>P135</f>
        <v>0</v>
      </c>
      <c r="Y135" s="62">
        <f>Q135</f>
        <v>0</v>
      </c>
    </row>
    <row r="136" spans="1:25" s="38" customFormat="1" outlineLevel="1">
      <c r="A136" s="57">
        <v>545035</v>
      </c>
      <c r="B136" s="765" t="str">
        <f>VLOOKUP(A136,'Income Statement'!$A$6:$B$254,2,FALSE)</f>
        <v>Cont/Comp Supplies</v>
      </c>
      <c r="C136" s="1413">
        <f>18104+3075+1563+1246</f>
        <v>23988</v>
      </c>
      <c r="D136" s="147">
        <v>7224</v>
      </c>
      <c r="E136" s="2029">
        <v>0</v>
      </c>
      <c r="F136" s="2030">
        <v>0</v>
      </c>
      <c r="G136" s="2021"/>
      <c r="H136" s="1385">
        <f>'Adj - Proforma'!L136</f>
        <v>0</v>
      </c>
      <c r="I136" s="42">
        <f>SUM(D136:H136)</f>
        <v>7224</v>
      </c>
      <c r="J136" s="60"/>
      <c r="K136" s="51">
        <f>I136-L136</f>
        <v>5937.8740767633008</v>
      </c>
      <c r="L136" s="41">
        <f t="shared" si="86"/>
        <v>1286.1259232366997</v>
      </c>
      <c r="M136" s="1322"/>
      <c r="N136" s="1025">
        <f t="shared" si="87"/>
        <v>463.08960082845795</v>
      </c>
      <c r="O136" s="1030">
        <f t="shared" si="88"/>
        <v>317.0815900204139</v>
      </c>
      <c r="P136" s="1025">
        <f t="shared" si="89"/>
        <v>20.551186444712926</v>
      </c>
      <c r="Q136" s="41">
        <f>L136-N136-O136-P136</f>
        <v>485.40354594311492</v>
      </c>
      <c r="R136" s="21" t="s">
        <v>344</v>
      </c>
      <c r="S136" s="37" t="str">
        <f t="shared" si="93"/>
        <v>Container Count</v>
      </c>
      <c r="T136" s="36" t="s">
        <v>13</v>
      </c>
      <c r="U136" s="151">
        <f t="shared" si="43"/>
        <v>0</v>
      </c>
      <c r="V136" s="132">
        <f t="shared" si="91"/>
        <v>463.08960082845795</v>
      </c>
      <c r="W136" s="41">
        <f t="shared" si="92"/>
        <v>317.0815900204139</v>
      </c>
      <c r="X136" s="132">
        <f t="shared" si="82"/>
        <v>20.551186444712926</v>
      </c>
      <c r="Y136" s="62">
        <f t="shared" si="83"/>
        <v>485.40354594311492</v>
      </c>
    </row>
    <row r="137" spans="1:25" s="38" customFormat="1" outlineLevel="1">
      <c r="A137" s="57">
        <v>545040</v>
      </c>
      <c r="B137" s="765" t="str">
        <f>VLOOKUP(A137,'Income Statement'!$A$6:$B$254,2,FALSE)</f>
        <v>Cont/Comp O/S Repairs</v>
      </c>
      <c r="C137" s="1413">
        <v>199523</v>
      </c>
      <c r="D137" s="147">
        <v>17068</v>
      </c>
      <c r="E137" s="2029">
        <v>0</v>
      </c>
      <c r="F137" s="2030">
        <v>0</v>
      </c>
      <c r="G137" s="2021"/>
      <c r="H137" s="1385">
        <f>ReviewAccts!J23</f>
        <v>70119</v>
      </c>
      <c r="I137" s="42">
        <f t="shared" si="84"/>
        <v>87187</v>
      </c>
      <c r="J137" s="60"/>
      <c r="K137" s="51">
        <f t="shared" si="85"/>
        <v>71664.649381334704</v>
      </c>
      <c r="L137" s="41">
        <f t="shared" si="86"/>
        <v>15522.350618665301</v>
      </c>
      <c r="M137" s="1322"/>
      <c r="N137" s="1025">
        <f t="shared" si="87"/>
        <v>5589.0632651482229</v>
      </c>
      <c r="O137" s="1030">
        <f t="shared" si="88"/>
        <v>3826.8815876397875</v>
      </c>
      <c r="P137" s="1025">
        <f t="shared" si="89"/>
        <v>248.03381679889063</v>
      </c>
      <c r="Q137" s="41">
        <f t="shared" si="90"/>
        <v>5858.3719490784006</v>
      </c>
      <c r="R137" s="21" t="s">
        <v>344</v>
      </c>
      <c r="S137" s="37" t="str">
        <f t="shared" si="93"/>
        <v>Container Count</v>
      </c>
      <c r="T137" s="36" t="s">
        <v>13</v>
      </c>
      <c r="U137" s="151">
        <f t="shared" si="43"/>
        <v>-3.694822225952521E-13</v>
      </c>
      <c r="V137" s="132">
        <f t="shared" si="91"/>
        <v>5589.0632651482229</v>
      </c>
      <c r="W137" s="41">
        <f t="shared" si="92"/>
        <v>3826.8815876397875</v>
      </c>
      <c r="X137" s="132">
        <f t="shared" si="82"/>
        <v>248.03381679889063</v>
      </c>
      <c r="Y137" s="62">
        <f t="shared" si="83"/>
        <v>5858.3719490784006</v>
      </c>
    </row>
    <row r="138" spans="1:25" s="38" customFormat="1" outlineLevel="1">
      <c r="A138" s="57">
        <v>545090</v>
      </c>
      <c r="B138" s="765" t="str">
        <f>VLOOKUP(A138,'Income Statement'!$A$6:$B$254,2,FALSE)</f>
        <v>Cont/Comp Equip Wash</v>
      </c>
      <c r="C138" s="1413">
        <v>11579</v>
      </c>
      <c r="D138" s="147">
        <v>9874</v>
      </c>
      <c r="E138" s="2029">
        <v>0</v>
      </c>
      <c r="F138" s="2030">
        <v>0</v>
      </c>
      <c r="G138" s="2021"/>
      <c r="H138" s="1385">
        <f>'Adj - Proforma'!L138</f>
        <v>0</v>
      </c>
      <c r="I138" s="42">
        <f>SUM(D138:H138)</f>
        <v>9874</v>
      </c>
      <c r="J138" s="60"/>
      <c r="K138" s="51">
        <f>I138-L138</f>
        <v>8116.0809293965704</v>
      </c>
      <c r="L138" s="41">
        <f>I138*VLOOKUP($R138,$K$3:$L$6,2,FALSE)</f>
        <v>1757.9190706034292</v>
      </c>
      <c r="M138" s="1322"/>
      <c r="N138" s="1025">
        <f t="shared" si="87"/>
        <v>632.96604631508774</v>
      </c>
      <c r="O138" s="1030">
        <f t="shared" si="88"/>
        <v>433.39751105503416</v>
      </c>
      <c r="P138" s="1025">
        <f t="shared" si="89"/>
        <v>28.090035292787299</v>
      </c>
      <c r="Q138" s="41">
        <f>L138-N138-O138-P138</f>
        <v>663.46547794052015</v>
      </c>
      <c r="R138" s="21" t="s">
        <v>344</v>
      </c>
      <c r="S138" s="37" t="str">
        <f t="shared" si="93"/>
        <v>Container Count</v>
      </c>
      <c r="T138" s="36" t="s">
        <v>13</v>
      </c>
      <c r="U138" s="151">
        <f t="shared" si="43"/>
        <v>0</v>
      </c>
      <c r="V138" s="132">
        <f t="shared" ref="V138:Y139" si="94">N138</f>
        <v>632.96604631508774</v>
      </c>
      <c r="W138" s="41">
        <f t="shared" si="94"/>
        <v>433.39751105503416</v>
      </c>
      <c r="X138" s="132">
        <f t="shared" si="94"/>
        <v>28.090035292787299</v>
      </c>
      <c r="Y138" s="62">
        <f t="shared" si="94"/>
        <v>663.46547794052015</v>
      </c>
    </row>
    <row r="139" spans="1:25" s="38" customFormat="1" outlineLevel="1">
      <c r="A139" s="57">
        <v>545095</v>
      </c>
      <c r="B139" s="765" t="str">
        <f>VLOOKUP(A139,'Income Statement'!$A$6:$B$254,2,FALSE)</f>
        <v>Cont/Comp Other Maint</v>
      </c>
      <c r="C139" s="1413">
        <v>-9723</v>
      </c>
      <c r="D139" s="147">
        <v>-323</v>
      </c>
      <c r="E139" s="2029">
        <v>0</v>
      </c>
      <c r="F139" s="2030">
        <v>0</v>
      </c>
      <c r="G139" s="2021"/>
      <c r="H139" s="1385">
        <f>'Adj - Proforma'!L139</f>
        <v>0</v>
      </c>
      <c r="I139" s="42">
        <f>SUM(D139:H139)</f>
        <v>-323</v>
      </c>
      <c r="J139" s="60"/>
      <c r="K139" s="51">
        <f>I139-L139</f>
        <v>-265.49464656624389</v>
      </c>
      <c r="L139" s="41">
        <f>I139*VLOOKUP($R139,$K$3:$L$6,2,FALSE)</f>
        <v>-57.505353433756092</v>
      </c>
      <c r="M139" s="1322"/>
      <c r="N139" s="1025">
        <f t="shared" si="87"/>
        <v>-20.705695053653368</v>
      </c>
      <c r="O139" s="1030">
        <f t="shared" si="88"/>
        <v>-14.177374526106545</v>
      </c>
      <c r="P139" s="1025">
        <f t="shared" si="89"/>
        <v>-0.91888610487849887</v>
      </c>
      <c r="Q139" s="41">
        <f>L139-N139-O139-P139</f>
        <v>-21.703397749117681</v>
      </c>
      <c r="R139" s="21" t="s">
        <v>344</v>
      </c>
      <c r="S139" s="37" t="str">
        <f t="shared" si="93"/>
        <v>Container Count</v>
      </c>
      <c r="T139" s="36" t="s">
        <v>13</v>
      </c>
      <c r="U139" s="151">
        <f t="shared" si="43"/>
        <v>0</v>
      </c>
      <c r="V139" s="132">
        <f t="shared" si="94"/>
        <v>-20.705695053653368</v>
      </c>
      <c r="W139" s="41">
        <f t="shared" si="94"/>
        <v>-14.177374526106545</v>
      </c>
      <c r="X139" s="132">
        <f t="shared" si="94"/>
        <v>-0.91888610487849887</v>
      </c>
      <c r="Y139" s="62">
        <f t="shared" si="94"/>
        <v>-21.703397749117681</v>
      </c>
    </row>
    <row r="140" spans="1:25" s="38" customFormat="1" outlineLevel="1">
      <c r="A140" s="57">
        <v>545997</v>
      </c>
      <c r="B140" s="765" t="str">
        <f>VLOOKUP(A140,'Income Statement'!$A$6:$B$254,2,FALSE)</f>
        <v>CShop Labor  Alloc-In</v>
      </c>
      <c r="C140" s="1413"/>
      <c r="D140" s="147">
        <v>65102</v>
      </c>
      <c r="E140" s="2029">
        <v>0</v>
      </c>
      <c r="F140" s="2030">
        <v>0</v>
      </c>
      <c r="G140" s="2021"/>
      <c r="H140" s="1385">
        <f>ReviewAccts!J26</f>
        <v>18869.812944469715</v>
      </c>
      <c r="I140" s="42">
        <f t="shared" si="84"/>
        <v>83971.812944469712</v>
      </c>
      <c r="J140" s="60"/>
      <c r="K140" s="51">
        <f t="shared" si="85"/>
        <v>69021.878635352114</v>
      </c>
      <c r="L140" s="41">
        <f t="shared" si="86"/>
        <v>14949.934309117602</v>
      </c>
      <c r="M140" s="1322"/>
      <c r="N140" s="1025">
        <f t="shared" si="87"/>
        <v>5382.9558883300688</v>
      </c>
      <c r="O140" s="1030">
        <f t="shared" si="88"/>
        <v>3685.7580239935255</v>
      </c>
      <c r="P140" s="1025">
        <f t="shared" si="89"/>
        <v>238.8870963347668</v>
      </c>
      <c r="Q140" s="41">
        <f t="shared" si="90"/>
        <v>5642.3333004592405</v>
      </c>
      <c r="R140" s="21" t="s">
        <v>344</v>
      </c>
      <c r="S140" s="37" t="str">
        <f t="shared" si="93"/>
        <v>Container Count</v>
      </c>
      <c r="T140" s="36" t="s">
        <v>13</v>
      </c>
      <c r="U140" s="151">
        <f t="shared" si="43"/>
        <v>3.979039320256561E-13</v>
      </c>
      <c r="V140" s="132">
        <f t="shared" si="91"/>
        <v>5382.9558883300688</v>
      </c>
      <c r="W140" s="41">
        <f>O140</f>
        <v>3685.7580239935255</v>
      </c>
      <c r="X140" s="132">
        <f t="shared" si="82"/>
        <v>238.8870963347668</v>
      </c>
      <c r="Y140" s="62">
        <f t="shared" si="83"/>
        <v>5642.3333004592405</v>
      </c>
    </row>
    <row r="141" spans="1:25" s="38" customFormat="1" outlineLevel="1">
      <c r="A141" s="57">
        <v>545998</v>
      </c>
      <c r="B141" s="765" t="str">
        <f>VLOOKUP(A141,'Income Statement'!$A$6:$B$254,2,FALSE)</f>
        <v>Cont/Comp Expense Alloc-In</v>
      </c>
      <c r="C141" s="1413"/>
      <c r="D141" s="147">
        <v>34066</v>
      </c>
      <c r="E141" s="2029">
        <v>0</v>
      </c>
      <c r="F141" s="2030">
        <v>0</v>
      </c>
      <c r="G141" s="2021"/>
      <c r="H141" s="1385">
        <f>'Adj - Proforma'!L141</f>
        <v>0</v>
      </c>
      <c r="I141" s="42">
        <f t="shared" si="84"/>
        <v>34066</v>
      </c>
      <c r="J141" s="60"/>
      <c r="K141" s="51">
        <f t="shared" si="85"/>
        <v>28001.054581813205</v>
      </c>
      <c r="L141" s="41">
        <f t="shared" si="86"/>
        <v>6064.9454181867959</v>
      </c>
      <c r="M141" s="1322"/>
      <c r="N141" s="1025">
        <f t="shared" si="87"/>
        <v>2183.7777328103889</v>
      </c>
      <c r="O141" s="1030">
        <f t="shared" si="88"/>
        <v>1495.2521381001411</v>
      </c>
      <c r="P141" s="1025">
        <f t="shared" si="89"/>
        <v>96.912613154151529</v>
      </c>
      <c r="Q141" s="41">
        <f t="shared" si="90"/>
        <v>2289.0029341221143</v>
      </c>
      <c r="R141" s="21" t="s">
        <v>344</v>
      </c>
      <c r="S141" s="37" t="str">
        <f t="shared" si="93"/>
        <v>Container Count</v>
      </c>
      <c r="T141" s="36" t="s">
        <v>13</v>
      </c>
      <c r="U141" s="151">
        <f t="shared" si="43"/>
        <v>0</v>
      </c>
      <c r="V141" s="132">
        <f t="shared" si="91"/>
        <v>2183.7777328103889</v>
      </c>
      <c r="W141" s="41">
        <f>O141</f>
        <v>1495.2521381001411</v>
      </c>
      <c r="X141" s="132">
        <f t="shared" si="82"/>
        <v>96.912613154151529</v>
      </c>
      <c r="Y141" s="62">
        <f t="shared" si="83"/>
        <v>2289.0029341221143</v>
      </c>
    </row>
    <row r="142" spans="1:25" s="38" customFormat="1" outlineLevel="1">
      <c r="A142" s="57">
        <v>545999</v>
      </c>
      <c r="B142" s="765" t="str">
        <f>VLOOKUP(A142,'Income Statement'!$A$6:$B$254,2,FALSE)</f>
        <v>Cont/Comp Expense Alloc-Out</v>
      </c>
      <c r="C142" s="1413"/>
      <c r="D142" s="147">
        <v>-34066</v>
      </c>
      <c r="E142" s="2029">
        <v>0</v>
      </c>
      <c r="F142" s="2030">
        <v>0</v>
      </c>
      <c r="G142" s="2021"/>
      <c r="H142" s="1385">
        <f>'Adj - Proforma'!L142</f>
        <v>0</v>
      </c>
      <c r="I142" s="42">
        <f t="shared" si="84"/>
        <v>-34066</v>
      </c>
      <c r="J142" s="60"/>
      <c r="K142" s="51">
        <f t="shared" si="85"/>
        <v>-28001.054581813205</v>
      </c>
      <c r="L142" s="41">
        <f t="shared" si="86"/>
        <v>-6064.9454181867959</v>
      </c>
      <c r="M142" s="1322"/>
      <c r="N142" s="1025">
        <f t="shared" si="87"/>
        <v>-2183.7777328103889</v>
      </c>
      <c r="O142" s="1030">
        <f t="shared" si="88"/>
        <v>-1495.2521381001411</v>
      </c>
      <c r="P142" s="1025">
        <f t="shared" si="89"/>
        <v>-96.912613154151529</v>
      </c>
      <c r="Q142" s="41">
        <f t="shared" si="90"/>
        <v>-2289.0029341221143</v>
      </c>
      <c r="R142" s="21" t="s">
        <v>344</v>
      </c>
      <c r="S142" s="37" t="str">
        <f t="shared" si="93"/>
        <v>Container Count</v>
      </c>
      <c r="T142" s="36" t="s">
        <v>13</v>
      </c>
      <c r="U142" s="151">
        <f t="shared" si="43"/>
        <v>0</v>
      </c>
      <c r="V142" s="132">
        <f t="shared" si="91"/>
        <v>-2183.7777328103889</v>
      </c>
      <c r="W142" s="41">
        <f>O142</f>
        <v>-1495.2521381001411</v>
      </c>
      <c r="X142" s="132">
        <f t="shared" si="82"/>
        <v>-96.912613154151529</v>
      </c>
      <c r="Y142" s="62">
        <f t="shared" si="83"/>
        <v>-2289.0029341221143</v>
      </c>
    </row>
    <row r="143" spans="1:25" s="38" customFormat="1" ht="12">
      <c r="A143" s="54"/>
      <c r="B143" s="1392" t="s">
        <v>554</v>
      </c>
      <c r="C143" s="1405">
        <f>SUM(C131:C142)</f>
        <v>247119</v>
      </c>
      <c r="D143" s="561">
        <v>132805</v>
      </c>
      <c r="E143" s="2032">
        <v>0</v>
      </c>
      <c r="F143" s="2032">
        <v>0</v>
      </c>
      <c r="G143" s="2022"/>
      <c r="H143" s="1386">
        <f>SUM(H131:H142)</f>
        <v>88988.812944469712</v>
      </c>
      <c r="I143" s="562">
        <f>SUM(I131:I142)</f>
        <v>221793.81294446971</v>
      </c>
      <c r="J143" s="60"/>
      <c r="K143" s="562">
        <f>SUM(K131:K142)</f>
        <v>182306.71819898329</v>
      </c>
      <c r="L143" s="562">
        <f>SUM(L131:L142)</f>
        <v>39487.094745486429</v>
      </c>
      <c r="M143" s="1322"/>
      <c r="N143" s="562">
        <f>SUM(N131:N142)</f>
        <v>14217.941348653951</v>
      </c>
      <c r="O143" s="562">
        <f>SUM(O131:O142)</f>
        <v>9735.1515594023695</v>
      </c>
      <c r="P143" s="562">
        <f>SUM(P131:P142)</f>
        <v>630.96982310431622</v>
      </c>
      <c r="Q143" s="562">
        <f>SUM(Q131:Q142)</f>
        <v>14903.032014325794</v>
      </c>
      <c r="R143" s="21"/>
      <c r="S143" s="37"/>
      <c r="T143" s="36"/>
      <c r="U143" s="151">
        <f t="shared" si="43"/>
        <v>0</v>
      </c>
      <c r="V143" s="55">
        <f t="shared" si="91"/>
        <v>14217.941348653951</v>
      </c>
      <c r="W143" s="55">
        <f>O143</f>
        <v>9735.1515594023695</v>
      </c>
      <c r="X143" s="55">
        <f t="shared" si="82"/>
        <v>630.96982310431622</v>
      </c>
      <c r="Y143" s="55">
        <f t="shared" si="83"/>
        <v>14903.032014325794</v>
      </c>
    </row>
    <row r="144" spans="1:25" s="24" customFormat="1">
      <c r="A144" s="553"/>
      <c r="B144" s="557"/>
      <c r="C144" s="1406"/>
      <c r="D144" s="2042"/>
      <c r="E144" s="2029"/>
      <c r="F144" s="2030"/>
      <c r="G144" s="2021"/>
      <c r="H144" s="1385"/>
      <c r="I144" s="139"/>
      <c r="J144" s="138"/>
      <c r="K144" s="61"/>
      <c r="L144" s="62"/>
      <c r="M144" s="1322"/>
      <c r="N144" s="132"/>
      <c r="O144" s="62"/>
      <c r="P144" s="132"/>
      <c r="Q144" s="62"/>
      <c r="R144" s="21"/>
      <c r="S144" s="22"/>
      <c r="T144" s="21"/>
      <c r="U144" s="151">
        <f t="shared" si="43"/>
        <v>0</v>
      </c>
      <c r="V144" s="62"/>
      <c r="W144" s="62"/>
      <c r="X144" s="62"/>
      <c r="Y144" s="62"/>
    </row>
    <row r="145" spans="1:25" s="38" customFormat="1" outlineLevel="1">
      <c r="A145" s="57">
        <v>565002</v>
      </c>
      <c r="B145" s="765" t="str">
        <f>VLOOKUP(A145,'Income Statement'!$A$6:$B$254,2,FALSE)</f>
        <v>Corp Ins-Fixed AL/GL</v>
      </c>
      <c r="C145" s="1413">
        <v>349138</v>
      </c>
      <c r="D145" s="147">
        <v>336332</v>
      </c>
      <c r="E145" s="2029">
        <v>0</v>
      </c>
      <c r="F145" s="2030">
        <v>0</v>
      </c>
      <c r="G145" s="2021"/>
      <c r="H145" s="1385">
        <f>'Adj - Proforma'!L145</f>
        <v>0</v>
      </c>
      <c r="I145" s="42">
        <f t="shared" ref="I145:I157" si="95">SUM(D145:H145)</f>
        <v>336332</v>
      </c>
      <c r="J145" s="60"/>
      <c r="K145" s="51">
        <f>I145-L145</f>
        <v>287563.86</v>
      </c>
      <c r="L145" s="41">
        <f t="shared" ref="L145:L157" si="96">I145*VLOOKUP($R145,$K$3:$L$6,2,FALSE)</f>
        <v>48768.14</v>
      </c>
      <c r="M145" s="1322"/>
      <c r="N145" s="1025">
        <f t="shared" ref="N145:N157" si="97">L145*VLOOKUP($S145,$K$2:$Q$6,4,FALSE)</f>
        <v>10056.289913988521</v>
      </c>
      <c r="O145" s="1030">
        <f t="shared" ref="O145:O157" si="98">L145*VLOOKUP($S145,$K$2:$Q$6,5,FALSE)</f>
        <v>7898.6754285964344</v>
      </c>
      <c r="P145" s="1025">
        <f t="shared" ref="P145:P157" si="99">L145*VLOOKUP($S145,$K$2:$Q$6,6,FALSE)</f>
        <v>1038.2272616114547</v>
      </c>
      <c r="Q145" s="41">
        <f>L145-N145-O145-P145</f>
        <v>29774.947395803592</v>
      </c>
      <c r="R145" s="21" t="s">
        <v>14</v>
      </c>
      <c r="S145" s="37" t="s">
        <v>13</v>
      </c>
      <c r="T145" s="36" t="s">
        <v>13</v>
      </c>
      <c r="U145" s="151">
        <f t="shared" si="43"/>
        <v>0</v>
      </c>
      <c r="V145" s="132">
        <f t="shared" ref="V145:Y148" si="100">N145</f>
        <v>10056.289913988521</v>
      </c>
      <c r="W145" s="41">
        <f t="shared" si="100"/>
        <v>7898.6754285964344</v>
      </c>
      <c r="X145" s="132">
        <f t="shared" si="100"/>
        <v>1038.2272616114547</v>
      </c>
      <c r="Y145" s="62">
        <f t="shared" si="100"/>
        <v>29774.947395803592</v>
      </c>
    </row>
    <row r="146" spans="1:25" s="38" customFormat="1" outlineLevel="1">
      <c r="A146" s="57">
        <v>565006</v>
      </c>
      <c r="B146" s="765" t="str">
        <f>VLOOKUP(A146,'Income Statement'!$A$6:$B$254,2,FALSE)</f>
        <v>AW Self Ins WC/Premium Exp</v>
      </c>
      <c r="C146" s="1413"/>
      <c r="D146" s="147">
        <v>-2872</v>
      </c>
      <c r="E146" s="2029">
        <v>0</v>
      </c>
      <c r="F146" s="2030">
        <v>-222415.70512098828</v>
      </c>
      <c r="G146" s="2021"/>
      <c r="H146" s="1385">
        <f>ReviewAccts!J30</f>
        <v>-17456.46</v>
      </c>
      <c r="I146" s="42">
        <f t="shared" si="95"/>
        <v>-242744.16512098827</v>
      </c>
      <c r="J146" s="60"/>
      <c r="K146" s="51">
        <f>I146-L146</f>
        <v>-207922.78430376775</v>
      </c>
      <c r="L146" s="41">
        <f t="shared" si="96"/>
        <v>-34821.38081722051</v>
      </c>
      <c r="M146" s="1322"/>
      <c r="N146" s="1025">
        <f t="shared" si="97"/>
        <v>-9109.9319268398485</v>
      </c>
      <c r="O146" s="1030">
        <f t="shared" si="98"/>
        <v>-7296.9147789709587</v>
      </c>
      <c r="P146" s="1025">
        <f t="shared" si="99"/>
        <v>-1613.1006353014543</v>
      </c>
      <c r="Q146" s="41">
        <f>L146-N146-O146-P146</f>
        <v>-16801.43347610825</v>
      </c>
      <c r="R146" s="21" t="s">
        <v>10</v>
      </c>
      <c r="S146" s="37" t="s">
        <v>10</v>
      </c>
      <c r="T146" s="36" t="s">
        <v>13</v>
      </c>
      <c r="U146" s="151">
        <f t="shared" si="43"/>
        <v>0</v>
      </c>
      <c r="V146" s="132">
        <f t="shared" si="100"/>
        <v>-9109.9319268398485</v>
      </c>
      <c r="W146" s="41">
        <f t="shared" si="100"/>
        <v>-7296.9147789709587</v>
      </c>
      <c r="X146" s="132">
        <f t="shared" si="100"/>
        <v>-1613.1006353014543</v>
      </c>
      <c r="Y146" s="62">
        <f t="shared" si="100"/>
        <v>-16801.43347610825</v>
      </c>
    </row>
    <row r="147" spans="1:25" s="38" customFormat="1" outlineLevel="1">
      <c r="A147" s="1382">
        <v>565008</v>
      </c>
      <c r="B147" s="1395" t="str">
        <f>VLOOKUP(A147,'Income Statement'!$A$6:$B$254,2,FALSE)</f>
        <v>Corp Ins-Fixed Other</v>
      </c>
      <c r="C147" s="1413">
        <v>175998</v>
      </c>
      <c r="D147" s="147">
        <v>152114</v>
      </c>
      <c r="E147" s="2029">
        <v>0</v>
      </c>
      <c r="F147" s="2030">
        <v>0</v>
      </c>
      <c r="G147" s="2021"/>
      <c r="H147" s="1385">
        <f>'Adj - Proforma'!L147</f>
        <v>0</v>
      </c>
      <c r="I147" s="42">
        <f t="shared" si="95"/>
        <v>152114</v>
      </c>
      <c r="J147" s="60"/>
      <c r="K147" s="51">
        <f>I147-L147</f>
        <v>130293.41568650828</v>
      </c>
      <c r="L147" s="41">
        <f t="shared" si="96"/>
        <v>21820.584313491723</v>
      </c>
      <c r="M147" s="1322"/>
      <c r="N147" s="1025">
        <f t="shared" si="97"/>
        <v>4499.5384681290479</v>
      </c>
      <c r="O147" s="1030">
        <f t="shared" si="98"/>
        <v>3534.1457179747649</v>
      </c>
      <c r="P147" s="1025">
        <f t="shared" si="99"/>
        <v>464.53946159436009</v>
      </c>
      <c r="Q147" s="41">
        <f>L147-N147-O147-P147</f>
        <v>13322.360665793549</v>
      </c>
      <c r="R147" s="21" t="s">
        <v>10</v>
      </c>
      <c r="S147" s="37" t="s">
        <v>13</v>
      </c>
      <c r="T147" s="36" t="s">
        <v>13</v>
      </c>
      <c r="U147" s="151">
        <f t="shared" si="43"/>
        <v>4.5474735088646412E-13</v>
      </c>
      <c r="V147" s="132">
        <f t="shared" si="100"/>
        <v>4499.5384681290479</v>
      </c>
      <c r="W147" s="41">
        <f t="shared" si="100"/>
        <v>3534.1457179747649</v>
      </c>
      <c r="X147" s="132">
        <f t="shared" si="100"/>
        <v>464.53946159436009</v>
      </c>
      <c r="Y147" s="62">
        <f t="shared" si="100"/>
        <v>13322.360665793549</v>
      </c>
    </row>
    <row r="148" spans="1:25" s="38" customFormat="1" outlineLevel="1">
      <c r="A148" s="1382">
        <v>565012</v>
      </c>
      <c r="B148" s="1395" t="str">
        <f>VLOOKUP(A148,'Income Statement'!$A$6:$B$254,2,FALSE)</f>
        <v>Corp Ins-Occur AL/GL</v>
      </c>
      <c r="C148" s="1413">
        <v>186945</v>
      </c>
      <c r="D148" s="147">
        <v>104911</v>
      </c>
      <c r="E148" s="2029">
        <v>0</v>
      </c>
      <c r="F148" s="2030">
        <v>0</v>
      </c>
      <c r="G148" s="2021"/>
      <c r="H148" s="1385">
        <f>'Adj - Proforma'!L148</f>
        <v>0</v>
      </c>
      <c r="I148" s="42">
        <f t="shared" si="95"/>
        <v>104911</v>
      </c>
      <c r="J148" s="60"/>
      <c r="K148" s="51">
        <f>I148-L148</f>
        <v>89698.904999999999</v>
      </c>
      <c r="L148" s="41">
        <f t="shared" si="96"/>
        <v>15212.094999999999</v>
      </c>
      <c r="M148" s="1322"/>
      <c r="N148" s="1025">
        <f t="shared" si="97"/>
        <v>3136.8273942605811</v>
      </c>
      <c r="O148" s="1030">
        <f t="shared" si="98"/>
        <v>2463.8093844459654</v>
      </c>
      <c r="P148" s="1025">
        <f t="shared" si="99"/>
        <v>323.85101698000585</v>
      </c>
      <c r="Q148" s="41">
        <f>L148-N148-O148-P148</f>
        <v>9287.6072043134463</v>
      </c>
      <c r="R148" s="21" t="s">
        <v>14</v>
      </c>
      <c r="S148" s="37" t="s">
        <v>13</v>
      </c>
      <c r="T148" s="36" t="s">
        <v>13</v>
      </c>
      <c r="U148" s="151">
        <f t="shared" ref="U148:U218" si="101">L148-N148-O148-Q148-P148</f>
        <v>6.8212102632969618E-13</v>
      </c>
      <c r="V148" s="132">
        <f t="shared" si="100"/>
        <v>3136.8273942605811</v>
      </c>
      <c r="W148" s="41">
        <f t="shared" si="100"/>
        <v>2463.8093844459654</v>
      </c>
      <c r="X148" s="132">
        <f t="shared" si="100"/>
        <v>323.85101698000585</v>
      </c>
      <c r="Y148" s="41">
        <f t="shared" si="100"/>
        <v>9287.6072043134463</v>
      </c>
    </row>
    <row r="149" spans="1:25" s="38" customFormat="1" outlineLevel="1">
      <c r="A149" s="1382">
        <v>565030</v>
      </c>
      <c r="B149" s="1395" t="str">
        <f>VLOOKUP(A149,'Income Statement'!$A$6:$B$254,2,FALSE)</f>
        <v>Non-Corp Ins-W/C</v>
      </c>
      <c r="C149" s="1413">
        <v>646714</v>
      </c>
      <c r="D149" s="147">
        <v>649281</v>
      </c>
      <c r="E149" s="2029"/>
      <c r="F149" s="2030">
        <v>0</v>
      </c>
      <c r="G149" s="2021"/>
      <c r="H149" s="1385">
        <f>ReviewAccts!J33</f>
        <v>-30771.192712578551</v>
      </c>
      <c r="I149" s="42">
        <f>SUM(D149:H149)</f>
        <v>618509.80728742143</v>
      </c>
      <c r="J149" s="60"/>
      <c r="K149" s="51">
        <f t="shared" ref="K149:K154" si="102">I149-L149</f>
        <v>529785.26254705107</v>
      </c>
      <c r="L149" s="41">
        <f t="shared" si="96"/>
        <v>88724.544740370358</v>
      </c>
      <c r="M149" s="1322"/>
      <c r="N149" s="1025">
        <f t="shared" si="97"/>
        <v>23212.019278250667</v>
      </c>
      <c r="O149" s="1030">
        <f t="shared" si="98"/>
        <v>18592.468953824678</v>
      </c>
      <c r="P149" s="1025">
        <f t="shared" si="99"/>
        <v>4110.1649655646224</v>
      </c>
      <c r="Q149" s="41">
        <f t="shared" ref="Q149:Q154" si="103">L149-N149-O149-P149</f>
        <v>42809.891542730395</v>
      </c>
      <c r="R149" s="21" t="s">
        <v>10</v>
      </c>
      <c r="S149" s="37" t="s">
        <v>10</v>
      </c>
      <c r="T149" s="36" t="s">
        <v>13</v>
      </c>
      <c r="U149" s="151">
        <f t="shared" si="101"/>
        <v>0</v>
      </c>
      <c r="V149" s="132">
        <f t="shared" ref="V149:V154" si="104">N149</f>
        <v>23212.019278250667</v>
      </c>
      <c r="W149" s="41">
        <f t="shared" ref="W149:W154" si="105">O149</f>
        <v>18592.468953824678</v>
      </c>
      <c r="X149" s="132">
        <f t="shared" ref="X149:X154" si="106">P149</f>
        <v>4110.1649655646224</v>
      </c>
      <c r="Y149" s="41">
        <f t="shared" ref="Y149:Y154" si="107">Q149</f>
        <v>42809.891542730395</v>
      </c>
    </row>
    <row r="150" spans="1:25" s="38" customFormat="1" outlineLevel="1">
      <c r="A150" s="1382">
        <v>565040</v>
      </c>
      <c r="B150" s="1395" t="str">
        <f>VLOOKUP(A150,'Income Statement'!$A$6:$B$254,2,FALSE)</f>
        <v>Damage-RSG Prop Non-AM</v>
      </c>
      <c r="C150" s="1413">
        <v>16192</v>
      </c>
      <c r="D150" s="147">
        <v>15685</v>
      </c>
      <c r="E150" s="2029">
        <v>0</v>
      </c>
      <c r="F150" s="2030">
        <v>0</v>
      </c>
      <c r="G150" s="2021"/>
      <c r="H150" s="1385">
        <f>'Adj - Proforma'!L150</f>
        <v>0</v>
      </c>
      <c r="I150" s="42">
        <f t="shared" si="95"/>
        <v>15685</v>
      </c>
      <c r="J150" s="60"/>
      <c r="K150" s="51">
        <f t="shared" si="102"/>
        <v>13435.004174782613</v>
      </c>
      <c r="L150" s="41">
        <f t="shared" si="96"/>
        <v>2249.9958252173874</v>
      </c>
      <c r="M150" s="1322"/>
      <c r="N150" s="1025">
        <f t="shared" si="97"/>
        <v>588.64147033674033</v>
      </c>
      <c r="O150" s="1030">
        <f t="shared" si="98"/>
        <v>471.49272671956675</v>
      </c>
      <c r="P150" s="1025">
        <f t="shared" si="99"/>
        <v>104.23106751955326</v>
      </c>
      <c r="Q150" s="41">
        <f t="shared" si="103"/>
        <v>1085.6305606415269</v>
      </c>
      <c r="R150" s="21" t="s">
        <v>10</v>
      </c>
      <c r="S150" s="37" t="s">
        <v>10</v>
      </c>
      <c r="T150" s="36" t="s">
        <v>13</v>
      </c>
      <c r="U150" s="151">
        <f t="shared" si="101"/>
        <v>0</v>
      </c>
      <c r="V150" s="132">
        <f t="shared" si="104"/>
        <v>588.64147033674033</v>
      </c>
      <c r="W150" s="41">
        <f t="shared" si="105"/>
        <v>471.49272671956675</v>
      </c>
      <c r="X150" s="132">
        <f t="shared" si="106"/>
        <v>104.23106751955326</v>
      </c>
      <c r="Y150" s="41">
        <f t="shared" si="107"/>
        <v>1085.6305606415269</v>
      </c>
    </row>
    <row r="151" spans="1:25" s="38" customFormat="1" outlineLevel="1">
      <c r="A151" s="57">
        <v>565045</v>
      </c>
      <c r="B151" s="765" t="str">
        <f>VLOOKUP(A151,'Income Statement'!$A$6:$B$254,2,FALSE)</f>
        <v>Surety Cost</v>
      </c>
      <c r="C151" s="1413">
        <v>37594</v>
      </c>
      <c r="D151" s="147">
        <v>43988</v>
      </c>
      <c r="E151" s="2029">
        <v>0</v>
      </c>
      <c r="F151" s="2030">
        <v>0</v>
      </c>
      <c r="G151" s="2021"/>
      <c r="H151" s="1385">
        <f>'Adj - Proforma'!L151</f>
        <v>0</v>
      </c>
      <c r="I151" s="42">
        <f t="shared" si="95"/>
        <v>43988</v>
      </c>
      <c r="J151" s="60"/>
      <c r="K151" s="51">
        <f t="shared" si="102"/>
        <v>37609.74</v>
      </c>
      <c r="L151" s="41">
        <f t="shared" si="96"/>
        <v>6378.2599999999993</v>
      </c>
      <c r="M151" s="1322"/>
      <c r="N151" s="1025">
        <f t="shared" si="97"/>
        <v>1315.2363757731259</v>
      </c>
      <c r="O151" s="1030">
        <f t="shared" si="98"/>
        <v>1033.0475088695096</v>
      </c>
      <c r="P151" s="1025">
        <f t="shared" si="99"/>
        <v>135.78708176374732</v>
      </c>
      <c r="Q151" s="41">
        <f t="shared" si="103"/>
        <v>3894.1890335936164</v>
      </c>
      <c r="R151" s="21" t="s">
        <v>14</v>
      </c>
      <c r="S151" s="37" t="s">
        <v>13</v>
      </c>
      <c r="T151" s="36" t="s">
        <v>13</v>
      </c>
      <c r="U151" s="151">
        <f t="shared" si="101"/>
        <v>0</v>
      </c>
      <c r="V151" s="132">
        <f t="shared" si="104"/>
        <v>1315.2363757731259</v>
      </c>
      <c r="W151" s="41">
        <f t="shared" si="105"/>
        <v>1033.0475088695096</v>
      </c>
      <c r="X151" s="132">
        <f t="shared" si="106"/>
        <v>135.78708176374732</v>
      </c>
      <c r="Y151" s="41">
        <f t="shared" si="107"/>
        <v>3894.1890335936164</v>
      </c>
    </row>
    <row r="152" spans="1:25" s="38" customFormat="1" outlineLevel="1">
      <c r="A152" s="57">
        <v>565080</v>
      </c>
      <c r="B152" s="765" t="str">
        <f>VLOOKUP(A152,'Income Statement'!$A$6:$B$254,2,FALSE)</f>
        <v>Hiring, Training &amp; Safety</v>
      </c>
      <c r="C152" s="1414">
        <v>7916</v>
      </c>
      <c r="D152" s="147">
        <v>55779</v>
      </c>
      <c r="E152" s="2029">
        <v>0</v>
      </c>
      <c r="F152" s="2030">
        <v>0</v>
      </c>
      <c r="G152" s="2021"/>
      <c r="H152" s="1385">
        <f>'Adj - Proforma'!L152</f>
        <v>0</v>
      </c>
      <c r="I152" s="42">
        <f t="shared" si="95"/>
        <v>55779</v>
      </c>
      <c r="J152" s="60"/>
      <c r="K152" s="51">
        <f t="shared" si="102"/>
        <v>47691.044999999998</v>
      </c>
      <c r="L152" s="41">
        <f t="shared" si="96"/>
        <v>8087.954999999999</v>
      </c>
      <c r="M152" s="1322"/>
      <c r="N152" s="1025">
        <f t="shared" si="97"/>
        <v>1667.7859826372919</v>
      </c>
      <c r="O152" s="1030">
        <f t="shared" si="98"/>
        <v>1309.9562834689546</v>
      </c>
      <c r="P152" s="1025">
        <f t="shared" si="99"/>
        <v>172.18486027325775</v>
      </c>
      <c r="Q152" s="41">
        <f t="shared" si="103"/>
        <v>4938.0278736204937</v>
      </c>
      <c r="R152" s="21" t="s">
        <v>14</v>
      </c>
      <c r="S152" s="37" t="s">
        <v>13</v>
      </c>
      <c r="T152" s="36" t="s">
        <v>13</v>
      </c>
      <c r="U152" s="151">
        <f t="shared" si="101"/>
        <v>2.2737367544323206E-13</v>
      </c>
      <c r="V152" s="132">
        <f t="shared" si="104"/>
        <v>1667.7859826372919</v>
      </c>
      <c r="W152" s="41">
        <f t="shared" si="105"/>
        <v>1309.9562834689546</v>
      </c>
      <c r="X152" s="132">
        <f t="shared" si="106"/>
        <v>172.18486027325775</v>
      </c>
      <c r="Y152" s="41">
        <f t="shared" si="107"/>
        <v>4938.0278736204937</v>
      </c>
    </row>
    <row r="153" spans="1:25" s="38" customFormat="1" outlineLevel="1">
      <c r="A153" s="57">
        <v>565081</v>
      </c>
      <c r="B153" s="765" t="str">
        <f>VLOOKUP(A153,'Income Statement'!$A$6:$B$254,2,FALSE)</f>
        <v>Safety Equipment</v>
      </c>
      <c r="C153" s="1413">
        <v>53608</v>
      </c>
      <c r="D153" s="147">
        <v>26247</v>
      </c>
      <c r="E153" s="2029">
        <v>0</v>
      </c>
      <c r="F153" s="2030">
        <v>0</v>
      </c>
      <c r="G153" s="2021"/>
      <c r="H153" s="1385">
        <f>'Adj - Proforma'!L153</f>
        <v>0</v>
      </c>
      <c r="I153" s="42">
        <f t="shared" si="95"/>
        <v>26247</v>
      </c>
      <c r="J153" s="60"/>
      <c r="K153" s="51">
        <f t="shared" si="102"/>
        <v>22441.185000000001</v>
      </c>
      <c r="L153" s="41">
        <f t="shared" si="96"/>
        <v>3805.8149999999996</v>
      </c>
      <c r="M153" s="1322"/>
      <c r="N153" s="1025">
        <f t="shared" si="97"/>
        <v>784.78242145397019</v>
      </c>
      <c r="O153" s="1030">
        <f t="shared" si="98"/>
        <v>616.40442769159813</v>
      </c>
      <c r="P153" s="1025">
        <f t="shared" si="99"/>
        <v>81.022177299560695</v>
      </c>
      <c r="Q153" s="41">
        <f t="shared" si="103"/>
        <v>2323.6059735548711</v>
      </c>
      <c r="R153" s="21" t="s">
        <v>14</v>
      </c>
      <c r="S153" s="37" t="s">
        <v>13</v>
      </c>
      <c r="T153" s="36" t="s">
        <v>13</v>
      </c>
      <c r="U153" s="151">
        <f t="shared" si="101"/>
        <v>-1.4210854715202004E-13</v>
      </c>
      <c r="V153" s="132">
        <f t="shared" si="104"/>
        <v>784.78242145397019</v>
      </c>
      <c r="W153" s="41">
        <f t="shared" si="105"/>
        <v>616.40442769159813</v>
      </c>
      <c r="X153" s="132">
        <f t="shared" si="106"/>
        <v>81.022177299560695</v>
      </c>
      <c r="Y153" s="41">
        <f t="shared" si="107"/>
        <v>2323.6059735548711</v>
      </c>
    </row>
    <row r="154" spans="1:25" s="38" customFormat="1" outlineLevel="1">
      <c r="A154" s="57">
        <v>565082</v>
      </c>
      <c r="B154" s="765" t="str">
        <f>VLOOKUP(A154,'Income Statement'!$A$6:$B$254,2,FALSE)</f>
        <v>Safety Incentive Program</v>
      </c>
      <c r="C154" s="1413">
        <v>70707</v>
      </c>
      <c r="D154" s="147">
        <v>62416</v>
      </c>
      <c r="E154" s="2029">
        <v>0</v>
      </c>
      <c r="F154" s="2030">
        <v>0</v>
      </c>
      <c r="G154" s="2021"/>
      <c r="H154" s="1385">
        <f>'Adj - Proforma'!L154</f>
        <v>0</v>
      </c>
      <c r="I154" s="42">
        <f t="shared" si="95"/>
        <v>62416</v>
      </c>
      <c r="J154" s="60"/>
      <c r="K154" s="51">
        <f t="shared" si="102"/>
        <v>53365.68</v>
      </c>
      <c r="L154" s="41">
        <f t="shared" si="96"/>
        <v>9050.32</v>
      </c>
      <c r="M154" s="1322"/>
      <c r="N154" s="1025">
        <f t="shared" si="97"/>
        <v>1866.2315547480096</v>
      </c>
      <c r="O154" s="1030">
        <f t="shared" si="98"/>
        <v>1465.8246183868173</v>
      </c>
      <c r="P154" s="1025">
        <f t="shared" si="99"/>
        <v>192.67269472051589</v>
      </c>
      <c r="Q154" s="41">
        <f t="shared" si="103"/>
        <v>5525.5911321446574</v>
      </c>
      <c r="R154" s="21" t="s">
        <v>14</v>
      </c>
      <c r="S154" s="37" t="s">
        <v>13</v>
      </c>
      <c r="T154" s="36" t="s">
        <v>13</v>
      </c>
      <c r="U154" s="151">
        <f t="shared" si="101"/>
        <v>2.2737367544323206E-13</v>
      </c>
      <c r="V154" s="132">
        <f t="shared" si="104"/>
        <v>1866.2315547480096</v>
      </c>
      <c r="W154" s="41">
        <f t="shared" si="105"/>
        <v>1465.8246183868173</v>
      </c>
      <c r="X154" s="132">
        <f t="shared" si="106"/>
        <v>192.67269472051589</v>
      </c>
      <c r="Y154" s="41">
        <f t="shared" si="107"/>
        <v>5525.5911321446574</v>
      </c>
    </row>
    <row r="155" spans="1:25" s="38" customFormat="1" outlineLevel="1">
      <c r="A155" s="54">
        <v>565083</v>
      </c>
      <c r="B155" s="765" t="str">
        <f>VLOOKUP(A155,'Income Statement'!$A$6:$B$254,2,FALSE)</f>
        <v>Medical/Physicals</v>
      </c>
      <c r="C155" s="1413">
        <v>12159</v>
      </c>
      <c r="D155" s="147">
        <v>8980</v>
      </c>
      <c r="E155" s="2029">
        <v>0</v>
      </c>
      <c r="F155" s="2030">
        <v>0</v>
      </c>
      <c r="G155" s="2021"/>
      <c r="H155" s="1385">
        <f>'Adj - Proforma'!L155</f>
        <v>0</v>
      </c>
      <c r="I155" s="42">
        <f t="shared" si="95"/>
        <v>8980</v>
      </c>
      <c r="J155" s="60"/>
      <c r="K155" s="51">
        <f>I155-L155</f>
        <v>7677.9</v>
      </c>
      <c r="L155" s="41">
        <f t="shared" si="96"/>
        <v>1302.0999999999999</v>
      </c>
      <c r="M155" s="1322"/>
      <c r="N155" s="1025">
        <f t="shared" si="97"/>
        <v>268.50101515055633</v>
      </c>
      <c r="O155" s="1030">
        <f t="shared" si="98"/>
        <v>210.89312152514768</v>
      </c>
      <c r="P155" s="1025">
        <f t="shared" si="99"/>
        <v>27.720469087897857</v>
      </c>
      <c r="Q155" s="41">
        <f>L155-N155-O155-P155</f>
        <v>794.98539423639818</v>
      </c>
      <c r="R155" s="21" t="s">
        <v>14</v>
      </c>
      <c r="S155" s="37" t="s">
        <v>13</v>
      </c>
      <c r="T155" s="36" t="s">
        <v>13</v>
      </c>
      <c r="U155" s="151">
        <f t="shared" si="101"/>
        <v>0</v>
      </c>
      <c r="V155" s="132">
        <f t="shared" si="91"/>
        <v>268.50101515055633</v>
      </c>
      <c r="W155" s="41">
        <f>O155</f>
        <v>210.89312152514768</v>
      </c>
      <c r="X155" s="132">
        <f t="shared" si="82"/>
        <v>27.720469087897857</v>
      </c>
      <c r="Y155" s="41">
        <f t="shared" si="83"/>
        <v>794.98539423639818</v>
      </c>
    </row>
    <row r="156" spans="1:25" s="38" customFormat="1" outlineLevel="1">
      <c r="A156" s="57">
        <v>565998</v>
      </c>
      <c r="B156" s="765" t="str">
        <f>VLOOKUP(A156,'Income Statement'!$A$6:$B$254,2,FALSE)</f>
        <v>Insurance Alloc-In</v>
      </c>
      <c r="C156" s="1413">
        <v>819448</v>
      </c>
      <c r="D156" s="147">
        <v>884768</v>
      </c>
      <c r="E156" s="2029">
        <v>0</v>
      </c>
      <c r="F156" s="2030">
        <v>0</v>
      </c>
      <c r="G156" s="2021"/>
      <c r="H156" s="1385">
        <f>'Adj - Proforma'!L156</f>
        <v>0</v>
      </c>
      <c r="I156" s="42">
        <f t="shared" si="95"/>
        <v>884768</v>
      </c>
      <c r="J156" s="60"/>
      <c r="K156" s="51">
        <f>I156-L156</f>
        <v>756476.64</v>
      </c>
      <c r="L156" s="41">
        <f>I156*VLOOKUP($R156,$K$3:$L$6,2,FALSE)</f>
        <v>128291.35999999999</v>
      </c>
      <c r="M156" s="1322"/>
      <c r="N156" s="1025">
        <f t="shared" si="97"/>
        <v>26454.466166227998</v>
      </c>
      <c r="O156" s="1030">
        <f t="shared" si="98"/>
        <v>20778.561842490184</v>
      </c>
      <c r="P156" s="1025">
        <f t="shared" si="99"/>
        <v>2731.2008901961262</v>
      </c>
      <c r="Q156" s="41">
        <f>L156-N156-O156-P156</f>
        <v>78327.131101085673</v>
      </c>
      <c r="R156" s="21" t="s">
        <v>14</v>
      </c>
      <c r="S156" s="37" t="s">
        <v>13</v>
      </c>
      <c r="T156" s="36" t="s">
        <v>13</v>
      </c>
      <c r="U156" s="151">
        <f>L156-N156-O156-Q156-P156</f>
        <v>0</v>
      </c>
      <c r="V156" s="132">
        <f>N156</f>
        <v>26454.466166227998</v>
      </c>
      <c r="W156" s="41">
        <f>O156</f>
        <v>20778.561842490184</v>
      </c>
      <c r="X156" s="132">
        <f>P156</f>
        <v>2731.2008901961262</v>
      </c>
      <c r="Y156" s="41">
        <f>Q156</f>
        <v>78327.131101085673</v>
      </c>
    </row>
    <row r="157" spans="1:25" s="38" customFormat="1" outlineLevel="1">
      <c r="A157" s="57">
        <v>565999</v>
      </c>
      <c r="B157" s="765" t="str">
        <f>VLOOKUP(A157,'Income Statement'!$A$6:$B$254,2,FALSE)</f>
        <v>Insurance Alloc-Out</v>
      </c>
      <c r="C157" s="1413">
        <v>-819448</v>
      </c>
      <c r="D157" s="147">
        <v>-884768</v>
      </c>
      <c r="E157" s="2029">
        <v>0</v>
      </c>
      <c r="F157" s="2030">
        <v>0</v>
      </c>
      <c r="G157" s="2021"/>
      <c r="H157" s="1385">
        <f>'Adj - Proforma'!L157</f>
        <v>0</v>
      </c>
      <c r="I157" s="42">
        <f t="shared" si="95"/>
        <v>-884768</v>
      </c>
      <c r="J157" s="60"/>
      <c r="K157" s="51">
        <f>I157-L157</f>
        <v>-756476.64</v>
      </c>
      <c r="L157" s="41">
        <f t="shared" si="96"/>
        <v>-128291.35999999999</v>
      </c>
      <c r="M157" s="1322"/>
      <c r="N157" s="1025">
        <f t="shared" si="97"/>
        <v>-26454.466166227998</v>
      </c>
      <c r="O157" s="1030">
        <f t="shared" si="98"/>
        <v>-20778.561842490184</v>
      </c>
      <c r="P157" s="1025">
        <f t="shared" si="99"/>
        <v>-2731.2008901961262</v>
      </c>
      <c r="Q157" s="41">
        <f>L157-N157-O157-P157</f>
        <v>-78327.131101085673</v>
      </c>
      <c r="R157" s="21" t="s">
        <v>14</v>
      </c>
      <c r="S157" s="37" t="s">
        <v>13</v>
      </c>
      <c r="T157" s="36" t="s">
        <v>13</v>
      </c>
      <c r="U157" s="151">
        <f t="shared" si="101"/>
        <v>0</v>
      </c>
      <c r="V157" s="132">
        <f t="shared" si="91"/>
        <v>-26454.466166227998</v>
      </c>
      <c r="W157" s="41">
        <f>O157</f>
        <v>-20778.561842490184</v>
      </c>
      <c r="X157" s="132">
        <f t="shared" si="82"/>
        <v>-2731.2008901961262</v>
      </c>
      <c r="Y157" s="41">
        <f t="shared" si="83"/>
        <v>-78327.131101085673</v>
      </c>
    </row>
    <row r="158" spans="1:25" s="38" customFormat="1" ht="12">
      <c r="A158" s="54"/>
      <c r="B158" s="560" t="s">
        <v>538</v>
      </c>
      <c r="C158" s="1405">
        <f>SUM(C145:C157)</f>
        <v>1556971</v>
      </c>
      <c r="D158" s="561">
        <v>1452861</v>
      </c>
      <c r="E158" s="2032">
        <v>215408.99</v>
      </c>
      <c r="F158" s="2032">
        <v>-222415.70512098828</v>
      </c>
      <c r="G158" s="2022"/>
      <c r="H158" s="1386">
        <f>SUM(H145:H157)</f>
        <v>-48227.652712578551</v>
      </c>
      <c r="I158" s="562">
        <f>SUM(I145:I157)</f>
        <v>1182217.6421664332</v>
      </c>
      <c r="J158" s="60"/>
      <c r="K158" s="562">
        <f>SUM(K145:K157)</f>
        <v>1011639.2131045744</v>
      </c>
      <c r="L158" s="562">
        <f>SUM(L145:L157)</f>
        <v>170578.42906185897</v>
      </c>
      <c r="M158" s="1322"/>
      <c r="N158" s="562">
        <f>SUM(N145:N157)</f>
        <v>38285.921947888673</v>
      </c>
      <c r="O158" s="562">
        <f>SUM(O145:O157)</f>
        <v>30299.803392532478</v>
      </c>
      <c r="P158" s="562">
        <f>SUM(P145:P157)</f>
        <v>5037.300421113523</v>
      </c>
      <c r="Q158" s="562">
        <f>SUM(Q145:Q157)</f>
        <v>96955.403300324295</v>
      </c>
      <c r="R158" s="21"/>
      <c r="S158" s="37"/>
      <c r="T158" s="36"/>
      <c r="U158" s="151">
        <f t="shared" si="101"/>
        <v>-1.0913936421275139E-11</v>
      </c>
      <c r="V158" s="55">
        <f t="shared" si="91"/>
        <v>38285.921947888673</v>
      </c>
      <c r="W158" s="55">
        <f>O158</f>
        <v>30299.803392532478</v>
      </c>
      <c r="X158" s="55">
        <f t="shared" si="82"/>
        <v>5037.300421113523</v>
      </c>
      <c r="Y158" s="55">
        <f t="shared" si="83"/>
        <v>96955.403300324295</v>
      </c>
    </row>
    <row r="159" spans="1:25" s="24" customFormat="1">
      <c r="A159" s="553"/>
      <c r="B159" s="557"/>
      <c r="C159" s="1406"/>
      <c r="D159" s="2042"/>
      <c r="E159" s="2029"/>
      <c r="F159" s="2030"/>
      <c r="G159" s="2021"/>
      <c r="H159" s="1385"/>
      <c r="I159" s="139"/>
      <c r="J159" s="138"/>
      <c r="K159" s="61"/>
      <c r="L159" s="62"/>
      <c r="M159" s="1322"/>
      <c r="N159" s="132"/>
      <c r="O159" s="62"/>
      <c r="P159" s="132"/>
      <c r="Q159" s="62"/>
      <c r="R159" s="21"/>
      <c r="S159" s="22"/>
      <c r="T159" s="21"/>
      <c r="U159" s="151">
        <f t="shared" si="101"/>
        <v>0</v>
      </c>
      <c r="V159" s="62"/>
      <c r="W159" s="62"/>
      <c r="X159" s="62"/>
      <c r="Y159" s="62"/>
    </row>
    <row r="160" spans="1:25" s="38" customFormat="1" outlineLevel="1">
      <c r="A160" s="1382">
        <v>570000</v>
      </c>
      <c r="B160" s="1395" t="str">
        <f>VLOOKUP(A160,'Income Statement'!$A$6:$B$254,2,FALSE)</f>
        <v>Fac Maint-Parts &amp; Supplies</v>
      </c>
      <c r="C160" s="1413">
        <v>25180</v>
      </c>
      <c r="D160" s="147">
        <v>18163</v>
      </c>
      <c r="E160" s="2029">
        <v>0</v>
      </c>
      <c r="F160" s="2030">
        <v>0</v>
      </c>
      <c r="G160" s="2021"/>
      <c r="H160" s="1385">
        <f>'Adj - Proforma'!L160</f>
        <v>0</v>
      </c>
      <c r="I160" s="42">
        <f>SUM(D160:H160)</f>
        <v>18163</v>
      </c>
      <c r="J160" s="60"/>
      <c r="K160" s="51">
        <f t="shared" ref="K160:K166" si="108">I160-L160</f>
        <v>15529.365</v>
      </c>
      <c r="L160" s="41">
        <f t="shared" ref="L160:L168" si="109">I160*VLOOKUP($R160,$K$3:$L$6,2,FALSE)</f>
        <v>2633.6349999999998</v>
      </c>
      <c r="M160" s="1322"/>
      <c r="N160" s="1025">
        <f t="shared" ref="N160:N168" si="110">L160*VLOOKUP($S160,$K$2:$Q$6,4,FALSE)</f>
        <v>543.0717080378123</v>
      </c>
      <c r="O160" s="1030">
        <f t="shared" ref="O160:O168" si="111">L160*VLOOKUP($S160,$K$2:$Q$6,5,FALSE)</f>
        <v>426.55364880414891</v>
      </c>
      <c r="P160" s="1025">
        <f t="shared" ref="P160:P168" si="112">L160*VLOOKUP($S160,$K$2:$Q$6,6,FALSE)</f>
        <v>56.067581296602313</v>
      </c>
      <c r="Q160" s="41">
        <f t="shared" ref="Q160:Q166" si="113">L160-N160-O160-P160</f>
        <v>1607.9420618614363</v>
      </c>
      <c r="R160" s="21" t="s">
        <v>14</v>
      </c>
      <c r="S160" s="37" t="s">
        <v>13</v>
      </c>
      <c r="T160" s="36" t="s">
        <v>13</v>
      </c>
      <c r="U160" s="151">
        <f t="shared" si="101"/>
        <v>7.1054273576010019E-14</v>
      </c>
      <c r="V160" s="132">
        <f t="shared" si="91"/>
        <v>543.0717080378123</v>
      </c>
      <c r="W160" s="41">
        <f t="shared" ref="W160:W166" si="114">O160</f>
        <v>426.55364880414891</v>
      </c>
      <c r="X160" s="132">
        <f t="shared" si="82"/>
        <v>56.067581296602313</v>
      </c>
      <c r="Y160" s="62">
        <f t="shared" si="83"/>
        <v>1607.9420618614363</v>
      </c>
    </row>
    <row r="161" spans="1:25" s="38" customFormat="1" outlineLevel="1">
      <c r="A161" s="1382">
        <v>570005</v>
      </c>
      <c r="B161" s="1395" t="str">
        <f>VLOOKUP(A161,'Income Statement'!$A$6:$B$254,2,FALSE)</f>
        <v>Fac Maint-O/S Repair</v>
      </c>
      <c r="C161" s="1413">
        <v>334134</v>
      </c>
      <c r="D161" s="147">
        <v>136330</v>
      </c>
      <c r="E161" s="2029">
        <v>0</v>
      </c>
      <c r="F161" s="2030">
        <v>0</v>
      </c>
      <c r="G161" s="2021"/>
      <c r="H161" s="1385">
        <f>'Adj - Proforma'!L161</f>
        <v>0</v>
      </c>
      <c r="I161" s="42">
        <f t="shared" ref="I161:I166" si="115">SUM(D161:H161)</f>
        <v>136330</v>
      </c>
      <c r="J161" s="60"/>
      <c r="K161" s="51">
        <f t="shared" si="108"/>
        <v>116562.15</v>
      </c>
      <c r="L161" s="41">
        <f t="shared" si="109"/>
        <v>19767.849999999999</v>
      </c>
      <c r="M161" s="1322"/>
      <c r="N161" s="1025">
        <f t="shared" si="110"/>
        <v>4076.2520484939137</v>
      </c>
      <c r="O161" s="1030">
        <f t="shared" si="111"/>
        <v>3201.6769774524928</v>
      </c>
      <c r="P161" s="1025">
        <f t="shared" si="112"/>
        <v>420.8387027564716</v>
      </c>
      <c r="Q161" s="41">
        <f t="shared" si="113"/>
        <v>12069.08227129712</v>
      </c>
      <c r="R161" s="21" t="s">
        <v>14</v>
      </c>
      <c r="S161" s="37" t="s">
        <v>13</v>
      </c>
      <c r="T161" s="36" t="s">
        <v>13</v>
      </c>
      <c r="U161" s="151">
        <f t="shared" si="101"/>
        <v>0</v>
      </c>
      <c r="V161" s="132">
        <f t="shared" si="91"/>
        <v>4076.2520484939137</v>
      </c>
      <c r="W161" s="41">
        <f t="shared" si="114"/>
        <v>3201.6769774524928</v>
      </c>
      <c r="X161" s="132">
        <f t="shared" si="82"/>
        <v>420.8387027564716</v>
      </c>
      <c r="Y161" s="62">
        <f t="shared" si="83"/>
        <v>12069.08227129712</v>
      </c>
    </row>
    <row r="162" spans="1:25" s="38" customFormat="1" outlineLevel="1">
      <c r="A162" s="57">
        <v>570010</v>
      </c>
      <c r="B162" s="765" t="str">
        <f>VLOOKUP(A162,'Income Statement'!$A$6:$B$254,2,FALSE)</f>
        <v>Security</v>
      </c>
      <c r="C162" s="1413">
        <v>4034</v>
      </c>
      <c r="D162" s="147">
        <v>3332</v>
      </c>
      <c r="E162" s="2029">
        <v>0</v>
      </c>
      <c r="F162" s="2030">
        <v>0</v>
      </c>
      <c r="G162" s="2021"/>
      <c r="H162" s="1385">
        <f>'Adj - Proforma'!L162</f>
        <v>0</v>
      </c>
      <c r="I162" s="42">
        <f>SUM(D162:H162)</f>
        <v>3332</v>
      </c>
      <c r="J162" s="60"/>
      <c r="K162" s="51">
        <f>I162-L162</f>
        <v>2848.86</v>
      </c>
      <c r="L162" s="41">
        <f>I162*VLOOKUP($R162,$K$3:$L$6,2,FALSE)</f>
        <v>483.14</v>
      </c>
      <c r="M162" s="1322"/>
      <c r="N162" s="1025">
        <f t="shared" si="110"/>
        <v>99.626434574794402</v>
      </c>
      <c r="O162" s="1030">
        <f t="shared" si="111"/>
        <v>78.251211683941222</v>
      </c>
      <c r="P162" s="1025">
        <f t="shared" si="112"/>
        <v>10.285590534618672</v>
      </c>
      <c r="Q162" s="41">
        <f>L162-N162-O162-P162</f>
        <v>294.97676320664567</v>
      </c>
      <c r="R162" s="21" t="s">
        <v>14</v>
      </c>
      <c r="S162" s="37" t="s">
        <v>13</v>
      </c>
      <c r="T162" s="36" t="s">
        <v>13</v>
      </c>
      <c r="U162" s="151">
        <f t="shared" si="101"/>
        <v>0</v>
      </c>
      <c r="V162" s="132">
        <f>N162</f>
        <v>99.626434574794402</v>
      </c>
      <c r="W162" s="41">
        <f t="shared" si="114"/>
        <v>78.251211683941222</v>
      </c>
      <c r="X162" s="132">
        <f>P162</f>
        <v>10.285590534618672</v>
      </c>
      <c r="Y162" s="62">
        <f>Q162</f>
        <v>294.97676320664567</v>
      </c>
    </row>
    <row r="163" spans="1:25" s="38" customFormat="1" outlineLevel="1">
      <c r="A163" s="1382">
        <v>570020</v>
      </c>
      <c r="B163" s="1395" t="str">
        <f>VLOOKUP(A163,'Income Statement'!$A$6:$B$254,2,FALSE)</f>
        <v>Lease/Rent</v>
      </c>
      <c r="C163" s="1413">
        <v>557229</v>
      </c>
      <c r="D163" s="147">
        <v>574029</v>
      </c>
      <c r="E163" s="2029">
        <v>0</v>
      </c>
      <c r="F163" s="2030">
        <v>0</v>
      </c>
      <c r="G163" s="2021"/>
      <c r="H163" s="1385">
        <f>ReviewAccts!J37</f>
        <v>17894.996400000178</v>
      </c>
      <c r="I163" s="42">
        <f>SUM(D163:H163)</f>
        <v>591923.99640000018</v>
      </c>
      <c r="J163" s="60"/>
      <c r="K163" s="51">
        <f t="shared" si="108"/>
        <v>506095.01692200016</v>
      </c>
      <c r="L163" s="41">
        <f t="shared" si="109"/>
        <v>85828.979478000023</v>
      </c>
      <c r="M163" s="1322"/>
      <c r="N163" s="1025">
        <f t="shared" si="110"/>
        <v>17698.462575208719</v>
      </c>
      <c r="O163" s="1030">
        <f t="shared" si="111"/>
        <v>13901.191459514068</v>
      </c>
      <c r="P163" s="1025">
        <f t="shared" si="112"/>
        <v>1827.2172432729587</v>
      </c>
      <c r="Q163" s="41">
        <f t="shared" si="113"/>
        <v>52402.108200004281</v>
      </c>
      <c r="R163" s="21" t="s">
        <v>14</v>
      </c>
      <c r="S163" s="37" t="s">
        <v>13</v>
      </c>
      <c r="T163" s="36" t="s">
        <v>13</v>
      </c>
      <c r="U163" s="151">
        <f t="shared" si="101"/>
        <v>-2.0463630789890885E-12</v>
      </c>
      <c r="V163" s="132">
        <f t="shared" si="91"/>
        <v>17698.462575208719</v>
      </c>
      <c r="W163" s="41">
        <f t="shared" si="114"/>
        <v>13901.191459514068</v>
      </c>
      <c r="X163" s="132">
        <f t="shared" si="82"/>
        <v>1827.2172432729587</v>
      </c>
      <c r="Y163" s="62">
        <f t="shared" si="83"/>
        <v>52402.108200004281</v>
      </c>
    </row>
    <row r="164" spans="1:25" s="38" customFormat="1" outlineLevel="1">
      <c r="A164" s="1390">
        <v>570030</v>
      </c>
      <c r="B164" s="1395" t="str">
        <f>VLOOKUP(A164,'Income Statement'!$A$6:$B$254,2,FALSE)</f>
        <v>Utilities</v>
      </c>
      <c r="C164" s="1413">
        <v>127225</v>
      </c>
      <c r="D164" s="147">
        <v>130428</v>
      </c>
      <c r="E164" s="2029">
        <v>0</v>
      </c>
      <c r="F164" s="2030">
        <v>0</v>
      </c>
      <c r="G164" s="2021"/>
      <c r="H164" s="1385">
        <f>'Adj - Proforma'!L164</f>
        <v>0</v>
      </c>
      <c r="I164" s="42">
        <f t="shared" si="115"/>
        <v>130428</v>
      </c>
      <c r="J164" s="60"/>
      <c r="K164" s="51">
        <f t="shared" si="108"/>
        <v>111515.94</v>
      </c>
      <c r="L164" s="41">
        <f t="shared" si="109"/>
        <v>18912.059999999998</v>
      </c>
      <c r="M164" s="1322"/>
      <c r="N164" s="1025">
        <f t="shared" si="110"/>
        <v>3899.7828957746951</v>
      </c>
      <c r="O164" s="1030">
        <f t="shared" si="111"/>
        <v>3063.0699392296169</v>
      </c>
      <c r="P164" s="1025">
        <f t="shared" si="112"/>
        <v>402.61974857420284</v>
      </c>
      <c r="Q164" s="41">
        <f t="shared" si="113"/>
        <v>11546.587416421482</v>
      </c>
      <c r="R164" s="21" t="s">
        <v>14</v>
      </c>
      <c r="S164" s="37" t="s">
        <v>13</v>
      </c>
      <c r="T164" s="36" t="s">
        <v>13</v>
      </c>
      <c r="U164" s="151">
        <f t="shared" si="101"/>
        <v>0</v>
      </c>
      <c r="V164" s="132">
        <f t="shared" si="91"/>
        <v>3899.7828957746951</v>
      </c>
      <c r="W164" s="41">
        <f t="shared" si="114"/>
        <v>3063.0699392296169</v>
      </c>
      <c r="X164" s="132">
        <f t="shared" si="82"/>
        <v>402.61974857420284</v>
      </c>
      <c r="Y164" s="62">
        <f t="shared" si="83"/>
        <v>11546.587416421482</v>
      </c>
    </row>
    <row r="165" spans="1:25" s="38" customFormat="1" outlineLevel="1">
      <c r="A165" s="1382">
        <v>570040</v>
      </c>
      <c r="B165" s="1395" t="str">
        <f>VLOOKUP(A165,'Income Statement'!$A$6:$B$254,2,FALSE)</f>
        <v>Property Taxes</v>
      </c>
      <c r="C165" s="1413">
        <v>82109</v>
      </c>
      <c r="D165" s="147">
        <v>77187</v>
      </c>
      <c r="E165" s="2029">
        <v>0</v>
      </c>
      <c r="F165" s="2030">
        <v>0</v>
      </c>
      <c r="G165" s="2021"/>
      <c r="H165" s="1385">
        <f>'Adj - Proforma'!L165</f>
        <v>0</v>
      </c>
      <c r="I165" s="42">
        <f>SUM(D165:H165)</f>
        <v>77187</v>
      </c>
      <c r="J165" s="60"/>
      <c r="K165" s="51">
        <f>I165-L165</f>
        <v>65994.884999999995</v>
      </c>
      <c r="L165" s="41">
        <f>I165*VLOOKUP($R165,$K$3:$L$6,2,FALSE)</f>
        <v>11192.115</v>
      </c>
      <c r="M165" s="1322"/>
      <c r="N165" s="1025">
        <f t="shared" si="110"/>
        <v>2307.8828347913131</v>
      </c>
      <c r="O165" s="1030">
        <f t="shared" si="111"/>
        <v>1812.7179700625363</v>
      </c>
      <c r="P165" s="1025">
        <f t="shared" si="112"/>
        <v>238.26947076699022</v>
      </c>
      <c r="Q165" s="41">
        <f>L165-N165-O165-P165</f>
        <v>6833.2447243791603</v>
      </c>
      <c r="R165" s="21" t="s">
        <v>14</v>
      </c>
      <c r="S165" s="37" t="s">
        <v>13</v>
      </c>
      <c r="T165" s="36" t="s">
        <v>13</v>
      </c>
      <c r="U165" s="151">
        <f>L165-N165-O165-Q165-P165</f>
        <v>-4.2632564145606011E-13</v>
      </c>
      <c r="V165" s="132">
        <f>N165</f>
        <v>2307.8828347913131</v>
      </c>
      <c r="W165" s="41">
        <f>O165</f>
        <v>1812.7179700625363</v>
      </c>
      <c r="X165" s="132">
        <f>P165</f>
        <v>238.26947076699022</v>
      </c>
      <c r="Y165" s="62">
        <f>Q165</f>
        <v>6833.2447243791603</v>
      </c>
    </row>
    <row r="166" spans="1:25" s="38" customFormat="1" outlineLevel="1">
      <c r="A166" s="57">
        <v>570090</v>
      </c>
      <c r="B166" s="765" t="e">
        <f>VLOOKUP(A166,'Income Statement'!$A$6:$B$254,2,FALSE)</f>
        <v>#N/A</v>
      </c>
      <c r="C166" s="1413">
        <v>32586</v>
      </c>
      <c r="D166" s="147">
        <v>0</v>
      </c>
      <c r="E166" s="2029">
        <v>0</v>
      </c>
      <c r="F166" s="2030">
        <v>0</v>
      </c>
      <c r="G166" s="2021"/>
      <c r="H166" s="1385">
        <f>'Adj - Proforma'!L166</f>
        <v>0</v>
      </c>
      <c r="I166" s="42">
        <f t="shared" si="115"/>
        <v>0</v>
      </c>
      <c r="J166" s="60"/>
      <c r="K166" s="51">
        <f t="shared" si="108"/>
        <v>0</v>
      </c>
      <c r="L166" s="41">
        <f t="shared" si="109"/>
        <v>0</v>
      </c>
      <c r="M166" s="1322"/>
      <c r="N166" s="1025">
        <f t="shared" si="110"/>
        <v>0</v>
      </c>
      <c r="O166" s="1030">
        <f t="shared" si="111"/>
        <v>0</v>
      </c>
      <c r="P166" s="1025">
        <f t="shared" si="112"/>
        <v>0</v>
      </c>
      <c r="Q166" s="41">
        <f t="shared" si="113"/>
        <v>0</v>
      </c>
      <c r="R166" s="21" t="s">
        <v>14</v>
      </c>
      <c r="S166" s="37" t="s">
        <v>13</v>
      </c>
      <c r="T166" s="36" t="s">
        <v>13</v>
      </c>
      <c r="U166" s="151">
        <f t="shared" si="101"/>
        <v>0</v>
      </c>
      <c r="V166" s="132">
        <f t="shared" si="91"/>
        <v>0</v>
      </c>
      <c r="W166" s="41">
        <f t="shared" si="114"/>
        <v>0</v>
      </c>
      <c r="X166" s="132">
        <f t="shared" si="82"/>
        <v>0</v>
      </c>
      <c r="Y166" s="62">
        <f t="shared" si="83"/>
        <v>0</v>
      </c>
    </row>
    <row r="167" spans="1:25" s="38" customFormat="1" outlineLevel="1">
      <c r="A167" s="57">
        <v>570998</v>
      </c>
      <c r="B167" s="765" t="str">
        <f>VLOOKUP(A167,'Income Statement'!$A$6:$B$254,2,FALSE)</f>
        <v>Facility Alloc-In</v>
      </c>
      <c r="C167" s="1413">
        <v>1162502</v>
      </c>
      <c r="D167" s="147">
        <v>937576</v>
      </c>
      <c r="E167" s="2029">
        <v>0</v>
      </c>
      <c r="F167" s="2030">
        <v>0</v>
      </c>
      <c r="G167" s="2021"/>
      <c r="H167" s="1385">
        <f>'Adj - Proforma'!L167</f>
        <v>0</v>
      </c>
      <c r="I167" s="42">
        <f>SUM(D167:H167)</f>
        <v>937576</v>
      </c>
      <c r="J167" s="60"/>
      <c r="K167" s="51">
        <f>I167-L167</f>
        <v>801627.48</v>
      </c>
      <c r="L167" s="41">
        <f t="shared" si="109"/>
        <v>135948.51999999999</v>
      </c>
      <c r="M167" s="1322"/>
      <c r="N167" s="1025">
        <f t="shared" si="110"/>
        <v>28033.41957469911</v>
      </c>
      <c r="O167" s="1030">
        <f t="shared" si="111"/>
        <v>22018.744911699541</v>
      </c>
      <c r="P167" s="1025">
        <f t="shared" si="112"/>
        <v>2894.2145351397462</v>
      </c>
      <c r="Q167" s="41">
        <f>L167-N167-O167-P167</f>
        <v>83002.140978461597</v>
      </c>
      <c r="R167" s="21" t="s">
        <v>14</v>
      </c>
      <c r="S167" s="37" t="s">
        <v>13</v>
      </c>
      <c r="T167" s="36" t="s">
        <v>13</v>
      </c>
      <c r="U167" s="151">
        <f t="shared" si="101"/>
        <v>0</v>
      </c>
      <c r="V167" s="132">
        <f t="shared" ref="V167:Y168" si="116">N167</f>
        <v>28033.41957469911</v>
      </c>
      <c r="W167" s="41">
        <f t="shared" si="116"/>
        <v>22018.744911699541</v>
      </c>
      <c r="X167" s="132">
        <f t="shared" si="116"/>
        <v>2894.2145351397462</v>
      </c>
      <c r="Y167" s="62">
        <f t="shared" si="116"/>
        <v>83002.140978461597</v>
      </c>
    </row>
    <row r="168" spans="1:25" s="38" customFormat="1" outlineLevel="1">
      <c r="A168" s="57">
        <v>570999</v>
      </c>
      <c r="B168" s="765" t="str">
        <f>VLOOKUP(A168,'Income Statement'!$A$6:$B$254,2,FALSE)</f>
        <v>Facility Alloc-Out</v>
      </c>
      <c r="C168" s="1413">
        <f>-C167</f>
        <v>-1162502</v>
      </c>
      <c r="D168" s="147">
        <v>-937576</v>
      </c>
      <c r="E168" s="2029">
        <v>0</v>
      </c>
      <c r="F168" s="2030">
        <v>0</v>
      </c>
      <c r="G168" s="2021"/>
      <c r="H168" s="1385">
        <f>'Adj - Proforma'!L168</f>
        <v>0</v>
      </c>
      <c r="I168" s="42">
        <f>SUM(D168:H168)</f>
        <v>-937576</v>
      </c>
      <c r="J168" s="60"/>
      <c r="K168" s="51">
        <f>I168-L168</f>
        <v>-801627.48</v>
      </c>
      <c r="L168" s="41">
        <f t="shared" si="109"/>
        <v>-135948.51999999999</v>
      </c>
      <c r="M168" s="1322"/>
      <c r="N168" s="1025">
        <f t="shared" si="110"/>
        <v>-28033.41957469911</v>
      </c>
      <c r="O168" s="1030">
        <f t="shared" si="111"/>
        <v>-22018.744911699541</v>
      </c>
      <c r="P168" s="1025">
        <f t="shared" si="112"/>
        <v>-2894.2145351397462</v>
      </c>
      <c r="Q168" s="41">
        <f>L168-N168-O168-P168</f>
        <v>-83002.140978461597</v>
      </c>
      <c r="R168" s="21" t="s">
        <v>14</v>
      </c>
      <c r="S168" s="37" t="s">
        <v>13</v>
      </c>
      <c r="T168" s="36" t="s">
        <v>13</v>
      </c>
      <c r="U168" s="151">
        <f t="shared" si="101"/>
        <v>0</v>
      </c>
      <c r="V168" s="132">
        <f t="shared" si="116"/>
        <v>-28033.41957469911</v>
      </c>
      <c r="W168" s="41">
        <f t="shared" si="116"/>
        <v>-22018.744911699541</v>
      </c>
      <c r="X168" s="132">
        <f t="shared" si="116"/>
        <v>-2894.2145351397462</v>
      </c>
      <c r="Y168" s="62">
        <f t="shared" si="116"/>
        <v>-83002.140978461597</v>
      </c>
    </row>
    <row r="169" spans="1:25" s="38" customFormat="1" ht="12">
      <c r="A169" s="54"/>
      <c r="B169" s="560" t="s">
        <v>539</v>
      </c>
      <c r="C169" s="1405">
        <f>SUM(C160:C168)</f>
        <v>1162497</v>
      </c>
      <c r="D169" s="561">
        <v>939469</v>
      </c>
      <c r="E169" s="2032">
        <v>0</v>
      </c>
      <c r="F169" s="2032">
        <v>18376.939999999828</v>
      </c>
      <c r="G169" s="2022"/>
      <c r="H169" s="1386">
        <f>SUM(H160:H168)</f>
        <v>17894.996400000178</v>
      </c>
      <c r="I169" s="562">
        <f>SUM(I160:I168)</f>
        <v>957363.99640000006</v>
      </c>
      <c r="J169" s="60"/>
      <c r="K169" s="562">
        <f>SUM(K160:K168)</f>
        <v>818546.21692200005</v>
      </c>
      <c r="L169" s="562">
        <f>SUM(L160:L168)</f>
        <v>138817.77947800004</v>
      </c>
      <c r="M169" s="1322"/>
      <c r="N169" s="562">
        <f>SUM(N160:N168)</f>
        <v>28625.078496881251</v>
      </c>
      <c r="O169" s="562">
        <f>SUM(O160:O168)</f>
        <v>22483.461206746797</v>
      </c>
      <c r="P169" s="562">
        <f>SUM(P160:P168)</f>
        <v>2955.2983372018448</v>
      </c>
      <c r="Q169" s="562">
        <f>SUM(Q160:Q168)</f>
        <v>84753.941437170113</v>
      </c>
      <c r="R169" s="21"/>
      <c r="S169" s="37"/>
      <c r="T169" s="36"/>
      <c r="U169" s="151">
        <f t="shared" si="101"/>
        <v>3.4106051316484809E-11</v>
      </c>
      <c r="V169" s="55">
        <f t="shared" si="91"/>
        <v>28625.078496881251</v>
      </c>
      <c r="W169" s="55">
        <f>O169</f>
        <v>22483.461206746797</v>
      </c>
      <c r="X169" s="55">
        <f t="shared" si="82"/>
        <v>2955.2983372018448</v>
      </c>
      <c r="Y169" s="55">
        <f t="shared" si="83"/>
        <v>84753.941437170113</v>
      </c>
    </row>
    <row r="170" spans="1:25" s="24" customFormat="1">
      <c r="A170" s="553"/>
      <c r="B170" s="557"/>
      <c r="C170" s="1406"/>
      <c r="D170" s="2042"/>
      <c r="E170" s="2029"/>
      <c r="F170" s="2030"/>
      <c r="G170" s="2021"/>
      <c r="H170" s="1385"/>
      <c r="I170" s="139"/>
      <c r="J170" s="138"/>
      <c r="K170" s="61"/>
      <c r="L170" s="62"/>
      <c r="M170" s="1322"/>
      <c r="N170" s="132"/>
      <c r="O170" s="62"/>
      <c r="P170" s="132"/>
      <c r="Q170" s="62"/>
      <c r="R170" s="21"/>
      <c r="S170" s="22"/>
      <c r="T170" s="21"/>
      <c r="U170" s="151">
        <f t="shared" si="101"/>
        <v>0</v>
      </c>
      <c r="V170" s="62"/>
      <c r="W170" s="62"/>
      <c r="X170" s="62"/>
      <c r="Y170" s="62"/>
    </row>
    <row r="171" spans="1:25" s="38" customFormat="1" outlineLevel="1">
      <c r="A171" s="1382">
        <v>595010</v>
      </c>
      <c r="B171" s="1395" t="str">
        <f>VLOOKUP(A171,'Income Statement'!$A$6:$B$254,2,FALSE)</f>
        <v>Permit Fees</v>
      </c>
      <c r="C171" s="1413">
        <v>2124043</v>
      </c>
      <c r="D171" s="147">
        <v>2251038</v>
      </c>
      <c r="E171" s="2029">
        <v>0</v>
      </c>
      <c r="F171" s="2030">
        <v>0</v>
      </c>
      <c r="G171" s="2021"/>
      <c r="H171" s="1385">
        <f>'Adj - Proforma'!L171</f>
        <v>0</v>
      </c>
      <c r="I171" s="42">
        <f>SUM(D171:H171)</f>
        <v>2251038</v>
      </c>
      <c r="J171" s="60"/>
      <c r="K171" s="51">
        <f>I171-L171</f>
        <v>2168375.9067000002</v>
      </c>
      <c r="L171" s="815">
        <f>L20*'Combined LG'!$H$18</f>
        <v>82662.093299999993</v>
      </c>
      <c r="M171" s="1322"/>
      <c r="N171" s="1025">
        <f>N20*'Combined LG'!$H$18</f>
        <v>17045.431199999999</v>
      </c>
      <c r="O171" s="41">
        <f>O20*'Combined LG'!$H$18</f>
        <v>13388.270399999998</v>
      </c>
      <c r="P171" s="132">
        <f>L171*$P$10</f>
        <v>1759.7972521800004</v>
      </c>
      <c r="Q171" s="41">
        <f t="shared" ref="Q171:Q181" si="117">L171-N171-O171-P171</f>
        <v>50468.594447819989</v>
      </c>
      <c r="R171" s="21" t="s">
        <v>25</v>
      </c>
      <c r="S171" s="21" t="s">
        <v>25</v>
      </c>
      <c r="T171" s="36" t="s">
        <v>13</v>
      </c>
      <c r="U171" s="151">
        <f t="shared" si="101"/>
        <v>3.4106051316484809E-12</v>
      </c>
      <c r="V171" s="132">
        <f t="shared" si="91"/>
        <v>17045.431199999999</v>
      </c>
      <c r="W171" s="41">
        <f t="shared" ref="W171:W181" si="118">O171</f>
        <v>13388.270399999998</v>
      </c>
      <c r="X171" s="132">
        <f t="shared" si="82"/>
        <v>1759.7972521800004</v>
      </c>
      <c r="Y171" s="62">
        <f t="shared" si="83"/>
        <v>50468.594447819989</v>
      </c>
    </row>
    <row r="172" spans="1:25" s="38" customFormat="1" outlineLevel="1">
      <c r="A172" s="57">
        <v>595015</v>
      </c>
      <c r="B172" s="765" t="e">
        <f>VLOOKUP(A172,'Income Statement'!$A$6:$B$254,2,FALSE)</f>
        <v>#N/A</v>
      </c>
      <c r="C172" s="1413">
        <v>701</v>
      </c>
      <c r="D172" s="147">
        <v>0</v>
      </c>
      <c r="E172" s="2029">
        <v>0</v>
      </c>
      <c r="F172" s="2030">
        <v>0</v>
      </c>
      <c r="G172" s="2021"/>
      <c r="H172" s="1385">
        <f>'Adj - Proforma'!L172</f>
        <v>0</v>
      </c>
      <c r="I172" s="42">
        <f t="shared" ref="I172:I181" si="119">SUM(D172:H172)</f>
        <v>0</v>
      </c>
      <c r="J172" s="60"/>
      <c r="K172" s="51">
        <f t="shared" ref="K172:K181" si="120">I172-L172</f>
        <v>0</v>
      </c>
      <c r="L172" s="1035">
        <f>I172*VLOOKUP($R172,$K$3:$L$6,2,FALSE)</f>
        <v>0</v>
      </c>
      <c r="M172" s="1322"/>
      <c r="N172" s="1025">
        <f t="shared" ref="N172:N181" si="121">L172*VLOOKUP($S172,$K$2:$Q$6,4,FALSE)</f>
        <v>0</v>
      </c>
      <c r="O172" s="1030">
        <f t="shared" ref="O172:O181" si="122">L172*VLOOKUP($S172,$K$2:$Q$6,5,FALSE)</f>
        <v>0</v>
      </c>
      <c r="P172" s="1025">
        <f t="shared" ref="P172:P181" si="123">L172*VLOOKUP($S172,$K$2:$Q$6,6,FALSE)</f>
        <v>0</v>
      </c>
      <c r="Q172" s="41">
        <f t="shared" si="117"/>
        <v>0</v>
      </c>
      <c r="R172" s="21" t="s">
        <v>14</v>
      </c>
      <c r="S172" s="37" t="s">
        <v>13</v>
      </c>
      <c r="T172" s="36" t="s">
        <v>13</v>
      </c>
      <c r="U172" s="151">
        <f t="shared" si="101"/>
        <v>0</v>
      </c>
      <c r="V172" s="132">
        <f t="shared" si="91"/>
        <v>0</v>
      </c>
      <c r="W172" s="41">
        <f t="shared" si="118"/>
        <v>0</v>
      </c>
      <c r="X172" s="132">
        <f t="shared" si="82"/>
        <v>0</v>
      </c>
      <c r="Y172" s="62">
        <f t="shared" si="83"/>
        <v>0</v>
      </c>
    </row>
    <row r="173" spans="1:25" s="38" customFormat="1" outlineLevel="1">
      <c r="A173" s="57">
        <v>595020</v>
      </c>
      <c r="B173" s="765" t="str">
        <f>VLOOKUP(A173,'Income Statement'!$A$6:$B$254,2,FALSE)</f>
        <v>Operations Communications Cost</v>
      </c>
      <c r="C173" s="1413">
        <v>82791</v>
      </c>
      <c r="D173" s="147">
        <v>94861</v>
      </c>
      <c r="E173" s="2029">
        <v>0</v>
      </c>
      <c r="F173" s="2030">
        <v>0</v>
      </c>
      <c r="G173" s="2021"/>
      <c r="H173" s="1385">
        <f>'Adj - Proforma'!L173</f>
        <v>0</v>
      </c>
      <c r="I173" s="42">
        <f t="shared" si="119"/>
        <v>94861</v>
      </c>
      <c r="J173" s="60"/>
      <c r="K173" s="51">
        <f t="shared" si="120"/>
        <v>81106.154999999999</v>
      </c>
      <c r="L173" s="41">
        <f t="shared" ref="L173:L181" si="124">I173*VLOOKUP($R173,$K$3:$L$6,2,FALSE)</f>
        <v>13754.844999999999</v>
      </c>
      <c r="M173" s="1322"/>
      <c r="N173" s="1025">
        <f t="shared" si="121"/>
        <v>2836.3334964584551</v>
      </c>
      <c r="O173" s="1030">
        <f t="shared" si="122"/>
        <v>2227.7875724941018</v>
      </c>
      <c r="P173" s="1025">
        <f t="shared" si="123"/>
        <v>292.82755213219139</v>
      </c>
      <c r="Q173" s="41">
        <f t="shared" si="117"/>
        <v>8397.8963789152494</v>
      </c>
      <c r="R173" s="21" t="s">
        <v>14</v>
      </c>
      <c r="S173" s="37" t="s">
        <v>13</v>
      </c>
      <c r="T173" s="36" t="s">
        <v>13</v>
      </c>
      <c r="U173" s="151">
        <f t="shared" si="101"/>
        <v>6.8212102632969618E-13</v>
      </c>
      <c r="V173" s="132">
        <f t="shared" si="91"/>
        <v>2836.3334964584551</v>
      </c>
      <c r="W173" s="41">
        <f t="shared" si="118"/>
        <v>2227.7875724941018</v>
      </c>
      <c r="X173" s="132">
        <f t="shared" si="82"/>
        <v>292.82755213219139</v>
      </c>
      <c r="Y173" s="62">
        <f t="shared" si="83"/>
        <v>8397.8963789152494</v>
      </c>
    </row>
    <row r="174" spans="1:25" s="38" customFormat="1" outlineLevel="1">
      <c r="A174" s="57">
        <v>595030</v>
      </c>
      <c r="B174" s="765" t="str">
        <f>VLOOKUP(A174,'Income Statement'!$A$6:$B$254,2,FALSE)</f>
        <v>Container Property Taxes</v>
      </c>
      <c r="C174" s="1413">
        <v>41197</v>
      </c>
      <c r="D174" s="147">
        <v>38041</v>
      </c>
      <c r="E174" s="2029">
        <v>0</v>
      </c>
      <c r="F174" s="2030">
        <v>0</v>
      </c>
      <c r="G174" s="2021"/>
      <c r="H174" s="1385">
        <f>'Adj - Proforma'!L174</f>
        <v>0</v>
      </c>
      <c r="I174" s="42">
        <f t="shared" si="119"/>
        <v>38041</v>
      </c>
      <c r="J174" s="60"/>
      <c r="K174" s="51">
        <f t="shared" si="120"/>
        <v>31268.364860763111</v>
      </c>
      <c r="L174" s="41">
        <f t="shared" si="124"/>
        <v>6772.6351392368897</v>
      </c>
      <c r="M174" s="1322"/>
      <c r="N174" s="1025">
        <f t="shared" si="121"/>
        <v>1396.5589510248326</v>
      </c>
      <c r="O174" s="1030">
        <f t="shared" si="122"/>
        <v>1096.9220224749029</v>
      </c>
      <c r="P174" s="1025">
        <f t="shared" si="123"/>
        <v>144.18295293819756</v>
      </c>
      <c r="Q174" s="41">
        <f t="shared" si="117"/>
        <v>4134.9712127989569</v>
      </c>
      <c r="R174" s="21" t="s">
        <v>344</v>
      </c>
      <c r="S174" s="37" t="s">
        <v>13</v>
      </c>
      <c r="T174" s="36" t="s">
        <v>13</v>
      </c>
      <c r="U174" s="151">
        <f t="shared" si="101"/>
        <v>0</v>
      </c>
      <c r="V174" s="132">
        <f t="shared" si="91"/>
        <v>1396.5589510248326</v>
      </c>
      <c r="W174" s="41">
        <f t="shared" si="118"/>
        <v>1096.9220224749029</v>
      </c>
      <c r="X174" s="132">
        <f t="shared" si="82"/>
        <v>144.18295293819756</v>
      </c>
      <c r="Y174" s="62">
        <f t="shared" si="83"/>
        <v>4134.9712127989569</v>
      </c>
    </row>
    <row r="175" spans="1:25" s="38" customFormat="1" outlineLevel="1">
      <c r="A175" s="54">
        <v>595080</v>
      </c>
      <c r="B175" s="765" t="str">
        <f>VLOOKUP(A175,'Income Statement'!$A$6:$B$254,2,FALSE)</f>
        <v>Towing Non-Maintenance</v>
      </c>
      <c r="C175" s="1413">
        <v>4259</v>
      </c>
      <c r="D175" s="147">
        <v>1569</v>
      </c>
      <c r="E175" s="2029">
        <v>0</v>
      </c>
      <c r="F175" s="2030">
        <v>0</v>
      </c>
      <c r="G175" s="2021"/>
      <c r="H175" s="1385">
        <f>'Adj - Proforma'!L175</f>
        <v>0</v>
      </c>
      <c r="I175" s="42">
        <f>SUM(D175:H175)</f>
        <v>1569</v>
      </c>
      <c r="J175" s="60"/>
      <c r="K175" s="51">
        <f>I175-L175</f>
        <v>1341.4949999999999</v>
      </c>
      <c r="L175" s="41">
        <f>I175*VLOOKUP($R175,$K$3:$L$6,2,FALSE)</f>
        <v>227.505</v>
      </c>
      <c r="M175" s="1322"/>
      <c r="N175" s="1025">
        <f t="shared" si="121"/>
        <v>46.912927925525935</v>
      </c>
      <c r="O175" s="1030">
        <f t="shared" si="122"/>
        <v>36.847584373380485</v>
      </c>
      <c r="P175" s="1025">
        <f t="shared" si="123"/>
        <v>4.843364810569236</v>
      </c>
      <c r="Q175" s="41">
        <f>L175-N175-O175-P175</f>
        <v>138.90112289052436</v>
      </c>
      <c r="R175" s="21" t="s">
        <v>14</v>
      </c>
      <c r="S175" s="37" t="s">
        <v>13</v>
      </c>
      <c r="T175" s="36" t="s">
        <v>13</v>
      </c>
      <c r="U175" s="151">
        <f t="shared" si="101"/>
        <v>-8.8817841970012523E-15</v>
      </c>
      <c r="V175" s="132">
        <f>N175</f>
        <v>46.912927925525935</v>
      </c>
      <c r="W175" s="41">
        <f>O175</f>
        <v>36.847584373380485</v>
      </c>
      <c r="X175" s="132">
        <f>P175</f>
        <v>4.843364810569236</v>
      </c>
      <c r="Y175" s="62">
        <f>Q175</f>
        <v>138.90112289052436</v>
      </c>
    </row>
    <row r="176" spans="1:25" s="38" customFormat="1" outlineLevel="1">
      <c r="A176" s="57">
        <v>595090</v>
      </c>
      <c r="B176" s="765" t="str">
        <f>VLOOKUP(A176,'Income Statement'!$A$6:$B$254,2,FALSE)</f>
        <v>Other Operating Misc</v>
      </c>
      <c r="C176" s="1413">
        <v>175196</v>
      </c>
      <c r="D176" s="147">
        <v>102515</v>
      </c>
      <c r="E176" s="2029">
        <v>0</v>
      </c>
      <c r="F176" s="2030">
        <v>0</v>
      </c>
      <c r="G176" s="2021"/>
      <c r="H176" s="1385">
        <f>'Adj - Proforma'!L176</f>
        <v>0</v>
      </c>
      <c r="I176" s="42">
        <f t="shared" si="119"/>
        <v>102515</v>
      </c>
      <c r="J176" s="60"/>
      <c r="K176" s="51">
        <f t="shared" si="120"/>
        <v>87650.324999999997</v>
      </c>
      <c r="L176" s="41">
        <f t="shared" si="124"/>
        <v>14864.674999999999</v>
      </c>
      <c r="M176" s="1322"/>
      <c r="N176" s="1025">
        <f t="shared" si="121"/>
        <v>3065.187257033328</v>
      </c>
      <c r="O176" s="1030">
        <f t="shared" si="122"/>
        <v>2407.5399056960487</v>
      </c>
      <c r="P176" s="1025">
        <f t="shared" si="123"/>
        <v>316.45477600733284</v>
      </c>
      <c r="Q176" s="41">
        <f t="shared" si="117"/>
        <v>9075.4930612632888</v>
      </c>
      <c r="R176" s="21" t="s">
        <v>14</v>
      </c>
      <c r="S176" s="37" t="s">
        <v>13</v>
      </c>
      <c r="T176" s="36" t="s">
        <v>13</v>
      </c>
      <c r="U176" s="151">
        <f t="shared" si="101"/>
        <v>0</v>
      </c>
      <c r="V176" s="132">
        <f t="shared" si="91"/>
        <v>3065.187257033328</v>
      </c>
      <c r="W176" s="41">
        <f t="shared" si="118"/>
        <v>2407.5399056960487</v>
      </c>
      <c r="X176" s="132">
        <f t="shared" si="82"/>
        <v>316.45477600733284</v>
      </c>
      <c r="Y176" s="62">
        <f t="shared" si="83"/>
        <v>9075.4930612632888</v>
      </c>
    </row>
    <row r="177" spans="1:25" s="38" customFormat="1" outlineLevel="1">
      <c r="A177" s="57">
        <v>595105</v>
      </c>
      <c r="B177" s="765" t="str">
        <f>VLOOKUP(A177,'Income Statement'!$A$6:$B$254,2,FALSE)</f>
        <v>GOE Vehicle Mileage</v>
      </c>
      <c r="C177" s="1413">
        <v>10735</v>
      </c>
      <c r="D177" s="147">
        <v>56</v>
      </c>
      <c r="E177" s="2029">
        <v>0</v>
      </c>
      <c r="F177" s="2030">
        <v>0</v>
      </c>
      <c r="G177" s="2021"/>
      <c r="H177" s="1385">
        <f>'Adj - Proforma'!L177</f>
        <v>0</v>
      </c>
      <c r="I177" s="42">
        <f t="shared" si="119"/>
        <v>56</v>
      </c>
      <c r="J177" s="60"/>
      <c r="K177" s="51">
        <f t="shared" si="120"/>
        <v>47.966862211528614</v>
      </c>
      <c r="L177" s="41">
        <f t="shared" si="124"/>
        <v>8.0331377884713859</v>
      </c>
      <c r="M177" s="1322"/>
      <c r="N177" s="1025">
        <f t="shared" si="121"/>
        <v>1.6564823370316124</v>
      </c>
      <c r="O177" s="1030">
        <f t="shared" si="122"/>
        <v>1.3010778771617788</v>
      </c>
      <c r="P177" s="1025">
        <f t="shared" si="123"/>
        <v>0.17101785403897185</v>
      </c>
      <c r="Q177" s="62">
        <f t="shared" si="117"/>
        <v>4.904559720239023</v>
      </c>
      <c r="R177" s="21" t="s">
        <v>10</v>
      </c>
      <c r="S177" s="37" t="s">
        <v>13</v>
      </c>
      <c r="T177" s="36" t="s">
        <v>13</v>
      </c>
      <c r="U177" s="151">
        <f t="shared" si="101"/>
        <v>0</v>
      </c>
      <c r="V177" s="132">
        <f t="shared" si="91"/>
        <v>1.6564823370316124</v>
      </c>
      <c r="W177" s="41">
        <f t="shared" si="118"/>
        <v>1.3010778771617788</v>
      </c>
      <c r="X177" s="132">
        <f t="shared" si="82"/>
        <v>0.17101785403897185</v>
      </c>
      <c r="Y177" s="62">
        <f t="shared" si="83"/>
        <v>4.904559720239023</v>
      </c>
    </row>
    <row r="178" spans="1:25" s="38" customFormat="1" outlineLevel="1">
      <c r="A178" s="57">
        <v>595106</v>
      </c>
      <c r="B178" s="765" t="str">
        <f>VLOOKUP(A178,'Income Statement'!$A$6:$B$254,2,FALSE)</f>
        <v>GOE Travel Expenses</v>
      </c>
      <c r="C178" s="1413"/>
      <c r="D178" s="147">
        <v>5579</v>
      </c>
      <c r="E178" s="2029">
        <v>0</v>
      </c>
      <c r="F178" s="2030">
        <v>0</v>
      </c>
      <c r="G178" s="2021"/>
      <c r="H178" s="1385">
        <f>'Adj - Proforma'!L178</f>
        <v>0</v>
      </c>
      <c r="I178" s="42">
        <f t="shared" si="119"/>
        <v>5579</v>
      </c>
      <c r="J178" s="60"/>
      <c r="K178" s="51">
        <f t="shared" si="120"/>
        <v>4770.0450000000001</v>
      </c>
      <c r="L178" s="41">
        <f t="shared" si="124"/>
        <v>808.95499999999993</v>
      </c>
      <c r="M178" s="1322"/>
      <c r="N178" s="1025">
        <f t="shared" si="121"/>
        <v>166.81148814309063</v>
      </c>
      <c r="O178" s="1030">
        <f t="shared" si="122"/>
        <v>131.02146158004442</v>
      </c>
      <c r="P178" s="1025">
        <f t="shared" si="123"/>
        <v>17.221881630443448</v>
      </c>
      <c r="Q178" s="41">
        <f t="shared" si="117"/>
        <v>493.90016864642143</v>
      </c>
      <c r="R178" s="21" t="s">
        <v>14</v>
      </c>
      <c r="S178" s="37" t="s">
        <v>13</v>
      </c>
      <c r="T178" s="36" t="s">
        <v>13</v>
      </c>
      <c r="U178" s="151">
        <f t="shared" si="101"/>
        <v>2.8421709430404007E-14</v>
      </c>
      <c r="V178" s="132">
        <f t="shared" si="91"/>
        <v>166.81148814309063</v>
      </c>
      <c r="W178" s="41">
        <f t="shared" si="118"/>
        <v>131.02146158004442</v>
      </c>
      <c r="X178" s="132">
        <f t="shared" si="82"/>
        <v>17.221881630443448</v>
      </c>
      <c r="Y178" s="62">
        <f t="shared" si="83"/>
        <v>493.90016864642143</v>
      </c>
    </row>
    <row r="179" spans="1:25" s="38" customFormat="1" outlineLevel="1">
      <c r="A179" s="1382">
        <v>595109</v>
      </c>
      <c r="B179" s="1395" t="str">
        <f>VLOOKUP(A179,'Income Statement'!$A$6:$B$254,2,FALSE)</f>
        <v>GOE Meals &amp; Entertainment(50%)</v>
      </c>
      <c r="C179" s="1413">
        <v>10046</v>
      </c>
      <c r="D179" s="147">
        <v>8626</v>
      </c>
      <c r="E179" s="2029">
        <v>0</v>
      </c>
      <c r="F179" s="2030">
        <v>0</v>
      </c>
      <c r="G179" s="2021"/>
      <c r="H179" s="1385">
        <f>'Adj - Proforma'!L179</f>
        <v>0</v>
      </c>
      <c r="I179" s="42">
        <f>SUM(D179:H179)</f>
        <v>8626</v>
      </c>
      <c r="J179" s="60"/>
      <c r="K179" s="51">
        <f>I179-L179</f>
        <v>7375.23</v>
      </c>
      <c r="L179" s="41">
        <f>I179*VLOOKUP($R179,$K$3:$L$6,2,FALSE)</f>
        <v>1250.77</v>
      </c>
      <c r="M179" s="1322"/>
      <c r="N179" s="1025">
        <f t="shared" si="121"/>
        <v>257.91645397424264</v>
      </c>
      <c r="O179" s="1030">
        <f t="shared" si="122"/>
        <v>202.57951740266415</v>
      </c>
      <c r="P179" s="1025">
        <f t="shared" si="123"/>
        <v>26.627702266392756</v>
      </c>
      <c r="Q179" s="41">
        <f>L179-N179-O179-P179</f>
        <v>763.64632635670057</v>
      </c>
      <c r="R179" s="21" t="s">
        <v>14</v>
      </c>
      <c r="S179" s="37" t="s">
        <v>13</v>
      </c>
      <c r="T179" s="36" t="s">
        <v>13</v>
      </c>
      <c r="U179" s="151">
        <f t="shared" si="101"/>
        <v>-5.3290705182007514E-14</v>
      </c>
      <c r="V179" s="132">
        <f>N179</f>
        <v>257.91645397424264</v>
      </c>
      <c r="W179" s="41">
        <f>O179</f>
        <v>202.57951740266415</v>
      </c>
      <c r="X179" s="132">
        <f>P179</f>
        <v>26.627702266392756</v>
      </c>
      <c r="Y179" s="62">
        <f>Q179</f>
        <v>763.64632635670057</v>
      </c>
    </row>
    <row r="180" spans="1:25" s="38" customFormat="1" outlineLevel="1">
      <c r="A180" s="57">
        <v>595998</v>
      </c>
      <c r="B180" s="765" t="str">
        <f>VLOOKUP(A180,'Income Statement'!$A$6:$B$254,2,FALSE)</f>
        <v>Other Operating Alloc-In</v>
      </c>
      <c r="C180" s="1413"/>
      <c r="D180" s="147">
        <v>245372</v>
      </c>
      <c r="E180" s="2029">
        <v>0</v>
      </c>
      <c r="F180" s="2030">
        <v>0</v>
      </c>
      <c r="G180" s="2021"/>
      <c r="H180" s="1385">
        <f>'Adj - Proforma'!L180</f>
        <v>0</v>
      </c>
      <c r="I180" s="42">
        <f t="shared" si="119"/>
        <v>245372</v>
      </c>
      <c r="J180" s="60"/>
      <c r="K180" s="51">
        <f t="shared" si="120"/>
        <v>209793.06</v>
      </c>
      <c r="L180" s="41">
        <f t="shared" si="124"/>
        <v>35578.939999999995</v>
      </c>
      <c r="M180" s="1322"/>
      <c r="N180" s="1025">
        <f t="shared" si="121"/>
        <v>7336.5958897018154</v>
      </c>
      <c r="O180" s="1030">
        <f t="shared" si="122"/>
        <v>5762.5018947515073</v>
      </c>
      <c r="P180" s="1025">
        <f t="shared" si="123"/>
        <v>757.44175289929547</v>
      </c>
      <c r="Q180" s="41">
        <f t="shared" si="117"/>
        <v>21722.40046264738</v>
      </c>
      <c r="R180" s="21" t="s">
        <v>14</v>
      </c>
      <c r="S180" s="37" t="s">
        <v>13</v>
      </c>
      <c r="T180" s="36" t="s">
        <v>13</v>
      </c>
      <c r="U180" s="151">
        <f t="shared" si="101"/>
        <v>0</v>
      </c>
      <c r="V180" s="132">
        <f t="shared" si="91"/>
        <v>7336.5958897018154</v>
      </c>
      <c r="W180" s="41">
        <f t="shared" si="118"/>
        <v>5762.5018947515073</v>
      </c>
      <c r="X180" s="132">
        <f t="shared" si="82"/>
        <v>757.44175289929547</v>
      </c>
      <c r="Y180" s="62">
        <f t="shared" si="83"/>
        <v>21722.40046264738</v>
      </c>
    </row>
    <row r="181" spans="1:25" s="38" customFormat="1" outlineLevel="1">
      <c r="A181" s="57">
        <v>595999</v>
      </c>
      <c r="B181" s="765" t="str">
        <f>VLOOKUP(A181,'Income Statement'!$A$6:$B$254,2,FALSE)</f>
        <v>Other Operating Alloc-Out</v>
      </c>
      <c r="C181" s="1413"/>
      <c r="D181" s="147">
        <v>-245372</v>
      </c>
      <c r="E181" s="2029">
        <v>0</v>
      </c>
      <c r="F181" s="2030">
        <v>0</v>
      </c>
      <c r="G181" s="2021"/>
      <c r="H181" s="1385">
        <f>'Adj - Proforma'!L181</f>
        <v>0</v>
      </c>
      <c r="I181" s="139">
        <f t="shared" si="119"/>
        <v>-245372</v>
      </c>
      <c r="J181" s="138"/>
      <c r="K181" s="61">
        <f t="shared" si="120"/>
        <v>-209793.06</v>
      </c>
      <c r="L181" s="41">
        <f t="shared" si="124"/>
        <v>-35578.939999999995</v>
      </c>
      <c r="M181" s="1322"/>
      <c r="N181" s="1025">
        <f t="shared" si="121"/>
        <v>-7336.5958897018154</v>
      </c>
      <c r="O181" s="1030">
        <f t="shared" si="122"/>
        <v>-5762.5018947515073</v>
      </c>
      <c r="P181" s="1025">
        <f t="shared" si="123"/>
        <v>-757.44175289929547</v>
      </c>
      <c r="Q181" s="41">
        <f t="shared" si="117"/>
        <v>-21722.40046264738</v>
      </c>
      <c r="R181" s="21" t="s">
        <v>14</v>
      </c>
      <c r="S181" s="37" t="s">
        <v>13</v>
      </c>
      <c r="T181" s="36" t="s">
        <v>13</v>
      </c>
      <c r="U181" s="151">
        <f t="shared" si="101"/>
        <v>0</v>
      </c>
      <c r="V181" s="132">
        <f t="shared" si="91"/>
        <v>-7336.5958897018154</v>
      </c>
      <c r="W181" s="41">
        <f t="shared" si="118"/>
        <v>-5762.5018947515073</v>
      </c>
      <c r="X181" s="132">
        <f t="shared" si="82"/>
        <v>-757.44175289929547</v>
      </c>
      <c r="Y181" s="62">
        <f t="shared" si="83"/>
        <v>-21722.40046264738</v>
      </c>
    </row>
    <row r="182" spans="1:25" s="38" customFormat="1" ht="12">
      <c r="A182" s="54"/>
      <c r="B182" s="560" t="s">
        <v>540</v>
      </c>
      <c r="C182" s="1405">
        <f>SUM(C171:C181)</f>
        <v>2448968</v>
      </c>
      <c r="D182" s="561">
        <v>2502285</v>
      </c>
      <c r="E182" s="2032">
        <v>0</v>
      </c>
      <c r="F182" s="2032">
        <v>0</v>
      </c>
      <c r="G182" s="2022"/>
      <c r="H182" s="1386">
        <f>SUM(H171:H181)</f>
        <v>0</v>
      </c>
      <c r="I182" s="562">
        <f>SUM(I171:I181)</f>
        <v>2502285</v>
      </c>
      <c r="J182" s="60"/>
      <c r="K182" s="562">
        <f>SUM(K171:K181)</f>
        <v>2381935.4884229749</v>
      </c>
      <c r="L182" s="562">
        <f>SUM(L171:L181)</f>
        <v>120349.51157702538</v>
      </c>
      <c r="M182" s="1322"/>
      <c r="N182" s="562">
        <f>SUM(N171:N181)</f>
        <v>24816.808256896504</v>
      </c>
      <c r="O182" s="562">
        <f>SUM(O171:O181)</f>
        <v>19492.269541898298</v>
      </c>
      <c r="P182" s="562">
        <f>SUM(P171:P181)</f>
        <v>2562.1264998191664</v>
      </c>
      <c r="Q182" s="562">
        <f>SUM(Q171:Q181)</f>
        <v>73478.307278411346</v>
      </c>
      <c r="R182" s="21"/>
      <c r="S182" s="37"/>
      <c r="T182" s="36"/>
      <c r="U182" s="151">
        <f t="shared" si="101"/>
        <v>5.3660187404602766E-11</v>
      </c>
      <c r="V182" s="55">
        <f>N182</f>
        <v>24816.808256896504</v>
      </c>
      <c r="W182" s="55">
        <f>O182</f>
        <v>19492.269541898298</v>
      </c>
      <c r="X182" s="55">
        <f>P182</f>
        <v>2562.1264998191664</v>
      </c>
      <c r="Y182" s="55">
        <f>Q182</f>
        <v>73478.307278411346</v>
      </c>
    </row>
    <row r="183" spans="1:25" s="24" customFormat="1">
      <c r="A183" s="553"/>
      <c r="B183" s="557"/>
      <c r="C183" s="1406"/>
      <c r="D183" s="2042"/>
      <c r="E183" s="2029"/>
      <c r="F183" s="2030"/>
      <c r="G183" s="2021"/>
      <c r="H183" s="1385"/>
      <c r="I183" s="139"/>
      <c r="J183" s="138"/>
      <c r="K183" s="61"/>
      <c r="L183" s="62"/>
      <c r="M183" s="1322"/>
      <c r="N183" s="132"/>
      <c r="O183" s="62"/>
      <c r="P183" s="132"/>
      <c r="Q183" s="62"/>
      <c r="R183" s="21"/>
      <c r="S183" s="22"/>
      <c r="T183" s="21"/>
      <c r="U183" s="151">
        <f t="shared" si="101"/>
        <v>0</v>
      </c>
      <c r="V183" s="62"/>
      <c r="W183" s="62"/>
      <c r="X183" s="62"/>
      <c r="Y183" s="62"/>
    </row>
    <row r="184" spans="1:25" s="24" customFormat="1" ht="12">
      <c r="A184" s="553"/>
      <c r="B184" s="560" t="s">
        <v>541</v>
      </c>
      <c r="C184" s="1408">
        <f>C72+C113+C129+C143+C158+C169+C182</f>
        <v>20182984</v>
      </c>
      <c r="D184" s="561">
        <v>19805375</v>
      </c>
      <c r="E184" s="2032">
        <v>195271.99</v>
      </c>
      <c r="F184" s="2032">
        <v>213634.98070067525</v>
      </c>
      <c r="G184" s="2022"/>
      <c r="H184" s="1386">
        <f>H72+H113+H129+H143+H158+H169+H182</f>
        <v>333061.50371778791</v>
      </c>
      <c r="I184" s="562">
        <f>I72+I113+I129+I143+I158+I169+I182</f>
        <v>19953139.517029926</v>
      </c>
      <c r="J184" s="138"/>
      <c r="K184" s="562">
        <f>K72+K113+K129+K143+K158+K169+K182</f>
        <v>17319337.693425257</v>
      </c>
      <c r="L184" s="562">
        <f>L72+L113+L129+L143+L158+L169+L182</f>
        <v>2633801.8236046708</v>
      </c>
      <c r="M184" s="1322"/>
      <c r="N184" s="562">
        <f>N72+N113+N129+N143+N158+N169+N182</f>
        <v>603205.53810125683</v>
      </c>
      <c r="O184" s="562">
        <f>O72+O113+O129+O143+O158+O169+O182</f>
        <v>483339.71187312668</v>
      </c>
      <c r="P184" s="562">
        <f>P72+P113+P129+P143+P158+P169+P182</f>
        <v>91729.101707048758</v>
      </c>
      <c r="Q184" s="562">
        <f>Q72+Q113+Q129+Q143+Q158+Q169+Q182</f>
        <v>1455527.4719232381</v>
      </c>
      <c r="R184" s="21"/>
      <c r="S184" s="22"/>
      <c r="T184" s="21"/>
      <c r="U184" s="151">
        <f t="shared" si="101"/>
        <v>4.220055416226387E-10</v>
      </c>
      <c r="V184" s="62"/>
      <c r="W184" s="62"/>
      <c r="X184" s="62"/>
      <c r="Y184" s="62"/>
    </row>
    <row r="185" spans="1:25" s="24" customFormat="1">
      <c r="A185" s="553"/>
      <c r="B185" s="557"/>
      <c r="C185" s="1406"/>
      <c r="D185" s="2042"/>
      <c r="E185" s="2029"/>
      <c r="F185" s="2030"/>
      <c r="G185" s="2021"/>
      <c r="H185" s="1385"/>
      <c r="I185" s="139"/>
      <c r="J185" s="138"/>
      <c r="K185" s="61"/>
      <c r="L185" s="62"/>
      <c r="M185" s="1322"/>
      <c r="N185" s="132"/>
      <c r="O185" s="62"/>
      <c r="P185" s="132"/>
      <c r="Q185" s="62"/>
      <c r="R185" s="21"/>
      <c r="S185" s="22"/>
      <c r="T185" s="21"/>
      <c r="U185" s="151">
        <f t="shared" si="101"/>
        <v>0</v>
      </c>
      <c r="V185" s="62"/>
      <c r="W185" s="62"/>
      <c r="X185" s="62"/>
      <c r="Y185" s="62"/>
    </row>
    <row r="186" spans="1:25" s="38" customFormat="1" outlineLevel="1">
      <c r="A186" s="57">
        <v>600010</v>
      </c>
      <c r="B186" s="765" t="str">
        <f>VLOOKUP(A186,'Income Statement'!$A$6:$B$254,2,FALSE)</f>
        <v>Depr-Vehicles</v>
      </c>
      <c r="C186" s="1413">
        <v>2291454</v>
      </c>
      <c r="D186" s="147">
        <v>2440334</v>
      </c>
      <c r="E186" s="2029">
        <v>0</v>
      </c>
      <c r="F186" s="2030">
        <v>0</v>
      </c>
      <c r="G186" s="2021"/>
      <c r="H186" s="1385">
        <f>ReviewAccts!I42</f>
        <v>-18946.85635072412</v>
      </c>
      <c r="I186" s="42">
        <f t="shared" ref="I186:I194" si="125">SUM(D186:H186)</f>
        <v>2421387.1436492759</v>
      </c>
      <c r="J186" s="60"/>
      <c r="K186" s="51">
        <f t="shared" ref="K186:K194" si="126">I186-L186</f>
        <v>2074041.8478605654</v>
      </c>
      <c r="L186" s="41">
        <f t="shared" ref="L186:L192" si="127">I186*VLOOKUP($R186,$K$3:$L$6,2,FALSE)</f>
        <v>347345.29578871053</v>
      </c>
      <c r="M186" s="1322"/>
      <c r="N186" s="1832">
        <f t="shared" ref="N186:N192" si="128">L186*VLOOKUP($S186,$K$2:$Q$6,4,FALSE)</f>
        <v>90872.099999502054</v>
      </c>
      <c r="O186" s="1831">
        <f t="shared" ref="O186:O192" si="129">L186*VLOOKUP($S186,$K$2:$Q$6,5,FALSE)</f>
        <v>72787.148664513879</v>
      </c>
      <c r="P186" s="1832">
        <f t="shared" ref="P186:P192" si="130">L186*VLOOKUP($S186,$K$2:$Q$6,6,FALSE)</f>
        <v>16090.772512635376</v>
      </c>
      <c r="Q186" s="62">
        <f t="shared" ref="Q186:Q192" si="131">L186-N186-O186-P186</f>
        <v>167595.27461205918</v>
      </c>
      <c r="R186" s="21" t="s">
        <v>10</v>
      </c>
      <c r="S186" s="21" t="s">
        <v>10</v>
      </c>
      <c r="T186" s="36" t="s">
        <v>13</v>
      </c>
      <c r="U186" s="151">
        <f t="shared" si="101"/>
        <v>1.4551915228366852E-11</v>
      </c>
      <c r="V186" s="132">
        <f t="shared" si="91"/>
        <v>90872.099999502054</v>
      </c>
      <c r="W186" s="41">
        <f t="shared" ref="W186:W194" si="132">O186</f>
        <v>72787.148664513879</v>
      </c>
      <c r="X186" s="132">
        <f t="shared" si="82"/>
        <v>16090.772512635376</v>
      </c>
      <c r="Y186" s="62">
        <f t="shared" si="83"/>
        <v>167595.27461205918</v>
      </c>
    </row>
    <row r="187" spans="1:25" s="38" customFormat="1" outlineLevel="1">
      <c r="A187" s="57">
        <v>600020</v>
      </c>
      <c r="B187" s="765" t="str">
        <f>VLOOKUP(A187,'Income Statement'!$A$6:$B$254,2,FALSE)</f>
        <v>Depr-Cont/Comp</v>
      </c>
      <c r="C187" s="1413">
        <v>652973</v>
      </c>
      <c r="D187" s="147">
        <v>385468</v>
      </c>
      <c r="E187" s="2029">
        <v>0</v>
      </c>
      <c r="F187" s="2030">
        <v>0</v>
      </c>
      <c r="G187" s="2021"/>
      <c r="H187" s="1385">
        <f>ReviewAccts!I43</f>
        <v>-3594.5050956317573</v>
      </c>
      <c r="I187" s="42">
        <f t="shared" si="125"/>
        <v>381873.49490436824</v>
      </c>
      <c r="J187" s="60"/>
      <c r="K187" s="51">
        <f t="shared" si="126"/>
        <v>313886.5899772495</v>
      </c>
      <c r="L187" s="41">
        <f t="shared" si="127"/>
        <v>67986.90492711874</v>
      </c>
      <c r="M187" s="1322"/>
      <c r="N187" s="1025">
        <f t="shared" si="128"/>
        <v>24479.74035468329</v>
      </c>
      <c r="O187" s="1030">
        <f t="shared" si="129"/>
        <v>16761.497086230553</v>
      </c>
      <c r="P187" s="1025">
        <f t="shared" si="130"/>
        <v>1086.3722857245023</v>
      </c>
      <c r="Q187" s="41">
        <f t="shared" si="131"/>
        <v>25659.295200480392</v>
      </c>
      <c r="R187" s="21" t="s">
        <v>344</v>
      </c>
      <c r="S187" s="21" t="s">
        <v>344</v>
      </c>
      <c r="T187" s="36" t="s">
        <v>13</v>
      </c>
      <c r="U187" s="151">
        <f t="shared" si="101"/>
        <v>0</v>
      </c>
      <c r="V187" s="132">
        <f t="shared" si="91"/>
        <v>24479.74035468329</v>
      </c>
      <c r="W187" s="41">
        <f t="shared" si="132"/>
        <v>16761.497086230553</v>
      </c>
      <c r="X187" s="132">
        <f t="shared" si="82"/>
        <v>1086.3722857245023</v>
      </c>
      <c r="Y187" s="62">
        <f t="shared" si="83"/>
        <v>25659.295200480392</v>
      </c>
    </row>
    <row r="188" spans="1:25" s="38" customFormat="1" outlineLevel="1">
      <c r="A188" s="57">
        <v>600030</v>
      </c>
      <c r="B188" s="765" t="str">
        <f>VLOOKUP(A188,'Income Statement'!$A$6:$B$254,2,FALSE)</f>
        <v>Depr-Heavy Mach &amp; Equip</v>
      </c>
      <c r="C188" s="1413">
        <v>128048</v>
      </c>
      <c r="D188" s="147">
        <v>130068</v>
      </c>
      <c r="E188" s="2029">
        <v>0</v>
      </c>
      <c r="F188" s="2030">
        <v>0</v>
      </c>
      <c r="G188" s="2021"/>
      <c r="H188" s="2070">
        <f>ReviewAccts!I44</f>
        <v>-65897.396873083999</v>
      </c>
      <c r="I188" s="42">
        <f t="shared" si="125"/>
        <v>64170.603126916001</v>
      </c>
      <c r="J188" s="60"/>
      <c r="K188" s="51">
        <f t="shared" si="126"/>
        <v>54965.4013967762</v>
      </c>
      <c r="L188" s="41">
        <f t="shared" si="127"/>
        <v>9205.2017301398046</v>
      </c>
      <c r="M188" s="1322"/>
      <c r="N188" s="1832">
        <f t="shared" si="128"/>
        <v>2408.2549044962234</v>
      </c>
      <c r="O188" s="1831">
        <f t="shared" si="129"/>
        <v>1928.9749852437858</v>
      </c>
      <c r="P188" s="1832">
        <f t="shared" si="130"/>
        <v>426.43101480982068</v>
      </c>
      <c r="Q188" s="62">
        <f t="shared" si="131"/>
        <v>4441.5408255899747</v>
      </c>
      <c r="R188" s="21" t="s">
        <v>10</v>
      </c>
      <c r="S188" s="21" t="s">
        <v>10</v>
      </c>
      <c r="T188" s="36" t="s">
        <v>13</v>
      </c>
      <c r="U188" s="151">
        <f t="shared" si="101"/>
        <v>4.5474735088646412E-13</v>
      </c>
      <c r="V188" s="132">
        <f t="shared" si="91"/>
        <v>2408.2549044962234</v>
      </c>
      <c r="W188" s="41">
        <f t="shared" si="132"/>
        <v>1928.9749852437858</v>
      </c>
      <c r="X188" s="132">
        <f t="shared" si="82"/>
        <v>426.43101480982068</v>
      </c>
      <c r="Y188" s="62">
        <f t="shared" si="83"/>
        <v>4441.5408255899747</v>
      </c>
    </row>
    <row r="189" spans="1:25" s="38" customFormat="1" outlineLevel="1">
      <c r="A189" s="57">
        <v>600040</v>
      </c>
      <c r="B189" s="765" t="str">
        <f>VLOOKUP(A189,'Income Statement'!$A$6:$B$254,2,FALSE)</f>
        <v>Depr-Shop Equip</v>
      </c>
      <c r="C189" s="1413">
        <v>17749</v>
      </c>
      <c r="D189" s="147">
        <v>17036</v>
      </c>
      <c r="E189" s="2029">
        <v>0</v>
      </c>
      <c r="F189" s="2030">
        <v>0</v>
      </c>
      <c r="G189" s="2021"/>
      <c r="H189" s="1385">
        <f>ReviewAccts!I45</f>
        <v>-342.89323308270468</v>
      </c>
      <c r="I189" s="42">
        <f>SUM(D189:H189)</f>
        <v>16693.106766917295</v>
      </c>
      <c r="J189" s="60"/>
      <c r="K189" s="51">
        <f>I189-L189</f>
        <v>14298.499145911746</v>
      </c>
      <c r="L189" s="41">
        <f t="shared" si="127"/>
        <v>2394.6076210055489</v>
      </c>
      <c r="M189" s="1322"/>
      <c r="N189" s="1832">
        <f t="shared" si="128"/>
        <v>626.47465169055704</v>
      </c>
      <c r="O189" s="1831">
        <f t="shared" si="129"/>
        <v>501.79652068566696</v>
      </c>
      <c r="P189" s="1832">
        <f t="shared" si="130"/>
        <v>110.93020966105631</v>
      </c>
      <c r="Q189" s="62">
        <f t="shared" si="131"/>
        <v>1155.4062389682686</v>
      </c>
      <c r="R189" s="21" t="s">
        <v>10</v>
      </c>
      <c r="S189" s="21" t="s">
        <v>10</v>
      </c>
      <c r="T189" s="36" t="s">
        <v>13</v>
      </c>
      <c r="U189" s="151">
        <f>L189-N189-O189-Q189-P189</f>
        <v>0</v>
      </c>
      <c r="V189" s="132">
        <f>N189</f>
        <v>626.47465169055704</v>
      </c>
      <c r="W189" s="41">
        <f>O189</f>
        <v>501.79652068566696</v>
      </c>
      <c r="X189" s="132">
        <f>P189</f>
        <v>110.93020966105631</v>
      </c>
      <c r="Y189" s="62">
        <f>Q189</f>
        <v>1155.4062389682686</v>
      </c>
    </row>
    <row r="190" spans="1:25" s="38" customFormat="1" outlineLevel="1">
      <c r="A190" s="57">
        <v>600070</v>
      </c>
      <c r="B190" s="765" t="str">
        <f>VLOOKUP(A190,'Income Statement'!$A$6:$B$254,2,FALSE)</f>
        <v>Depr-Bldg &amp; Imp</v>
      </c>
      <c r="C190" s="1413">
        <v>141096</v>
      </c>
      <c r="D190" s="147">
        <v>96664</v>
      </c>
      <c r="E190" s="2029">
        <v>0</v>
      </c>
      <c r="F190" s="2030">
        <v>0</v>
      </c>
      <c r="G190" s="2021"/>
      <c r="H190" s="2070">
        <f>ReviewAccts!I46</f>
        <v>-20456.330334428407</v>
      </c>
      <c r="I190" s="42">
        <f t="shared" si="125"/>
        <v>76207.669665571593</v>
      </c>
      <c r="J190" s="60"/>
      <c r="K190" s="51">
        <f t="shared" si="126"/>
        <v>66529.786076221106</v>
      </c>
      <c r="L190" s="41">
        <f t="shared" si="127"/>
        <v>9677.883589350482</v>
      </c>
      <c r="M190" s="1322"/>
      <c r="N190" s="1025">
        <f t="shared" si="128"/>
        <v>1995.6390202361681</v>
      </c>
      <c r="O190" s="1030">
        <f t="shared" si="129"/>
        <v>1567.4672297942739</v>
      </c>
      <c r="P190" s="1025">
        <f t="shared" si="130"/>
        <v>206.03292594644347</v>
      </c>
      <c r="Q190" s="41">
        <f t="shared" si="131"/>
        <v>5908.7444133735971</v>
      </c>
      <c r="R190" s="21" t="s">
        <v>13</v>
      </c>
      <c r="S190" s="21" t="s">
        <v>13</v>
      </c>
      <c r="T190" s="36" t="s">
        <v>13</v>
      </c>
      <c r="U190" s="151">
        <f t="shared" si="101"/>
        <v>0</v>
      </c>
      <c r="V190" s="132">
        <f t="shared" si="91"/>
        <v>1995.6390202361681</v>
      </c>
      <c r="W190" s="41">
        <f t="shared" si="132"/>
        <v>1567.4672297942739</v>
      </c>
      <c r="X190" s="132">
        <f t="shared" si="82"/>
        <v>206.03292594644347</v>
      </c>
      <c r="Y190" s="62">
        <f t="shared" si="83"/>
        <v>5908.7444133735971</v>
      </c>
    </row>
    <row r="191" spans="1:25" s="38" customFormat="1" outlineLevel="1">
      <c r="A191" s="57">
        <v>600090</v>
      </c>
      <c r="B191" s="765" t="str">
        <f>VLOOKUP(A191,'Income Statement'!$A$6:$B$254,2,FALSE)</f>
        <v>Depr-Computer Equip</v>
      </c>
      <c r="C191" s="1413">
        <v>39</v>
      </c>
      <c r="D191" s="147">
        <v>2874</v>
      </c>
      <c r="E191" s="2029">
        <v>0</v>
      </c>
      <c r="F191" s="2030">
        <v>0</v>
      </c>
      <c r="G191" s="2021"/>
      <c r="H191" s="1385">
        <f>ReviewAccts!I47</f>
        <v>211.99999999961801</v>
      </c>
      <c r="I191" s="42">
        <f t="shared" si="125"/>
        <v>3085.999999999618</v>
      </c>
      <c r="J191" s="60"/>
      <c r="K191" s="51">
        <f t="shared" si="126"/>
        <v>2694.0978609131571</v>
      </c>
      <c r="L191" s="41">
        <f t="shared" si="127"/>
        <v>391.90213908646069</v>
      </c>
      <c r="M191" s="1322"/>
      <c r="N191" s="1025">
        <f t="shared" si="128"/>
        <v>80.812627435979749</v>
      </c>
      <c r="O191" s="1030">
        <f t="shared" si="129"/>
        <v>63.473976994337065</v>
      </c>
      <c r="P191" s="1025">
        <f t="shared" si="130"/>
        <v>8.3432233561379938</v>
      </c>
      <c r="Q191" s="41">
        <f t="shared" si="131"/>
        <v>239.2723113000059</v>
      </c>
      <c r="R191" s="21" t="s">
        <v>13</v>
      </c>
      <c r="S191" s="21" t="s">
        <v>13</v>
      </c>
      <c r="T191" s="36" t="s">
        <v>13</v>
      </c>
      <c r="U191" s="151">
        <f t="shared" si="101"/>
        <v>0</v>
      </c>
      <c r="V191" s="132">
        <f t="shared" si="91"/>
        <v>80.812627435979749</v>
      </c>
      <c r="W191" s="41">
        <f t="shared" si="132"/>
        <v>63.473976994337065</v>
      </c>
      <c r="X191" s="132">
        <f t="shared" si="82"/>
        <v>8.3432233561379938</v>
      </c>
      <c r="Y191" s="62">
        <f t="shared" si="83"/>
        <v>239.2723113000059</v>
      </c>
    </row>
    <row r="192" spans="1:25" s="38" customFormat="1" outlineLevel="1">
      <c r="A192" s="57">
        <v>600200</v>
      </c>
      <c r="B192" s="765" t="str">
        <f>VLOOKUP(A192,'Income Statement'!$A$6:$B$254,2,FALSE)</f>
        <v>Depr-HENS</v>
      </c>
      <c r="C192" s="1413">
        <v>26946</v>
      </c>
      <c r="D192" s="147">
        <v>395</v>
      </c>
      <c r="E192" s="2029">
        <v>0</v>
      </c>
      <c r="F192" s="2030">
        <v>0</v>
      </c>
      <c r="G192" s="2021"/>
      <c r="H192" s="1385"/>
      <c r="I192" s="42">
        <f t="shared" si="125"/>
        <v>395</v>
      </c>
      <c r="J192" s="60"/>
      <c r="K192" s="51">
        <f t="shared" si="126"/>
        <v>338.33768881346077</v>
      </c>
      <c r="L192" s="41">
        <f t="shared" si="127"/>
        <v>56.662311186539242</v>
      </c>
      <c r="M192" s="1322"/>
      <c r="N192" s="1832">
        <f t="shared" si="128"/>
        <v>14.823932469430185</v>
      </c>
      <c r="O192" s="1831">
        <f t="shared" si="129"/>
        <v>11.873740966160589</v>
      </c>
      <c r="P192" s="1832">
        <f t="shared" si="130"/>
        <v>2.6248818406263013</v>
      </c>
      <c r="Q192" s="62">
        <f t="shared" si="131"/>
        <v>27.339755910322168</v>
      </c>
      <c r="R192" s="21" t="s">
        <v>10</v>
      </c>
      <c r="S192" s="21" t="s">
        <v>10</v>
      </c>
      <c r="T192" s="36" t="s">
        <v>13</v>
      </c>
      <c r="U192" s="151">
        <f t="shared" si="101"/>
        <v>0</v>
      </c>
      <c r="V192" s="132">
        <f t="shared" si="91"/>
        <v>14.823932469430185</v>
      </c>
      <c r="W192" s="41">
        <f t="shared" si="132"/>
        <v>11.873740966160589</v>
      </c>
      <c r="X192" s="132">
        <f t="shared" si="82"/>
        <v>2.6248818406263013</v>
      </c>
      <c r="Y192" s="62">
        <f t="shared" si="83"/>
        <v>27.339755910322168</v>
      </c>
    </row>
    <row r="193" spans="1:25" s="38" customFormat="1" outlineLevel="1">
      <c r="A193" s="57">
        <v>600998</v>
      </c>
      <c r="B193" s="765" t="str">
        <f>VLOOKUP(A193,'Income Statement'!$A$6:$B$254,2,FALSE)</f>
        <v>Depr Alloc-In</v>
      </c>
      <c r="C193" s="1413">
        <v>321692</v>
      </c>
      <c r="D193" s="147">
        <v>343796</v>
      </c>
      <c r="E193" s="2029">
        <v>0</v>
      </c>
      <c r="F193" s="2030">
        <v>0</v>
      </c>
      <c r="G193" s="2021"/>
      <c r="H193" s="1385"/>
      <c r="I193" s="42">
        <f>SUM(D193:H193)</f>
        <v>343796</v>
      </c>
      <c r="J193" s="60"/>
      <c r="K193" s="51">
        <f>I193-L193</f>
        <v>343796</v>
      </c>
      <c r="L193" s="41">
        <v>0</v>
      </c>
      <c r="M193" s="1322"/>
      <c r="N193" s="1832">
        <v>0</v>
      </c>
      <c r="O193" s="1831">
        <v>0</v>
      </c>
      <c r="P193" s="1832">
        <v>0</v>
      </c>
      <c r="Q193" s="62">
        <v>0</v>
      </c>
      <c r="R193" s="21" t="s">
        <v>10</v>
      </c>
      <c r="S193" s="21" t="s">
        <v>10</v>
      </c>
      <c r="T193" s="36" t="s">
        <v>13</v>
      </c>
      <c r="U193" s="151">
        <f>L193-N193-O193-Q193-P193</f>
        <v>0</v>
      </c>
      <c r="V193" s="132">
        <f>N193</f>
        <v>0</v>
      </c>
      <c r="W193" s="41">
        <f>O193</f>
        <v>0</v>
      </c>
      <c r="X193" s="132">
        <f>P193</f>
        <v>0</v>
      </c>
      <c r="Y193" s="62">
        <f>Q193</f>
        <v>0</v>
      </c>
    </row>
    <row r="194" spans="1:25" s="38" customFormat="1" outlineLevel="1">
      <c r="A194" s="57">
        <v>600999</v>
      </c>
      <c r="B194" s="765" t="str">
        <f>VLOOKUP(A194,'Income Statement'!$A$6:$B$254,2,FALSE)</f>
        <v>Depr Alloc-Out</v>
      </c>
      <c r="C194" s="1413">
        <f>-C193</f>
        <v>-321692</v>
      </c>
      <c r="D194" s="147">
        <v>-343796</v>
      </c>
      <c r="E194" s="2029">
        <v>0</v>
      </c>
      <c r="F194" s="2030">
        <v>0</v>
      </c>
      <c r="G194" s="2021"/>
      <c r="H194" s="1385"/>
      <c r="I194" s="42">
        <f t="shared" si="125"/>
        <v>-343796</v>
      </c>
      <c r="J194" s="60"/>
      <c r="K194" s="51">
        <f t="shared" si="126"/>
        <v>-343796</v>
      </c>
      <c r="L194" s="41">
        <v>0</v>
      </c>
      <c r="M194" s="1322"/>
      <c r="N194" s="1832">
        <v>0</v>
      </c>
      <c r="O194" s="1831">
        <v>0</v>
      </c>
      <c r="P194" s="1832">
        <v>0</v>
      </c>
      <c r="Q194" s="62">
        <v>0</v>
      </c>
      <c r="R194" s="21" t="s">
        <v>10</v>
      </c>
      <c r="S194" s="21" t="s">
        <v>10</v>
      </c>
      <c r="T194" s="36" t="s">
        <v>13</v>
      </c>
      <c r="U194" s="151">
        <f t="shared" si="101"/>
        <v>0</v>
      </c>
      <c r="V194" s="132">
        <f t="shared" si="91"/>
        <v>0</v>
      </c>
      <c r="W194" s="41">
        <f t="shared" si="132"/>
        <v>0</v>
      </c>
      <c r="X194" s="132">
        <f t="shared" si="82"/>
        <v>0</v>
      </c>
      <c r="Y194" s="62">
        <f t="shared" si="83"/>
        <v>0</v>
      </c>
    </row>
    <row r="195" spans="1:25" s="38" customFormat="1" ht="12">
      <c r="A195" s="54"/>
      <c r="B195" s="563" t="s">
        <v>542</v>
      </c>
      <c r="C195" s="1415">
        <f>SUM(C186:C194)</f>
        <v>3258305</v>
      </c>
      <c r="D195" s="147">
        <v>3072839</v>
      </c>
      <c r="E195" s="2029">
        <v>0</v>
      </c>
      <c r="F195" s="2030">
        <v>0</v>
      </c>
      <c r="G195" s="2021"/>
      <c r="H195" s="1385">
        <f>SUM(H186:H194)</f>
        <v>-109025.98188695137</v>
      </c>
      <c r="I195" s="565">
        <f>SUM(I186:I194)</f>
        <v>2963813.0181130487</v>
      </c>
      <c r="J195" s="60"/>
      <c r="K195" s="565">
        <f>SUM(K186:K194)</f>
        <v>2526754.5600064504</v>
      </c>
      <c r="L195" s="565">
        <f>SUM(L186:L194)</f>
        <v>437058.45810659812</v>
      </c>
      <c r="M195" s="1322"/>
      <c r="N195" s="583">
        <f>SUM(N186:N194)</f>
        <v>120477.8454905137</v>
      </c>
      <c r="O195" s="565">
        <f>SUM(O186:O194)</f>
        <v>93622.232204428641</v>
      </c>
      <c r="P195" s="583">
        <f>SUM(P186:P194)</f>
        <v>17931.507053973965</v>
      </c>
      <c r="Q195" s="565">
        <f>SUM(Q186:Q194)</f>
        <v>205026.87335768173</v>
      </c>
      <c r="R195" s="21"/>
      <c r="S195" s="37"/>
      <c r="T195" s="36" t="s">
        <v>13</v>
      </c>
      <c r="U195" s="151">
        <f t="shared" si="101"/>
        <v>6.184563972055912E-11</v>
      </c>
      <c r="V195" s="132">
        <f t="shared" ref="V195:V286" si="133">N195</f>
        <v>120477.8454905137</v>
      </c>
      <c r="W195" s="41">
        <f t="shared" ref="W195:W286" si="134">O195</f>
        <v>93622.232204428641</v>
      </c>
      <c r="X195" s="132">
        <f t="shared" ref="X195:X286" si="135">P195</f>
        <v>17931.507053973965</v>
      </c>
      <c r="Y195" s="62">
        <f t="shared" ref="Y195:Y286" si="136">Q195</f>
        <v>205026.87335768173</v>
      </c>
    </row>
    <row r="196" spans="1:25" s="38" customFormat="1">
      <c r="A196" s="54"/>
      <c r="B196" s="765"/>
      <c r="C196" s="1413"/>
      <c r="D196" s="45"/>
      <c r="E196" s="2029">
        <v>0</v>
      </c>
      <c r="F196" s="2030">
        <v>0</v>
      </c>
      <c r="G196" s="2021"/>
      <c r="H196" s="1385">
        <f>'Adj - Proforma'!L196</f>
        <v>0</v>
      </c>
      <c r="I196" s="42"/>
      <c r="J196" s="60"/>
      <c r="K196" s="51"/>
      <c r="L196" s="41"/>
      <c r="M196" s="1322"/>
      <c r="N196" s="132"/>
      <c r="O196" s="41"/>
      <c r="P196" s="132"/>
      <c r="Q196" s="41"/>
      <c r="R196" s="21"/>
      <c r="S196" s="37"/>
      <c r="T196" s="36"/>
      <c r="U196" s="151">
        <f t="shared" si="101"/>
        <v>0</v>
      </c>
      <c r="V196" s="132">
        <f t="shared" si="133"/>
        <v>0</v>
      </c>
      <c r="W196" s="41">
        <f t="shared" si="134"/>
        <v>0</v>
      </c>
      <c r="X196" s="132">
        <f t="shared" si="135"/>
        <v>0</v>
      </c>
      <c r="Y196" s="62">
        <f t="shared" si="136"/>
        <v>0</v>
      </c>
    </row>
    <row r="197" spans="1:25" s="38" customFormat="1" ht="12">
      <c r="A197" s="54"/>
      <c r="B197" s="560" t="s">
        <v>549</v>
      </c>
      <c r="C197" s="1405">
        <f>+C195</f>
        <v>3258305</v>
      </c>
      <c r="D197" s="561">
        <v>3072839</v>
      </c>
      <c r="E197" s="2032">
        <v>0</v>
      </c>
      <c r="F197" s="2032">
        <v>0</v>
      </c>
      <c r="G197" s="2022"/>
      <c r="H197" s="1386">
        <f>H195</f>
        <v>-109025.98188695137</v>
      </c>
      <c r="I197" s="562">
        <f>I195</f>
        <v>2963813.0181130487</v>
      </c>
      <c r="J197" s="60"/>
      <c r="K197" s="562">
        <f>K195</f>
        <v>2526754.5600064504</v>
      </c>
      <c r="L197" s="562">
        <f>L195</f>
        <v>437058.45810659812</v>
      </c>
      <c r="M197" s="1322"/>
      <c r="N197" s="562">
        <f>N195</f>
        <v>120477.8454905137</v>
      </c>
      <c r="O197" s="562">
        <f>O195</f>
        <v>93622.232204428641</v>
      </c>
      <c r="P197" s="562">
        <f>P195</f>
        <v>17931.507053973965</v>
      </c>
      <c r="Q197" s="562">
        <f>Q195</f>
        <v>205026.87335768173</v>
      </c>
      <c r="R197" s="21"/>
      <c r="S197" s="37"/>
      <c r="T197" s="36"/>
      <c r="U197" s="151">
        <f t="shared" si="101"/>
        <v>6.184563972055912E-11</v>
      </c>
      <c r="V197" s="55">
        <f t="shared" si="133"/>
        <v>120477.8454905137</v>
      </c>
      <c r="W197" s="55">
        <f t="shared" si="134"/>
        <v>93622.232204428641</v>
      </c>
      <c r="X197" s="55">
        <f t="shared" si="135"/>
        <v>17931.507053973965</v>
      </c>
      <c r="Y197" s="55">
        <f t="shared" si="136"/>
        <v>205026.87335768173</v>
      </c>
    </row>
    <row r="198" spans="1:25" s="38" customFormat="1">
      <c r="A198" s="54"/>
      <c r="B198" s="556"/>
      <c r="C198" s="1409"/>
      <c r="D198" s="45"/>
      <c r="E198" s="2029"/>
      <c r="F198" s="2030"/>
      <c r="G198" s="2021"/>
      <c r="H198" s="1385"/>
      <c r="I198" s="42"/>
      <c r="J198" s="60"/>
      <c r="K198" s="51"/>
      <c r="L198" s="41"/>
      <c r="M198" s="1322"/>
      <c r="N198" s="132"/>
      <c r="O198" s="41"/>
      <c r="P198" s="132"/>
      <c r="Q198" s="41"/>
      <c r="R198" s="21"/>
      <c r="S198" s="36"/>
      <c r="T198" s="36"/>
      <c r="U198" s="151">
        <f t="shared" si="101"/>
        <v>0</v>
      </c>
      <c r="V198" s="132">
        <f t="shared" si="133"/>
        <v>0</v>
      </c>
      <c r="W198" s="41">
        <f t="shared" si="134"/>
        <v>0</v>
      </c>
      <c r="X198" s="132">
        <f t="shared" si="135"/>
        <v>0</v>
      </c>
      <c r="Y198" s="41">
        <f t="shared" si="136"/>
        <v>0</v>
      </c>
    </row>
    <row r="199" spans="1:25" s="38" customFormat="1" ht="12">
      <c r="A199" s="54"/>
      <c r="B199" s="560" t="s">
        <v>544</v>
      </c>
      <c r="C199" s="1408">
        <f>+C184+C197</f>
        <v>23441289</v>
      </c>
      <c r="D199" s="561">
        <v>22878214</v>
      </c>
      <c r="E199" s="2032">
        <v>195271.99</v>
      </c>
      <c r="F199" s="2032">
        <v>213634.98070067525</v>
      </c>
      <c r="G199" s="2022"/>
      <c r="H199" s="1386">
        <f>+H184+H197</f>
        <v>224035.52183083654</v>
      </c>
      <c r="I199" s="562">
        <f>+I184+I197</f>
        <v>22916952.535142973</v>
      </c>
      <c r="J199" s="60"/>
      <c r="K199" s="562">
        <f>+K184+K197</f>
        <v>19846092.253431708</v>
      </c>
      <c r="L199" s="562">
        <f>+L184+L197</f>
        <v>3070860.2817112692</v>
      </c>
      <c r="M199" s="1322"/>
      <c r="N199" s="562">
        <f>+N184+N197</f>
        <v>723683.38359177054</v>
      </c>
      <c r="O199" s="562">
        <f>+O184+O197</f>
        <v>576961.94407755532</v>
      </c>
      <c r="P199" s="562">
        <f>+P184+P197</f>
        <v>109660.60876102273</v>
      </c>
      <c r="Q199" s="562">
        <f>+Q184+Q197</f>
        <v>1660554.3452809199</v>
      </c>
      <c r="R199" s="21"/>
      <c r="S199" s="36"/>
      <c r="T199" s="36"/>
      <c r="U199" s="151">
        <f t="shared" si="101"/>
        <v>5.3842086344957352E-10</v>
      </c>
      <c r="V199" s="132"/>
      <c r="W199" s="41"/>
      <c r="X199" s="132"/>
      <c r="Y199" s="41"/>
    </row>
    <row r="200" spans="1:25" s="38" customFormat="1">
      <c r="A200" s="54"/>
      <c r="B200" s="556"/>
      <c r="C200" s="1409"/>
      <c r="D200" s="45"/>
      <c r="E200" s="2029"/>
      <c r="F200" s="2030"/>
      <c r="G200" s="2021"/>
      <c r="H200" s="1385"/>
      <c r="I200" s="42"/>
      <c r="J200" s="60"/>
      <c r="K200" s="51"/>
      <c r="L200" s="41"/>
      <c r="M200" s="1322"/>
      <c r="N200" s="132"/>
      <c r="O200" s="41"/>
      <c r="P200" s="132"/>
      <c r="Q200" s="41"/>
      <c r="R200" s="21"/>
      <c r="S200" s="36"/>
      <c r="T200" s="36"/>
      <c r="U200" s="151">
        <f t="shared" si="101"/>
        <v>0</v>
      </c>
      <c r="V200" s="132"/>
      <c r="W200" s="41"/>
      <c r="X200" s="132"/>
      <c r="Y200" s="41"/>
    </row>
    <row r="201" spans="1:25" s="38" customFormat="1" ht="12">
      <c r="A201" s="54"/>
      <c r="B201" s="560" t="s">
        <v>545</v>
      </c>
      <c r="C201" s="1408">
        <f>C34-C199</f>
        <v>1580747</v>
      </c>
      <c r="D201" s="561">
        <v>1023767</v>
      </c>
      <c r="E201" s="2032">
        <v>-195271.99</v>
      </c>
      <c r="F201" s="2032">
        <v>-281233.97760067525</v>
      </c>
      <c r="G201" s="2022"/>
      <c r="H201" s="1386">
        <f>H34-H199</f>
        <v>-224035.52183083654</v>
      </c>
      <c r="I201" s="562">
        <f>I34-I199</f>
        <v>917429.46795702726</v>
      </c>
      <c r="J201" s="60"/>
      <c r="K201" s="562">
        <f>K34-K199</f>
        <v>366846.07700288296</v>
      </c>
      <c r="L201" s="562">
        <f>L34-L199</f>
        <v>550583.39095414337</v>
      </c>
      <c r="M201" s="1322"/>
      <c r="N201" s="562">
        <f>N34-N199</f>
        <v>120463.50055707258</v>
      </c>
      <c r="O201" s="562">
        <f>O34-O199</f>
        <v>38599.55955844454</v>
      </c>
      <c r="P201" s="562">
        <f>P34-P199</f>
        <v>-23481.26661031507</v>
      </c>
      <c r="Q201" s="562">
        <f>Q34-Q199</f>
        <v>415001.59744894202</v>
      </c>
      <c r="R201" s="21"/>
      <c r="S201" s="36"/>
      <c r="T201" s="36"/>
      <c r="U201" s="151">
        <f t="shared" si="101"/>
        <v>-6.9849193096160889E-10</v>
      </c>
      <c r="V201" s="132"/>
      <c r="W201" s="41"/>
      <c r="X201" s="132"/>
      <c r="Y201" s="41"/>
    </row>
    <row r="202" spans="1:25" s="38" customFormat="1">
      <c r="A202" s="54"/>
      <c r="B202" s="765"/>
      <c r="C202" s="1413"/>
      <c r="D202" s="45"/>
      <c r="E202" s="2029"/>
      <c r="F202" s="2030"/>
      <c r="G202" s="2021"/>
      <c r="H202" s="1385"/>
      <c r="I202" s="42"/>
      <c r="J202" s="60"/>
      <c r="K202" s="51"/>
      <c r="L202" s="41"/>
      <c r="M202" s="1322"/>
      <c r="N202" s="132"/>
      <c r="O202" s="41"/>
      <c r="P202" s="132"/>
      <c r="Q202" s="41"/>
      <c r="R202" s="21"/>
      <c r="S202" s="36"/>
      <c r="T202" s="36"/>
      <c r="U202" s="151">
        <f t="shared" si="101"/>
        <v>0</v>
      </c>
      <c r="V202" s="132"/>
      <c r="W202" s="41"/>
      <c r="X202" s="132"/>
      <c r="Y202" s="41"/>
    </row>
    <row r="203" spans="1:25" s="38" customFormat="1" outlineLevel="1">
      <c r="A203" s="1381">
        <v>710000</v>
      </c>
      <c r="B203" s="1416" t="str">
        <f>VLOOKUP(A203,'Income Statement'!$A$6:$B$254,2,FALSE)</f>
        <v>Sales Mgr/Supv</v>
      </c>
      <c r="C203" s="1413">
        <v>48912</v>
      </c>
      <c r="D203" s="147">
        <v>26730</v>
      </c>
      <c r="E203" s="2029">
        <v>-26730</v>
      </c>
      <c r="F203" s="2030">
        <v>0</v>
      </c>
      <c r="G203" s="2021"/>
      <c r="H203" s="1385">
        <f>'Adj - Proforma'!L203</f>
        <v>0</v>
      </c>
      <c r="I203" s="42">
        <f t="shared" ref="I203:I216" si="137">SUM(D203:H203)</f>
        <v>0</v>
      </c>
      <c r="J203" s="60"/>
      <c r="K203" s="51">
        <f t="shared" ref="K203:K216" si="138">I203-L203</f>
        <v>0</v>
      </c>
      <c r="L203" s="41">
        <f t="shared" ref="L203:L216" si="139">I203*VLOOKUP($R203,$K$3:$L$6,2,FALSE)</f>
        <v>0</v>
      </c>
      <c r="M203" s="1322"/>
      <c r="N203" s="1025">
        <f t="shared" ref="N203:N216" si="140">L203*VLOOKUP($S203,$K$2:$Q$6,4,FALSE)</f>
        <v>0</v>
      </c>
      <c r="O203" s="1030">
        <f t="shared" ref="O203:O216" si="141">L203*VLOOKUP($S203,$K$2:$Q$6,5,FALSE)</f>
        <v>0</v>
      </c>
      <c r="P203" s="1025">
        <f t="shared" ref="P203:P216" si="142">L203*VLOOKUP($S203,$K$2:$Q$6,6,FALSE)</f>
        <v>0</v>
      </c>
      <c r="Q203" s="41">
        <f t="shared" ref="Q203:Q216" si="143">L203-N203-O203-P203</f>
        <v>0</v>
      </c>
      <c r="R203" s="1323" t="s">
        <v>344</v>
      </c>
      <c r="S203" s="21" t="s">
        <v>13</v>
      </c>
      <c r="T203" s="36" t="s">
        <v>13</v>
      </c>
      <c r="U203" s="151">
        <f t="shared" si="101"/>
        <v>0</v>
      </c>
      <c r="V203" s="132">
        <f t="shared" si="133"/>
        <v>0</v>
      </c>
      <c r="W203" s="41">
        <f t="shared" si="134"/>
        <v>0</v>
      </c>
      <c r="X203" s="132">
        <f t="shared" si="135"/>
        <v>0</v>
      </c>
      <c r="Y203" s="62">
        <f t="shared" si="136"/>
        <v>0</v>
      </c>
    </row>
    <row r="204" spans="1:25" s="38" customFormat="1" outlineLevel="1">
      <c r="A204" s="1381">
        <v>710005</v>
      </c>
      <c r="B204" s="1416" t="str">
        <f>VLOOKUP(A204,'Income Statement'!$A$6:$B$254,2,FALSE)</f>
        <v>Sales Rep 710005</v>
      </c>
      <c r="C204" s="1413">
        <v>28184</v>
      </c>
      <c r="D204" s="147">
        <v>57777</v>
      </c>
      <c r="E204" s="2029">
        <v>-57777</v>
      </c>
      <c r="F204" s="2030">
        <v>0</v>
      </c>
      <c r="G204" s="2021"/>
      <c r="H204" s="1385">
        <f>'Adj - Proforma'!L204</f>
        <v>0</v>
      </c>
      <c r="I204" s="42">
        <f t="shared" si="137"/>
        <v>0</v>
      </c>
      <c r="J204" s="60"/>
      <c r="K204" s="51">
        <f t="shared" si="138"/>
        <v>0</v>
      </c>
      <c r="L204" s="41">
        <f t="shared" si="139"/>
        <v>0</v>
      </c>
      <c r="M204" s="1322"/>
      <c r="N204" s="1025">
        <f t="shared" si="140"/>
        <v>0</v>
      </c>
      <c r="O204" s="1030">
        <f t="shared" si="141"/>
        <v>0</v>
      </c>
      <c r="P204" s="1025">
        <f t="shared" si="142"/>
        <v>0</v>
      </c>
      <c r="Q204" s="41">
        <f t="shared" si="143"/>
        <v>0</v>
      </c>
      <c r="R204" s="21" t="s">
        <v>344</v>
      </c>
      <c r="S204" s="21" t="s">
        <v>13</v>
      </c>
      <c r="T204" s="36" t="s">
        <v>13</v>
      </c>
      <c r="U204" s="151">
        <f t="shared" si="101"/>
        <v>0</v>
      </c>
      <c r="V204" s="132">
        <f t="shared" si="133"/>
        <v>0</v>
      </c>
      <c r="W204" s="41">
        <f t="shared" si="134"/>
        <v>0</v>
      </c>
      <c r="X204" s="132">
        <f t="shared" si="135"/>
        <v>0</v>
      </c>
      <c r="Y204" s="62">
        <f t="shared" si="136"/>
        <v>0</v>
      </c>
    </row>
    <row r="205" spans="1:25" s="38" customFormat="1" outlineLevel="1">
      <c r="A205" s="1381">
        <v>710020</v>
      </c>
      <c r="B205" s="1416" t="str">
        <f>VLOOKUP(A205,'Income Statement'!$A$6:$B$254,2,FALSE)</f>
        <v>Marketing Staff</v>
      </c>
      <c r="C205" s="1413">
        <v>97104</v>
      </c>
      <c r="D205" s="147">
        <v>80093</v>
      </c>
      <c r="E205" s="2029">
        <v>-80093</v>
      </c>
      <c r="F205" s="2030">
        <v>0</v>
      </c>
      <c r="G205" s="2021"/>
      <c r="H205" s="1385">
        <f>'Adj - Proforma'!L205</f>
        <v>0</v>
      </c>
      <c r="I205" s="42">
        <f t="shared" si="137"/>
        <v>0</v>
      </c>
      <c r="J205" s="60"/>
      <c r="K205" s="51">
        <f t="shared" si="138"/>
        <v>0</v>
      </c>
      <c r="L205" s="41">
        <f t="shared" si="139"/>
        <v>0</v>
      </c>
      <c r="M205" s="1322"/>
      <c r="N205" s="1025">
        <f t="shared" si="140"/>
        <v>0</v>
      </c>
      <c r="O205" s="1030">
        <f t="shared" si="141"/>
        <v>0</v>
      </c>
      <c r="P205" s="1025">
        <f t="shared" si="142"/>
        <v>0</v>
      </c>
      <c r="Q205" s="41">
        <f t="shared" si="143"/>
        <v>0</v>
      </c>
      <c r="R205" s="21" t="s">
        <v>344</v>
      </c>
      <c r="S205" s="21" t="s">
        <v>13</v>
      </c>
      <c r="T205" s="36" t="s">
        <v>13</v>
      </c>
      <c r="U205" s="151">
        <f t="shared" si="101"/>
        <v>0</v>
      </c>
      <c r="V205" s="132">
        <f t="shared" si="133"/>
        <v>0</v>
      </c>
      <c r="W205" s="41">
        <f t="shared" si="134"/>
        <v>0</v>
      </c>
      <c r="X205" s="132">
        <f t="shared" si="135"/>
        <v>0</v>
      </c>
      <c r="Y205" s="62">
        <f t="shared" si="136"/>
        <v>0</v>
      </c>
    </row>
    <row r="206" spans="1:25" s="38" customFormat="1" outlineLevel="1">
      <c r="A206" s="1391">
        <v>710030</v>
      </c>
      <c r="B206" s="1416" t="str">
        <f>VLOOKUP(A206,'Income Statement'!$A$6:$B$254,2,FALSE)</f>
        <v>Cust Service</v>
      </c>
      <c r="C206" s="1413">
        <v>293828</v>
      </c>
      <c r="D206" s="147">
        <v>347633</v>
      </c>
      <c r="E206" s="2029">
        <v>0</v>
      </c>
      <c r="F206" s="2030">
        <v>0</v>
      </c>
      <c r="G206" s="2021"/>
      <c r="H206" s="1385">
        <f>'[4]Staff Compare and Adj'!$D$51-D206</f>
        <v>210347.69240973808</v>
      </c>
      <c r="I206" s="42">
        <f t="shared" si="137"/>
        <v>557980.69240973808</v>
      </c>
      <c r="J206" s="1313">
        <f>+D206/SUM(D203:D206)</f>
        <v>0.678661858958716</v>
      </c>
      <c r="K206" s="51">
        <f t="shared" si="138"/>
        <v>458640.51616752776</v>
      </c>
      <c r="L206" s="41">
        <f t="shared" si="139"/>
        <v>99340.17624221032</v>
      </c>
      <c r="M206" s="1322"/>
      <c r="N206" s="1025">
        <f t="shared" si="140"/>
        <v>20484.554309399166</v>
      </c>
      <c r="O206" s="1030">
        <f t="shared" si="141"/>
        <v>16089.516827108557</v>
      </c>
      <c r="P206" s="1025">
        <f t="shared" si="142"/>
        <v>2114.857756476858</v>
      </c>
      <c r="Q206" s="41">
        <f t="shared" si="143"/>
        <v>60651.247349225749</v>
      </c>
      <c r="R206" s="21" t="s">
        <v>344</v>
      </c>
      <c r="S206" s="21" t="s">
        <v>13</v>
      </c>
      <c r="T206" s="36" t="s">
        <v>13</v>
      </c>
      <c r="U206" s="151">
        <f t="shared" si="101"/>
        <v>0</v>
      </c>
      <c r="V206" s="132">
        <f t="shared" si="133"/>
        <v>20484.554309399166</v>
      </c>
      <c r="W206" s="41">
        <f t="shared" si="134"/>
        <v>16089.516827108557</v>
      </c>
      <c r="X206" s="132">
        <f t="shared" si="135"/>
        <v>2114.857756476858</v>
      </c>
      <c r="Y206" s="62">
        <f t="shared" si="136"/>
        <v>60651.247349225749</v>
      </c>
    </row>
    <row r="207" spans="1:25" s="38" customFormat="1" outlineLevel="1">
      <c r="A207" s="1381">
        <v>710055</v>
      </c>
      <c r="B207" s="1416" t="str">
        <f>VLOOKUP(A207,'Income Statement'!$A$6:$B$254,2,FALSE)</f>
        <v>Temporary Labor - Sales</v>
      </c>
      <c r="C207" s="1413">
        <v>77123</v>
      </c>
      <c r="D207" s="147">
        <v>33522</v>
      </c>
      <c r="E207" s="2029">
        <v>0</v>
      </c>
      <c r="F207" s="2030">
        <v>0</v>
      </c>
      <c r="G207" s="2021"/>
      <c r="H207" s="1385">
        <v>0</v>
      </c>
      <c r="I207" s="42">
        <f t="shared" si="137"/>
        <v>33522</v>
      </c>
      <c r="J207" s="60"/>
      <c r="K207" s="51">
        <f>I207-L207</f>
        <v>27553.905703385848</v>
      </c>
      <c r="L207" s="41">
        <f>I207*VLOOKUP($R207,$K$3:$L$6,2,FALSE)</f>
        <v>5968.0942966141538</v>
      </c>
      <c r="M207" s="1322"/>
      <c r="N207" s="1025">
        <f t="shared" si="140"/>
        <v>1230.6576892367298</v>
      </c>
      <c r="O207" s="1030">
        <f t="shared" si="141"/>
        <v>966.61549479255791</v>
      </c>
      <c r="P207" s="1025">
        <f t="shared" si="142"/>
        <v>127.05504451497748</v>
      </c>
      <c r="Q207" s="41">
        <f t="shared" si="143"/>
        <v>3643.7660680698882</v>
      </c>
      <c r="R207" s="21" t="s">
        <v>344</v>
      </c>
      <c r="S207" s="21" t="s">
        <v>13</v>
      </c>
      <c r="T207" s="36" t="s">
        <v>13</v>
      </c>
      <c r="U207" s="151">
        <f t="shared" si="101"/>
        <v>0</v>
      </c>
      <c r="V207" s="132">
        <f t="shared" ref="V207:Y208" si="144">N207</f>
        <v>1230.6576892367298</v>
      </c>
      <c r="W207" s="41">
        <f t="shared" si="144"/>
        <v>966.61549479255791</v>
      </c>
      <c r="X207" s="132">
        <f t="shared" si="144"/>
        <v>127.05504451497748</v>
      </c>
      <c r="Y207" s="62">
        <f t="shared" si="144"/>
        <v>3643.7660680698882</v>
      </c>
    </row>
    <row r="208" spans="1:25" s="38" customFormat="1" outlineLevel="1">
      <c r="A208" s="1381">
        <v>710060</v>
      </c>
      <c r="B208" s="1416" t="e">
        <f>VLOOKUP(A208,'Income Statement'!$A$6:$B$254,2,FALSE)</f>
        <v>#N/A</v>
      </c>
      <c r="C208" s="1413"/>
      <c r="D208" s="147">
        <v>0</v>
      </c>
      <c r="E208" s="2029">
        <v>0</v>
      </c>
      <c r="F208" s="2030">
        <v>0</v>
      </c>
      <c r="G208" s="2021"/>
      <c r="H208" s="1385">
        <f>'Adj - Proforma'!L208</f>
        <v>0</v>
      </c>
      <c r="I208" s="42">
        <f t="shared" si="137"/>
        <v>0</v>
      </c>
      <c r="J208" s="60"/>
      <c r="K208" s="51">
        <f t="shared" si="138"/>
        <v>0</v>
      </c>
      <c r="L208" s="41">
        <f t="shared" si="139"/>
        <v>0</v>
      </c>
      <c r="M208" s="1322"/>
      <c r="N208" s="1025">
        <f t="shared" si="140"/>
        <v>0</v>
      </c>
      <c r="O208" s="1030">
        <f t="shared" si="141"/>
        <v>0</v>
      </c>
      <c r="P208" s="1025">
        <f t="shared" si="142"/>
        <v>0</v>
      </c>
      <c r="Q208" s="41">
        <f t="shared" si="143"/>
        <v>0</v>
      </c>
      <c r="R208" s="21" t="s">
        <v>344</v>
      </c>
      <c r="S208" s="21" t="s">
        <v>13</v>
      </c>
      <c r="T208" s="36" t="s">
        <v>13</v>
      </c>
      <c r="U208" s="151">
        <f t="shared" si="101"/>
        <v>0</v>
      </c>
      <c r="V208" s="132">
        <f t="shared" si="144"/>
        <v>0</v>
      </c>
      <c r="W208" s="41">
        <f t="shared" si="144"/>
        <v>0</v>
      </c>
      <c r="X208" s="132">
        <f t="shared" si="144"/>
        <v>0</v>
      </c>
      <c r="Y208" s="62">
        <f t="shared" si="144"/>
        <v>0</v>
      </c>
    </row>
    <row r="209" spans="1:25" s="38" customFormat="1" outlineLevel="1">
      <c r="A209" s="1381">
        <v>710061</v>
      </c>
      <c r="B209" s="1416" t="str">
        <f>VLOOKUP(A209,'Income Statement'!$A$6:$B$254,2,FALSE)</f>
        <v>Bonus Pay Corp-Sales</v>
      </c>
      <c r="C209" s="1413">
        <v>13234</v>
      </c>
      <c r="D209" s="147">
        <v>23108</v>
      </c>
      <c r="E209" s="2029">
        <v>-23108</v>
      </c>
      <c r="F209" s="2030">
        <v>0</v>
      </c>
      <c r="G209" s="2021"/>
      <c r="H209" s="1385">
        <f>'Adj - Proforma'!L209</f>
        <v>0</v>
      </c>
      <c r="I209" s="42">
        <f t="shared" si="137"/>
        <v>0</v>
      </c>
      <c r="J209" s="60"/>
      <c r="K209" s="51">
        <f t="shared" si="138"/>
        <v>0</v>
      </c>
      <c r="L209" s="41">
        <f t="shared" si="139"/>
        <v>0</v>
      </c>
      <c r="M209" s="1322"/>
      <c r="N209" s="1025">
        <f t="shared" si="140"/>
        <v>0</v>
      </c>
      <c r="O209" s="1030">
        <f t="shared" si="141"/>
        <v>0</v>
      </c>
      <c r="P209" s="1025">
        <f t="shared" si="142"/>
        <v>0</v>
      </c>
      <c r="Q209" s="41">
        <f t="shared" si="143"/>
        <v>0</v>
      </c>
      <c r="R209" s="21" t="s">
        <v>344</v>
      </c>
      <c r="S209" s="21" t="s">
        <v>13</v>
      </c>
      <c r="T209" s="36" t="s">
        <v>13</v>
      </c>
      <c r="U209" s="151">
        <f t="shared" si="101"/>
        <v>0</v>
      </c>
      <c r="V209" s="132">
        <f t="shared" si="133"/>
        <v>0</v>
      </c>
      <c r="W209" s="41">
        <f t="shared" si="134"/>
        <v>0</v>
      </c>
      <c r="X209" s="132">
        <f t="shared" si="135"/>
        <v>0</v>
      </c>
      <c r="Y209" s="62">
        <f t="shared" si="136"/>
        <v>0</v>
      </c>
    </row>
    <row r="210" spans="1:25" s="38" customFormat="1" outlineLevel="1">
      <c r="A210" s="1381">
        <v>710062</v>
      </c>
      <c r="B210" s="1416" t="str">
        <f>VLOOKUP(A210,'Income Statement'!$A$6:$B$254,2,FALSE)</f>
        <v>Commission</v>
      </c>
      <c r="C210" s="1413">
        <v>22191</v>
      </c>
      <c r="D210" s="147">
        <v>36465</v>
      </c>
      <c r="E210" s="2029">
        <v>-36465</v>
      </c>
      <c r="F210" s="2030">
        <v>0</v>
      </c>
      <c r="G210" s="2021"/>
      <c r="H210" s="1385">
        <f>'Adj - Proforma'!L210</f>
        <v>0</v>
      </c>
      <c r="I210" s="42">
        <f t="shared" si="137"/>
        <v>0</v>
      </c>
      <c r="J210" s="60"/>
      <c r="K210" s="51">
        <f>I210-L210</f>
        <v>0</v>
      </c>
      <c r="L210" s="41">
        <f>I210*VLOOKUP($R210,$K$3:$L$6,2,FALSE)</f>
        <v>0</v>
      </c>
      <c r="M210" s="1322"/>
      <c r="N210" s="1025">
        <f t="shared" si="140"/>
        <v>0</v>
      </c>
      <c r="O210" s="1030">
        <f t="shared" si="141"/>
        <v>0</v>
      </c>
      <c r="P210" s="1025">
        <f t="shared" si="142"/>
        <v>0</v>
      </c>
      <c r="Q210" s="41">
        <f>L210-N210-O210-P210</f>
        <v>0</v>
      </c>
      <c r="R210" s="21" t="s">
        <v>344</v>
      </c>
      <c r="S210" s="21" t="s">
        <v>13</v>
      </c>
      <c r="T210" s="36" t="s">
        <v>13</v>
      </c>
      <c r="U210" s="151">
        <f>L210-N210-O210-Q210-P210</f>
        <v>0</v>
      </c>
      <c r="V210" s="132">
        <f t="shared" ref="V210:Y211" si="145">N210</f>
        <v>0</v>
      </c>
      <c r="W210" s="41">
        <f t="shared" si="145"/>
        <v>0</v>
      </c>
      <c r="X210" s="132">
        <f t="shared" si="145"/>
        <v>0</v>
      </c>
      <c r="Y210" s="62">
        <f t="shared" si="145"/>
        <v>0</v>
      </c>
    </row>
    <row r="211" spans="1:25" s="38" customFormat="1" outlineLevel="1">
      <c r="A211" s="1381">
        <v>710170</v>
      </c>
      <c r="B211" s="1416" t="str">
        <f>VLOOKUP(A211,'Income Statement'!$A$6:$B$254,2,FALSE)</f>
        <v>Payroll Taxes - Sales</v>
      </c>
      <c r="C211" s="1413">
        <v>74505</v>
      </c>
      <c r="D211" s="147">
        <v>62904</v>
      </c>
      <c r="E211" s="2029">
        <v>0</v>
      </c>
      <c r="F211" s="2030">
        <v>0</v>
      </c>
      <c r="G211" s="2021"/>
      <c r="H211" s="1385">
        <f>'[4]Staff Compare and Adj'!$D$52-D211</f>
        <v>-9941.5048963072986</v>
      </c>
      <c r="I211" s="42">
        <f t="shared" si="137"/>
        <v>52962.495103692701</v>
      </c>
      <c r="J211" s="60"/>
      <c r="K211" s="51">
        <f>I211-L211</f>
        <v>43533.309346196031</v>
      </c>
      <c r="L211" s="41">
        <f>I211*VLOOKUP($R211,$K$3:$L$6,2,FALSE)</f>
        <v>9429.1857574966725</v>
      </c>
      <c r="M211" s="1322"/>
      <c r="N211" s="1025">
        <f t="shared" si="140"/>
        <v>1944.3560002542233</v>
      </c>
      <c r="O211" s="1030">
        <f t="shared" si="141"/>
        <v>1527.187172904491</v>
      </c>
      <c r="P211" s="1025">
        <f t="shared" si="142"/>
        <v>200.73838592637532</v>
      </c>
      <c r="Q211" s="41">
        <f>L211-N211-O211-P211</f>
        <v>5756.9041984115829</v>
      </c>
      <c r="R211" s="21" t="s">
        <v>344</v>
      </c>
      <c r="S211" s="21" t="s">
        <v>13</v>
      </c>
      <c r="T211" s="36" t="s">
        <v>13</v>
      </c>
      <c r="U211" s="151">
        <f>L211-N211-O211-Q211-P211</f>
        <v>0</v>
      </c>
      <c r="V211" s="132">
        <f t="shared" si="145"/>
        <v>1944.3560002542233</v>
      </c>
      <c r="W211" s="41">
        <f t="shared" si="145"/>
        <v>1527.187172904491</v>
      </c>
      <c r="X211" s="132">
        <f t="shared" si="145"/>
        <v>200.73838592637532</v>
      </c>
      <c r="Y211" s="62">
        <f t="shared" si="145"/>
        <v>5756.9041984115829</v>
      </c>
    </row>
    <row r="212" spans="1:25" s="38" customFormat="1" outlineLevel="1">
      <c r="A212" s="1391">
        <v>710172</v>
      </c>
      <c r="B212" s="1416" t="str">
        <f>VLOOKUP(A212,'Income Statement'!$A$6:$B$254,2,FALSE)</f>
        <v>Personal Time - Sales</v>
      </c>
      <c r="C212" s="1413"/>
      <c r="D212" s="147">
        <v>137</v>
      </c>
      <c r="E212" s="2029">
        <v>0</v>
      </c>
      <c r="F212" s="2030">
        <v>0</v>
      </c>
      <c r="G212" s="2021"/>
      <c r="H212" s="1385">
        <f>'[4]Staff Compare and Adj'!$D$53-D212</f>
        <v>-137</v>
      </c>
      <c r="I212" s="42">
        <f>SUM(D212:H212)</f>
        <v>0</v>
      </c>
      <c r="J212" s="60"/>
      <c r="K212" s="51">
        <f>I212-L212</f>
        <v>0</v>
      </c>
      <c r="L212" s="41">
        <f>I212*VLOOKUP($R212,$K$3:$L$6,2,FALSE)</f>
        <v>0</v>
      </c>
      <c r="M212" s="1322"/>
      <c r="N212" s="1025">
        <f>L212*VLOOKUP($S212,$K$2:$Q$6,4,FALSE)</f>
        <v>0</v>
      </c>
      <c r="O212" s="1030">
        <f>L212*VLOOKUP($S212,$K$2:$Q$6,5,FALSE)</f>
        <v>0</v>
      </c>
      <c r="P212" s="1025">
        <f>L212*VLOOKUP($S212,$K$2:$Q$6,6,FALSE)</f>
        <v>0</v>
      </c>
      <c r="Q212" s="41">
        <f>L212-N212-O212-P212</f>
        <v>0</v>
      </c>
      <c r="R212" s="21" t="s">
        <v>344</v>
      </c>
      <c r="S212" s="21" t="s">
        <v>13</v>
      </c>
      <c r="T212" s="36" t="s">
        <v>13</v>
      </c>
      <c r="U212" s="151">
        <f>L212-N212-O212-Q212-P212</f>
        <v>0</v>
      </c>
      <c r="V212" s="132">
        <f>N212</f>
        <v>0</v>
      </c>
      <c r="W212" s="41">
        <f>O212</f>
        <v>0</v>
      </c>
      <c r="X212" s="132">
        <f>P212</f>
        <v>0</v>
      </c>
      <c r="Y212" s="62">
        <f>Q212</f>
        <v>0</v>
      </c>
    </row>
    <row r="213" spans="1:25" s="38" customFormat="1" outlineLevel="1">
      <c r="A213" s="1391">
        <v>710173</v>
      </c>
      <c r="B213" s="1416" t="str">
        <f>VLOOKUP(A213,'Income Statement'!$A$6:$B$254,2,FALSE)</f>
        <v>Holiday Pay - Sales</v>
      </c>
      <c r="C213" s="1413">
        <v>13719</v>
      </c>
      <c r="D213" s="147">
        <v>13147</v>
      </c>
      <c r="E213" s="2029">
        <v>0</v>
      </c>
      <c r="F213" s="2030">
        <v>0</v>
      </c>
      <c r="G213" s="2021"/>
      <c r="H213" s="1385">
        <f>'[4]Staff Compare and Adj'!$D$54-D213</f>
        <v>-4364.375091387974</v>
      </c>
      <c r="I213" s="42">
        <f t="shared" si="137"/>
        <v>8782.624908612026</v>
      </c>
      <c r="J213" s="60"/>
      <c r="K213" s="51">
        <f t="shared" si="138"/>
        <v>7219.0089660552321</v>
      </c>
      <c r="L213" s="41">
        <f t="shared" si="139"/>
        <v>1563.6159425567937</v>
      </c>
      <c r="M213" s="1322"/>
      <c r="N213" s="1025">
        <f t="shared" si="140"/>
        <v>322.42720826518172</v>
      </c>
      <c r="O213" s="1030">
        <f t="shared" si="141"/>
        <v>253.24924889969148</v>
      </c>
      <c r="P213" s="1025">
        <f t="shared" si="142"/>
        <v>33.287894478910893</v>
      </c>
      <c r="Q213" s="41">
        <f t="shared" si="143"/>
        <v>954.65159091300973</v>
      </c>
      <c r="R213" s="21" t="s">
        <v>344</v>
      </c>
      <c r="S213" s="21" t="s">
        <v>13</v>
      </c>
      <c r="T213" s="36" t="s">
        <v>13</v>
      </c>
      <c r="U213" s="151">
        <f t="shared" si="101"/>
        <v>0</v>
      </c>
      <c r="V213" s="132">
        <f t="shared" si="133"/>
        <v>322.42720826518172</v>
      </c>
      <c r="W213" s="41">
        <f t="shared" si="134"/>
        <v>253.24924889969148</v>
      </c>
      <c r="X213" s="132">
        <f t="shared" si="135"/>
        <v>33.287894478910893</v>
      </c>
      <c r="Y213" s="62">
        <f t="shared" si="136"/>
        <v>954.65159091300973</v>
      </c>
    </row>
    <row r="214" spans="1:25" s="38" customFormat="1" outlineLevel="1">
      <c r="A214" s="1391">
        <v>710174</v>
      </c>
      <c r="B214" s="1416" t="str">
        <f>VLOOKUP(A214,'Income Statement'!$A$6:$B$254,2,FALSE)</f>
        <v>Vacation/Sick - Sales</v>
      </c>
      <c r="C214" s="1413">
        <v>22972</v>
      </c>
      <c r="D214" s="147">
        <v>21773</v>
      </c>
      <c r="E214" s="2029"/>
      <c r="F214" s="2030">
        <v>0</v>
      </c>
      <c r="G214" s="2021"/>
      <c r="H214" s="1385">
        <f>'[4]Staff Compare and Adj'!$D$55-D214</f>
        <v>-12216.914006415334</v>
      </c>
      <c r="I214" s="42">
        <f t="shared" si="137"/>
        <v>9556.0859935846656</v>
      </c>
      <c r="J214" s="60"/>
      <c r="K214" s="51">
        <f t="shared" si="138"/>
        <v>7854.7667907845034</v>
      </c>
      <c r="L214" s="41">
        <f t="shared" si="139"/>
        <v>1701.3192028001624</v>
      </c>
      <c r="M214" s="1322"/>
      <c r="N214" s="1025">
        <f t="shared" si="140"/>
        <v>350.8224660525143</v>
      </c>
      <c r="O214" s="1030">
        <f t="shared" si="141"/>
        <v>275.55219828676911</v>
      </c>
      <c r="P214" s="1025">
        <f t="shared" si="142"/>
        <v>36.219465762897578</v>
      </c>
      <c r="Q214" s="41">
        <f t="shared" si="143"/>
        <v>1038.7250726979814</v>
      </c>
      <c r="R214" s="21" t="s">
        <v>344</v>
      </c>
      <c r="S214" s="21" t="s">
        <v>13</v>
      </c>
      <c r="T214" s="36" t="s">
        <v>13</v>
      </c>
      <c r="U214" s="151">
        <f t="shared" si="101"/>
        <v>-1.0658141036401503E-13</v>
      </c>
      <c r="V214" s="132">
        <f t="shared" si="133"/>
        <v>350.8224660525143</v>
      </c>
      <c r="W214" s="41">
        <f t="shared" si="134"/>
        <v>275.55219828676911</v>
      </c>
      <c r="X214" s="132">
        <f t="shared" si="135"/>
        <v>36.219465762897578</v>
      </c>
      <c r="Y214" s="62">
        <f t="shared" si="136"/>
        <v>1038.7250726979814</v>
      </c>
    </row>
    <row r="215" spans="1:25" s="38" customFormat="1" outlineLevel="1">
      <c r="A215" s="1391">
        <v>710176</v>
      </c>
      <c r="B215" s="1416" t="str">
        <f>VLOOKUP(A215,'Income Statement'!$A$6:$B$254,2,FALSE)</f>
        <v>Benefits Corp-Sales</v>
      </c>
      <c r="C215" s="1413">
        <v>146372</v>
      </c>
      <c r="D215" s="147">
        <v>108904</v>
      </c>
      <c r="E215" s="2029"/>
      <c r="F215" s="2030"/>
      <c r="G215" s="2021"/>
      <c r="H215" s="1385">
        <f>'[4]Staff Compare and Adj'!$D$56-D215</f>
        <v>-41577.200000000084</v>
      </c>
      <c r="I215" s="42">
        <f t="shared" si="137"/>
        <v>67326.799999999916</v>
      </c>
      <c r="J215" s="60"/>
      <c r="K215" s="51">
        <f t="shared" si="138"/>
        <v>55340.263066365849</v>
      </c>
      <c r="L215" s="41">
        <f t="shared" si="139"/>
        <v>11986.53693363407</v>
      </c>
      <c r="M215" s="1322"/>
      <c r="N215" s="1025">
        <f t="shared" si="140"/>
        <v>2471.6975154138581</v>
      </c>
      <c r="O215" s="1030">
        <f t="shared" si="141"/>
        <v>1941.3856003460266</v>
      </c>
      <c r="P215" s="1025">
        <f t="shared" si="142"/>
        <v>255.18195725347459</v>
      </c>
      <c r="Q215" s="41">
        <f t="shared" si="143"/>
        <v>7318.2718606207109</v>
      </c>
      <c r="R215" s="21" t="s">
        <v>344</v>
      </c>
      <c r="S215" s="21" t="s">
        <v>13</v>
      </c>
      <c r="T215" s="36" t="s">
        <v>13</v>
      </c>
      <c r="U215" s="151">
        <f t="shared" si="101"/>
        <v>-4.5474735088646412E-13</v>
      </c>
      <c r="V215" s="132">
        <f t="shared" si="133"/>
        <v>2471.6975154138581</v>
      </c>
      <c r="W215" s="41">
        <f t="shared" si="134"/>
        <v>1941.3856003460266</v>
      </c>
      <c r="X215" s="132">
        <f t="shared" si="135"/>
        <v>255.18195725347459</v>
      </c>
      <c r="Y215" s="62">
        <f t="shared" si="136"/>
        <v>7318.2718606207109</v>
      </c>
    </row>
    <row r="216" spans="1:25" s="38" customFormat="1" outlineLevel="1">
      <c r="A216" s="1381">
        <v>710177</v>
      </c>
      <c r="B216" s="1416" t="str">
        <f>VLOOKUP(A216,'Income Statement'!$A$6:$B$254,2,FALSE)</f>
        <v>Employer 401k - Sales</v>
      </c>
      <c r="C216" s="1413">
        <v>6854</v>
      </c>
      <c r="D216" s="147">
        <v>8382</v>
      </c>
      <c r="E216" s="2029">
        <v>0</v>
      </c>
      <c r="F216" s="2030">
        <v>0</v>
      </c>
      <c r="G216" s="2021"/>
      <c r="H216" s="1385">
        <f>'[4]Staff Compare and Adj'!$D$57-D216</f>
        <v>-1917.6699999999992</v>
      </c>
      <c r="I216" s="42">
        <f t="shared" si="137"/>
        <v>6464.3300000000008</v>
      </c>
      <c r="J216" s="60"/>
      <c r="K216" s="51">
        <f t="shared" si="138"/>
        <v>5313.4520391255965</v>
      </c>
      <c r="L216" s="41">
        <f t="shared" si="139"/>
        <v>1150.8779608744042</v>
      </c>
      <c r="M216" s="1322"/>
      <c r="N216" s="1025">
        <f t="shared" si="140"/>
        <v>237.31810214974257</v>
      </c>
      <c r="O216" s="1030">
        <f t="shared" si="141"/>
        <v>186.40061874149444</v>
      </c>
      <c r="P216" s="1025">
        <f t="shared" si="142"/>
        <v>24.5010958746347</v>
      </c>
      <c r="Q216" s="41">
        <f t="shared" si="143"/>
        <v>702.6581441085325</v>
      </c>
      <c r="R216" s="21" t="s">
        <v>344</v>
      </c>
      <c r="S216" s="21" t="s">
        <v>13</v>
      </c>
      <c r="T216" s="36" t="s">
        <v>13</v>
      </c>
      <c r="U216" s="151">
        <f t="shared" si="101"/>
        <v>-5.6843418860808015E-14</v>
      </c>
      <c r="V216" s="132">
        <f t="shared" si="133"/>
        <v>237.31810214974257</v>
      </c>
      <c r="W216" s="41">
        <f t="shared" si="134"/>
        <v>186.40061874149444</v>
      </c>
      <c r="X216" s="132">
        <f t="shared" si="135"/>
        <v>24.5010958746347</v>
      </c>
      <c r="Y216" s="62">
        <f t="shared" si="136"/>
        <v>702.6581441085325</v>
      </c>
    </row>
    <row r="217" spans="1:25" s="38" customFormat="1" ht="12">
      <c r="A217" s="57"/>
      <c r="B217" s="563" t="s">
        <v>546</v>
      </c>
      <c r="C217" s="1415">
        <f>SUM(C203:C216)</f>
        <v>844998</v>
      </c>
      <c r="D217" s="147">
        <v>820575</v>
      </c>
      <c r="E217" s="2033">
        <v>-298984.59122118255</v>
      </c>
      <c r="F217" s="2030">
        <v>14502.758065634975</v>
      </c>
      <c r="G217" s="2024"/>
      <c r="H217" s="1385"/>
      <c r="I217" s="565">
        <f>SUM(I203:I216)</f>
        <v>736595.02841562743</v>
      </c>
      <c r="J217" s="60"/>
      <c r="K217" s="565">
        <f>SUM(K203:K216)</f>
        <v>605455.22207944083</v>
      </c>
      <c r="L217" s="565">
        <f>SUM(L203:L216)</f>
        <v>131139.80633618656</v>
      </c>
      <c r="M217" s="1322"/>
      <c r="N217" s="583">
        <f>SUM(N203:N216)</f>
        <v>27041.833290771414</v>
      </c>
      <c r="O217" s="565">
        <f>SUM(O203:O216)</f>
        <v>21239.907161079587</v>
      </c>
      <c r="P217" s="583">
        <f>SUM(P203:P216)</f>
        <v>2791.8416002881286</v>
      </c>
      <c r="Q217" s="565">
        <f>SUM(Q203:Q216)</f>
        <v>80066.22428404745</v>
      </c>
      <c r="R217" s="21"/>
      <c r="S217" s="21"/>
      <c r="T217" s="36"/>
      <c r="U217" s="151">
        <f t="shared" si="101"/>
        <v>0</v>
      </c>
      <c r="V217" s="132"/>
      <c r="W217" s="41"/>
      <c r="X217" s="132"/>
      <c r="Y217" s="62"/>
    </row>
    <row r="218" spans="1:25" s="38" customFormat="1">
      <c r="A218" s="57"/>
      <c r="B218" s="1397"/>
      <c r="C218" s="1413"/>
      <c r="D218" s="45"/>
      <c r="E218" s="2029"/>
      <c r="F218" s="2030"/>
      <c r="G218" s="2021"/>
      <c r="H218" s="1385"/>
      <c r="I218" s="42"/>
      <c r="J218" s="60"/>
      <c r="K218" s="51"/>
      <c r="L218" s="41"/>
      <c r="M218" s="1322"/>
      <c r="N218" s="132"/>
      <c r="O218" s="41"/>
      <c r="P218" s="132"/>
      <c r="Q218" s="41"/>
      <c r="R218" s="21"/>
      <c r="S218" s="21"/>
      <c r="T218" s="36"/>
      <c r="U218" s="151">
        <f t="shared" si="101"/>
        <v>0</v>
      </c>
      <c r="V218" s="132"/>
      <c r="W218" s="41"/>
      <c r="X218" s="132"/>
      <c r="Y218" s="62"/>
    </row>
    <row r="219" spans="1:25" s="38" customFormat="1" outlineLevel="1">
      <c r="A219" s="57">
        <v>711002</v>
      </c>
      <c r="B219" s="765" t="e">
        <f>VLOOKUP(A219,'Income Statement'!$A$6:$B$254,2,FALSE)</f>
        <v>#N/A</v>
      </c>
      <c r="C219" s="1413"/>
      <c r="D219" s="147">
        <v>0</v>
      </c>
      <c r="E219" s="2029">
        <v>0</v>
      </c>
      <c r="F219" s="2030">
        <v>0</v>
      </c>
      <c r="G219" s="2021"/>
      <c r="H219" s="1385">
        <f>'Adj - Proforma'!L219</f>
        <v>0</v>
      </c>
      <c r="I219" s="42">
        <f t="shared" ref="I219:I228" si="146">SUM(D219:H219)</f>
        <v>0</v>
      </c>
      <c r="J219" s="60"/>
      <c r="K219" s="51">
        <f t="shared" ref="K219:K228" si="147">I219-L219</f>
        <v>0</v>
      </c>
      <c r="L219" s="41">
        <f t="shared" ref="L219:L228" si="148">I219*VLOOKUP($R219,$K$3:$L$6,2,FALSE)</f>
        <v>0</v>
      </c>
      <c r="M219" s="1322"/>
      <c r="N219" s="1025">
        <f t="shared" ref="N219:N228" si="149">L219*VLOOKUP($S219,$K$2:$Q$6,4,FALSE)</f>
        <v>0</v>
      </c>
      <c r="O219" s="1030">
        <f t="shared" ref="O219:O228" si="150">L219*VLOOKUP($S219,$K$2:$Q$6,5,FALSE)</f>
        <v>0</v>
      </c>
      <c r="P219" s="1025">
        <f t="shared" ref="P219:P228" si="151">L219*VLOOKUP($S219,$K$2:$Q$6,6,FALSE)</f>
        <v>0</v>
      </c>
      <c r="Q219" s="41">
        <f t="shared" ref="Q219:Q229" si="152">L219-N219-O219-P219</f>
        <v>0</v>
      </c>
      <c r="R219" s="21" t="s">
        <v>344</v>
      </c>
      <c r="S219" s="21" t="s">
        <v>13</v>
      </c>
      <c r="T219" s="36" t="s">
        <v>13</v>
      </c>
      <c r="U219" s="151">
        <f t="shared" ref="U219:U289" si="153">L219-N219-O219-Q219-P219</f>
        <v>0</v>
      </c>
      <c r="V219" s="132">
        <f t="shared" si="133"/>
        <v>0</v>
      </c>
      <c r="W219" s="41">
        <f t="shared" si="134"/>
        <v>0</v>
      </c>
      <c r="X219" s="132">
        <f t="shared" si="135"/>
        <v>0</v>
      </c>
      <c r="Y219" s="62">
        <f t="shared" si="136"/>
        <v>0</v>
      </c>
    </row>
    <row r="220" spans="1:25" s="38" customFormat="1" outlineLevel="1">
      <c r="A220" s="1381">
        <v>711004</v>
      </c>
      <c r="B220" s="1416" t="e">
        <f>VLOOKUP(A220,'Income Statement'!$A$6:$B$254,2,FALSE)</f>
        <v>#N/A</v>
      </c>
      <c r="C220" s="1413">
        <v>850</v>
      </c>
      <c r="D220" s="147">
        <v>0</v>
      </c>
      <c r="E220" s="2029">
        <v>0</v>
      </c>
      <c r="F220" s="2030">
        <v>0</v>
      </c>
      <c r="G220" s="2021"/>
      <c r="H220" s="1385">
        <f>'Adj - Proforma'!L220</f>
        <v>0</v>
      </c>
      <c r="I220" s="42">
        <f t="shared" si="146"/>
        <v>0</v>
      </c>
      <c r="J220" s="60"/>
      <c r="K220" s="51">
        <f t="shared" si="147"/>
        <v>0</v>
      </c>
      <c r="L220" s="41">
        <f t="shared" si="148"/>
        <v>0</v>
      </c>
      <c r="M220" s="1322"/>
      <c r="N220" s="1025">
        <f t="shared" si="149"/>
        <v>0</v>
      </c>
      <c r="O220" s="1030">
        <f t="shared" si="150"/>
        <v>0</v>
      </c>
      <c r="P220" s="1025">
        <f t="shared" si="151"/>
        <v>0</v>
      </c>
      <c r="Q220" s="41">
        <f t="shared" si="152"/>
        <v>0</v>
      </c>
      <c r="R220" s="21" t="s">
        <v>344</v>
      </c>
      <c r="S220" s="21" t="s">
        <v>13</v>
      </c>
      <c r="T220" s="36" t="s">
        <v>13</v>
      </c>
      <c r="U220" s="151">
        <f t="shared" si="153"/>
        <v>0</v>
      </c>
      <c r="V220" s="132">
        <f t="shared" ref="V220:Y222" si="154">N220</f>
        <v>0</v>
      </c>
      <c r="W220" s="41">
        <f t="shared" si="154"/>
        <v>0</v>
      </c>
      <c r="X220" s="132">
        <f t="shared" si="154"/>
        <v>0</v>
      </c>
      <c r="Y220" s="62">
        <f t="shared" si="154"/>
        <v>0</v>
      </c>
    </row>
    <row r="221" spans="1:25" s="38" customFormat="1" outlineLevel="1">
      <c r="A221" s="57">
        <v>711005</v>
      </c>
      <c r="B221" s="1416" t="str">
        <f>VLOOKUP(A221,'Income Statement'!$A$6:$B$254,2,FALSE)</f>
        <v>Vehicle Mileage - Sales</v>
      </c>
      <c r="C221" s="1414"/>
      <c r="D221" s="147">
        <v>4612</v>
      </c>
      <c r="E221" s="2029">
        <v>-4612</v>
      </c>
      <c r="F221" s="2030">
        <v>0</v>
      </c>
      <c r="G221" s="2021"/>
      <c r="H221" s="1385">
        <f>'Adj - Proforma'!L221</f>
        <v>0</v>
      </c>
      <c r="I221" s="42">
        <f t="shared" si="146"/>
        <v>0</v>
      </c>
      <c r="J221" s="60"/>
      <c r="K221" s="51">
        <f t="shared" si="147"/>
        <v>0</v>
      </c>
      <c r="L221" s="41">
        <f t="shared" si="148"/>
        <v>0</v>
      </c>
      <c r="M221" s="1322"/>
      <c r="N221" s="1025">
        <f t="shared" si="149"/>
        <v>0</v>
      </c>
      <c r="O221" s="1030">
        <f t="shared" si="150"/>
        <v>0</v>
      </c>
      <c r="P221" s="1025">
        <f t="shared" si="151"/>
        <v>0</v>
      </c>
      <c r="Q221" s="41">
        <f t="shared" si="152"/>
        <v>0</v>
      </c>
      <c r="R221" s="21" t="s">
        <v>344</v>
      </c>
      <c r="S221" s="21" t="s">
        <v>13</v>
      </c>
      <c r="T221" s="36" t="s">
        <v>13</v>
      </c>
      <c r="U221" s="151">
        <f t="shared" si="153"/>
        <v>0</v>
      </c>
      <c r="V221" s="132">
        <f t="shared" si="154"/>
        <v>0</v>
      </c>
      <c r="W221" s="41">
        <f t="shared" si="154"/>
        <v>0</v>
      </c>
      <c r="X221" s="132">
        <f t="shared" si="154"/>
        <v>0</v>
      </c>
      <c r="Y221" s="62">
        <f t="shared" si="154"/>
        <v>0</v>
      </c>
    </row>
    <row r="222" spans="1:25" s="38" customFormat="1" outlineLevel="1">
      <c r="A222" s="57">
        <v>711006</v>
      </c>
      <c r="B222" s="1416" t="str">
        <f>VLOOKUP(A222,'Income Statement'!$A$6:$B$254,2,FALSE)</f>
        <v>Travel - Sales</v>
      </c>
      <c r="C222" s="1413">
        <v>5227</v>
      </c>
      <c r="D222" s="147">
        <v>4051</v>
      </c>
      <c r="E222" s="2029">
        <v>-4051</v>
      </c>
      <c r="F222" s="2030">
        <v>0</v>
      </c>
      <c r="G222" s="2021"/>
      <c r="H222" s="1385">
        <f>'Adj - Proforma'!L222</f>
        <v>0</v>
      </c>
      <c r="I222" s="42">
        <f t="shared" si="146"/>
        <v>0</v>
      </c>
      <c r="J222" s="60"/>
      <c r="K222" s="51">
        <f t="shared" si="147"/>
        <v>0</v>
      </c>
      <c r="L222" s="41">
        <f t="shared" si="148"/>
        <v>0</v>
      </c>
      <c r="M222" s="1322"/>
      <c r="N222" s="1025">
        <f t="shared" si="149"/>
        <v>0</v>
      </c>
      <c r="O222" s="1030">
        <f t="shared" si="150"/>
        <v>0</v>
      </c>
      <c r="P222" s="1025">
        <f t="shared" si="151"/>
        <v>0</v>
      </c>
      <c r="Q222" s="41">
        <f t="shared" si="152"/>
        <v>0</v>
      </c>
      <c r="R222" s="21" t="s">
        <v>344</v>
      </c>
      <c r="S222" s="21" t="s">
        <v>13</v>
      </c>
      <c r="T222" s="36" t="s">
        <v>13</v>
      </c>
      <c r="U222" s="151">
        <f t="shared" si="153"/>
        <v>0</v>
      </c>
      <c r="V222" s="132">
        <f t="shared" si="154"/>
        <v>0</v>
      </c>
      <c r="W222" s="41">
        <f t="shared" si="154"/>
        <v>0</v>
      </c>
      <c r="X222" s="132">
        <f t="shared" si="154"/>
        <v>0</v>
      </c>
      <c r="Y222" s="62">
        <f t="shared" si="154"/>
        <v>0</v>
      </c>
    </row>
    <row r="223" spans="1:25" s="38" customFormat="1" outlineLevel="1">
      <c r="A223" s="57">
        <v>711009</v>
      </c>
      <c r="B223" s="1416" t="str">
        <f>VLOOKUP(A223,'Income Statement'!$A$6:$B$254,2,FALSE)</f>
        <v>Meals &amp; Entert (50%)-Sales</v>
      </c>
      <c r="C223" s="1413">
        <v>8000</v>
      </c>
      <c r="D223" s="147">
        <v>9272</v>
      </c>
      <c r="E223" s="2029">
        <v>-2979.4472437347854</v>
      </c>
      <c r="F223" s="2030">
        <v>0</v>
      </c>
      <c r="G223" s="2021"/>
      <c r="H223" s="1385">
        <f>'Adj - Proforma'!L223</f>
        <v>0</v>
      </c>
      <c r="I223" s="42">
        <f t="shared" si="146"/>
        <v>6292.5527562652151</v>
      </c>
      <c r="J223" s="60"/>
      <c r="K223" s="51">
        <f t="shared" si="147"/>
        <v>5172.2571827370812</v>
      </c>
      <c r="L223" s="41">
        <f t="shared" si="148"/>
        <v>1120.2955735281339</v>
      </c>
      <c r="M223" s="1322"/>
      <c r="N223" s="1025">
        <f t="shared" si="149"/>
        <v>231.01182609705759</v>
      </c>
      <c r="O223" s="1030">
        <f t="shared" si="150"/>
        <v>181.44737772225926</v>
      </c>
      <c r="P223" s="1025">
        <f t="shared" si="151"/>
        <v>23.850025969814485</v>
      </c>
      <c r="Q223" s="41">
        <f t="shared" si="152"/>
        <v>683.98634373900256</v>
      </c>
      <c r="R223" s="21" t="s">
        <v>344</v>
      </c>
      <c r="S223" s="21" t="s">
        <v>13</v>
      </c>
      <c r="T223" s="36" t="s">
        <v>13</v>
      </c>
      <c r="U223" s="151">
        <f t="shared" si="153"/>
        <v>0</v>
      </c>
      <c r="V223" s="132">
        <f t="shared" si="133"/>
        <v>231.01182609705759</v>
      </c>
      <c r="W223" s="41">
        <f t="shared" si="134"/>
        <v>181.44737772225926</v>
      </c>
      <c r="X223" s="132">
        <f t="shared" si="135"/>
        <v>23.850025969814485</v>
      </c>
      <c r="Y223" s="62">
        <f t="shared" si="136"/>
        <v>683.98634373900256</v>
      </c>
    </row>
    <row r="224" spans="1:25" s="38" customFormat="1" outlineLevel="1">
      <c r="A224" s="57">
        <v>711010</v>
      </c>
      <c r="B224" s="1416" t="str">
        <f>VLOOKUP(A224,'Income Statement'!$A$6:$B$254,2,FALSE)</f>
        <v>Office Supplies - Sales</v>
      </c>
      <c r="C224" s="1413">
        <v>1518</v>
      </c>
      <c r="D224" s="147">
        <v>1146</v>
      </c>
      <c r="E224" s="2029">
        <v>-368.25350963331147</v>
      </c>
      <c r="F224" s="2030">
        <v>0</v>
      </c>
      <c r="G224" s="2021"/>
      <c r="H224" s="1385">
        <f>'Adj - Proforma'!L224</f>
        <v>0</v>
      </c>
      <c r="I224" s="42">
        <f t="shared" si="146"/>
        <v>777.74649036668848</v>
      </c>
      <c r="J224" s="60"/>
      <c r="K224" s="51">
        <f t="shared" si="147"/>
        <v>639.28027733139493</v>
      </c>
      <c r="L224" s="41">
        <f t="shared" si="148"/>
        <v>138.46621303529349</v>
      </c>
      <c r="M224" s="1322"/>
      <c r="N224" s="1025">
        <f t="shared" si="149"/>
        <v>28.552583337707937</v>
      </c>
      <c r="O224" s="1030">
        <f t="shared" si="150"/>
        <v>22.426520154196407</v>
      </c>
      <c r="P224" s="1025">
        <f t="shared" si="151"/>
        <v>2.9478138224123591</v>
      </c>
      <c r="Q224" s="41">
        <f t="shared" si="152"/>
        <v>84.539295720976781</v>
      </c>
      <c r="R224" s="21" t="s">
        <v>344</v>
      </c>
      <c r="S224" s="21" t="s">
        <v>13</v>
      </c>
      <c r="T224" s="36" t="s">
        <v>13</v>
      </c>
      <c r="U224" s="151">
        <f t="shared" si="153"/>
        <v>0</v>
      </c>
      <c r="V224" s="132">
        <f t="shared" ref="V224:Y225" si="155">N224</f>
        <v>28.552583337707937</v>
      </c>
      <c r="W224" s="41">
        <f t="shared" si="155"/>
        <v>22.426520154196407</v>
      </c>
      <c r="X224" s="132">
        <f t="shared" si="155"/>
        <v>2.9478138224123591</v>
      </c>
      <c r="Y224" s="62">
        <f t="shared" si="155"/>
        <v>84.539295720976781</v>
      </c>
    </row>
    <row r="225" spans="1:25" s="38" customFormat="1" outlineLevel="1">
      <c r="A225" s="1382">
        <v>711014</v>
      </c>
      <c r="B225" s="1395" t="str">
        <f>VLOOKUP(A225,'Income Statement'!$A$6:$B$254,2,FALSE)</f>
        <v>Dues &amp; Subscriptions - Sales</v>
      </c>
      <c r="C225" s="1413">
        <v>5693</v>
      </c>
      <c r="D225" s="147">
        <v>8593</v>
      </c>
      <c r="E225" s="2029">
        <v>-2761.2586459677532</v>
      </c>
      <c r="F225" s="2030">
        <v>0</v>
      </c>
      <c r="G225" s="2021"/>
      <c r="H225" s="1385">
        <f>ReviewAccts!J74</f>
        <v>-5831.7413540322468</v>
      </c>
      <c r="I225" s="42">
        <f t="shared" si="146"/>
        <v>0</v>
      </c>
      <c r="J225" s="60"/>
      <c r="K225" s="51">
        <f t="shared" si="147"/>
        <v>0</v>
      </c>
      <c r="L225" s="41">
        <f t="shared" si="148"/>
        <v>0</v>
      </c>
      <c r="M225" s="1322"/>
      <c r="N225" s="1025">
        <f t="shared" si="149"/>
        <v>0</v>
      </c>
      <c r="O225" s="1030">
        <f t="shared" si="150"/>
        <v>0</v>
      </c>
      <c r="P225" s="1025">
        <f t="shared" si="151"/>
        <v>0</v>
      </c>
      <c r="Q225" s="41">
        <f t="shared" si="152"/>
        <v>0</v>
      </c>
      <c r="R225" s="21" t="s">
        <v>344</v>
      </c>
      <c r="S225" s="21" t="s">
        <v>13</v>
      </c>
      <c r="T225" s="36" t="s">
        <v>13</v>
      </c>
      <c r="U225" s="151">
        <f t="shared" si="153"/>
        <v>0</v>
      </c>
      <c r="V225" s="132">
        <f t="shared" si="155"/>
        <v>0</v>
      </c>
      <c r="W225" s="41">
        <f t="shared" si="155"/>
        <v>0</v>
      </c>
      <c r="X225" s="132">
        <f t="shared" si="155"/>
        <v>0</v>
      </c>
      <c r="Y225" s="62">
        <f t="shared" si="155"/>
        <v>0</v>
      </c>
    </row>
    <row r="226" spans="1:25" s="38" customFormat="1" outlineLevel="1">
      <c r="A226" s="1381">
        <v>711016</v>
      </c>
      <c r="B226" s="1416" t="str">
        <f>VLOOKUP(A226,'Income Statement'!$A$6:$B$254,2,FALSE)</f>
        <v>Telephone - Sales</v>
      </c>
      <c r="C226" s="1413">
        <v>739</v>
      </c>
      <c r="D226" s="147">
        <v>430</v>
      </c>
      <c r="E226" s="2029">
        <v>0</v>
      </c>
      <c r="F226" s="2030">
        <v>0</v>
      </c>
      <c r="G226" s="2021"/>
      <c r="H226" s="1385">
        <f>'Adj - Proforma'!L226</f>
        <v>0</v>
      </c>
      <c r="I226" s="42">
        <f>SUM(D226:H226)</f>
        <v>430</v>
      </c>
      <c r="J226" s="60"/>
      <c r="K226" s="51">
        <f>I226-L226</f>
        <v>353.444885521625</v>
      </c>
      <c r="L226" s="41">
        <f>I226*VLOOKUP($R226,$K$3:$L$6,2,FALSE)</f>
        <v>76.555114478374975</v>
      </c>
      <c r="M226" s="1322"/>
      <c r="N226" s="1025">
        <f>L226*VLOOKUP($S226,$K$2:$Q$6,4,FALSE)</f>
        <v>15.786134668927682</v>
      </c>
      <c r="O226" s="1030">
        <f>L226*VLOOKUP($S226,$K$2:$Q$6,5,FALSE)</f>
        <v>12.399160633637607</v>
      </c>
      <c r="P226" s="1025">
        <f>L226*VLOOKUP($S226,$K$2:$Q$6,6,FALSE)</f>
        <v>1.6297854883789844</v>
      </c>
      <c r="Q226" s="41">
        <f>L226-N226-O226-P226</f>
        <v>46.740033687430703</v>
      </c>
      <c r="R226" s="21" t="s">
        <v>344</v>
      </c>
      <c r="S226" s="21" t="s">
        <v>13</v>
      </c>
      <c r="T226" s="36" t="s">
        <v>13</v>
      </c>
      <c r="U226" s="151">
        <f>L226-N226-O226-Q226-P226</f>
        <v>0</v>
      </c>
      <c r="V226" s="132">
        <f>N226</f>
        <v>15.786134668927682</v>
      </c>
      <c r="W226" s="41">
        <f>O226</f>
        <v>12.399160633637607</v>
      </c>
      <c r="X226" s="132">
        <f>P226</f>
        <v>1.6297854883789844</v>
      </c>
      <c r="Y226" s="62">
        <f>Q226</f>
        <v>46.740033687430703</v>
      </c>
    </row>
    <row r="227" spans="1:25" s="38" customFormat="1" outlineLevel="1">
      <c r="A227" s="1381">
        <v>711028</v>
      </c>
      <c r="B227" s="1416" t="str">
        <f>VLOOKUP(A227,'Income Statement'!$A$6:$B$254,2,FALSE)</f>
        <v>Advertising - Sales</v>
      </c>
      <c r="C227" s="1413">
        <v>60253</v>
      </c>
      <c r="D227" s="147">
        <v>183816</v>
      </c>
      <c r="E227" s="2029">
        <v>-59067.091733644658</v>
      </c>
      <c r="F227" s="2030">
        <v>0</v>
      </c>
      <c r="G227" s="2021"/>
      <c r="H227" s="1385">
        <f>'Adj - Proforma'!L227</f>
        <v>0</v>
      </c>
      <c r="I227" s="42">
        <f t="shared" si="146"/>
        <v>124748.90826635534</v>
      </c>
      <c r="J227" s="60"/>
      <c r="K227" s="51">
        <f t="shared" si="147"/>
        <v>102539.21767709224</v>
      </c>
      <c r="L227" s="41">
        <f t="shared" si="148"/>
        <v>22209.690589263097</v>
      </c>
      <c r="M227" s="1322"/>
      <c r="N227" s="1025">
        <f t="shared" si="149"/>
        <v>4579.7745713823051</v>
      </c>
      <c r="O227" s="1030">
        <f t="shared" si="150"/>
        <v>3597.1668661987492</v>
      </c>
      <c r="P227" s="1025">
        <f t="shared" si="151"/>
        <v>472.82316368285359</v>
      </c>
      <c r="Q227" s="41">
        <f t="shared" si="152"/>
        <v>13559.925987999188</v>
      </c>
      <c r="R227" s="21" t="s">
        <v>344</v>
      </c>
      <c r="S227" s="21" t="s">
        <v>13</v>
      </c>
      <c r="T227" s="36" t="s">
        <v>13</v>
      </c>
      <c r="U227" s="151">
        <f t="shared" si="153"/>
        <v>0</v>
      </c>
      <c r="V227" s="132">
        <f t="shared" si="133"/>
        <v>4579.7745713823051</v>
      </c>
      <c r="W227" s="41">
        <f t="shared" si="134"/>
        <v>3597.1668661987492</v>
      </c>
      <c r="X227" s="132">
        <f t="shared" si="135"/>
        <v>472.82316368285359</v>
      </c>
      <c r="Y227" s="62">
        <f t="shared" si="136"/>
        <v>13559.925987999188</v>
      </c>
    </row>
    <row r="228" spans="1:25" s="38" customFormat="1" outlineLevel="1">
      <c r="A228" s="1381">
        <v>711095</v>
      </c>
      <c r="B228" s="1416" t="str">
        <f>VLOOKUP(A228,'Income Statement'!$A$6:$B$254,2,FALSE)</f>
        <v>Sales &amp; Mkting Misc</v>
      </c>
      <c r="C228" s="1413">
        <f>11767+34223</f>
        <v>45990</v>
      </c>
      <c r="D228" s="147">
        <v>2667</v>
      </c>
      <c r="E228" s="2029">
        <v>-857.00882215710442</v>
      </c>
      <c r="F228" s="2030">
        <v>0</v>
      </c>
      <c r="G228" s="2021"/>
      <c r="H228" s="1385">
        <f>'Adj - Proforma'!L228</f>
        <v>0</v>
      </c>
      <c r="I228" s="42">
        <f t="shared" si="146"/>
        <v>1809.9911778428955</v>
      </c>
      <c r="J228" s="60"/>
      <c r="K228" s="51">
        <f t="shared" si="147"/>
        <v>1487.7491270879846</v>
      </c>
      <c r="L228" s="41">
        <f t="shared" si="148"/>
        <v>322.24205075491079</v>
      </c>
      <c r="M228" s="1322"/>
      <c r="N228" s="1025">
        <f t="shared" si="149"/>
        <v>66.448289495346486</v>
      </c>
      <c r="O228" s="1030">
        <f t="shared" si="150"/>
        <v>52.191561301258133</v>
      </c>
      <c r="P228" s="1025">
        <f t="shared" si="151"/>
        <v>6.8602264087031086</v>
      </c>
      <c r="Q228" s="41">
        <f t="shared" si="152"/>
        <v>196.74197354960305</v>
      </c>
      <c r="R228" s="21" t="s">
        <v>344</v>
      </c>
      <c r="S228" s="21" t="s">
        <v>13</v>
      </c>
      <c r="T228" s="36" t="s">
        <v>13</v>
      </c>
      <c r="U228" s="151">
        <f t="shared" si="153"/>
        <v>0</v>
      </c>
      <c r="V228" s="132">
        <f t="shared" si="133"/>
        <v>66.448289495346486</v>
      </c>
      <c r="W228" s="41">
        <f t="shared" si="134"/>
        <v>52.191561301258133</v>
      </c>
      <c r="X228" s="132">
        <f t="shared" si="135"/>
        <v>6.8602264087031086</v>
      </c>
      <c r="Y228" s="62">
        <f t="shared" si="136"/>
        <v>196.74197354960305</v>
      </c>
    </row>
    <row r="229" spans="1:25" s="38" customFormat="1" ht="12">
      <c r="A229" s="54"/>
      <c r="B229" s="563" t="s">
        <v>547</v>
      </c>
      <c r="C229" s="1415">
        <f>SUM(C220:C228)</f>
        <v>128270</v>
      </c>
      <c r="D229" s="147">
        <v>214587</v>
      </c>
      <c r="E229" s="2033">
        <v>-74696.059955137607</v>
      </c>
      <c r="F229" s="2030">
        <v>0</v>
      </c>
      <c r="G229" s="2024"/>
      <c r="H229" s="1385">
        <f>'Adj - Proforma'!L229</f>
        <v>0</v>
      </c>
      <c r="I229" s="565">
        <f>SUM(I219:I228)</f>
        <v>134059.19869083015</v>
      </c>
      <c r="J229" s="60"/>
      <c r="K229" s="565">
        <f>SUM(K219:K228)</f>
        <v>110191.94914977033</v>
      </c>
      <c r="L229" s="565">
        <f>SUM(L219:L228)</f>
        <v>23867.249541059809</v>
      </c>
      <c r="M229" s="1322"/>
      <c r="N229" s="586">
        <f>L229*$N$10</f>
        <v>4921.5734049813445</v>
      </c>
      <c r="O229" s="587">
        <f>L229*$O$10</f>
        <v>3865.6314860101006</v>
      </c>
      <c r="P229" s="586">
        <f>L229*$P$10</f>
        <v>508.11101537216257</v>
      </c>
      <c r="Q229" s="587">
        <f t="shared" si="152"/>
        <v>14571.933634696203</v>
      </c>
      <c r="R229" s="21"/>
      <c r="S229" s="36"/>
      <c r="T229" s="36"/>
      <c r="U229" s="151">
        <f t="shared" si="153"/>
        <v>-5.6843418860808015E-13</v>
      </c>
      <c r="V229" s="132">
        <f t="shared" si="133"/>
        <v>4921.5734049813445</v>
      </c>
      <c r="W229" s="41">
        <f t="shared" si="134"/>
        <v>3865.6314860101006</v>
      </c>
      <c r="X229" s="132">
        <f t="shared" si="135"/>
        <v>508.11101537216257</v>
      </c>
      <c r="Y229" s="62">
        <f t="shared" si="136"/>
        <v>14571.933634696203</v>
      </c>
    </row>
    <row r="230" spans="1:25" s="38" customFormat="1">
      <c r="A230" s="54"/>
      <c r="B230" s="765"/>
      <c r="C230" s="1413"/>
      <c r="D230" s="45"/>
      <c r="E230" s="2029"/>
      <c r="F230" s="2030"/>
      <c r="G230" s="2021"/>
      <c r="H230" s="1385"/>
      <c r="I230" s="42"/>
      <c r="J230" s="60"/>
      <c r="K230" s="51"/>
      <c r="L230" s="41"/>
      <c r="M230" s="1322"/>
      <c r="N230" s="132"/>
      <c r="O230" s="41"/>
      <c r="P230" s="132"/>
      <c r="Q230" s="41"/>
      <c r="R230" s="21"/>
      <c r="S230" s="36"/>
      <c r="T230" s="36"/>
      <c r="U230" s="151">
        <f t="shared" si="153"/>
        <v>0</v>
      </c>
      <c r="V230" s="132"/>
      <c r="W230" s="41"/>
      <c r="X230" s="132"/>
      <c r="Y230" s="62"/>
    </row>
    <row r="231" spans="1:25" s="38" customFormat="1" ht="12">
      <c r="A231" s="54"/>
      <c r="B231" s="560" t="s">
        <v>548</v>
      </c>
      <c r="C231" s="1408">
        <f>+C229+C217</f>
        <v>973268</v>
      </c>
      <c r="D231" s="561">
        <v>1035162</v>
      </c>
      <c r="E231" s="2032">
        <v>-373680.65117632016</v>
      </c>
      <c r="F231" s="2032">
        <v>14502.758065634975</v>
      </c>
      <c r="G231" s="2022"/>
      <c r="H231" s="1386">
        <f>H217+H229</f>
        <v>0</v>
      </c>
      <c r="I231" s="562">
        <f>I217+I229</f>
        <v>870654.22710645758</v>
      </c>
      <c r="J231" s="60"/>
      <c r="K231" s="562">
        <f>K217+K229</f>
        <v>715647.17122921115</v>
      </c>
      <c r="L231" s="562">
        <f>L217+L229</f>
        <v>155007.05587724637</v>
      </c>
      <c r="M231" s="1322"/>
      <c r="N231" s="562">
        <f>N217+N229</f>
        <v>31963.406695752758</v>
      </c>
      <c r="O231" s="562">
        <f>O217+O229</f>
        <v>25105.538647089688</v>
      </c>
      <c r="P231" s="562">
        <f>P217+P229</f>
        <v>3299.952615660291</v>
      </c>
      <c r="Q231" s="562">
        <f>Q217+Q229</f>
        <v>94638.157918743658</v>
      </c>
      <c r="R231" s="21"/>
      <c r="S231" s="36"/>
      <c r="T231" s="36"/>
      <c r="U231" s="151">
        <f t="shared" si="153"/>
        <v>-2.5011104298755527E-11</v>
      </c>
      <c r="V231" s="132"/>
      <c r="W231" s="41"/>
      <c r="X231" s="132"/>
      <c r="Y231" s="62"/>
    </row>
    <row r="232" spans="1:25" s="24" customFormat="1">
      <c r="A232" s="553"/>
      <c r="B232" s="557"/>
      <c r="C232" s="1406"/>
      <c r="D232" s="2042"/>
      <c r="E232" s="2029"/>
      <c r="F232" s="2030"/>
      <c r="G232" s="2021"/>
      <c r="H232" s="1385"/>
      <c r="I232" s="139"/>
      <c r="J232" s="138"/>
      <c r="K232" s="61"/>
      <c r="L232" s="62"/>
      <c r="M232" s="1322"/>
      <c r="N232" s="132"/>
      <c r="O232" s="62"/>
      <c r="P232" s="132"/>
      <c r="Q232" s="62"/>
      <c r="R232" s="21"/>
      <c r="S232" s="21"/>
      <c r="T232" s="21"/>
      <c r="U232" s="151">
        <f t="shared" si="153"/>
        <v>0</v>
      </c>
      <c r="V232" s="62"/>
      <c r="W232" s="62"/>
      <c r="X232" s="62"/>
      <c r="Y232" s="62"/>
    </row>
    <row r="233" spans="1:25" s="38" customFormat="1" outlineLevel="1">
      <c r="A233" s="57">
        <v>750000</v>
      </c>
      <c r="B233" s="765" t="str">
        <f>VLOOKUP(A233,'Income Statement'!$A$6:$B$254,2,FALSE)</f>
        <v>G&amp;A Mgrs &amp; Supv</v>
      </c>
      <c r="C233" s="1413">
        <v>203059</v>
      </c>
      <c r="D233" s="147">
        <v>239569</v>
      </c>
      <c r="E233" s="2029">
        <v>0</v>
      </c>
      <c r="F233" s="2030">
        <v>0</v>
      </c>
      <c r="G233" s="2021"/>
      <c r="H233" s="1385">
        <f>'[4]Staff Compare and Adj'!$D$59-D233</f>
        <v>167881.87597678613</v>
      </c>
      <c r="I233" s="42">
        <f>SUM(D233:H233)</f>
        <v>407450.87597678613</v>
      </c>
      <c r="J233" s="60"/>
      <c r="K233" s="51">
        <f t="shared" ref="K233:K240" si="156">I233-L233</f>
        <v>348370.49896015215</v>
      </c>
      <c r="L233" s="41">
        <f>I233*VLOOKUP($R233,$K$3:$L$6,2,FALSE)</f>
        <v>59080.377016633982</v>
      </c>
      <c r="M233" s="1322"/>
      <c r="N233" s="1025">
        <f>L233*VLOOKUP($S233,$K$2:$Q$6,4,FALSE)</f>
        <v>12182.736505985578</v>
      </c>
      <c r="O233" s="1030">
        <f>L233*VLOOKUP($S233,$K$2:$Q$6,5,FALSE)</f>
        <v>9568.8849780512501</v>
      </c>
      <c r="P233" s="1025">
        <f>L233*VLOOKUP($S233,$K$2:$Q$6,6,FALSE)</f>
        <v>1257.7649679678623</v>
      </c>
      <c r="Q233" s="41">
        <f>L233-N233-O233-P233</f>
        <v>36070.990564629283</v>
      </c>
      <c r="R233" s="21" t="s">
        <v>14</v>
      </c>
      <c r="S233" s="37" t="s">
        <v>13</v>
      </c>
      <c r="T233" s="36" t="s">
        <v>13</v>
      </c>
      <c r="U233" s="151">
        <f>L233-N233-O233-Q233-P233</f>
        <v>2.9558577807620168E-12</v>
      </c>
      <c r="V233" s="132">
        <f>N233</f>
        <v>12182.736505985578</v>
      </c>
      <c r="W233" s="41">
        <f>O233</f>
        <v>9568.8849780512501</v>
      </c>
      <c r="X233" s="132">
        <f>P233</f>
        <v>1257.7649679678623</v>
      </c>
      <c r="Y233" s="62">
        <f>Q233</f>
        <v>36070.990564629283</v>
      </c>
    </row>
    <row r="234" spans="1:25" s="38" customFormat="1" outlineLevel="1">
      <c r="A234" s="57">
        <v>750005</v>
      </c>
      <c r="B234" s="765" t="str">
        <f>VLOOKUP(A234,'Income Statement'!$A$6:$B$254,2,FALSE)</f>
        <v>G&amp;A Support Labor</v>
      </c>
      <c r="C234" s="1413">
        <v>67545</v>
      </c>
      <c r="D234" s="147">
        <v>152937</v>
      </c>
      <c r="E234" s="2029">
        <v>0</v>
      </c>
      <c r="F234" s="2030">
        <v>0</v>
      </c>
      <c r="G234" s="2021"/>
      <c r="H234" s="1385">
        <f>'[4]Staff Compare and Adj'!$D$60-D234</f>
        <v>43623.065615141968</v>
      </c>
      <c r="I234" s="42">
        <f t="shared" ref="I234:I242" si="157">SUM(D234:H234)</f>
        <v>196560.06561514197</v>
      </c>
      <c r="J234" s="60"/>
      <c r="K234" s="51">
        <f t="shared" si="156"/>
        <v>168058.85610094637</v>
      </c>
      <c r="L234" s="41">
        <f t="shared" ref="L234:L242" si="158">I234*VLOOKUP($R234,$K$3:$L$6,2,FALSE)</f>
        <v>28501.209514195583</v>
      </c>
      <c r="M234" s="1322"/>
      <c r="N234" s="1025">
        <f t="shared" ref="N234:N242" si="159">L234*VLOOKUP($S234,$K$2:$Q$6,4,FALSE)</f>
        <v>5877.1244048692188</v>
      </c>
      <c r="O234" s="1030">
        <f t="shared" ref="O234:O242" si="160">L234*VLOOKUP($S234,$K$2:$Q$6,5,FALSE)</f>
        <v>4616.1654571007948</v>
      </c>
      <c r="P234" s="1025">
        <f t="shared" ref="P234:P242" si="161">L234*VLOOKUP($S234,$K$2:$Q$6,6,FALSE)</f>
        <v>606.76361055676148</v>
      </c>
      <c r="Q234" s="41">
        <f t="shared" ref="Q234:Q242" si="162">L234-N234-O234-P234</f>
        <v>17401.156041668804</v>
      </c>
      <c r="R234" s="21" t="s">
        <v>14</v>
      </c>
      <c r="S234" s="37" t="s">
        <v>13</v>
      </c>
      <c r="T234" s="36" t="s">
        <v>13</v>
      </c>
      <c r="U234" s="151">
        <f t="shared" si="153"/>
        <v>0</v>
      </c>
      <c r="V234" s="132">
        <f t="shared" si="133"/>
        <v>5877.1244048692188</v>
      </c>
      <c r="W234" s="41">
        <f t="shared" si="134"/>
        <v>4616.1654571007948</v>
      </c>
      <c r="X234" s="132">
        <f t="shared" si="135"/>
        <v>606.76361055676148</v>
      </c>
      <c r="Y234" s="62">
        <f t="shared" si="136"/>
        <v>17401.156041668804</v>
      </c>
    </row>
    <row r="235" spans="1:25" s="38" customFormat="1" outlineLevel="1">
      <c r="A235" s="57">
        <v>750055</v>
      </c>
      <c r="B235" s="765" t="str">
        <f>VLOOKUP(A235,'Income Statement'!$A$6:$B$254,2,FALSE)</f>
        <v>Temporary Labor-G&amp;A</v>
      </c>
      <c r="C235" s="1413">
        <v>936</v>
      </c>
      <c r="D235" s="147">
        <v>7547</v>
      </c>
      <c r="E235" s="2029">
        <v>0</v>
      </c>
      <c r="F235" s="2030">
        <v>0</v>
      </c>
      <c r="G235" s="2021"/>
      <c r="H235" s="1385">
        <v>0</v>
      </c>
      <c r="I235" s="42">
        <f t="shared" si="157"/>
        <v>7547</v>
      </c>
      <c r="J235" s="60"/>
      <c r="K235" s="51">
        <f t="shared" si="156"/>
        <v>6452.6850000000004</v>
      </c>
      <c r="L235" s="41">
        <f t="shared" si="158"/>
        <v>1094.3149999999998</v>
      </c>
      <c r="M235" s="1322"/>
      <c r="N235" s="1025">
        <f t="shared" si="159"/>
        <v>225.65447230971586</v>
      </c>
      <c r="O235" s="1030">
        <f t="shared" si="160"/>
        <v>177.239464159275</v>
      </c>
      <c r="P235" s="1025">
        <f t="shared" si="161"/>
        <v>23.29692429914979</v>
      </c>
      <c r="Q235" s="41">
        <f t="shared" si="162"/>
        <v>668.1241392318592</v>
      </c>
      <c r="R235" s="21" t="s">
        <v>14</v>
      </c>
      <c r="S235" s="37" t="s">
        <v>13</v>
      </c>
      <c r="T235" s="36" t="s">
        <v>13</v>
      </c>
      <c r="U235" s="151">
        <f t="shared" si="153"/>
        <v>-5.3290705182007514E-14</v>
      </c>
      <c r="V235" s="132">
        <f t="shared" si="133"/>
        <v>225.65447230971586</v>
      </c>
      <c r="W235" s="41">
        <f t="shared" si="134"/>
        <v>177.239464159275</v>
      </c>
      <c r="X235" s="132">
        <f t="shared" si="135"/>
        <v>23.29692429914979</v>
      </c>
      <c r="Y235" s="62">
        <f t="shared" si="136"/>
        <v>668.1241392318592</v>
      </c>
    </row>
    <row r="236" spans="1:25" s="38" customFormat="1" outlineLevel="1">
      <c r="A236" s="57">
        <v>750060</v>
      </c>
      <c r="B236" s="765" t="str">
        <f>VLOOKUP(A236,'Income Statement'!$A$6:$B$254,2,FALSE)</f>
        <v>Bonus Pay Non-Corp-G&amp;A</v>
      </c>
      <c r="C236" s="1413">
        <v>4910</v>
      </c>
      <c r="D236" s="147">
        <v>742</v>
      </c>
      <c r="E236" s="2029">
        <v>0</v>
      </c>
      <c r="F236" s="2030">
        <v>0</v>
      </c>
      <c r="G236" s="2021"/>
      <c r="H236" s="1385">
        <v>-742</v>
      </c>
      <c r="I236" s="42">
        <f>SUM(D236:H236)</f>
        <v>0</v>
      </c>
      <c r="J236" s="60"/>
      <c r="K236" s="51">
        <f>I236-L236</f>
        <v>0</v>
      </c>
      <c r="L236" s="41">
        <f>I236*VLOOKUP($R236,$K$3:$L$6,2,FALSE)</f>
        <v>0</v>
      </c>
      <c r="M236" s="1322"/>
      <c r="N236" s="1025">
        <f>L236*VLOOKUP($S236,$K$2:$Q$6,4,FALSE)</f>
        <v>0</v>
      </c>
      <c r="O236" s="1030">
        <f>L236*VLOOKUP($S236,$K$2:$Q$6,5,FALSE)</f>
        <v>0</v>
      </c>
      <c r="P236" s="1025">
        <f>L236*VLOOKUP($S236,$K$2:$Q$6,6,FALSE)</f>
        <v>0</v>
      </c>
      <c r="Q236" s="41">
        <f>L236-N236-O236-P236</f>
        <v>0</v>
      </c>
      <c r="R236" s="21" t="s">
        <v>14</v>
      </c>
      <c r="S236" s="37" t="s">
        <v>13</v>
      </c>
      <c r="T236" s="36" t="s">
        <v>13</v>
      </c>
      <c r="U236" s="151">
        <f>L236-N236-O236-Q236-P236</f>
        <v>0</v>
      </c>
      <c r="V236" s="132">
        <f>N236</f>
        <v>0</v>
      </c>
      <c r="W236" s="41">
        <f>O236</f>
        <v>0</v>
      </c>
      <c r="X236" s="132">
        <f>P236</f>
        <v>0</v>
      </c>
      <c r="Y236" s="62">
        <f>Q236</f>
        <v>0</v>
      </c>
    </row>
    <row r="237" spans="1:25" s="38" customFormat="1" outlineLevel="1">
      <c r="A237" s="57">
        <v>750061</v>
      </c>
      <c r="B237" s="765" t="str">
        <f>VLOOKUP(A237,'Income Statement'!$A$6:$B$254,2,FALSE)</f>
        <v>Bonus Pay Corp-G&amp;A</v>
      </c>
      <c r="C237" s="1413">
        <v>23346</v>
      </c>
      <c r="D237" s="147">
        <v>104297</v>
      </c>
      <c r="E237" s="2029">
        <v>-104297</v>
      </c>
      <c r="F237" s="2030">
        <v>0</v>
      </c>
      <c r="G237" s="2021"/>
      <c r="H237" s="1385">
        <f>'Adj - Proforma'!L237</f>
        <v>0</v>
      </c>
      <c r="I237" s="42">
        <f t="shared" si="157"/>
        <v>0</v>
      </c>
      <c r="J237" s="60"/>
      <c r="K237" s="51">
        <f t="shared" si="156"/>
        <v>0</v>
      </c>
      <c r="L237" s="41">
        <f>I237*VLOOKUP($R237,$K$3:$L$6,2,FALSE)</f>
        <v>0</v>
      </c>
      <c r="M237" s="1322"/>
      <c r="N237" s="1025">
        <f>L237*VLOOKUP($S237,$K$2:$Q$6,4,FALSE)</f>
        <v>0</v>
      </c>
      <c r="O237" s="1030">
        <f>L237*VLOOKUP($S237,$K$2:$Q$6,5,FALSE)</f>
        <v>0</v>
      </c>
      <c r="P237" s="1025">
        <f>L237*VLOOKUP($S237,$K$2:$Q$6,6,FALSE)</f>
        <v>0</v>
      </c>
      <c r="Q237" s="41">
        <f>L237-N237-O237-P237</f>
        <v>0</v>
      </c>
      <c r="R237" s="21" t="s">
        <v>14</v>
      </c>
      <c r="S237" s="37" t="s">
        <v>13</v>
      </c>
      <c r="T237" s="36" t="s">
        <v>13</v>
      </c>
      <c r="U237" s="151">
        <f>L237-N237-O237-Q237-P237</f>
        <v>0</v>
      </c>
      <c r="V237" s="132">
        <f t="shared" ref="V237:Y238" si="163">N237</f>
        <v>0</v>
      </c>
      <c r="W237" s="41">
        <f t="shared" si="163"/>
        <v>0</v>
      </c>
      <c r="X237" s="132">
        <f t="shared" si="163"/>
        <v>0</v>
      </c>
      <c r="Y237" s="62">
        <f t="shared" si="163"/>
        <v>0</v>
      </c>
    </row>
    <row r="238" spans="1:25" s="38" customFormat="1" outlineLevel="1">
      <c r="A238" s="57">
        <v>750170</v>
      </c>
      <c r="B238" s="765" t="str">
        <f>VLOOKUP(A238,'Income Statement'!$A$6:$B$254,2,FALSE)</f>
        <v>Payroll Taxes - G&amp;A</v>
      </c>
      <c r="C238" s="1413">
        <v>57639</v>
      </c>
      <c r="D238" s="147">
        <v>40555</v>
      </c>
      <c r="E238" s="2029">
        <v>0</v>
      </c>
      <c r="F238" s="2030">
        <v>0</v>
      </c>
      <c r="G238" s="2021"/>
      <c r="H238" s="1385">
        <f>'[4]Staff Compare and Adj'!$D$61-D238</f>
        <v>12739.79729297445</v>
      </c>
      <c r="I238" s="42">
        <f t="shared" si="157"/>
        <v>53294.79729297445</v>
      </c>
      <c r="J238" s="60"/>
      <c r="K238" s="51">
        <f t="shared" si="156"/>
        <v>45567.051685493156</v>
      </c>
      <c r="L238" s="41">
        <f>I238*VLOOKUP($R238,$K$3:$L$6,2,FALSE)</f>
        <v>7727.7456074812944</v>
      </c>
      <c r="M238" s="1322"/>
      <c r="N238" s="1025">
        <f t="shared" si="159"/>
        <v>1593.5085941432919</v>
      </c>
      <c r="O238" s="1030">
        <f t="shared" si="160"/>
        <v>1251.6153855418008</v>
      </c>
      <c r="P238" s="1025">
        <f t="shared" si="161"/>
        <v>164.51634531243661</v>
      </c>
      <c r="Q238" s="41">
        <f t="shared" si="162"/>
        <v>4718.1052824837652</v>
      </c>
      <c r="R238" s="21" t="s">
        <v>14</v>
      </c>
      <c r="S238" s="37" t="s">
        <v>13</v>
      </c>
      <c r="T238" s="36" t="s">
        <v>13</v>
      </c>
      <c r="U238" s="151">
        <f t="shared" si="153"/>
        <v>2.8421709430404007E-13</v>
      </c>
      <c r="V238" s="132">
        <f t="shared" si="163"/>
        <v>1593.5085941432919</v>
      </c>
      <c r="W238" s="41">
        <f t="shared" si="163"/>
        <v>1251.6153855418008</v>
      </c>
      <c r="X238" s="132">
        <f t="shared" si="163"/>
        <v>164.51634531243661</v>
      </c>
      <c r="Y238" s="62">
        <f t="shared" si="163"/>
        <v>4718.1052824837652</v>
      </c>
    </row>
    <row r="239" spans="1:25" s="38" customFormat="1" outlineLevel="1">
      <c r="A239" s="57">
        <v>750173</v>
      </c>
      <c r="B239" s="765" t="str">
        <f>VLOOKUP(A239,'Income Statement'!$A$6:$B$254,2,FALSE)</f>
        <v>Holiday Pay - G&amp;A</v>
      </c>
      <c r="C239" s="1413">
        <v>6890</v>
      </c>
      <c r="D239" s="147">
        <v>10687</v>
      </c>
      <c r="E239" s="2029">
        <v>0</v>
      </c>
      <c r="F239" s="2030">
        <v>0</v>
      </c>
      <c r="G239" s="2021"/>
      <c r="H239" s="1385">
        <f>'[4]Staff Compare and Adj'!$D$62-D239</f>
        <v>-4584.219951017596</v>
      </c>
      <c r="I239" s="42">
        <f t="shared" si="157"/>
        <v>6102.780048982404</v>
      </c>
      <c r="J239" s="60"/>
      <c r="K239" s="51">
        <f t="shared" si="156"/>
        <v>5217.8769418799557</v>
      </c>
      <c r="L239" s="41">
        <f t="shared" si="158"/>
        <v>884.90310710244853</v>
      </c>
      <c r="M239" s="1322"/>
      <c r="N239" s="1025">
        <f t="shared" si="159"/>
        <v>182.47245416395739</v>
      </c>
      <c r="O239" s="1030">
        <f t="shared" si="160"/>
        <v>143.32230896562282</v>
      </c>
      <c r="P239" s="1025">
        <f t="shared" si="161"/>
        <v>18.838744509805849</v>
      </c>
      <c r="Q239" s="41">
        <f t="shared" si="162"/>
        <v>540.26959946306238</v>
      </c>
      <c r="R239" s="21" t="s">
        <v>14</v>
      </c>
      <c r="S239" s="37" t="s">
        <v>13</v>
      </c>
      <c r="T239" s="36" t="s">
        <v>13</v>
      </c>
      <c r="U239" s="151">
        <f t="shared" si="153"/>
        <v>5.6843418860808015E-14</v>
      </c>
      <c r="V239" s="132">
        <f t="shared" si="133"/>
        <v>182.47245416395739</v>
      </c>
      <c r="W239" s="41">
        <f t="shared" si="134"/>
        <v>143.32230896562282</v>
      </c>
      <c r="X239" s="132">
        <f t="shared" si="135"/>
        <v>18.838744509805849</v>
      </c>
      <c r="Y239" s="62">
        <f t="shared" si="136"/>
        <v>540.26959946306238</v>
      </c>
    </row>
    <row r="240" spans="1:25" s="38" customFormat="1" outlineLevel="1">
      <c r="A240" s="57">
        <v>750174</v>
      </c>
      <c r="B240" s="765" t="str">
        <f>VLOOKUP(A240,'Income Statement'!$A$6:$B$254,2,FALSE)</f>
        <v>Vacation/Sick - G&amp;A</v>
      </c>
      <c r="C240" s="1413">
        <v>28678</v>
      </c>
      <c r="D240" s="147">
        <v>27612</v>
      </c>
      <c r="E240" s="2029">
        <v>0</v>
      </c>
      <c r="F240" s="2030">
        <v>0</v>
      </c>
      <c r="G240" s="2021"/>
      <c r="H240" s="1385">
        <f>'[4]Staff Compare and Adj'!$D$63-D240</f>
        <v>-21173.04635962145</v>
      </c>
      <c r="I240" s="42">
        <f t="shared" si="157"/>
        <v>6438.9536403785496</v>
      </c>
      <c r="J240" s="60"/>
      <c r="K240" s="51">
        <f t="shared" si="156"/>
        <v>5505.3053625236598</v>
      </c>
      <c r="L240" s="41">
        <f t="shared" si="158"/>
        <v>933.64827785488967</v>
      </c>
      <c r="M240" s="1322"/>
      <c r="N240" s="1025">
        <f t="shared" si="159"/>
        <v>192.52400767806358</v>
      </c>
      <c r="O240" s="1030">
        <f t="shared" si="160"/>
        <v>151.21726420658638</v>
      </c>
      <c r="P240" s="1025">
        <f t="shared" si="161"/>
        <v>19.876482778009017</v>
      </c>
      <c r="Q240" s="41">
        <f t="shared" si="162"/>
        <v>570.03052319223059</v>
      </c>
      <c r="R240" s="21" t="s">
        <v>14</v>
      </c>
      <c r="S240" s="37" t="s">
        <v>13</v>
      </c>
      <c r="T240" s="36" t="s">
        <v>13</v>
      </c>
      <c r="U240" s="151">
        <f t="shared" si="153"/>
        <v>4.6185277824406512E-14</v>
      </c>
      <c r="V240" s="132">
        <f t="shared" si="133"/>
        <v>192.52400767806358</v>
      </c>
      <c r="W240" s="41">
        <f t="shared" si="134"/>
        <v>151.21726420658638</v>
      </c>
      <c r="X240" s="132">
        <f t="shared" si="135"/>
        <v>19.876482778009017</v>
      </c>
      <c r="Y240" s="62">
        <f t="shared" si="136"/>
        <v>570.03052319223059</v>
      </c>
    </row>
    <row r="241" spans="1:25" s="24" customFormat="1" outlineLevel="1">
      <c r="A241" s="57">
        <v>750176</v>
      </c>
      <c r="B241" s="765" t="str">
        <f>VLOOKUP(A241,'Income Statement'!$A$6:$B$254,2,FALSE)</f>
        <v>Benefits Corp-G&amp;A</v>
      </c>
      <c r="C241" s="1414">
        <v>97334</v>
      </c>
      <c r="D241" s="147">
        <v>69126</v>
      </c>
      <c r="E241" s="2029">
        <v>0</v>
      </c>
      <c r="F241" s="2030">
        <v>0</v>
      </c>
      <c r="G241" s="2021"/>
      <c r="H241" s="1385">
        <f>'[4]Staff Compare and Adj'!$D$64-D241</f>
        <v>-31861.840000000011</v>
      </c>
      <c r="I241" s="139">
        <f t="shared" si="157"/>
        <v>37264.159999999989</v>
      </c>
      <c r="J241" s="138"/>
      <c r="K241" s="61">
        <f>I241-L241</f>
        <v>31860.85679999999</v>
      </c>
      <c r="L241" s="41">
        <f t="shared" si="158"/>
        <v>5403.3031999999985</v>
      </c>
      <c r="M241" s="1322"/>
      <c r="N241" s="1025">
        <f t="shared" si="159"/>
        <v>1114.1942971862754</v>
      </c>
      <c r="O241" s="1030">
        <f t="shared" si="160"/>
        <v>875.13975761832364</v>
      </c>
      <c r="P241" s="1025">
        <f t="shared" si="161"/>
        <v>115.03117988490865</v>
      </c>
      <c r="Q241" s="41">
        <f t="shared" si="162"/>
        <v>3298.9379653104907</v>
      </c>
      <c r="R241" s="21" t="s">
        <v>14</v>
      </c>
      <c r="S241" s="37" t="s">
        <v>13</v>
      </c>
      <c r="T241" s="36" t="s">
        <v>13</v>
      </c>
      <c r="U241" s="151">
        <f t="shared" si="153"/>
        <v>1.9895196601282805E-13</v>
      </c>
      <c r="V241" s="132">
        <f t="shared" si="133"/>
        <v>1114.1942971862754</v>
      </c>
      <c r="W241" s="41">
        <f t="shared" si="134"/>
        <v>875.13975761832364</v>
      </c>
      <c r="X241" s="132">
        <f t="shared" si="135"/>
        <v>115.03117988490865</v>
      </c>
      <c r="Y241" s="62">
        <f t="shared" si="136"/>
        <v>3298.9379653104907</v>
      </c>
    </row>
    <row r="242" spans="1:25" s="24" customFormat="1" outlineLevel="1">
      <c r="A242" s="57">
        <v>750177</v>
      </c>
      <c r="B242" s="765" t="str">
        <f>VLOOKUP(A242,'Income Statement'!$A$6:$B$254,2,FALSE)</f>
        <v>Employer 401K-G&amp;A</v>
      </c>
      <c r="C242" s="1413">
        <v>16491</v>
      </c>
      <c r="D242" s="147">
        <v>12644</v>
      </c>
      <c r="E242" s="2029">
        <v>0</v>
      </c>
      <c r="F242" s="2030">
        <v>0</v>
      </c>
      <c r="G242" s="2021"/>
      <c r="H242" s="1385">
        <f>'[4]Staff Compare and Adj'!$D$65-D242</f>
        <v>4647.0600000000049</v>
      </c>
      <c r="I242" s="139">
        <f t="shared" si="157"/>
        <v>17291.060000000005</v>
      </c>
      <c r="J242" s="138"/>
      <c r="K242" s="61">
        <f>I242-L242</f>
        <v>14783.856300000005</v>
      </c>
      <c r="L242" s="41">
        <f t="shared" si="158"/>
        <v>2507.2037000000005</v>
      </c>
      <c r="M242" s="1322"/>
      <c r="N242" s="1025">
        <f t="shared" si="159"/>
        <v>517.00079766471936</v>
      </c>
      <c r="O242" s="1030">
        <f t="shared" si="160"/>
        <v>406.07634942969054</v>
      </c>
      <c r="P242" s="1025">
        <f t="shared" si="161"/>
        <v>53.375979312582103</v>
      </c>
      <c r="Q242" s="41">
        <f t="shared" si="162"/>
        <v>1530.7505735930085</v>
      </c>
      <c r="R242" s="21" t="s">
        <v>14</v>
      </c>
      <c r="S242" s="37" t="s">
        <v>13</v>
      </c>
      <c r="T242" s="36" t="s">
        <v>13</v>
      </c>
      <c r="U242" s="151">
        <f t="shared" si="153"/>
        <v>0</v>
      </c>
      <c r="V242" s="132">
        <f t="shared" si="133"/>
        <v>517.00079766471936</v>
      </c>
      <c r="W242" s="41">
        <f t="shared" si="134"/>
        <v>406.07634942969054</v>
      </c>
      <c r="X242" s="132">
        <f t="shared" si="135"/>
        <v>53.375979312582103</v>
      </c>
      <c r="Y242" s="62">
        <f t="shared" si="136"/>
        <v>1530.7505735930085</v>
      </c>
    </row>
    <row r="243" spans="1:25" s="38" customFormat="1" ht="12">
      <c r="A243" s="54"/>
      <c r="B243" s="563" t="s">
        <v>550</v>
      </c>
      <c r="C243" s="1415">
        <f>SUM(C233:C242)</f>
        <v>506828</v>
      </c>
      <c r="D243" s="564">
        <v>665716</v>
      </c>
      <c r="E243" s="2029">
        <v>-104297</v>
      </c>
      <c r="F243" s="2030">
        <v>19157.386045743973</v>
      </c>
      <c r="G243" s="2021"/>
      <c r="H243" s="1385">
        <f>SUM(H233:H242)</f>
        <v>170530.69257426349</v>
      </c>
      <c r="I243" s="565">
        <f>SUM(I233:I242)</f>
        <v>731949.69257426355</v>
      </c>
      <c r="J243" s="60"/>
      <c r="K243" s="565">
        <f>SUM(K233:K242)</f>
        <v>625816.98715099529</v>
      </c>
      <c r="L243" s="565">
        <f>SUM(L233:L242)</f>
        <v>106132.7054232682</v>
      </c>
      <c r="M243" s="1322"/>
      <c r="N243" s="583">
        <f>SUM(N233:N242)</f>
        <v>21885.215534000825</v>
      </c>
      <c r="O243" s="565">
        <f>SUM(O233:O242)</f>
        <v>17189.660965073344</v>
      </c>
      <c r="P243" s="583">
        <f>SUM(P233:P242)</f>
        <v>2259.464234621516</v>
      </c>
      <c r="Q243" s="565">
        <f>SUM(Q233:Q242)</f>
        <v>64798.364689572518</v>
      </c>
      <c r="R243" s="21"/>
      <c r="S243" s="36"/>
      <c r="T243" s="36"/>
      <c r="U243" s="151">
        <f t="shared" si="153"/>
        <v>-1.1823431123048067E-11</v>
      </c>
      <c r="V243" s="132">
        <f t="shared" si="133"/>
        <v>21885.215534000825</v>
      </c>
      <c r="W243" s="41">
        <f t="shared" si="134"/>
        <v>17189.660965073344</v>
      </c>
      <c r="X243" s="132">
        <f t="shared" si="135"/>
        <v>2259.464234621516</v>
      </c>
      <c r="Y243" s="62">
        <f t="shared" si="136"/>
        <v>64798.364689572518</v>
      </c>
    </row>
    <row r="244" spans="1:25" s="38" customFormat="1">
      <c r="A244" s="54"/>
      <c r="B244" s="765"/>
      <c r="C244" s="1413"/>
      <c r="D244" s="45"/>
      <c r="E244" s="2029"/>
      <c r="F244" s="2030"/>
      <c r="G244" s="2021"/>
      <c r="H244" s="1385"/>
      <c r="I244" s="42"/>
      <c r="J244" s="60"/>
      <c r="K244" s="51"/>
      <c r="L244" s="41"/>
      <c r="M244" s="1322"/>
      <c r="N244" s="132">
        <f>L244*$N$5</f>
        <v>0</v>
      </c>
      <c r="O244" s="41">
        <f>L244*$O$5</f>
        <v>0</v>
      </c>
      <c r="P244" s="132">
        <f>L244*$P$10</f>
        <v>0</v>
      </c>
      <c r="Q244" s="41">
        <f>L244-N244-O244-P244</f>
        <v>0</v>
      </c>
      <c r="R244" s="21"/>
      <c r="S244" s="36"/>
      <c r="T244" s="36"/>
      <c r="U244" s="151">
        <f t="shared" si="153"/>
        <v>0</v>
      </c>
      <c r="V244" s="132">
        <f t="shared" si="133"/>
        <v>0</v>
      </c>
      <c r="W244" s="41">
        <f t="shared" si="134"/>
        <v>0</v>
      </c>
      <c r="X244" s="132">
        <f t="shared" si="135"/>
        <v>0</v>
      </c>
      <c r="Y244" s="62">
        <f t="shared" si="136"/>
        <v>0</v>
      </c>
    </row>
    <row r="245" spans="1:25" s="38" customFormat="1" outlineLevel="1">
      <c r="A245" s="57">
        <v>751102</v>
      </c>
      <c r="B245" s="765" t="str">
        <f>VLOOKUP(A245,'Income Statement'!$A$6:$B$254,2,FALSE)</f>
        <v>Recruiting - G&amp;A</v>
      </c>
      <c r="C245" s="1413">
        <v>13588</v>
      </c>
      <c r="D245" s="147">
        <v>1768</v>
      </c>
      <c r="E245" s="2029">
        <v>0</v>
      </c>
      <c r="F245" s="2030">
        <v>0</v>
      </c>
      <c r="G245" s="2021"/>
      <c r="H245" s="1385">
        <f>'Adj - Proforma'!L245</f>
        <v>0</v>
      </c>
      <c r="I245" s="42">
        <f t="shared" ref="I245:I285" si="164">SUM(D245:H245)</f>
        <v>1768</v>
      </c>
      <c r="J245" s="60"/>
      <c r="K245" s="51">
        <f t="shared" ref="K245:K285" si="165">I245-L245</f>
        <v>1543.4753785142748</v>
      </c>
      <c r="L245" s="41">
        <f t="shared" ref="L245:L255" si="166">I245*VLOOKUP($R245,$K$3:$L$6,2,FALSE)</f>
        <v>224.52462148572531</v>
      </c>
      <c r="M245" s="1322"/>
      <c r="N245" s="1025">
        <f t="shared" ref="N245:N285" si="167">L245*VLOOKUP($S245,$K$2:$Q$6,4,FALSE)</f>
        <v>46.29835557577119</v>
      </c>
      <c r="O245" s="1030">
        <f t="shared" ref="O245:O285" si="168">L245*VLOOKUP($S245,$K$2:$Q$6,5,FALSE)</f>
        <v>36.364870812055031</v>
      </c>
      <c r="P245" s="1025">
        <f t="shared" ref="P245:P285" si="169">L245*VLOOKUP($S245,$K$2:$Q$6,6,FALSE)</f>
        <v>4.7799153900368756</v>
      </c>
      <c r="Q245" s="41">
        <f>L245-N245-O245-P245</f>
        <v>137.08147970786223</v>
      </c>
      <c r="R245" s="21" t="s">
        <v>13</v>
      </c>
      <c r="S245" s="37" t="s">
        <v>13</v>
      </c>
      <c r="T245" s="36" t="s">
        <v>13</v>
      </c>
      <c r="U245" s="151">
        <f t="shared" si="153"/>
        <v>0</v>
      </c>
      <c r="V245" s="132">
        <f t="shared" si="133"/>
        <v>46.29835557577119</v>
      </c>
      <c r="W245" s="41">
        <f t="shared" si="134"/>
        <v>36.364870812055031</v>
      </c>
      <c r="X245" s="132">
        <f t="shared" si="135"/>
        <v>4.7799153900368756</v>
      </c>
      <c r="Y245" s="62">
        <f t="shared" si="136"/>
        <v>137.08147970786223</v>
      </c>
    </row>
    <row r="246" spans="1:25" s="38" customFormat="1" outlineLevel="1">
      <c r="A246" s="57">
        <v>751104</v>
      </c>
      <c r="B246" s="765" t="str">
        <f>VLOOKUP(A246,'Income Statement'!$A$6:$B$254,2,FALSE)</f>
        <v>Employee Activities - G&amp;A</v>
      </c>
      <c r="C246" s="1413"/>
      <c r="D246" s="147">
        <v>-292</v>
      </c>
      <c r="E246" s="2029">
        <v>0</v>
      </c>
      <c r="F246" s="2030">
        <v>0</v>
      </c>
      <c r="G246" s="2021"/>
      <c r="H246" s="1385">
        <f>'Adj - Proforma'!L246</f>
        <v>0</v>
      </c>
      <c r="I246" s="42">
        <f t="shared" si="164"/>
        <v>-292</v>
      </c>
      <c r="J246" s="60"/>
      <c r="K246" s="51">
        <f t="shared" si="165"/>
        <v>-254.91787925688249</v>
      </c>
      <c r="L246" s="41">
        <f>I246*VLOOKUP($R246,$K$3:$L$6,2,FALSE)</f>
        <v>-37.082120743117528</v>
      </c>
      <c r="M246" s="1322"/>
      <c r="N246" s="1025">
        <f t="shared" si="167"/>
        <v>-7.6465609887585897</v>
      </c>
      <c r="O246" s="1030">
        <f t="shared" si="168"/>
        <v>-6.0059628264253782</v>
      </c>
      <c r="P246" s="1025">
        <f t="shared" si="169"/>
        <v>-0.78944303953097728</v>
      </c>
      <c r="Q246" s="41">
        <f t="shared" ref="Q246:Q255" si="170">L246-N246-O246-P246</f>
        <v>-22.640153888402583</v>
      </c>
      <c r="R246" s="21" t="s">
        <v>13</v>
      </c>
      <c r="S246" s="37" t="s">
        <v>13</v>
      </c>
      <c r="T246" s="36" t="s">
        <v>13</v>
      </c>
      <c r="U246" s="151">
        <f t="shared" si="153"/>
        <v>1.1102230246251565E-15</v>
      </c>
      <c r="V246" s="132">
        <f t="shared" ref="V246:Y247" si="171">N246</f>
        <v>-7.6465609887585897</v>
      </c>
      <c r="W246" s="41">
        <f t="shared" si="171"/>
        <v>-6.0059628264253782</v>
      </c>
      <c r="X246" s="132">
        <f t="shared" si="171"/>
        <v>-0.78944303953097728</v>
      </c>
      <c r="Y246" s="62">
        <f t="shared" si="171"/>
        <v>-22.640153888402583</v>
      </c>
    </row>
    <row r="247" spans="1:25" s="38" customFormat="1" outlineLevel="1">
      <c r="A247" s="57">
        <v>751105</v>
      </c>
      <c r="B247" s="765" t="str">
        <f>VLOOKUP(A247,'Income Statement'!$A$6:$B$254,2,FALSE)</f>
        <v>Vehicle Mileage - G&amp;A</v>
      </c>
      <c r="C247" s="1413"/>
      <c r="D247" s="147">
        <v>3426</v>
      </c>
      <c r="E247" s="2029">
        <v>0</v>
      </c>
      <c r="F247" s="2030">
        <v>0</v>
      </c>
      <c r="G247" s="2021"/>
      <c r="H247" s="1385">
        <f>'Adj - Proforma'!L247</f>
        <v>0</v>
      </c>
      <c r="I247" s="42">
        <f t="shared" si="164"/>
        <v>3426</v>
      </c>
      <c r="J247" s="60"/>
      <c r="K247" s="51">
        <f t="shared" si="165"/>
        <v>2990.9200490893127</v>
      </c>
      <c r="L247" s="41">
        <f>I247*VLOOKUP($R247,$K$3:$L$6,2,FALSE)</f>
        <v>435.07995091068716</v>
      </c>
      <c r="M247" s="1322"/>
      <c r="N247" s="1025">
        <f t="shared" si="167"/>
        <v>89.716157354407287</v>
      </c>
      <c r="O247" s="1030">
        <f t="shared" si="168"/>
        <v>70.467221381278591</v>
      </c>
      <c r="P247" s="1025">
        <f t="shared" si="169"/>
        <v>9.262437854223041</v>
      </c>
      <c r="Q247" s="41">
        <f t="shared" si="170"/>
        <v>265.63413432077823</v>
      </c>
      <c r="R247" s="21" t="s">
        <v>13</v>
      </c>
      <c r="S247" s="37" t="s">
        <v>13</v>
      </c>
      <c r="T247" s="36" t="s">
        <v>13</v>
      </c>
      <c r="U247" s="151">
        <f t="shared" si="153"/>
        <v>0</v>
      </c>
      <c r="V247" s="132">
        <f t="shared" si="171"/>
        <v>89.716157354407287</v>
      </c>
      <c r="W247" s="41">
        <f t="shared" si="171"/>
        <v>70.467221381278591</v>
      </c>
      <c r="X247" s="132">
        <f t="shared" si="171"/>
        <v>9.262437854223041</v>
      </c>
      <c r="Y247" s="62">
        <f t="shared" si="171"/>
        <v>265.63413432077823</v>
      </c>
    </row>
    <row r="248" spans="1:25" s="38" customFormat="1" outlineLevel="1">
      <c r="A248" s="1382">
        <v>751106</v>
      </c>
      <c r="B248" s="1395" t="str">
        <f>VLOOKUP(A248,'Income Statement'!$A$6:$B$254,2,FALSE)</f>
        <v>Travel - G&amp;A</v>
      </c>
      <c r="C248" s="1413">
        <v>9810</v>
      </c>
      <c r="D248" s="147">
        <v>7802</v>
      </c>
      <c r="E248" s="2029">
        <v>0</v>
      </c>
      <c r="F248" s="2030">
        <v>0</v>
      </c>
      <c r="G248" s="2021"/>
      <c r="H248" s="1385">
        <f>'Adj - Proforma'!L248</f>
        <v>0</v>
      </c>
      <c r="I248" s="42">
        <f t="shared" si="164"/>
        <v>7802</v>
      </c>
      <c r="J248" s="60"/>
      <c r="K248" s="51">
        <f t="shared" si="165"/>
        <v>6811.1962121993047</v>
      </c>
      <c r="L248" s="41">
        <f t="shared" si="166"/>
        <v>990.80378780069498</v>
      </c>
      <c r="M248" s="1322"/>
      <c r="N248" s="1025">
        <f t="shared" si="167"/>
        <v>204.30982477498119</v>
      </c>
      <c r="O248" s="1030">
        <f t="shared" si="168"/>
        <v>160.47439031428357</v>
      </c>
      <c r="P248" s="1025">
        <f t="shared" si="169"/>
        <v>21.093269158974945</v>
      </c>
      <c r="Q248" s="41">
        <f t="shared" si="170"/>
        <v>604.92630355245524</v>
      </c>
      <c r="R248" s="21" t="s">
        <v>13</v>
      </c>
      <c r="S248" s="37" t="s">
        <v>13</v>
      </c>
      <c r="T248" s="36" t="s">
        <v>13</v>
      </c>
      <c r="U248" s="151">
        <f t="shared" si="153"/>
        <v>3.1974423109204508E-14</v>
      </c>
      <c r="V248" s="132">
        <f t="shared" si="133"/>
        <v>204.30982477498119</v>
      </c>
      <c r="W248" s="41">
        <f t="shared" si="134"/>
        <v>160.47439031428357</v>
      </c>
      <c r="X248" s="132">
        <f t="shared" si="135"/>
        <v>21.093269158974945</v>
      </c>
      <c r="Y248" s="62">
        <f t="shared" si="136"/>
        <v>604.92630355245524</v>
      </c>
    </row>
    <row r="249" spans="1:25" s="38" customFormat="1" outlineLevel="1">
      <c r="A249" s="57">
        <v>751108</v>
      </c>
      <c r="B249" s="765" t="e">
        <f>VLOOKUP(A249,'Income Statement'!$A$6:$B$254,2,FALSE)</f>
        <v>#N/A</v>
      </c>
      <c r="C249" s="1413">
        <v>6008</v>
      </c>
      <c r="D249" s="147">
        <v>0</v>
      </c>
      <c r="E249" s="2029">
        <v>0</v>
      </c>
      <c r="F249" s="2030">
        <v>0</v>
      </c>
      <c r="G249" s="2021"/>
      <c r="H249" s="1385">
        <f>'Adj - Proforma'!L249</f>
        <v>0</v>
      </c>
      <c r="I249" s="42">
        <f t="shared" si="164"/>
        <v>0</v>
      </c>
      <c r="J249" s="60"/>
      <c r="K249" s="51">
        <f t="shared" si="165"/>
        <v>0</v>
      </c>
      <c r="L249" s="41">
        <f>I249*VLOOKUP($R249,$K$3:$L$6,2,FALSE)</f>
        <v>0</v>
      </c>
      <c r="M249" s="1322"/>
      <c r="N249" s="1025">
        <f t="shared" si="167"/>
        <v>0</v>
      </c>
      <c r="O249" s="1030">
        <f t="shared" si="168"/>
        <v>0</v>
      </c>
      <c r="P249" s="1025">
        <f t="shared" si="169"/>
        <v>0</v>
      </c>
      <c r="Q249" s="41">
        <f t="shared" si="170"/>
        <v>0</v>
      </c>
      <c r="R249" s="21" t="s">
        <v>13</v>
      </c>
      <c r="S249" s="37" t="s">
        <v>13</v>
      </c>
      <c r="T249" s="36" t="s">
        <v>13</v>
      </c>
      <c r="U249" s="151">
        <f t="shared" si="153"/>
        <v>0</v>
      </c>
      <c r="V249" s="132">
        <f>N249</f>
        <v>0</v>
      </c>
      <c r="W249" s="41">
        <f>O249</f>
        <v>0</v>
      </c>
      <c r="X249" s="132">
        <f>P249</f>
        <v>0</v>
      </c>
      <c r="Y249" s="62">
        <f>Q249</f>
        <v>0</v>
      </c>
    </row>
    <row r="250" spans="1:25" s="38" customFormat="1" outlineLevel="1">
      <c r="A250" s="57">
        <v>751109</v>
      </c>
      <c r="B250" s="1395" t="str">
        <f>VLOOKUP(A250,'Income Statement'!$A$6:$B$254,2,FALSE)</f>
        <v>Meals &amp; Entert (50%)-G&amp;A</v>
      </c>
      <c r="C250" s="1413">
        <v>17603</v>
      </c>
      <c r="D250" s="147">
        <v>8065</v>
      </c>
      <c r="E250" s="2029">
        <v>0</v>
      </c>
      <c r="F250" s="2030">
        <v>0</v>
      </c>
      <c r="G250" s="2021"/>
      <c r="H250" s="1385">
        <f>ReviewAccts!J82</f>
        <v>-8065</v>
      </c>
      <c r="I250" s="42">
        <f t="shared" si="164"/>
        <v>0</v>
      </c>
      <c r="J250" s="60"/>
      <c r="K250" s="51">
        <f t="shared" si="165"/>
        <v>0</v>
      </c>
      <c r="L250" s="41">
        <f t="shared" si="166"/>
        <v>0</v>
      </c>
      <c r="M250" s="1322"/>
      <c r="N250" s="1025">
        <f t="shared" si="167"/>
        <v>0</v>
      </c>
      <c r="O250" s="1030">
        <f t="shared" si="168"/>
        <v>0</v>
      </c>
      <c r="P250" s="1025">
        <f t="shared" si="169"/>
        <v>0</v>
      </c>
      <c r="Q250" s="41">
        <f t="shared" si="170"/>
        <v>0</v>
      </c>
      <c r="R250" s="21" t="s">
        <v>13</v>
      </c>
      <c r="S250" s="37" t="s">
        <v>13</v>
      </c>
      <c r="T250" s="36" t="s">
        <v>13</v>
      </c>
      <c r="U250" s="151">
        <f t="shared" si="153"/>
        <v>0</v>
      </c>
      <c r="V250" s="132">
        <f t="shared" si="133"/>
        <v>0</v>
      </c>
      <c r="W250" s="41">
        <f t="shared" si="134"/>
        <v>0</v>
      </c>
      <c r="X250" s="132">
        <f t="shared" si="135"/>
        <v>0</v>
      </c>
      <c r="Y250" s="62">
        <f t="shared" si="136"/>
        <v>0</v>
      </c>
    </row>
    <row r="251" spans="1:25" s="38" customFormat="1" outlineLevel="1">
      <c r="A251" s="57">
        <v>751110</v>
      </c>
      <c r="B251" s="765" t="str">
        <f>VLOOKUP(A251,'Income Statement'!$A$6:$B$254,2,FALSE)</f>
        <v>Office Supplies - G&amp;A</v>
      </c>
      <c r="C251" s="1413">
        <v>27380</v>
      </c>
      <c r="D251" s="147">
        <v>27672</v>
      </c>
      <c r="E251" s="2029">
        <v>0</v>
      </c>
      <c r="F251" s="2030">
        <v>0</v>
      </c>
      <c r="G251" s="2021"/>
      <c r="H251" s="1385">
        <f>'Adj - Proforma'!L251</f>
        <v>0</v>
      </c>
      <c r="I251" s="42">
        <f t="shared" si="164"/>
        <v>27672</v>
      </c>
      <c r="J251" s="60"/>
      <c r="K251" s="51">
        <f t="shared" si="165"/>
        <v>24157.834091768669</v>
      </c>
      <c r="L251" s="41">
        <f>I251*VLOOKUP($R251,$K$3:$L$6,2,FALSE)</f>
        <v>3514.1659082313295</v>
      </c>
      <c r="M251" s="1322"/>
      <c r="N251" s="1025">
        <f t="shared" si="167"/>
        <v>724.64258794838247</v>
      </c>
      <c r="O251" s="1030">
        <f t="shared" si="168"/>
        <v>569.16781963302424</v>
      </c>
      <c r="P251" s="1025">
        <f t="shared" si="169"/>
        <v>74.81324585582604</v>
      </c>
      <c r="Q251" s="41">
        <f t="shared" si="170"/>
        <v>2145.5422547940966</v>
      </c>
      <c r="R251" s="21" t="s">
        <v>13</v>
      </c>
      <c r="S251" s="37" t="s">
        <v>13</v>
      </c>
      <c r="T251" s="36" t="s">
        <v>13</v>
      </c>
      <c r="U251" s="151">
        <f t="shared" si="153"/>
        <v>1.1368683772161603E-13</v>
      </c>
      <c r="V251" s="132">
        <f t="shared" si="133"/>
        <v>724.64258794838247</v>
      </c>
      <c r="W251" s="41">
        <f t="shared" si="134"/>
        <v>569.16781963302424</v>
      </c>
      <c r="X251" s="132">
        <f t="shared" si="135"/>
        <v>74.81324585582604</v>
      </c>
      <c r="Y251" s="62">
        <f t="shared" si="136"/>
        <v>2145.5422547940966</v>
      </c>
    </row>
    <row r="252" spans="1:25" s="38" customFormat="1" outlineLevel="1">
      <c r="A252" s="57">
        <v>751111</v>
      </c>
      <c r="B252" s="765" t="str">
        <f>VLOOKUP(A252,'Income Statement'!$A$6:$B$254,2,FALSE)</f>
        <v>Food/Coffee services-G&amp;A</v>
      </c>
      <c r="C252" s="1413">
        <v>101725</v>
      </c>
      <c r="D252" s="147">
        <v>30318</v>
      </c>
      <c r="E252" s="2029">
        <v>0</v>
      </c>
      <c r="F252" s="2030">
        <v>0</v>
      </c>
      <c r="G252" s="2021"/>
      <c r="H252" s="1385">
        <f>'Adj - Proforma'!L252</f>
        <v>0</v>
      </c>
      <c r="I252" s="42">
        <f t="shared" si="164"/>
        <v>30318</v>
      </c>
      <c r="J252" s="60"/>
      <c r="K252" s="51">
        <f t="shared" si="165"/>
        <v>26467.809120925216</v>
      </c>
      <c r="L252" s="41">
        <f>I252*VLOOKUP($R252,$K$3:$L$6,2,FALSE)</f>
        <v>3850.1908790747848</v>
      </c>
      <c r="M252" s="1322"/>
      <c r="N252" s="1025">
        <f t="shared" si="167"/>
        <v>793.93300019583194</v>
      </c>
      <c r="O252" s="1030">
        <f t="shared" si="168"/>
        <v>623.59171565604322</v>
      </c>
      <c r="P252" s="1025">
        <f t="shared" si="169"/>
        <v>81.966897508562212</v>
      </c>
      <c r="Q252" s="41">
        <f t="shared" si="170"/>
        <v>2350.6992657143473</v>
      </c>
      <c r="R252" s="21" t="s">
        <v>13</v>
      </c>
      <c r="S252" s="37" t="s">
        <v>13</v>
      </c>
      <c r="T252" s="36" t="s">
        <v>13</v>
      </c>
      <c r="U252" s="151">
        <f t="shared" si="153"/>
        <v>1.8474111129762605E-13</v>
      </c>
      <c r="V252" s="132">
        <f t="shared" si="133"/>
        <v>793.93300019583194</v>
      </c>
      <c r="W252" s="41">
        <f t="shared" si="134"/>
        <v>623.59171565604322</v>
      </c>
      <c r="X252" s="132">
        <f t="shared" si="135"/>
        <v>81.966897508562212</v>
      </c>
      <c r="Y252" s="62">
        <f t="shared" si="136"/>
        <v>2350.6992657143473</v>
      </c>
    </row>
    <row r="253" spans="1:25" s="38" customFormat="1" outlineLevel="1">
      <c r="A253" s="57">
        <v>751112</v>
      </c>
      <c r="B253" s="765" t="str">
        <f>VLOOKUP(A253,'Income Statement'!$A$6:$B$254,2,FALSE)</f>
        <v>Postage/Courier Exp G&amp;A</v>
      </c>
      <c r="C253" s="1413">
        <v>71137</v>
      </c>
      <c r="D253" s="147">
        <v>70647</v>
      </c>
      <c r="E253" s="2029">
        <v>0</v>
      </c>
      <c r="F253" s="2030">
        <v>0</v>
      </c>
      <c r="G253" s="2021"/>
      <c r="H253" s="1385">
        <f>'Adj - Proforma'!L253</f>
        <v>0</v>
      </c>
      <c r="I253" s="42">
        <f t="shared" si="164"/>
        <v>70647</v>
      </c>
      <c r="J253" s="60"/>
      <c r="K253" s="51">
        <f t="shared" si="165"/>
        <v>61675.28567075677</v>
      </c>
      <c r="L253" s="41">
        <f t="shared" si="166"/>
        <v>8971.714329243232</v>
      </c>
      <c r="M253" s="1322"/>
      <c r="N253" s="1025">
        <f t="shared" si="167"/>
        <v>1850.0225827836575</v>
      </c>
      <c r="O253" s="1030">
        <f t="shared" si="168"/>
        <v>1453.0933417755948</v>
      </c>
      <c r="P253" s="1025">
        <f t="shared" si="169"/>
        <v>190.99925484159229</v>
      </c>
      <c r="Q253" s="41">
        <f t="shared" si="170"/>
        <v>5477.5991498423873</v>
      </c>
      <c r="R253" s="21" t="s">
        <v>13</v>
      </c>
      <c r="S253" s="37" t="s">
        <v>13</v>
      </c>
      <c r="T253" s="36" t="s">
        <v>13</v>
      </c>
      <c r="U253" s="151">
        <f t="shared" si="153"/>
        <v>0</v>
      </c>
      <c r="V253" s="132">
        <f t="shared" si="133"/>
        <v>1850.0225827836575</v>
      </c>
      <c r="W253" s="41">
        <f t="shared" si="134"/>
        <v>1453.0933417755948</v>
      </c>
      <c r="X253" s="132">
        <f t="shared" si="135"/>
        <v>190.99925484159229</v>
      </c>
      <c r="Y253" s="62">
        <f t="shared" si="136"/>
        <v>5477.5991498423873</v>
      </c>
    </row>
    <row r="254" spans="1:25" s="38" customFormat="1" outlineLevel="1">
      <c r="A254" s="1382">
        <v>751114</v>
      </c>
      <c r="B254" s="1395" t="str">
        <f>VLOOKUP(A254,'Income Statement'!$A$6:$B$254,2,FALSE)</f>
        <v>Dues &amp; Subscriptions - G&amp;A</v>
      </c>
      <c r="C254" s="1413">
        <v>28666</v>
      </c>
      <c r="D254" s="147">
        <v>33675</v>
      </c>
      <c r="E254" s="2029">
        <v>0</v>
      </c>
      <c r="F254" s="2030">
        <v>0</v>
      </c>
      <c r="G254" s="2021"/>
      <c r="H254" s="1385">
        <f>ReviewAccts!J83</f>
        <v>-14550.96</v>
      </c>
      <c r="I254" s="42">
        <f t="shared" si="164"/>
        <v>19124.04</v>
      </c>
      <c r="J254" s="60"/>
      <c r="K254" s="51">
        <f t="shared" si="165"/>
        <v>16695.409998711613</v>
      </c>
      <c r="L254" s="41">
        <f t="shared" si="166"/>
        <v>2428.630001288388</v>
      </c>
      <c r="M254" s="1322"/>
      <c r="N254" s="1025">
        <f t="shared" si="167"/>
        <v>500.79841853239321</v>
      </c>
      <c r="O254" s="1030">
        <f t="shared" si="168"/>
        <v>393.35025113380817</v>
      </c>
      <c r="P254" s="1025">
        <f t="shared" si="169"/>
        <v>51.703220088054756</v>
      </c>
      <c r="Q254" s="41">
        <f t="shared" si="170"/>
        <v>1482.778111534132</v>
      </c>
      <c r="R254" s="21" t="s">
        <v>13</v>
      </c>
      <c r="S254" s="37" t="s">
        <v>13</v>
      </c>
      <c r="T254" s="36" t="s">
        <v>13</v>
      </c>
      <c r="U254" s="151">
        <f t="shared" si="153"/>
        <v>-1.0658141036401503E-13</v>
      </c>
      <c r="V254" s="132">
        <f t="shared" si="133"/>
        <v>500.79841853239321</v>
      </c>
      <c r="W254" s="41">
        <f t="shared" si="134"/>
        <v>393.35025113380817</v>
      </c>
      <c r="X254" s="132">
        <f t="shared" si="135"/>
        <v>51.703220088054756</v>
      </c>
      <c r="Y254" s="62">
        <f t="shared" si="136"/>
        <v>1482.778111534132</v>
      </c>
    </row>
    <row r="255" spans="1:25" s="38" customFormat="1" outlineLevel="1">
      <c r="A255" s="57">
        <v>751116</v>
      </c>
      <c r="B255" s="765" t="str">
        <f>VLOOKUP(A255,'Income Statement'!$A$6:$B$254,2,FALSE)</f>
        <v>Telephone - G&amp;A</v>
      </c>
      <c r="C255" s="1413">
        <v>69227</v>
      </c>
      <c r="D255" s="147">
        <v>41824</v>
      </c>
      <c r="E255" s="2029">
        <v>0</v>
      </c>
      <c r="F255" s="2030">
        <v>0</v>
      </c>
      <c r="G255" s="2021"/>
      <c r="H255" s="1385">
        <f>'Adj - Proforma'!L255</f>
        <v>0</v>
      </c>
      <c r="I255" s="42">
        <f t="shared" si="164"/>
        <v>41824</v>
      </c>
      <c r="J255" s="60"/>
      <c r="K255" s="51">
        <f t="shared" si="165"/>
        <v>36512.621171369356</v>
      </c>
      <c r="L255" s="41">
        <f t="shared" si="166"/>
        <v>5311.3788286306417</v>
      </c>
      <c r="M255" s="1322"/>
      <c r="N255" s="1025">
        <f t="shared" si="167"/>
        <v>1095.2389273761617</v>
      </c>
      <c r="O255" s="1030">
        <f t="shared" si="168"/>
        <v>860.2513330562158</v>
      </c>
      <c r="P255" s="1025">
        <f t="shared" si="169"/>
        <v>113.07419755254654</v>
      </c>
      <c r="Q255" s="41">
        <f t="shared" si="170"/>
        <v>3242.8143706457172</v>
      </c>
      <c r="R255" s="21" t="s">
        <v>13</v>
      </c>
      <c r="S255" s="37" t="s">
        <v>13</v>
      </c>
      <c r="T255" s="36" t="s">
        <v>13</v>
      </c>
      <c r="U255" s="151">
        <f t="shared" si="153"/>
        <v>0</v>
      </c>
      <c r="V255" s="132">
        <f t="shared" si="133"/>
        <v>1095.2389273761617</v>
      </c>
      <c r="W255" s="41">
        <f t="shared" si="134"/>
        <v>860.2513330562158</v>
      </c>
      <c r="X255" s="132">
        <f t="shared" si="135"/>
        <v>113.07419755254654</v>
      </c>
      <c r="Y255" s="62">
        <f t="shared" si="136"/>
        <v>3242.8143706457172</v>
      </c>
    </row>
    <row r="256" spans="1:25" s="38" customFormat="1" outlineLevel="1">
      <c r="A256" s="57">
        <v>751117</v>
      </c>
      <c r="B256" s="765" t="str">
        <f>VLOOKUP(A256,'Income Statement'!$A$6:$B$254,2,FALSE)</f>
        <v>Data Communications - G&amp;A</v>
      </c>
      <c r="C256" s="1413">
        <v>12000</v>
      </c>
      <c r="D256" s="147">
        <v>12696</v>
      </c>
      <c r="E256" s="2029">
        <v>0</v>
      </c>
      <c r="F256" s="2030">
        <v>0</v>
      </c>
      <c r="G256" s="2021"/>
      <c r="H256" s="1385">
        <f>'Adj - Proforma'!L256</f>
        <v>0</v>
      </c>
      <c r="I256" s="42">
        <f>SUM(D256:H256)</f>
        <v>12696</v>
      </c>
      <c r="J256" s="60"/>
      <c r="K256" s="51">
        <f>I256-L256</f>
        <v>11083.689709059519</v>
      </c>
      <c r="L256" s="41">
        <f>I256*VLOOKUP($R256,$K$3:$L$6,2,FALSE)</f>
        <v>1612.3102909404797</v>
      </c>
      <c r="M256" s="1322"/>
      <c r="N256" s="1025">
        <f>L256*VLOOKUP($S256,$K$2:$Q$6,4,FALSE)</f>
        <v>332.46828189479123</v>
      </c>
      <c r="O256" s="1030">
        <f>L256*VLOOKUP($S256,$K$2:$Q$6,5,FALSE)</f>
        <v>261.13597275444039</v>
      </c>
      <c r="P256" s="1025">
        <f>L256*VLOOKUP($S256,$K$2:$Q$6,6,FALSE)</f>
        <v>34.324550787278376</v>
      </c>
      <c r="Q256" s="41">
        <f>L256-N256-O256-P256</f>
        <v>984.38148550396966</v>
      </c>
      <c r="R256" s="21" t="s">
        <v>13</v>
      </c>
      <c r="S256" s="37" t="s">
        <v>13</v>
      </c>
      <c r="T256" s="36" t="s">
        <v>13</v>
      </c>
      <c r="U256" s="151">
        <f>L256-N256-O256-Q256-P256</f>
        <v>0</v>
      </c>
      <c r="V256" s="132">
        <f t="shared" ref="V256:Y257" si="172">N256</f>
        <v>332.46828189479123</v>
      </c>
      <c r="W256" s="41">
        <f t="shared" si="172"/>
        <v>261.13597275444039</v>
      </c>
      <c r="X256" s="132">
        <f t="shared" si="172"/>
        <v>34.324550787278376</v>
      </c>
      <c r="Y256" s="62">
        <f t="shared" si="172"/>
        <v>984.38148550396966</v>
      </c>
    </row>
    <row r="257" spans="1:25" s="38" customFormat="1" outlineLevel="1">
      <c r="A257" s="57">
        <v>751118</v>
      </c>
      <c r="B257" s="765" t="str">
        <f>VLOOKUP(A257,'Income Statement'!$A$6:$B$254,2,FALSE)</f>
        <v>Utilities - G&amp;A</v>
      </c>
      <c r="C257" s="1413"/>
      <c r="D257" s="147">
        <v>20</v>
      </c>
      <c r="E257" s="2029">
        <v>0</v>
      </c>
      <c r="F257" s="2030">
        <v>0</v>
      </c>
      <c r="G257" s="2021"/>
      <c r="H257" s="1385">
        <f>'Adj - Proforma'!L257</f>
        <v>0</v>
      </c>
      <c r="I257" s="42">
        <f>SUM(D257:H257)</f>
        <v>20</v>
      </c>
      <c r="J257" s="60"/>
      <c r="K257" s="51">
        <f>I257-L257</f>
        <v>17.460128716224826</v>
      </c>
      <c r="L257" s="41">
        <f>I257*VLOOKUP($R257,$K$3:$L$6,2,FALSE)</f>
        <v>2.5398712837751729</v>
      </c>
      <c r="M257" s="1322"/>
      <c r="N257" s="1025">
        <f>L257*VLOOKUP($S257,$K$2:$Q$6,4,FALSE)</f>
        <v>0.52373705402456083</v>
      </c>
      <c r="O257" s="1030">
        <f>L257*VLOOKUP($S257,$K$2:$Q$6,5,FALSE)</f>
        <v>0.41136731687845052</v>
      </c>
      <c r="P257" s="1025">
        <f>L257*VLOOKUP($S257,$K$2:$Q$6,6,FALSE)</f>
        <v>5.407144106376556E-2</v>
      </c>
      <c r="Q257" s="41">
        <f>L257-N257-O257-P257</f>
        <v>1.5506954718083961</v>
      </c>
      <c r="R257" s="21" t="s">
        <v>13</v>
      </c>
      <c r="S257" s="37" t="s">
        <v>13</v>
      </c>
      <c r="T257" s="36" t="s">
        <v>13</v>
      </c>
      <c r="U257" s="151">
        <f>L257-N257-O257-Q257-P257</f>
        <v>-6.9388939039072284E-17</v>
      </c>
      <c r="V257" s="132">
        <f t="shared" si="172"/>
        <v>0.52373705402456083</v>
      </c>
      <c r="W257" s="41">
        <f t="shared" si="172"/>
        <v>0.41136731687845052</v>
      </c>
      <c r="X257" s="132">
        <f t="shared" si="172"/>
        <v>5.407144106376556E-2</v>
      </c>
      <c r="Y257" s="62">
        <f t="shared" si="172"/>
        <v>1.5506954718083961</v>
      </c>
    </row>
    <row r="258" spans="1:25" s="38" customFormat="1" outlineLevel="1">
      <c r="A258" s="1382">
        <v>751120</v>
      </c>
      <c r="B258" s="1395" t="str">
        <f>VLOOKUP(A258,'Income Statement'!$A$6:$B$254,2,FALSE)</f>
        <v>Facility Maintenance - G&amp;A</v>
      </c>
      <c r="C258" s="1413">
        <v>31212</v>
      </c>
      <c r="D258" s="147">
        <v>17647</v>
      </c>
      <c r="E258" s="2029">
        <v>0</v>
      </c>
      <c r="F258" s="2030">
        <v>0</v>
      </c>
      <c r="G258" s="2021"/>
      <c r="H258" s="1385">
        <f>'Adj - Proforma'!L258</f>
        <v>0</v>
      </c>
      <c r="I258" s="42">
        <f>SUM(D258:H258)</f>
        <v>17647</v>
      </c>
      <c r="J258" s="60"/>
      <c r="K258" s="51">
        <f t="shared" si="165"/>
        <v>15405.944572760976</v>
      </c>
      <c r="L258" s="41">
        <f>I258*VLOOKUP($R258,$K$3:$L$6,2,FALSE)</f>
        <v>2241.0554272390241</v>
      </c>
      <c r="M258" s="1322"/>
      <c r="N258" s="1025">
        <f>L258*VLOOKUP($S258,$K$2:$Q$6,4,FALSE)</f>
        <v>462.11938961857135</v>
      </c>
      <c r="O258" s="1030">
        <f>L258*VLOOKUP($S258,$K$2:$Q$6,5,FALSE)</f>
        <v>362.96995204770087</v>
      </c>
      <c r="P258" s="1025">
        <f>L258*VLOOKUP($S258,$K$2:$Q$6,6,FALSE)</f>
        <v>47.709936022613547</v>
      </c>
      <c r="Q258" s="41">
        <f>L258-N258-O258-P258</f>
        <v>1368.2561495501382</v>
      </c>
      <c r="R258" s="21" t="s">
        <v>13</v>
      </c>
      <c r="S258" s="37" t="s">
        <v>13</v>
      </c>
      <c r="T258" s="36" t="s">
        <v>13</v>
      </c>
      <c r="U258" s="151">
        <f>L258-N258-O258-Q258-P258</f>
        <v>9.9475983006414026E-14</v>
      </c>
      <c r="V258" s="132">
        <f t="shared" ref="V258:Y259" si="173">N258</f>
        <v>462.11938961857135</v>
      </c>
      <c r="W258" s="41">
        <f t="shared" si="173"/>
        <v>362.96995204770087</v>
      </c>
      <c r="X258" s="132">
        <f t="shared" si="173"/>
        <v>47.709936022613547</v>
      </c>
      <c r="Y258" s="62">
        <f t="shared" si="173"/>
        <v>1368.2561495501382</v>
      </c>
    </row>
    <row r="259" spans="1:25" s="38" customFormat="1" outlineLevel="1">
      <c r="A259" s="57">
        <v>751121</v>
      </c>
      <c r="B259" s="765" t="str">
        <f>VLOOKUP(A259,'Income Statement'!$A$6:$B$254,2,FALSE)</f>
        <v>Storage Expenses-G&amp;A</v>
      </c>
      <c r="C259" s="1413">
        <v>28669</v>
      </c>
      <c r="D259" s="147">
        <v>21255</v>
      </c>
      <c r="E259" s="2029">
        <v>0</v>
      </c>
      <c r="F259" s="2030">
        <v>0</v>
      </c>
      <c r="G259" s="2021"/>
      <c r="H259" s="1385">
        <f>'Adj - Proforma'!L259</f>
        <v>0</v>
      </c>
      <c r="I259" s="42">
        <f>SUM(D259:H259)</f>
        <v>21255</v>
      </c>
      <c r="J259" s="60"/>
      <c r="K259" s="51">
        <f t="shared" si="165"/>
        <v>18555.751793167936</v>
      </c>
      <c r="L259" s="41">
        <f>I259*VLOOKUP($R259,$K$3:$L$6,2,FALSE)</f>
        <v>2699.2482068320651</v>
      </c>
      <c r="M259" s="1322"/>
      <c r="N259" s="1025">
        <f>L259*VLOOKUP($S259,$K$2:$Q$6,4,FALSE)</f>
        <v>556.60155416460213</v>
      </c>
      <c r="O259" s="1030">
        <f>L259*VLOOKUP($S259,$K$2:$Q$6,5,FALSE)</f>
        <v>437.18061601257335</v>
      </c>
      <c r="P259" s="1025">
        <f>L259*VLOOKUP($S259,$K$2:$Q$6,6,FALSE)</f>
        <v>57.464423990516849</v>
      </c>
      <c r="Q259" s="41">
        <f>L259-N259-O259-P259</f>
        <v>1648.0016126643727</v>
      </c>
      <c r="R259" s="21" t="s">
        <v>13</v>
      </c>
      <c r="S259" s="37" t="s">
        <v>13</v>
      </c>
      <c r="T259" s="36" t="s">
        <v>13</v>
      </c>
      <c r="U259" s="151">
        <f>L259-N259-O259-Q259-P259</f>
        <v>8.5265128291212022E-14</v>
      </c>
      <c r="V259" s="132">
        <f t="shared" si="173"/>
        <v>556.60155416460213</v>
      </c>
      <c r="W259" s="41">
        <f t="shared" si="173"/>
        <v>437.18061601257335</v>
      </c>
      <c r="X259" s="132">
        <f t="shared" si="173"/>
        <v>57.464423990516849</v>
      </c>
      <c r="Y259" s="62">
        <f t="shared" si="173"/>
        <v>1648.0016126643727</v>
      </c>
    </row>
    <row r="260" spans="1:25" s="38" customFormat="1" outlineLevel="1">
      <c r="A260" s="57">
        <v>751122</v>
      </c>
      <c r="B260" s="765" t="str">
        <f>VLOOKUP(A260,'Income Statement'!$A$6:$B$254,2,FALSE)</f>
        <v>Rent - G&amp;A</v>
      </c>
      <c r="C260" s="1413"/>
      <c r="D260" s="147">
        <v>68</v>
      </c>
      <c r="E260" s="2029">
        <v>0</v>
      </c>
      <c r="F260" s="2030">
        <v>0</v>
      </c>
      <c r="G260" s="2021"/>
      <c r="H260" s="1385">
        <f>'Adj - Proforma'!L260</f>
        <v>0</v>
      </c>
      <c r="I260" s="42">
        <f t="shared" si="164"/>
        <v>68</v>
      </c>
      <c r="J260" s="60"/>
      <c r="K260" s="51">
        <f t="shared" si="165"/>
        <v>59.364437635164414</v>
      </c>
      <c r="L260" s="41">
        <f t="shared" ref="L260:L281" si="174">I260*VLOOKUP($R260,$K$3:$L$6,2,FALSE)</f>
        <v>8.6355623648355877</v>
      </c>
      <c r="M260" s="1322"/>
      <c r="N260" s="1025">
        <f t="shared" si="167"/>
        <v>1.7807059836835071</v>
      </c>
      <c r="O260" s="1030">
        <f t="shared" si="168"/>
        <v>1.3986488773867318</v>
      </c>
      <c r="P260" s="1025">
        <f t="shared" si="169"/>
        <v>0.18384289961680289</v>
      </c>
      <c r="Q260" s="41">
        <f t="shared" ref="Q260:Q271" si="175">L260-N260-O260-P260</f>
        <v>5.2723646041485459</v>
      </c>
      <c r="R260" s="21" t="s">
        <v>13</v>
      </c>
      <c r="S260" s="37" t="s">
        <v>13</v>
      </c>
      <c r="T260" s="36" t="s">
        <v>13</v>
      </c>
      <c r="U260" s="151">
        <f t="shared" si="153"/>
        <v>-2.2204460492503131E-16</v>
      </c>
      <c r="V260" s="132">
        <f t="shared" si="133"/>
        <v>1.7807059836835071</v>
      </c>
      <c r="W260" s="41">
        <f t="shared" si="134"/>
        <v>1.3986488773867318</v>
      </c>
      <c r="X260" s="132">
        <f t="shared" si="135"/>
        <v>0.18384289961680289</v>
      </c>
      <c r="Y260" s="62">
        <f t="shared" si="136"/>
        <v>5.2723646041485459</v>
      </c>
    </row>
    <row r="261" spans="1:25" s="38" customFormat="1" outlineLevel="1">
      <c r="A261" s="57">
        <v>751126</v>
      </c>
      <c r="B261" s="765" t="str">
        <f>VLOOKUP(A261,'Income Statement'!$A$6:$B$254,2,FALSE)</f>
        <v>Equip Rental - G&amp;A</v>
      </c>
      <c r="C261" s="1413">
        <v>10265</v>
      </c>
      <c r="D261" s="147">
        <v>11711</v>
      </c>
      <c r="E261" s="2029">
        <v>0</v>
      </c>
      <c r="F261" s="2030">
        <v>0</v>
      </c>
      <c r="G261" s="2021"/>
      <c r="H261" s="1385">
        <f>'Adj - Proforma'!L261</f>
        <v>0</v>
      </c>
      <c r="I261" s="42">
        <f>SUM(D261:H261)</f>
        <v>11711</v>
      </c>
      <c r="J261" s="60"/>
      <c r="K261" s="51">
        <f>I261-L261</f>
        <v>10223.778369785447</v>
      </c>
      <c r="L261" s="41">
        <f>I261*VLOOKUP($R261,$K$3:$L$6,2,FALSE)</f>
        <v>1487.2216302145525</v>
      </c>
      <c r="M261" s="1322"/>
      <c r="N261" s="1025">
        <f>L261*VLOOKUP($S261,$K$2:$Q$6,4,FALSE)</f>
        <v>306.67423198408164</v>
      </c>
      <c r="O261" s="1030">
        <f>L261*VLOOKUP($S261,$K$2:$Q$6,5,FALSE)</f>
        <v>240.87613239817674</v>
      </c>
      <c r="P261" s="1025">
        <f>L261*VLOOKUP($S261,$K$2:$Q$6,6,FALSE)</f>
        <v>31.661532314887925</v>
      </c>
      <c r="Q261" s="41">
        <f>L261-N261-O261-P261</f>
        <v>908.00973351740618</v>
      </c>
      <c r="R261" s="21" t="s">
        <v>13</v>
      </c>
      <c r="S261" s="37" t="s">
        <v>13</v>
      </c>
      <c r="T261" s="36" t="s">
        <v>13</v>
      </c>
      <c r="U261" s="151">
        <f>L261-N261-O261-Q261-P261</f>
        <v>0</v>
      </c>
      <c r="V261" s="132">
        <f t="shared" ref="V261:Y262" si="176">N261</f>
        <v>306.67423198408164</v>
      </c>
      <c r="W261" s="41">
        <f t="shared" si="176"/>
        <v>240.87613239817674</v>
      </c>
      <c r="X261" s="132">
        <f t="shared" si="176"/>
        <v>31.661532314887925</v>
      </c>
      <c r="Y261" s="62">
        <f t="shared" si="176"/>
        <v>908.00973351740618</v>
      </c>
    </row>
    <row r="262" spans="1:25" s="38" customFormat="1" outlineLevel="1">
      <c r="A262" s="1382">
        <v>751128</v>
      </c>
      <c r="B262" s="1395" t="str">
        <f>VLOOKUP(A262,'Income Statement'!$A$6:$B$254,2,FALSE)</f>
        <v>Advertising - G&amp;A</v>
      </c>
      <c r="C262" s="1413">
        <v>14753</v>
      </c>
      <c r="D262" s="147">
        <v>20535</v>
      </c>
      <c r="E262" s="2029">
        <v>0</v>
      </c>
      <c r="F262" s="2030">
        <v>0</v>
      </c>
      <c r="G262" s="2021"/>
      <c r="H262" s="1385">
        <f>'Adj - Proforma'!L262</f>
        <v>0</v>
      </c>
      <c r="I262" s="42">
        <f>SUM(D262:H262)</f>
        <v>20535</v>
      </c>
      <c r="J262" s="60"/>
      <c r="K262" s="51">
        <f>I262-L262</f>
        <v>17927.18715938384</v>
      </c>
      <c r="L262" s="41">
        <f>I262*VLOOKUP($R262,$K$3:$L$6,2,FALSE)</f>
        <v>2607.8128406161591</v>
      </c>
      <c r="M262" s="1322"/>
      <c r="N262" s="1025">
        <f>L262*VLOOKUP($S262,$K$2:$Q$6,4,FALSE)</f>
        <v>537.74702021971791</v>
      </c>
      <c r="O262" s="1030">
        <f>L262*VLOOKUP($S262,$K$2:$Q$6,5,FALSE)</f>
        <v>422.37139260494916</v>
      </c>
      <c r="P262" s="1025">
        <f>L262*VLOOKUP($S262,$K$2:$Q$6,6,FALSE)</f>
        <v>55.517852112221298</v>
      </c>
      <c r="Q262" s="41">
        <f>L262-N262-O262-P262</f>
        <v>1592.1765756792709</v>
      </c>
      <c r="R262" s="21" t="s">
        <v>13</v>
      </c>
      <c r="S262" s="37" t="s">
        <v>13</v>
      </c>
      <c r="T262" s="36" t="s">
        <v>13</v>
      </c>
      <c r="U262" s="151">
        <f>L262-N262-O262-Q262-P262</f>
        <v>6.3948846218409017E-14</v>
      </c>
      <c r="V262" s="132">
        <f t="shared" si="176"/>
        <v>537.74702021971791</v>
      </c>
      <c r="W262" s="41">
        <f t="shared" si="176"/>
        <v>422.37139260494916</v>
      </c>
      <c r="X262" s="132">
        <f t="shared" si="176"/>
        <v>55.517852112221298</v>
      </c>
      <c r="Y262" s="62">
        <f t="shared" si="176"/>
        <v>1592.1765756792709</v>
      </c>
    </row>
    <row r="263" spans="1:25" s="38" customFormat="1" outlineLevel="1">
      <c r="A263" s="1382">
        <v>751130</v>
      </c>
      <c r="B263" s="1395" t="str">
        <f>VLOOKUP(A263,'Income Statement'!$A$6:$B$254,2,FALSE)</f>
        <v>Printing/Reproduction</v>
      </c>
      <c r="C263" s="1413">
        <v>62442</v>
      </c>
      <c r="D263" s="147">
        <v>26245</v>
      </c>
      <c r="E263" s="2029">
        <v>0</v>
      </c>
      <c r="F263" s="2030">
        <v>0</v>
      </c>
      <c r="G263" s="2021"/>
      <c r="H263" s="1385">
        <f>'Adj - Proforma'!L263</f>
        <v>0</v>
      </c>
      <c r="I263" s="42">
        <f t="shared" si="164"/>
        <v>26245</v>
      </c>
      <c r="J263" s="60"/>
      <c r="K263" s="51">
        <f t="shared" si="165"/>
        <v>22912.053907866029</v>
      </c>
      <c r="L263" s="41">
        <f t="shared" si="174"/>
        <v>3332.946092133971</v>
      </c>
      <c r="M263" s="1322"/>
      <c r="N263" s="1119">
        <f>L263*VLOOKUP($S263,$K$2:$Q$6,4,FALSE)</f>
        <v>687.27394914373008</v>
      </c>
      <c r="O263" s="1120">
        <f t="shared" si="168"/>
        <v>539.81676157374682</v>
      </c>
      <c r="P263" s="1119">
        <f>L263*VLOOKUP($S263,$K$2:$Q$6,6,FALSE)</f>
        <v>70.955248535926358</v>
      </c>
      <c r="Q263" s="1120">
        <f t="shared" si="175"/>
        <v>2034.900132880568</v>
      </c>
      <c r="R263" s="21" t="s">
        <v>13</v>
      </c>
      <c r="S263" s="37" t="s">
        <v>13</v>
      </c>
      <c r="T263" s="36" t="s">
        <v>13</v>
      </c>
      <c r="U263" s="151">
        <f t="shared" si="153"/>
        <v>0</v>
      </c>
      <c r="V263" s="132">
        <f t="shared" si="133"/>
        <v>687.27394914373008</v>
      </c>
      <c r="W263" s="41">
        <f t="shared" si="134"/>
        <v>539.81676157374682</v>
      </c>
      <c r="X263" s="132">
        <f t="shared" si="135"/>
        <v>70.955248535926358</v>
      </c>
      <c r="Y263" s="62">
        <f t="shared" si="136"/>
        <v>2034.900132880568</v>
      </c>
    </row>
    <row r="264" spans="1:25" s="38" customFormat="1" outlineLevel="1">
      <c r="A264" s="1382">
        <v>751134</v>
      </c>
      <c r="B264" s="1395" t="str">
        <f>VLOOKUP(A264,'Income Statement'!$A$6:$B$254,2,FALSE)</f>
        <v>Meetings &amp; Events</v>
      </c>
      <c r="C264" s="1413">
        <v>1949</v>
      </c>
      <c r="D264" s="147">
        <v>23162</v>
      </c>
      <c r="E264" s="2029">
        <v>0</v>
      </c>
      <c r="F264" s="2030">
        <v>0</v>
      </c>
      <c r="G264" s="2021"/>
      <c r="H264" s="1385">
        <f>'Adj - Proforma'!L264</f>
        <v>0</v>
      </c>
      <c r="I264" s="42">
        <f t="shared" si="164"/>
        <v>23162</v>
      </c>
      <c r="J264" s="60"/>
      <c r="K264" s="51">
        <f t="shared" si="165"/>
        <v>20220.575066259971</v>
      </c>
      <c r="L264" s="41">
        <f t="shared" si="174"/>
        <v>2941.4249337400279</v>
      </c>
      <c r="M264" s="1322"/>
      <c r="N264" s="1025">
        <f t="shared" si="167"/>
        <v>606.53988226584397</v>
      </c>
      <c r="O264" s="1030">
        <f t="shared" si="168"/>
        <v>476.40448967693362</v>
      </c>
      <c r="P264" s="1025">
        <f t="shared" si="169"/>
        <v>62.620135895946902</v>
      </c>
      <c r="Q264" s="41">
        <f t="shared" si="175"/>
        <v>1795.8604259013032</v>
      </c>
      <c r="R264" s="21" t="s">
        <v>13</v>
      </c>
      <c r="S264" s="37" t="s">
        <v>13</v>
      </c>
      <c r="T264" s="36" t="s">
        <v>13</v>
      </c>
      <c r="U264" s="151">
        <f t="shared" si="153"/>
        <v>8.5265128291212022E-14</v>
      </c>
      <c r="V264" s="132">
        <f t="shared" si="133"/>
        <v>606.53988226584397</v>
      </c>
      <c r="W264" s="41">
        <f t="shared" si="134"/>
        <v>476.40448967693362</v>
      </c>
      <c r="X264" s="132">
        <f t="shared" si="135"/>
        <v>62.620135895946902</v>
      </c>
      <c r="Y264" s="62">
        <f t="shared" si="136"/>
        <v>1795.8604259013032</v>
      </c>
    </row>
    <row r="265" spans="1:25" s="38" customFormat="1" outlineLevel="1">
      <c r="A265" s="1382">
        <v>751138</v>
      </c>
      <c r="B265" s="1395" t="str">
        <f>VLOOKUP(A265,'Income Statement'!$A$6:$B$254,2,FALSE)</f>
        <v>Outside Training - G&amp;A</v>
      </c>
      <c r="C265" s="1413"/>
      <c r="D265" s="147">
        <v>5500</v>
      </c>
      <c r="E265" s="2029">
        <v>0</v>
      </c>
      <c r="F265" s="2030">
        <v>0</v>
      </c>
      <c r="G265" s="2021"/>
      <c r="H265" s="1385">
        <f>'Adj - Proforma'!L265</f>
        <v>0</v>
      </c>
      <c r="I265" s="42">
        <f t="shared" si="164"/>
        <v>5500</v>
      </c>
      <c r="J265" s="60"/>
      <c r="K265" s="51">
        <f t="shared" si="165"/>
        <v>4801.5353969618272</v>
      </c>
      <c r="L265" s="41">
        <f>I265*VLOOKUP($R265,$K$3:$L$6,2,FALSE)</f>
        <v>698.46460303817253</v>
      </c>
      <c r="M265" s="1322"/>
      <c r="N265" s="1025">
        <f t="shared" si="167"/>
        <v>144.02768985675425</v>
      </c>
      <c r="O265" s="1030">
        <f t="shared" si="168"/>
        <v>113.1260121415739</v>
      </c>
      <c r="P265" s="1025">
        <f t="shared" si="169"/>
        <v>14.869646292535529</v>
      </c>
      <c r="Q265" s="41">
        <f t="shared" si="175"/>
        <v>426.44125474730885</v>
      </c>
      <c r="R265" s="21" t="s">
        <v>13</v>
      </c>
      <c r="S265" s="37" t="s">
        <v>13</v>
      </c>
      <c r="T265" s="36" t="s">
        <v>13</v>
      </c>
      <c r="U265" s="151">
        <f t="shared" si="153"/>
        <v>1.9539925233402755E-14</v>
      </c>
      <c r="V265" s="132">
        <f t="shared" ref="V265:Y266" si="177">N265</f>
        <v>144.02768985675425</v>
      </c>
      <c r="W265" s="41">
        <f t="shared" si="177"/>
        <v>113.1260121415739</v>
      </c>
      <c r="X265" s="132">
        <f t="shared" si="177"/>
        <v>14.869646292535529</v>
      </c>
      <c r="Y265" s="62">
        <f t="shared" si="177"/>
        <v>426.44125474730885</v>
      </c>
    </row>
    <row r="266" spans="1:25" s="38" customFormat="1" outlineLevel="1">
      <c r="A266" s="1382">
        <v>751140</v>
      </c>
      <c r="B266" s="1395" t="str">
        <f>VLOOKUP(A266,'Income Statement'!$A$6:$B$254,2,FALSE)</f>
        <v>Bank Fees</v>
      </c>
      <c r="C266" s="1413">
        <v>443185</v>
      </c>
      <c r="D266" s="147">
        <v>401800</v>
      </c>
      <c r="E266" s="2029">
        <v>0</v>
      </c>
      <c r="F266" s="2030">
        <v>0</v>
      </c>
      <c r="G266" s="2021"/>
      <c r="H266" s="1385">
        <f>'Adj - Proforma'!L266</f>
        <v>0</v>
      </c>
      <c r="I266" s="42">
        <f t="shared" si="164"/>
        <v>401800</v>
      </c>
      <c r="J266" s="60"/>
      <c r="K266" s="51">
        <f t="shared" si="165"/>
        <v>350773.98590895679</v>
      </c>
      <c r="L266" s="41">
        <f>I266*VLOOKUP($R266,$K$3:$L$6,2,FALSE)</f>
        <v>51026.014091043224</v>
      </c>
      <c r="M266" s="1322"/>
      <c r="N266" s="1025">
        <f t="shared" si="167"/>
        <v>10521.877415353429</v>
      </c>
      <c r="O266" s="1030">
        <f t="shared" si="168"/>
        <v>8264.3693960880719</v>
      </c>
      <c r="P266" s="1025">
        <f t="shared" si="169"/>
        <v>1086.2952509710501</v>
      </c>
      <c r="Q266" s="41">
        <f t="shared" si="175"/>
        <v>31153.472028630673</v>
      </c>
      <c r="R266" s="21" t="s">
        <v>13</v>
      </c>
      <c r="S266" s="37" t="s">
        <v>13</v>
      </c>
      <c r="T266" s="36" t="s">
        <v>13</v>
      </c>
      <c r="U266" s="151">
        <f t="shared" si="153"/>
        <v>0</v>
      </c>
      <c r="V266" s="132">
        <f t="shared" si="177"/>
        <v>10521.877415353429</v>
      </c>
      <c r="W266" s="41">
        <f t="shared" si="177"/>
        <v>8264.3693960880719</v>
      </c>
      <c r="X266" s="132">
        <f t="shared" si="177"/>
        <v>1086.2952509710501</v>
      </c>
      <c r="Y266" s="62">
        <f t="shared" si="177"/>
        <v>31153.472028630673</v>
      </c>
    </row>
    <row r="267" spans="1:25" s="38" customFormat="1" outlineLevel="1">
      <c r="A267" s="1382">
        <v>751144</v>
      </c>
      <c r="B267" s="1395" t="str">
        <f>VLOOKUP(A267,'Income Statement'!$A$6:$B$254,2,FALSE)</f>
        <v>Legal Fees</v>
      </c>
      <c r="C267" s="1413">
        <v>78662</v>
      </c>
      <c r="D267" s="147">
        <v>234497</v>
      </c>
      <c r="E267" s="2029">
        <v>0</v>
      </c>
      <c r="F267" s="2030">
        <v>0</v>
      </c>
      <c r="G267" s="2021">
        <f>+'Legal Exp Adj'!I6</f>
        <v>-77917.5</v>
      </c>
      <c r="H267" s="1385">
        <f>'Adj - Proforma'!L267</f>
        <v>0</v>
      </c>
      <c r="I267" s="42">
        <f t="shared" si="164"/>
        <v>156579.5</v>
      </c>
      <c r="J267" s="60"/>
      <c r="K267" s="51">
        <f t="shared" si="165"/>
        <v>136694.91121610627</v>
      </c>
      <c r="L267" s="41">
        <f>I267*VLOOKUP($R267,$K$3:$L$6,2,FALSE)</f>
        <v>19884.588783893734</v>
      </c>
      <c r="M267" s="1322"/>
      <c r="N267" s="1025">
        <f t="shared" si="167"/>
        <v>4100.3243025319362</v>
      </c>
      <c r="O267" s="1030">
        <f t="shared" si="168"/>
        <v>3220.5844396584675</v>
      </c>
      <c r="P267" s="1025">
        <f t="shared" si="169"/>
        <v>423.323960302194</v>
      </c>
      <c r="Q267" s="41">
        <f t="shared" si="175"/>
        <v>12140.356081401138</v>
      </c>
      <c r="R267" s="21" t="s">
        <v>13</v>
      </c>
      <c r="S267" s="37" t="s">
        <v>13</v>
      </c>
      <c r="T267" s="36" t="s">
        <v>13</v>
      </c>
      <c r="U267" s="151">
        <f t="shared" si="153"/>
        <v>0</v>
      </c>
      <c r="V267" s="132">
        <f t="shared" si="133"/>
        <v>4100.3243025319362</v>
      </c>
      <c r="W267" s="41">
        <f t="shared" si="134"/>
        <v>3220.5844396584675</v>
      </c>
      <c r="X267" s="132">
        <f t="shared" si="135"/>
        <v>423.323960302194</v>
      </c>
      <c r="Y267" s="62">
        <f t="shared" si="136"/>
        <v>12140.356081401138</v>
      </c>
    </row>
    <row r="268" spans="1:25" s="38" customFormat="1" outlineLevel="1">
      <c r="A268" s="1382">
        <v>751145</v>
      </c>
      <c r="B268" s="1395" t="str">
        <f>VLOOKUP(A268,'Income Statement'!$A$6:$B$254,2,FALSE)</f>
        <v>Legal Settlements</v>
      </c>
      <c r="C268" s="1413"/>
      <c r="D268" s="147">
        <v>108536</v>
      </c>
      <c r="E268" s="2029">
        <v>0</v>
      </c>
      <c r="F268" s="2030">
        <v>0</v>
      </c>
      <c r="G268" s="2021"/>
      <c r="H268" s="1385">
        <f>'Adj - Proforma'!L268</f>
        <v>0</v>
      </c>
      <c r="I268" s="42">
        <f t="shared" si="164"/>
        <v>108536</v>
      </c>
      <c r="J268" s="60"/>
      <c r="K268" s="51">
        <f t="shared" si="165"/>
        <v>94752.62651720889</v>
      </c>
      <c r="L268" s="41">
        <f>I268*VLOOKUP($R268,$K$3:$L$6,2,FALSE)</f>
        <v>13783.373482791108</v>
      </c>
      <c r="M268" s="1322"/>
      <c r="N268" s="1025">
        <f t="shared" si="167"/>
        <v>2842.2162447804872</v>
      </c>
      <c r="O268" s="1030">
        <f t="shared" si="168"/>
        <v>2232.4081552359753</v>
      </c>
      <c r="P268" s="1025">
        <f t="shared" si="169"/>
        <v>293.43489636484293</v>
      </c>
      <c r="Q268" s="41">
        <f t="shared" si="175"/>
        <v>8415.3141864098034</v>
      </c>
      <c r="R268" s="21" t="s">
        <v>13</v>
      </c>
      <c r="S268" s="37" t="s">
        <v>13</v>
      </c>
      <c r="T268" s="36"/>
      <c r="U268" s="151">
        <f t="shared" si="153"/>
        <v>0</v>
      </c>
      <c r="V268" s="132"/>
      <c r="W268" s="41"/>
      <c r="X268" s="132"/>
      <c r="Y268" s="62"/>
    </row>
    <row r="269" spans="1:25" s="38" customFormat="1" outlineLevel="1">
      <c r="A269" s="57">
        <v>751150</v>
      </c>
      <c r="B269" s="765" t="e">
        <f>VLOOKUP(A269,'Income Statement'!$A$6:$B$254,2,FALSE)</f>
        <v>#N/A</v>
      </c>
      <c r="C269" s="1413"/>
      <c r="D269" s="147">
        <v>0</v>
      </c>
      <c r="E269" s="2029">
        <v>0</v>
      </c>
      <c r="F269" s="2030">
        <v>0</v>
      </c>
      <c r="G269" s="2021"/>
      <c r="H269" s="1385">
        <f>'Adj - Proforma'!L269</f>
        <v>0</v>
      </c>
      <c r="I269" s="42">
        <f t="shared" si="164"/>
        <v>0</v>
      </c>
      <c r="J269" s="60"/>
      <c r="K269" s="51">
        <f t="shared" si="165"/>
        <v>0</v>
      </c>
      <c r="L269" s="41">
        <f t="shared" si="174"/>
        <v>0</v>
      </c>
      <c r="M269" s="1322"/>
      <c r="N269" s="1025">
        <f t="shared" si="167"/>
        <v>0</v>
      </c>
      <c r="O269" s="1030">
        <f t="shared" si="168"/>
        <v>0</v>
      </c>
      <c r="P269" s="1025">
        <f t="shared" si="169"/>
        <v>0</v>
      </c>
      <c r="Q269" s="41">
        <f t="shared" si="175"/>
        <v>0</v>
      </c>
      <c r="R269" s="21" t="s">
        <v>13</v>
      </c>
      <c r="S269" s="37" t="s">
        <v>13</v>
      </c>
      <c r="T269" s="36" t="s">
        <v>13</v>
      </c>
      <c r="U269" s="151">
        <f t="shared" si="153"/>
        <v>0</v>
      </c>
      <c r="V269" s="132">
        <f t="shared" si="133"/>
        <v>0</v>
      </c>
      <c r="W269" s="41">
        <f t="shared" si="134"/>
        <v>0</v>
      </c>
      <c r="X269" s="132">
        <f t="shared" si="135"/>
        <v>0</v>
      </c>
      <c r="Y269" s="62">
        <f t="shared" si="136"/>
        <v>0</v>
      </c>
    </row>
    <row r="270" spans="1:25" s="38" customFormat="1" outlineLevel="1">
      <c r="A270" s="1382">
        <v>751152</v>
      </c>
      <c r="B270" s="1395" t="str">
        <f>VLOOKUP(A270,'Income Statement'!$A$6:$B$254,2,FALSE)</f>
        <v>Lobbyist Fees</v>
      </c>
      <c r="C270" s="1413">
        <v>39500</v>
      </c>
      <c r="D270" s="147">
        <v>46000</v>
      </c>
      <c r="E270" s="2029">
        <v>0</v>
      </c>
      <c r="F270" s="2030">
        <v>0</v>
      </c>
      <c r="G270" s="2021"/>
      <c r="H270" s="1385">
        <f>ReviewAccts!I92</f>
        <v>-46000</v>
      </c>
      <c r="I270" s="42">
        <f t="shared" si="164"/>
        <v>0</v>
      </c>
      <c r="J270" s="60"/>
      <c r="K270" s="51">
        <f t="shared" si="165"/>
        <v>0</v>
      </c>
      <c r="L270" s="41">
        <f t="shared" si="174"/>
        <v>0</v>
      </c>
      <c r="M270" s="1322"/>
      <c r="N270" s="1025">
        <f t="shared" si="167"/>
        <v>0</v>
      </c>
      <c r="O270" s="1030">
        <f t="shared" si="168"/>
        <v>0</v>
      </c>
      <c r="P270" s="1025">
        <f t="shared" si="169"/>
        <v>0</v>
      </c>
      <c r="Q270" s="41">
        <f t="shared" si="175"/>
        <v>0</v>
      </c>
      <c r="R270" s="21" t="s">
        <v>13</v>
      </c>
      <c r="S270" s="37" t="s">
        <v>13</v>
      </c>
      <c r="T270" s="36" t="s">
        <v>13</v>
      </c>
      <c r="U270" s="151">
        <f t="shared" si="153"/>
        <v>0</v>
      </c>
      <c r="V270" s="132">
        <f t="shared" si="133"/>
        <v>0</v>
      </c>
      <c r="W270" s="41">
        <f t="shared" si="134"/>
        <v>0</v>
      </c>
      <c r="X270" s="132">
        <f t="shared" si="135"/>
        <v>0</v>
      </c>
      <c r="Y270" s="62">
        <f t="shared" si="136"/>
        <v>0</v>
      </c>
    </row>
    <row r="271" spans="1:25" s="38" customFormat="1" outlineLevel="1">
      <c r="A271" s="57">
        <v>751153</v>
      </c>
      <c r="B271" s="765" t="str">
        <f>VLOOKUP(A271,'Income Statement'!$A$6:$B$254,2,FALSE)</f>
        <v>Payroll Processing Fees</v>
      </c>
      <c r="C271" s="1413">
        <v>5366</v>
      </c>
      <c r="D271" s="147">
        <v>4403</v>
      </c>
      <c r="E271" s="2029">
        <v>0</v>
      </c>
      <c r="F271" s="2030">
        <v>0</v>
      </c>
      <c r="G271" s="2021"/>
      <c r="H271" s="1385">
        <f>'Adj - Proforma'!L271</f>
        <v>0</v>
      </c>
      <c r="I271" s="42">
        <f t="shared" si="164"/>
        <v>4403</v>
      </c>
      <c r="J271" s="60"/>
      <c r="K271" s="51">
        <f t="shared" si="165"/>
        <v>3843.8473368768955</v>
      </c>
      <c r="L271" s="41">
        <f>I271*VLOOKUP($R271,$K$3:$L$6,2,FALSE)</f>
        <v>559.15266312310439</v>
      </c>
      <c r="M271" s="1322"/>
      <c r="N271" s="1025">
        <f t="shared" si="167"/>
        <v>115.30071244350709</v>
      </c>
      <c r="O271" s="1030">
        <f t="shared" si="168"/>
        <v>90.562514810790901</v>
      </c>
      <c r="P271" s="1025">
        <f t="shared" si="169"/>
        <v>11.90382775018799</v>
      </c>
      <c r="Q271" s="41">
        <f t="shared" si="175"/>
        <v>341.38560811861839</v>
      </c>
      <c r="R271" s="21" t="s">
        <v>13</v>
      </c>
      <c r="S271" s="37" t="s">
        <v>13</v>
      </c>
      <c r="T271" s="36" t="s">
        <v>13</v>
      </c>
      <c r="U271" s="151">
        <f t="shared" si="153"/>
        <v>0</v>
      </c>
      <c r="V271" s="132">
        <f t="shared" ref="V271:Y272" si="178">N271</f>
        <v>115.30071244350709</v>
      </c>
      <c r="W271" s="41">
        <f t="shared" si="178"/>
        <v>90.562514810790901</v>
      </c>
      <c r="X271" s="132">
        <f t="shared" si="178"/>
        <v>11.90382775018799</v>
      </c>
      <c r="Y271" s="62">
        <f t="shared" si="178"/>
        <v>341.38560811861839</v>
      </c>
    </row>
    <row r="272" spans="1:25" s="38" customFormat="1" outlineLevel="1">
      <c r="A272" s="57">
        <v>751156</v>
      </c>
      <c r="B272" s="765" t="str">
        <f>VLOOKUP(A272,'Income Statement'!$A$6:$B$254,2,FALSE)</f>
        <v>Outside Credit &amp; Collections</v>
      </c>
      <c r="C272" s="1413">
        <v>21342</v>
      </c>
      <c r="D272" s="147">
        <v>20476</v>
      </c>
      <c r="E272" s="2029">
        <v>0</v>
      </c>
      <c r="F272" s="2030">
        <v>0</v>
      </c>
      <c r="G272" s="2021"/>
      <c r="H272" s="1385">
        <f>'Adj - Proforma'!L272</f>
        <v>0</v>
      </c>
      <c r="I272" s="42">
        <f t="shared" si="164"/>
        <v>20476</v>
      </c>
      <c r="J272" s="60"/>
      <c r="K272" s="51">
        <f t="shared" si="165"/>
        <v>17875.67977967098</v>
      </c>
      <c r="L272" s="41">
        <f>I272*VLOOKUP($R272,$K$3:$L$6,2,FALSE)</f>
        <v>2600.320220329022</v>
      </c>
      <c r="M272" s="1322"/>
      <c r="N272" s="1025">
        <f t="shared" si="167"/>
        <v>536.20199591034543</v>
      </c>
      <c r="O272" s="1030">
        <f t="shared" si="168"/>
        <v>421.15785902015767</v>
      </c>
      <c r="P272" s="1025">
        <f t="shared" si="169"/>
        <v>55.358341361083184</v>
      </c>
      <c r="Q272" s="41">
        <f t="shared" ref="Q272:Q285" si="179">L272-N272-O272-P272</f>
        <v>1587.6020240374357</v>
      </c>
      <c r="R272" s="21" t="s">
        <v>13</v>
      </c>
      <c r="S272" s="37" t="s">
        <v>13</v>
      </c>
      <c r="T272" s="36" t="s">
        <v>13</v>
      </c>
      <c r="U272" s="151">
        <f t="shared" si="153"/>
        <v>0</v>
      </c>
      <c r="V272" s="132">
        <f t="shared" si="178"/>
        <v>536.20199591034543</v>
      </c>
      <c r="W272" s="41">
        <f t="shared" si="178"/>
        <v>421.15785902015767</v>
      </c>
      <c r="X272" s="132">
        <f t="shared" si="178"/>
        <v>55.358341361083184</v>
      </c>
      <c r="Y272" s="62">
        <f t="shared" si="178"/>
        <v>1587.6020240374357</v>
      </c>
    </row>
    <row r="273" spans="1:25" s="38" customFormat="1" outlineLevel="1">
      <c r="A273" s="1382">
        <v>751158</v>
      </c>
      <c r="B273" s="1395" t="str">
        <f>VLOOKUP(A273,'Income Statement'!$A$6:$B$254,2,FALSE)</f>
        <v>Other Consulting/Prof Fees</v>
      </c>
      <c r="C273" s="1413">
        <v>60883</v>
      </c>
      <c r="D273" s="147">
        <v>64545</v>
      </c>
      <c r="E273" s="2029">
        <v>0</v>
      </c>
      <c r="F273" s="2030">
        <v>0</v>
      </c>
      <c r="G273" s="2021"/>
      <c r="H273" s="1385">
        <f>ReviewAccts!I93</f>
        <v>-21638.87</v>
      </c>
      <c r="I273" s="42">
        <f t="shared" si="164"/>
        <v>42906.130000000005</v>
      </c>
      <c r="J273" s="60"/>
      <c r="K273" s="51">
        <f t="shared" si="165"/>
        <v>37457.32762575378</v>
      </c>
      <c r="L273" s="41">
        <f t="shared" si="174"/>
        <v>5448.8023742462237</v>
      </c>
      <c r="M273" s="1322"/>
      <c r="N273" s="1025">
        <f t="shared" si="167"/>
        <v>1123.5765062897417</v>
      </c>
      <c r="O273" s="1030">
        <f t="shared" si="168"/>
        <v>882.50897878689977</v>
      </c>
      <c r="P273" s="1025">
        <f t="shared" si="169"/>
        <v>115.99981397846318</v>
      </c>
      <c r="Q273" s="41">
        <f t="shared" si="179"/>
        <v>3326.717075191119</v>
      </c>
      <c r="R273" s="21" t="s">
        <v>13</v>
      </c>
      <c r="S273" s="37" t="s">
        <v>13</v>
      </c>
      <c r="T273" s="36" t="s">
        <v>13</v>
      </c>
      <c r="U273" s="151">
        <f t="shared" si="153"/>
        <v>2.2737367544323206E-13</v>
      </c>
      <c r="V273" s="132">
        <f t="shared" si="133"/>
        <v>1123.5765062897417</v>
      </c>
      <c r="W273" s="41">
        <f t="shared" si="134"/>
        <v>882.50897878689977</v>
      </c>
      <c r="X273" s="132">
        <f t="shared" si="135"/>
        <v>115.99981397846318</v>
      </c>
      <c r="Y273" s="62">
        <f t="shared" si="136"/>
        <v>3326.717075191119</v>
      </c>
    </row>
    <row r="274" spans="1:25" s="38" customFormat="1" outlineLevel="1">
      <c r="A274" s="57">
        <v>751160</v>
      </c>
      <c r="B274" s="765" t="e">
        <f>VLOOKUP(A274,'Income Statement'!$A$6:$B$254,2,FALSE)</f>
        <v>#N/A</v>
      </c>
      <c r="C274" s="1413"/>
      <c r="D274" s="147">
        <v>0</v>
      </c>
      <c r="E274" s="2029">
        <v>0</v>
      </c>
      <c r="F274" s="2030">
        <v>0</v>
      </c>
      <c r="G274" s="2021"/>
      <c r="H274" s="1385">
        <f>'Adj - Proforma'!L274</f>
        <v>0</v>
      </c>
      <c r="I274" s="42">
        <f t="shared" si="164"/>
        <v>0</v>
      </c>
      <c r="J274" s="60"/>
      <c r="K274" s="51">
        <f t="shared" si="165"/>
        <v>0</v>
      </c>
      <c r="L274" s="41">
        <f t="shared" si="174"/>
        <v>0</v>
      </c>
      <c r="M274" s="1322"/>
      <c r="N274" s="1025">
        <f t="shared" si="167"/>
        <v>0</v>
      </c>
      <c r="O274" s="1030">
        <f t="shared" si="168"/>
        <v>0</v>
      </c>
      <c r="P274" s="1025">
        <f t="shared" si="169"/>
        <v>0</v>
      </c>
      <c r="Q274" s="41">
        <f t="shared" si="179"/>
        <v>0</v>
      </c>
      <c r="R274" s="21" t="s">
        <v>13</v>
      </c>
      <c r="S274" s="37" t="s">
        <v>13</v>
      </c>
      <c r="T274" s="36" t="s">
        <v>13</v>
      </c>
      <c r="U274" s="151">
        <f t="shared" si="153"/>
        <v>0</v>
      </c>
      <c r="V274" s="132">
        <f t="shared" si="133"/>
        <v>0</v>
      </c>
      <c r="W274" s="41">
        <f t="shared" si="134"/>
        <v>0</v>
      </c>
      <c r="X274" s="132">
        <f t="shared" si="135"/>
        <v>0</v>
      </c>
      <c r="Y274" s="62">
        <f t="shared" si="136"/>
        <v>0</v>
      </c>
    </row>
    <row r="275" spans="1:25" s="24" customFormat="1" outlineLevel="1">
      <c r="A275" s="57">
        <v>751164</v>
      </c>
      <c r="B275" s="765" t="str">
        <f>VLOOKUP(A275,'Income Statement'!$A$6:$B$254,2,FALSE)</f>
        <v>Software Maintenance &amp; Licenses</v>
      </c>
      <c r="C275" s="1413"/>
      <c r="D275" s="147">
        <v>4359</v>
      </c>
      <c r="E275" s="2029">
        <v>0</v>
      </c>
      <c r="F275" s="2030">
        <v>0</v>
      </c>
      <c r="G275" s="2021"/>
      <c r="H275" s="1385">
        <f>'Adj - Proforma'!L275</f>
        <v>0</v>
      </c>
      <c r="I275" s="139">
        <f t="shared" si="164"/>
        <v>4359</v>
      </c>
      <c r="J275" s="138"/>
      <c r="K275" s="61">
        <f t="shared" si="165"/>
        <v>3805.435053701201</v>
      </c>
      <c r="L275" s="41">
        <f t="shared" si="174"/>
        <v>553.56494629879899</v>
      </c>
      <c r="M275" s="1322"/>
      <c r="N275" s="1025">
        <f t="shared" si="167"/>
        <v>114.14849092465306</v>
      </c>
      <c r="O275" s="1030">
        <f t="shared" si="168"/>
        <v>89.657506713658307</v>
      </c>
      <c r="P275" s="1025">
        <f t="shared" si="169"/>
        <v>11.784870579847706</v>
      </c>
      <c r="Q275" s="41">
        <f t="shared" si="179"/>
        <v>337.97407808063986</v>
      </c>
      <c r="R275" s="21" t="s">
        <v>13</v>
      </c>
      <c r="S275" s="37" t="s">
        <v>13</v>
      </c>
      <c r="T275" s="36" t="s">
        <v>13</v>
      </c>
      <c r="U275" s="151">
        <f t="shared" si="153"/>
        <v>2.8421709430404007E-14</v>
      </c>
      <c r="V275" s="132">
        <f t="shared" si="133"/>
        <v>114.14849092465306</v>
      </c>
      <c r="W275" s="41">
        <f t="shared" si="134"/>
        <v>89.657506713658307</v>
      </c>
      <c r="X275" s="132">
        <f t="shared" si="135"/>
        <v>11.784870579847706</v>
      </c>
      <c r="Y275" s="62">
        <f t="shared" si="136"/>
        <v>337.97407808063986</v>
      </c>
    </row>
    <row r="276" spans="1:25" s="24" customFormat="1" outlineLevel="1">
      <c r="A276" s="57">
        <v>751166</v>
      </c>
      <c r="B276" s="765" t="str">
        <f>VLOOKUP(A276,'Income Statement'!$A$6:$B$254,2,FALSE)</f>
        <v>Hardware Maintenance</v>
      </c>
      <c r="C276" s="1413"/>
      <c r="D276" s="147">
        <v>4058</v>
      </c>
      <c r="E276" s="2029">
        <v>0</v>
      </c>
      <c r="F276" s="2030">
        <v>0</v>
      </c>
      <c r="G276" s="2021"/>
      <c r="H276" s="1385">
        <f>'Adj - Proforma'!L276</f>
        <v>0</v>
      </c>
      <c r="I276" s="139">
        <f>SUM(D276:H276)</f>
        <v>4058</v>
      </c>
      <c r="J276" s="138"/>
      <c r="K276" s="61">
        <f>I276-L276</f>
        <v>3542.6601165220172</v>
      </c>
      <c r="L276" s="41">
        <f>I276*VLOOKUP($R276,$K$3:$L$6,2,FALSE)</f>
        <v>515.33988347798265</v>
      </c>
      <c r="M276" s="1322"/>
      <c r="N276" s="1025">
        <f>L276*VLOOKUP($S276,$K$2:$Q$6,4,FALSE)</f>
        <v>106.26624826158341</v>
      </c>
      <c r="O276" s="1030">
        <f>L276*VLOOKUP($S276,$K$2:$Q$6,5,FALSE)</f>
        <v>83.466428594637634</v>
      </c>
      <c r="P276" s="1025">
        <f>L276*VLOOKUP($S276,$K$2:$Q$6,6,FALSE)</f>
        <v>10.971095391838034</v>
      </c>
      <c r="Q276" s="41">
        <f>L276-N276-O276-P276</f>
        <v>314.63611122992353</v>
      </c>
      <c r="R276" s="21" t="s">
        <v>13</v>
      </c>
      <c r="S276" s="37" t="s">
        <v>13</v>
      </c>
      <c r="T276" s="36" t="s">
        <v>13</v>
      </c>
      <c r="U276" s="151">
        <f>L276-N276-O276-Q276-P276</f>
        <v>1.4210854715202004E-14</v>
      </c>
      <c r="V276" s="132">
        <f>N276</f>
        <v>106.26624826158341</v>
      </c>
      <c r="W276" s="41">
        <f>O276</f>
        <v>83.466428594637634</v>
      </c>
      <c r="X276" s="132">
        <f>P276</f>
        <v>10.971095391838034</v>
      </c>
      <c r="Y276" s="62">
        <f>Q276</f>
        <v>314.63611122992353</v>
      </c>
    </row>
    <row r="277" spans="1:25" s="38" customFormat="1" outlineLevel="1">
      <c r="A277" s="57">
        <v>751168</v>
      </c>
      <c r="B277" s="765" t="str">
        <f>VLOOKUP(A277,'Income Statement'!$A$6:$B$254,2,FALSE)</f>
        <v>Computer Equipment Expense</v>
      </c>
      <c r="C277" s="1413">
        <v>8846</v>
      </c>
      <c r="D277" s="147">
        <v>9802</v>
      </c>
      <c r="E277" s="2029">
        <v>0</v>
      </c>
      <c r="F277" s="2030">
        <v>0</v>
      </c>
      <c r="G277" s="2021"/>
      <c r="H277" s="1385">
        <f>'Adj - Proforma'!L277</f>
        <v>0</v>
      </c>
      <c r="I277" s="42">
        <f t="shared" si="164"/>
        <v>9802</v>
      </c>
      <c r="J277" s="60"/>
      <c r="K277" s="51">
        <f t="shared" si="165"/>
        <v>8557.2090838217882</v>
      </c>
      <c r="L277" s="41">
        <f t="shared" si="174"/>
        <v>1244.7909161782122</v>
      </c>
      <c r="M277" s="1322"/>
      <c r="N277" s="1025">
        <f t="shared" si="167"/>
        <v>256.68353017743726</v>
      </c>
      <c r="O277" s="1030">
        <f t="shared" si="168"/>
        <v>201.61112200212861</v>
      </c>
      <c r="P277" s="1025">
        <f t="shared" si="169"/>
        <v>26.500413265351501</v>
      </c>
      <c r="Q277" s="41">
        <f t="shared" si="179"/>
        <v>759.9958507332949</v>
      </c>
      <c r="R277" s="21" t="s">
        <v>13</v>
      </c>
      <c r="S277" s="37" t="s">
        <v>13</v>
      </c>
      <c r="T277" s="36" t="s">
        <v>13</v>
      </c>
      <c r="U277" s="151">
        <f t="shared" si="153"/>
        <v>3.907985046680551E-14</v>
      </c>
      <c r="V277" s="132">
        <f t="shared" si="133"/>
        <v>256.68353017743726</v>
      </c>
      <c r="W277" s="41">
        <f t="shared" si="134"/>
        <v>201.61112200212861</v>
      </c>
      <c r="X277" s="132">
        <f t="shared" si="135"/>
        <v>26.500413265351501</v>
      </c>
      <c r="Y277" s="62">
        <f t="shared" si="136"/>
        <v>759.9958507332949</v>
      </c>
    </row>
    <row r="278" spans="1:25" s="38" customFormat="1" outlineLevel="1">
      <c r="A278" s="1382">
        <v>751170</v>
      </c>
      <c r="B278" s="1395" t="str">
        <f>VLOOKUP(A278,'Income Statement'!$A$6:$B$254,2,FALSE)</f>
        <v>Contributions Deductible</v>
      </c>
      <c r="C278" s="1413">
        <v>20100</v>
      </c>
      <c r="D278" s="147">
        <v>300</v>
      </c>
      <c r="E278" s="2029">
        <v>0</v>
      </c>
      <c r="F278" s="2030">
        <v>0</v>
      </c>
      <c r="G278" s="2021"/>
      <c r="H278" s="1385">
        <f>ReviewAccts!I94</f>
        <v>-300</v>
      </c>
      <c r="I278" s="42">
        <f t="shared" si="164"/>
        <v>0</v>
      </c>
      <c r="J278" s="60"/>
      <c r="K278" s="51">
        <f t="shared" si="165"/>
        <v>0</v>
      </c>
      <c r="L278" s="41">
        <f t="shared" si="174"/>
        <v>0</v>
      </c>
      <c r="M278" s="1322"/>
      <c r="N278" s="1025">
        <f t="shared" si="167"/>
        <v>0</v>
      </c>
      <c r="O278" s="1030">
        <f t="shared" si="168"/>
        <v>0</v>
      </c>
      <c r="P278" s="1025">
        <f t="shared" si="169"/>
        <v>0</v>
      </c>
      <c r="Q278" s="41">
        <f t="shared" si="179"/>
        <v>0</v>
      </c>
      <c r="R278" s="21" t="s">
        <v>13</v>
      </c>
      <c r="S278" s="37" t="s">
        <v>13</v>
      </c>
      <c r="T278" s="36" t="s">
        <v>13</v>
      </c>
      <c r="U278" s="151">
        <f t="shared" si="153"/>
        <v>0</v>
      </c>
      <c r="V278" s="132">
        <f t="shared" si="133"/>
        <v>0</v>
      </c>
      <c r="W278" s="41">
        <f t="shared" si="134"/>
        <v>0</v>
      </c>
      <c r="X278" s="132">
        <f t="shared" si="135"/>
        <v>0</v>
      </c>
      <c r="Y278" s="62">
        <f t="shared" si="136"/>
        <v>0</v>
      </c>
    </row>
    <row r="279" spans="1:25" s="38" customFormat="1" outlineLevel="1">
      <c r="A279" s="1382">
        <v>751172</v>
      </c>
      <c r="B279" s="1395" t="str">
        <f>VLOOKUP(A279,'Income Statement'!$A$6:$B$254,2,FALSE)</f>
        <v>Contributions Non-Deductible</v>
      </c>
      <c r="C279" s="1413">
        <v>550</v>
      </c>
      <c r="D279" s="147">
        <v>7500</v>
      </c>
      <c r="E279" s="2029">
        <v>0</v>
      </c>
      <c r="F279" s="2030">
        <v>0</v>
      </c>
      <c r="G279" s="2021"/>
      <c r="H279" s="1385">
        <f>ReviewAccts!I95</f>
        <v>-7500</v>
      </c>
      <c r="I279" s="42">
        <f>SUM(D279:H279)</f>
        <v>0</v>
      </c>
      <c r="J279" s="60"/>
      <c r="K279" s="51">
        <f t="shared" si="165"/>
        <v>0</v>
      </c>
      <c r="L279" s="41">
        <f>I279*VLOOKUP($R279,$K$3:$L$6,2,FALSE)</f>
        <v>0</v>
      </c>
      <c r="M279" s="1322"/>
      <c r="N279" s="1025">
        <f>L279*VLOOKUP($S279,$K$2:$Q$6,4,FALSE)</f>
        <v>0</v>
      </c>
      <c r="O279" s="1030">
        <f>L279*VLOOKUP($S279,$K$2:$Q$6,5,FALSE)</f>
        <v>0</v>
      </c>
      <c r="P279" s="1025">
        <f>L279*VLOOKUP($S279,$K$2:$Q$6,6,FALSE)</f>
        <v>0</v>
      </c>
      <c r="Q279" s="41">
        <f>L279-N279-O279-P279</f>
        <v>0</v>
      </c>
      <c r="R279" s="21" t="s">
        <v>13</v>
      </c>
      <c r="S279" s="37" t="s">
        <v>13</v>
      </c>
      <c r="T279" s="36" t="s">
        <v>13</v>
      </c>
      <c r="U279" s="151">
        <f>L279-N279-O279-Q279-P279</f>
        <v>0</v>
      </c>
      <c r="V279" s="132">
        <f>N279</f>
        <v>0</v>
      </c>
      <c r="W279" s="41">
        <f>O279</f>
        <v>0</v>
      </c>
      <c r="X279" s="132">
        <f>P279</f>
        <v>0</v>
      </c>
      <c r="Y279" s="62">
        <f>Q279</f>
        <v>0</v>
      </c>
    </row>
    <row r="280" spans="1:25" s="38" customFormat="1" outlineLevel="1">
      <c r="A280" s="57">
        <v>751194</v>
      </c>
      <c r="B280" s="765" t="str">
        <f>VLOOKUP(A280,'Income Statement'!$A$6:$B$254,2,FALSE)</f>
        <v>Purchase Discounts-G&amp;A</v>
      </c>
      <c r="C280" s="1413">
        <v>-1775</v>
      </c>
      <c r="D280" s="147">
        <v>-4878</v>
      </c>
      <c r="E280" s="2029">
        <v>0</v>
      </c>
      <c r="F280" s="2030">
        <v>0</v>
      </c>
      <c r="G280" s="2021"/>
      <c r="H280" s="1385">
        <f>'Adj - Proforma'!L280</f>
        <v>0</v>
      </c>
      <c r="I280" s="42">
        <f t="shared" si="164"/>
        <v>-4878</v>
      </c>
      <c r="J280" s="60"/>
      <c r="K280" s="51">
        <f t="shared" si="165"/>
        <v>-4258.5253938872356</v>
      </c>
      <c r="L280" s="41">
        <f t="shared" si="174"/>
        <v>-619.47460611276472</v>
      </c>
      <c r="M280" s="1322"/>
      <c r="N280" s="1025">
        <f t="shared" si="167"/>
        <v>-127.73946747659041</v>
      </c>
      <c r="O280" s="1030">
        <f t="shared" si="168"/>
        <v>-100.33248858665409</v>
      </c>
      <c r="P280" s="1025">
        <f t="shared" si="169"/>
        <v>-13.188024475452421</v>
      </c>
      <c r="Q280" s="41">
        <f t="shared" si="179"/>
        <v>-378.21462557406778</v>
      </c>
      <c r="R280" s="21" t="s">
        <v>13</v>
      </c>
      <c r="S280" s="37" t="s">
        <v>13</v>
      </c>
      <c r="T280" s="36" t="s">
        <v>13</v>
      </c>
      <c r="U280" s="151">
        <f t="shared" si="153"/>
        <v>-1.5987211554602254E-14</v>
      </c>
      <c r="V280" s="132">
        <f t="shared" si="133"/>
        <v>-127.73946747659041</v>
      </c>
      <c r="W280" s="41">
        <f t="shared" si="134"/>
        <v>-100.33248858665409</v>
      </c>
      <c r="X280" s="132">
        <f t="shared" si="135"/>
        <v>-13.188024475452421</v>
      </c>
      <c r="Y280" s="62">
        <f t="shared" si="136"/>
        <v>-378.21462557406778</v>
      </c>
    </row>
    <row r="281" spans="1:25" s="38" customFormat="1" outlineLevel="1">
      <c r="A281" s="57">
        <v>751195</v>
      </c>
      <c r="B281" s="765" t="str">
        <f>VLOOKUP(A281,'Income Statement'!$A$6:$B$254,2,FALSE)</f>
        <v>Miscellaneous</v>
      </c>
      <c r="C281" s="1413">
        <v>4768</v>
      </c>
      <c r="D281" s="147">
        <v>1592</v>
      </c>
      <c r="E281" s="2029">
        <v>0</v>
      </c>
      <c r="F281" s="2030">
        <v>0</v>
      </c>
      <c r="G281" s="2021"/>
      <c r="H281" s="1385">
        <f>'Adj - Proforma'!L281</f>
        <v>0</v>
      </c>
      <c r="I281" s="42">
        <f t="shared" si="164"/>
        <v>1592</v>
      </c>
      <c r="J281" s="60"/>
      <c r="K281" s="51">
        <f t="shared" si="165"/>
        <v>1389.8262458114962</v>
      </c>
      <c r="L281" s="41">
        <f t="shared" si="174"/>
        <v>202.17375418850378</v>
      </c>
      <c r="M281" s="1322"/>
      <c r="N281" s="1025">
        <f t="shared" si="167"/>
        <v>41.689469500355052</v>
      </c>
      <c r="O281" s="1030">
        <f t="shared" si="168"/>
        <v>32.744838423524669</v>
      </c>
      <c r="P281" s="1025">
        <f t="shared" si="169"/>
        <v>4.3040867086757393</v>
      </c>
      <c r="Q281" s="41">
        <f t="shared" si="179"/>
        <v>123.43535955594832</v>
      </c>
      <c r="R281" s="21" t="s">
        <v>13</v>
      </c>
      <c r="S281" s="37" t="s">
        <v>13</v>
      </c>
      <c r="T281" s="36" t="s">
        <v>13</v>
      </c>
      <c r="U281" s="151">
        <f t="shared" si="153"/>
        <v>0</v>
      </c>
      <c r="V281" s="132">
        <f t="shared" si="133"/>
        <v>41.689469500355052</v>
      </c>
      <c r="W281" s="41">
        <f t="shared" si="134"/>
        <v>32.744838423524669</v>
      </c>
      <c r="X281" s="132">
        <f t="shared" si="135"/>
        <v>4.3040867086757393</v>
      </c>
      <c r="Y281" s="62">
        <f t="shared" si="136"/>
        <v>123.43535955594832</v>
      </c>
    </row>
    <row r="282" spans="1:25" s="38" customFormat="1" outlineLevel="1">
      <c r="A282" s="54">
        <v>755000</v>
      </c>
      <c r="B282" s="765" t="str">
        <f>VLOOKUP(A282,'Income Statement'!$A$6:$B$254,2,FALSE)</f>
        <v>Bad Debt Exp</v>
      </c>
      <c r="C282" s="1413">
        <v>71153</v>
      </c>
      <c r="D282" s="147">
        <v>65688</v>
      </c>
      <c r="E282" s="2029">
        <v>0</v>
      </c>
      <c r="F282" s="2030">
        <v>0</v>
      </c>
      <c r="G282" s="2021"/>
      <c r="H282" s="1385">
        <f>'Adj - Proforma'!L282</f>
        <v>0</v>
      </c>
      <c r="I282" s="42">
        <f t="shared" si="164"/>
        <v>65688</v>
      </c>
      <c r="J282" s="60"/>
      <c r="K282" s="51">
        <f t="shared" si="165"/>
        <v>57346.046755568823</v>
      </c>
      <c r="L282" s="41">
        <f>I282*VLOOKUP($R282,$K$3:$L$6,2,FALSE)</f>
        <v>8341.953244431179</v>
      </c>
      <c r="M282" s="1322"/>
      <c r="N282" s="1025">
        <f t="shared" si="167"/>
        <v>1720.1619802382679</v>
      </c>
      <c r="O282" s="1030">
        <f t="shared" si="168"/>
        <v>1351.0948155555832</v>
      </c>
      <c r="P282" s="1025">
        <f t="shared" si="169"/>
        <v>177.59224102983163</v>
      </c>
      <c r="Q282" s="41">
        <f t="shared" si="179"/>
        <v>5093.1042076074955</v>
      </c>
      <c r="R282" s="21" t="s">
        <v>13</v>
      </c>
      <c r="S282" s="37" t="s">
        <v>13</v>
      </c>
      <c r="T282" s="36" t="s">
        <v>13</v>
      </c>
      <c r="U282" s="151">
        <f t="shared" si="153"/>
        <v>0</v>
      </c>
      <c r="V282" s="132">
        <f t="shared" ref="V282:Y285" si="180">N282</f>
        <v>1720.1619802382679</v>
      </c>
      <c r="W282" s="41">
        <f t="shared" si="180"/>
        <v>1351.0948155555832</v>
      </c>
      <c r="X282" s="132">
        <f t="shared" si="180"/>
        <v>177.59224102983163</v>
      </c>
      <c r="Y282" s="62">
        <f t="shared" si="180"/>
        <v>5093.1042076074955</v>
      </c>
    </row>
    <row r="283" spans="1:25" s="38" customFormat="1" outlineLevel="1">
      <c r="A283" s="54">
        <v>755992</v>
      </c>
      <c r="B283" s="765" t="str">
        <f>VLOOKUP(A283,'Income Statement'!$A$6:$B$254,2,FALSE)</f>
        <v>Accrued P-Card Clearing</v>
      </c>
      <c r="C283" s="1413"/>
      <c r="D283" s="147">
        <v>1093</v>
      </c>
      <c r="E283" s="2029">
        <v>0</v>
      </c>
      <c r="F283" s="2030">
        <v>0</v>
      </c>
      <c r="G283" s="2021"/>
      <c r="H283" s="1385">
        <f>'Adj - Proforma'!L283</f>
        <v>0</v>
      </c>
      <c r="I283" s="42">
        <f>SUM(D283:H283)</f>
        <v>1093</v>
      </c>
      <c r="J283" s="60"/>
      <c r="K283" s="51">
        <f>I283-L283</f>
        <v>954.19603434168675</v>
      </c>
      <c r="L283" s="41">
        <f>I283*VLOOKUP($R283,$K$3:$L$6,2,FALSE)</f>
        <v>138.80396565831322</v>
      </c>
      <c r="M283" s="1322"/>
      <c r="N283" s="1025">
        <f>L283*VLOOKUP($S283,$K$2:$Q$6,4,FALSE)</f>
        <v>28.622230002442254</v>
      </c>
      <c r="O283" s="1030">
        <f>L283*VLOOKUP($S283,$K$2:$Q$6,5,FALSE)</f>
        <v>22.481223867407326</v>
      </c>
      <c r="P283" s="1025">
        <f>L283*VLOOKUP($S283,$K$2:$Q$6,6,FALSE)</f>
        <v>2.9550042541347881</v>
      </c>
      <c r="Q283" s="41">
        <f>L283-N283-O283-P283</f>
        <v>84.745507534328851</v>
      </c>
      <c r="R283" s="21" t="s">
        <v>13</v>
      </c>
      <c r="S283" s="37" t="s">
        <v>13</v>
      </c>
      <c r="T283" s="36" t="s">
        <v>13</v>
      </c>
      <c r="U283" s="151">
        <f>L283-N283-O283-Q283-P283</f>
        <v>3.9968028886505635E-15</v>
      </c>
      <c r="V283" s="132">
        <f>N283</f>
        <v>28.622230002442254</v>
      </c>
      <c r="W283" s="41">
        <f>O283</f>
        <v>22.481223867407326</v>
      </c>
      <c r="X283" s="132">
        <f>P283</f>
        <v>2.9550042541347881</v>
      </c>
      <c r="Y283" s="62">
        <f>Q283</f>
        <v>84.745507534328851</v>
      </c>
    </row>
    <row r="284" spans="1:25" s="38" customFormat="1" outlineLevel="1">
      <c r="A284" s="57">
        <v>755995</v>
      </c>
      <c r="B284" s="765" t="str">
        <f>VLOOKUP(A284,'Income Statement'!$A$6:$B$254,2,FALSE)</f>
        <v>Management Fee</v>
      </c>
      <c r="C284" s="1413">
        <v>1181598</v>
      </c>
      <c r="D284" s="147">
        <v>1092334</v>
      </c>
      <c r="E284" s="2029">
        <v>0</v>
      </c>
      <c r="F284" s="2030">
        <v>0</v>
      </c>
      <c r="G284" s="2021"/>
      <c r="H284" s="1385">
        <f>'MgtFee Staff'!L44-Proforma!D284</f>
        <v>-277972.03828131966</v>
      </c>
      <c r="I284" s="42">
        <f>SUM(D284:H284)</f>
        <v>814361.96171868034</v>
      </c>
      <c r="J284" s="60"/>
      <c r="K284" s="51">
        <f t="shared" si="165"/>
        <v>710943.2336602757</v>
      </c>
      <c r="L284" s="41">
        <f>I284*VLOOKUP($R284,$K$3:$L$6,2,FALSE)</f>
        <v>103418.72805840465</v>
      </c>
      <c r="M284" s="1322"/>
      <c r="N284" s="1025">
        <f t="shared" si="167"/>
        <v>21325.576737010197</v>
      </c>
      <c r="O284" s="1030">
        <f t="shared" si="168"/>
        <v>16750.094758004252</v>
      </c>
      <c r="P284" s="1025">
        <f t="shared" si="169"/>
        <v>2201.6862408822067</v>
      </c>
      <c r="Q284" s="41">
        <f t="shared" si="179"/>
        <v>63141.370322507995</v>
      </c>
      <c r="R284" s="21" t="s">
        <v>13</v>
      </c>
      <c r="S284" s="37" t="s">
        <v>13</v>
      </c>
      <c r="T284" s="36" t="s">
        <v>13</v>
      </c>
      <c r="U284" s="151">
        <f t="shared" si="153"/>
        <v>0</v>
      </c>
      <c r="V284" s="132">
        <f t="shared" si="180"/>
        <v>21325.576737010197</v>
      </c>
      <c r="W284" s="41">
        <f t="shared" si="180"/>
        <v>16750.094758004252</v>
      </c>
      <c r="X284" s="132">
        <f t="shared" si="180"/>
        <v>2201.6862408822067</v>
      </c>
      <c r="Y284" s="62">
        <f t="shared" si="180"/>
        <v>63141.370322507995</v>
      </c>
    </row>
    <row r="285" spans="1:25" s="38" customFormat="1" outlineLevel="1">
      <c r="A285" s="57">
        <v>755998</v>
      </c>
      <c r="B285" s="765" t="e">
        <f>VLOOKUP(A285,'Income Statement'!$A$6:$B$254,2,FALSE)</f>
        <v>#N/A</v>
      </c>
      <c r="C285" s="1413">
        <f>63754+15000+59-14179</f>
        <v>64634</v>
      </c>
      <c r="D285" s="147">
        <v>0</v>
      </c>
      <c r="E285" s="2029">
        <v>0</v>
      </c>
      <c r="F285" s="2030">
        <v>0</v>
      </c>
      <c r="G285" s="2021"/>
      <c r="H285" s="1385">
        <f>'Adj - Proforma'!L285</f>
        <v>0</v>
      </c>
      <c r="I285" s="42">
        <f t="shared" si="164"/>
        <v>0</v>
      </c>
      <c r="J285" s="60"/>
      <c r="K285" s="51">
        <f t="shared" si="165"/>
        <v>0</v>
      </c>
      <c r="L285" s="41">
        <f>I285*VLOOKUP($R285,$K$3:$L$6,2,FALSE)</f>
        <v>0</v>
      </c>
      <c r="M285" s="1322"/>
      <c r="N285" s="1025">
        <f t="shared" si="167"/>
        <v>0</v>
      </c>
      <c r="O285" s="1030">
        <f t="shared" si="168"/>
        <v>0</v>
      </c>
      <c r="P285" s="1025">
        <f t="shared" si="169"/>
        <v>0</v>
      </c>
      <c r="Q285" s="41">
        <f t="shared" si="179"/>
        <v>0</v>
      </c>
      <c r="R285" s="21" t="s">
        <v>13</v>
      </c>
      <c r="S285" s="37" t="s">
        <v>13</v>
      </c>
      <c r="T285" s="36" t="s">
        <v>13</v>
      </c>
      <c r="U285" s="151">
        <f t="shared" si="153"/>
        <v>0</v>
      </c>
      <c r="V285" s="132">
        <f t="shared" si="180"/>
        <v>0</v>
      </c>
      <c r="W285" s="41">
        <f t="shared" si="180"/>
        <v>0</v>
      </c>
      <c r="X285" s="132">
        <f t="shared" si="180"/>
        <v>0</v>
      </c>
      <c r="Y285" s="62">
        <f t="shared" si="180"/>
        <v>0</v>
      </c>
    </row>
    <row r="286" spans="1:25" s="38" customFormat="1" ht="12">
      <c r="A286" s="54"/>
      <c r="B286" s="563" t="s">
        <v>551</v>
      </c>
      <c r="C286" s="564">
        <f>SUM(C245:C285)</f>
        <v>2505246</v>
      </c>
      <c r="D286" s="564">
        <v>2425849</v>
      </c>
      <c r="E286" s="2033">
        <v>-130741.68694336538</v>
      </c>
      <c r="F286" s="2030">
        <v>0</v>
      </c>
      <c r="G286" s="2024"/>
      <c r="H286" s="1385">
        <f>'Adj - Restating'!J286</f>
        <v>0</v>
      </c>
      <c r="I286" s="565">
        <f>SUM(I245:I285)</f>
        <v>1971904.6317186803</v>
      </c>
      <c r="J286" s="60"/>
      <c r="K286" s="565">
        <f>SUM(K245:K285)</f>
        <v>1721485.4342964035</v>
      </c>
      <c r="L286" s="565">
        <f>SUM(L245:L285)</f>
        <v>250419.19742227666</v>
      </c>
      <c r="M286" s="1322"/>
      <c r="N286" s="583">
        <f>SUM(N245:N285)</f>
        <v>51637.976131686417</v>
      </c>
      <c r="O286" s="565">
        <f>SUM(O245:O285)</f>
        <v>40558.855874515139</v>
      </c>
      <c r="P286" s="583">
        <f>SUM(P245:P285)</f>
        <v>5331.1862538671485</v>
      </c>
      <c r="Q286" s="565">
        <f>SUM(Q245:Q285)</f>
        <v>152891.17916220802</v>
      </c>
      <c r="R286" s="21"/>
      <c r="S286" s="36"/>
      <c r="T286" s="36"/>
      <c r="U286" s="151">
        <f t="shared" si="153"/>
        <v>-6.5483618527650833E-11</v>
      </c>
      <c r="V286" s="132">
        <f t="shared" si="133"/>
        <v>51637.976131686417</v>
      </c>
      <c r="W286" s="41">
        <f t="shared" si="134"/>
        <v>40558.855874515139</v>
      </c>
      <c r="X286" s="132">
        <f t="shared" si="135"/>
        <v>5331.1862538671485</v>
      </c>
      <c r="Y286" s="62">
        <f t="shared" si="136"/>
        <v>152891.17916220802</v>
      </c>
    </row>
    <row r="287" spans="1:25" s="38" customFormat="1">
      <c r="A287" s="57"/>
      <c r="B287" s="765"/>
      <c r="C287" s="1413"/>
      <c r="D287" s="45">
        <v>5</v>
      </c>
      <c r="E287" s="2029"/>
      <c r="F287" s="2030"/>
      <c r="G287" s="2021"/>
      <c r="H287" s="1385"/>
      <c r="I287" s="42"/>
      <c r="J287" s="60"/>
      <c r="K287" s="51"/>
      <c r="L287" s="41"/>
      <c r="M287" s="1317"/>
      <c r="N287" s="132"/>
      <c r="O287" s="41"/>
      <c r="P287" s="132"/>
      <c r="Q287" s="41"/>
      <c r="R287" s="21"/>
      <c r="S287" s="36"/>
      <c r="T287" s="36"/>
      <c r="U287" s="151">
        <f t="shared" si="153"/>
        <v>0</v>
      </c>
      <c r="V287" s="132"/>
      <c r="W287" s="41"/>
      <c r="X287" s="132"/>
      <c r="Y287" s="62"/>
    </row>
    <row r="288" spans="1:25" s="38" customFormat="1" ht="12">
      <c r="A288" s="54"/>
      <c r="B288" s="560" t="s">
        <v>552</v>
      </c>
      <c r="C288" s="561">
        <f>C243+C286</f>
        <v>3012074</v>
      </c>
      <c r="D288" s="561">
        <v>3091565</v>
      </c>
      <c r="E288" s="2032">
        <v>-235038.68694336538</v>
      </c>
      <c r="F288" s="2032">
        <v>19157.386045743973</v>
      </c>
      <c r="G288" s="2022"/>
      <c r="H288" s="1386">
        <f>H243+H286</f>
        <v>170530.69257426349</v>
      </c>
      <c r="I288" s="562">
        <f>I243+I286</f>
        <v>2703854.3242929438</v>
      </c>
      <c r="J288" s="60"/>
      <c r="K288" s="562">
        <f>K243+K286</f>
        <v>2347302.4214473991</v>
      </c>
      <c r="L288" s="562">
        <f>L243+L286</f>
        <v>356551.90284554486</v>
      </c>
      <c r="M288" s="1317"/>
      <c r="N288" s="562">
        <f>N243+N286</f>
        <v>73523.191665687249</v>
      </c>
      <c r="O288" s="562">
        <f>O243+O286</f>
        <v>57748.516839588483</v>
      </c>
      <c r="P288" s="562">
        <f>P243+P286</f>
        <v>7590.6504884886645</v>
      </c>
      <c r="Q288" s="562">
        <f>Q243+Q286</f>
        <v>217689.54385178053</v>
      </c>
      <c r="R288" s="21"/>
      <c r="S288" s="36"/>
      <c r="T288" s="36"/>
      <c r="U288" s="151">
        <f t="shared" si="153"/>
        <v>-5.5479176808148623E-11</v>
      </c>
      <c r="V288" s="132">
        <f t="shared" ref="V288:V293" si="181">N288</f>
        <v>73523.191665687249</v>
      </c>
      <c r="W288" s="41">
        <f t="shared" ref="W288:W293" si="182">O288</f>
        <v>57748.516839588483</v>
      </c>
      <c r="X288" s="132">
        <f t="shared" ref="X288:X293" si="183">P288</f>
        <v>7590.6504884886645</v>
      </c>
      <c r="Y288" s="62">
        <f t="shared" ref="Y288:Y293" si="184">Q288</f>
        <v>217689.54385178053</v>
      </c>
    </row>
    <row r="289" spans="1:25" s="38" customFormat="1">
      <c r="A289" s="54"/>
      <c r="B289" s="765"/>
      <c r="C289" s="1413"/>
      <c r="D289" s="45"/>
      <c r="E289" s="2029"/>
      <c r="F289" s="2030"/>
      <c r="G289" s="2021"/>
      <c r="H289" s="1385"/>
      <c r="I289" s="42">
        <f>SUM(D289:H289)</f>
        <v>0</v>
      </c>
      <c r="J289" s="60"/>
      <c r="K289" s="51">
        <f>I289-L289</f>
        <v>0</v>
      </c>
      <c r="L289" s="41">
        <f>I289*$L$6</f>
        <v>0</v>
      </c>
      <c r="M289" s="1317"/>
      <c r="N289" s="132">
        <f>L289*$N$5</f>
        <v>0</v>
      </c>
      <c r="O289" s="41">
        <f>L289*$O$5</f>
        <v>0</v>
      </c>
      <c r="P289" s="132">
        <f>L289*$P$10</f>
        <v>0</v>
      </c>
      <c r="Q289" s="41">
        <f>L289-N289-O289-P289</f>
        <v>0</v>
      </c>
      <c r="R289" s="21"/>
      <c r="S289" s="36"/>
      <c r="T289" s="36"/>
      <c r="U289" s="151">
        <f t="shared" si="153"/>
        <v>0</v>
      </c>
      <c r="V289" s="132">
        <f t="shared" si="181"/>
        <v>0</v>
      </c>
      <c r="W289" s="41">
        <f t="shared" si="182"/>
        <v>0</v>
      </c>
      <c r="X289" s="132">
        <f t="shared" si="183"/>
        <v>0</v>
      </c>
      <c r="Y289" s="62">
        <f t="shared" si="184"/>
        <v>0</v>
      </c>
    </row>
    <row r="290" spans="1:25" s="38" customFormat="1" ht="12">
      <c r="A290" s="54"/>
      <c r="B290" s="560" t="s">
        <v>194</v>
      </c>
      <c r="C290" s="561">
        <f>C231+C288</f>
        <v>3985342</v>
      </c>
      <c r="D290" s="561">
        <v>4126727</v>
      </c>
      <c r="E290" s="2032">
        <v>-608719.33811968553</v>
      </c>
      <c r="F290" s="2032">
        <v>33660.144111378948</v>
      </c>
      <c r="G290" s="2025"/>
      <c r="H290" s="1386">
        <f>H231+H288</f>
        <v>170530.69257426349</v>
      </c>
      <c r="I290" s="562">
        <f>I231+I288</f>
        <v>3574508.5513994014</v>
      </c>
      <c r="J290" s="138"/>
      <c r="K290" s="562">
        <f>K231+K288</f>
        <v>3062949.5926766102</v>
      </c>
      <c r="L290" s="562">
        <f>L231+L288</f>
        <v>511558.95872279123</v>
      </c>
      <c r="M290" s="1317"/>
      <c r="N290" s="562">
        <f>N231+N288</f>
        <v>105486.59836144</v>
      </c>
      <c r="O290" s="562">
        <f>O231+O288</f>
        <v>82854.055486678175</v>
      </c>
      <c r="P290" s="562">
        <f>P231+P288</f>
        <v>10890.603104148955</v>
      </c>
      <c r="Q290" s="562">
        <f>Q231+Q288</f>
        <v>312327.7017705242</v>
      </c>
      <c r="R290" s="21"/>
      <c r="S290" s="37"/>
      <c r="T290" s="36"/>
      <c r="U290" s="151">
        <f t="shared" ref="U290:U296" si="185">L290-N290-O290-Q290-P290</f>
        <v>-1.3824319466948509E-10</v>
      </c>
      <c r="V290" s="65">
        <f t="shared" si="181"/>
        <v>105486.59836144</v>
      </c>
      <c r="W290" s="65">
        <f t="shared" si="182"/>
        <v>82854.055486678175</v>
      </c>
      <c r="X290" s="65">
        <f t="shared" si="183"/>
        <v>10890.603104148955</v>
      </c>
      <c r="Y290" s="65">
        <f t="shared" si="184"/>
        <v>312327.7017705242</v>
      </c>
    </row>
    <row r="291" spans="1:25" s="38" customFormat="1">
      <c r="A291" s="57"/>
      <c r="B291" s="765" t="s">
        <v>21</v>
      </c>
      <c r="C291" s="1413"/>
      <c r="D291" s="45"/>
      <c r="E291" s="2029"/>
      <c r="F291" s="2030"/>
      <c r="G291" s="2021"/>
      <c r="H291" s="1385"/>
      <c r="I291" s="42">
        <f>SUM(D291:H291)</f>
        <v>0</v>
      </c>
      <c r="J291" s="60"/>
      <c r="K291" s="51">
        <f>I291-L291</f>
        <v>0</v>
      </c>
      <c r="L291" s="41">
        <v>0</v>
      </c>
      <c r="M291" s="1317"/>
      <c r="N291" s="132">
        <f>L291*$N$3</f>
        <v>0</v>
      </c>
      <c r="O291" s="41">
        <f>L291*$O$3</f>
        <v>0</v>
      </c>
      <c r="P291" s="132">
        <f>L291*$P$3</f>
        <v>0</v>
      </c>
      <c r="Q291" s="41">
        <f>L291-N291-O291-P291</f>
        <v>0</v>
      </c>
      <c r="R291" s="21"/>
      <c r="S291" s="37"/>
      <c r="T291" s="36"/>
      <c r="U291" s="151">
        <f t="shared" si="185"/>
        <v>0</v>
      </c>
      <c r="V291" s="132">
        <f t="shared" si="181"/>
        <v>0</v>
      </c>
      <c r="W291" s="41">
        <f t="shared" si="182"/>
        <v>0</v>
      </c>
      <c r="X291" s="132">
        <f t="shared" si="183"/>
        <v>0</v>
      </c>
      <c r="Y291" s="62">
        <f t="shared" si="184"/>
        <v>0</v>
      </c>
    </row>
    <row r="292" spans="1:25" s="38" customFormat="1">
      <c r="A292" s="54"/>
      <c r="B292" s="559"/>
      <c r="C292" s="1401"/>
      <c r="D292" s="45"/>
      <c r="E292" s="2029"/>
      <c r="F292" s="2030"/>
      <c r="G292" s="2021"/>
      <c r="H292" s="1385"/>
      <c r="I292" s="42"/>
      <c r="J292" s="60"/>
      <c r="K292" s="150"/>
      <c r="L292" s="66"/>
      <c r="M292" s="1317"/>
      <c r="N292" s="584"/>
      <c r="O292" s="66"/>
      <c r="P292" s="584"/>
      <c r="Q292" s="66"/>
      <c r="R292" s="21"/>
      <c r="S292" s="37"/>
      <c r="T292" s="36"/>
      <c r="U292" s="151">
        <f t="shared" si="185"/>
        <v>0</v>
      </c>
      <c r="V292" s="41">
        <f t="shared" si="181"/>
        <v>0</v>
      </c>
      <c r="W292" s="41">
        <f t="shared" si="182"/>
        <v>0</v>
      </c>
      <c r="X292" s="41">
        <f t="shared" si="183"/>
        <v>0</v>
      </c>
      <c r="Y292" s="41">
        <f t="shared" si="184"/>
        <v>0</v>
      </c>
    </row>
    <row r="293" spans="1:25" s="38" customFormat="1" ht="12.75" thickBot="1">
      <c r="A293" s="54"/>
      <c r="B293" s="560" t="s">
        <v>195</v>
      </c>
      <c r="C293" s="561">
        <f>C199+C290</f>
        <v>27426631</v>
      </c>
      <c r="D293" s="561">
        <v>27004941</v>
      </c>
      <c r="E293" s="2032">
        <v>-413447.34811968554</v>
      </c>
      <c r="F293" s="2032">
        <v>247295.12481205421</v>
      </c>
      <c r="G293" s="2022"/>
      <c r="H293" s="1386">
        <f>H199+H290</f>
        <v>394566.21440510004</v>
      </c>
      <c r="I293" s="561">
        <f>I199+I290</f>
        <v>26491461.086542375</v>
      </c>
      <c r="J293" s="60"/>
      <c r="K293" s="561">
        <f>K199+K290</f>
        <v>22909041.846108317</v>
      </c>
      <c r="L293" s="771">
        <f>L199+L290</f>
        <v>3582419.2404340603</v>
      </c>
      <c r="M293" s="1317"/>
      <c r="N293" s="562">
        <f>N199+N290</f>
        <v>829169.98195321055</v>
      </c>
      <c r="O293" s="562">
        <f>O199+O290</f>
        <v>659815.99956423347</v>
      </c>
      <c r="P293" s="562">
        <f>P199+P290</f>
        <v>120551.21186517167</v>
      </c>
      <c r="Q293" s="562">
        <f>Q199+Q290</f>
        <v>1972882.0470514442</v>
      </c>
      <c r="R293" s="21"/>
      <c r="S293" s="37"/>
      <c r="T293" s="36"/>
      <c r="U293" s="151">
        <f t="shared" si="185"/>
        <v>3.4924596548080444E-10</v>
      </c>
      <c r="V293" s="67">
        <f t="shared" si="181"/>
        <v>829169.98195321055</v>
      </c>
      <c r="W293" s="67">
        <f t="shared" si="182"/>
        <v>659815.99956423347</v>
      </c>
      <c r="X293" s="67">
        <f t="shared" si="183"/>
        <v>120551.21186517167</v>
      </c>
      <c r="Y293" s="67">
        <f t="shared" si="184"/>
        <v>1972882.0470514442</v>
      </c>
    </row>
    <row r="294" spans="1:25" s="38" customFormat="1">
      <c r="A294" s="54"/>
      <c r="B294" s="765"/>
      <c r="C294" s="1413"/>
      <c r="D294" s="45"/>
      <c r="E294" s="2029"/>
      <c r="F294" s="2030"/>
      <c r="G294" s="2021"/>
      <c r="H294" s="1385"/>
      <c r="I294" s="42">
        <v>0</v>
      </c>
      <c r="J294" s="60"/>
      <c r="K294" s="51"/>
      <c r="L294" s="41"/>
      <c r="M294" s="1317"/>
      <c r="N294" s="132"/>
      <c r="O294" s="41"/>
      <c r="P294" s="132"/>
      <c r="Q294" s="41"/>
      <c r="R294" s="21"/>
      <c r="S294" s="37"/>
      <c r="T294" s="36"/>
      <c r="U294" s="151">
        <f t="shared" si="185"/>
        <v>0</v>
      </c>
      <c r="V294" s="52"/>
      <c r="W294" s="52"/>
      <c r="X294" s="52"/>
      <c r="Y294" s="52"/>
    </row>
    <row r="295" spans="1:25" s="38" customFormat="1" ht="12" thickBot="1">
      <c r="A295" s="47"/>
      <c r="B295" s="766"/>
      <c r="C295" s="1401"/>
      <c r="D295" s="2038"/>
      <c r="E295" s="2034"/>
      <c r="F295" s="2030"/>
      <c r="G295" s="2021"/>
      <c r="H295" s="1385"/>
      <c r="I295" s="68"/>
      <c r="J295" s="60"/>
      <c r="K295" s="137"/>
      <c r="L295" s="67"/>
      <c r="M295" s="1317"/>
      <c r="N295" s="585"/>
      <c r="O295" s="67"/>
      <c r="P295" s="585"/>
      <c r="Q295" s="67"/>
      <c r="R295" s="21"/>
      <c r="S295" s="37"/>
      <c r="T295" s="36"/>
      <c r="U295" s="151">
        <f t="shared" si="185"/>
        <v>0</v>
      </c>
      <c r="V295" s="69"/>
      <c r="W295" s="69"/>
      <c r="X295" s="69"/>
      <c r="Y295" s="69"/>
    </row>
    <row r="296" spans="1:25" s="38" customFormat="1" ht="13.5" thickTop="1" thickBot="1">
      <c r="A296" s="70"/>
      <c r="B296" s="571" t="s">
        <v>197</v>
      </c>
      <c r="C296" s="582">
        <f>C34-C293-C294</f>
        <v>-2404595</v>
      </c>
      <c r="D296" s="582">
        <f>D34-D293-D294</f>
        <v>-3102960</v>
      </c>
      <c r="E296" s="582">
        <v>413447.34811968554</v>
      </c>
      <c r="F296" s="582">
        <v>-314894.12171205424</v>
      </c>
      <c r="G296" s="2026"/>
      <c r="H296" s="1387">
        <f>H34-H293-H294</f>
        <v>-394566.21440510004</v>
      </c>
      <c r="I296" s="582">
        <f>I34-I293-I294</f>
        <v>-2657079.0834423751</v>
      </c>
      <c r="J296" s="60"/>
      <c r="K296" s="582">
        <f>K34-K293-K294</f>
        <v>-2696103.5156737268</v>
      </c>
      <c r="L296" s="582">
        <f>L34-L293-L294</f>
        <v>39024.432231352199</v>
      </c>
      <c r="M296" s="1317"/>
      <c r="N296" s="582">
        <f>N34-N293-N294</f>
        <v>14976.902195632574</v>
      </c>
      <c r="O296" s="582">
        <f>O34-O293-O294</f>
        <v>-44254.495928233606</v>
      </c>
      <c r="P296" s="582">
        <f>P34-P293-P294</f>
        <v>-34371.869714464017</v>
      </c>
      <c r="Q296" s="582">
        <f>Q34-Q293-Q294</f>
        <v>102673.89567841776</v>
      </c>
      <c r="R296" s="1023"/>
      <c r="S296" s="72"/>
      <c r="T296" s="544"/>
      <c r="U296" s="152">
        <f t="shared" si="185"/>
        <v>-5.0931703299283981E-10</v>
      </c>
      <c r="V296" s="71">
        <f>V34-V293-V294</f>
        <v>116892.04406560434</v>
      </c>
      <c r="W296" s="71">
        <f>W20-W293-W294</f>
        <v>372374.11252354574</v>
      </c>
      <c r="X296" s="71">
        <f>X20-X293-X294</f>
        <v>39117.45171349062</v>
      </c>
      <c r="Y296" s="71">
        <f>Y20-Y293-Y294</f>
        <v>1556663.5988709307</v>
      </c>
    </row>
    <row r="297" spans="1:25" ht="12" thickTop="1">
      <c r="B297" s="77" t="s">
        <v>198</v>
      </c>
      <c r="C297" s="74">
        <f>(C32+C293)/C20</f>
        <v>1.0562871358697412</v>
      </c>
      <c r="D297" s="74">
        <f>(D32+D293)/D20</f>
        <v>1.0715060436175436</v>
      </c>
      <c r="E297" s="74"/>
      <c r="F297" s="74"/>
      <c r="G297" s="74"/>
      <c r="H297" s="1388"/>
      <c r="I297" s="74">
        <f>(I293+I32)/I20</f>
        <v>1.061230957806705</v>
      </c>
      <c r="J297" s="74"/>
      <c r="K297" s="74">
        <f>(K293+K32)/K20</f>
        <v>1.071168152147937</v>
      </c>
      <c r="L297" s="74">
        <f>(L293+L32)/L20</f>
        <v>0.99291856206271178</v>
      </c>
      <c r="M297" s="1320"/>
      <c r="N297" s="74">
        <f>(N293+N32)/N20</f>
        <v>0.98682030801693732</v>
      </c>
      <c r="O297" s="74">
        <f>(O293+O32)/O20</f>
        <v>1.0495820161298433</v>
      </c>
      <c r="P297" s="74">
        <f>(P293+P32)/P20</f>
        <v>1.292975821548916</v>
      </c>
      <c r="Q297" s="74">
        <f>(Q293+Q32)/Q20</f>
        <v>0.96948382549530676</v>
      </c>
      <c r="R297" s="17"/>
      <c r="U297" s="177"/>
      <c r="V297" s="74">
        <f>(V293+V32)/V20</f>
        <v>0.9056010705833053</v>
      </c>
      <c r="W297" s="74">
        <f>(W293+W32)/W20</f>
        <v>0.90759041862296574</v>
      </c>
      <c r="X297" s="74">
        <f>(X293+X32)/X20</f>
        <v>0.95004043452603781</v>
      </c>
      <c r="Y297" s="74">
        <f>(Y293+Y32)/Y20</f>
        <v>0.92416967925545879</v>
      </c>
    </row>
    <row r="298" spans="1:25">
      <c r="B298" s="77" t="s">
        <v>199</v>
      </c>
      <c r="D298" s="74"/>
      <c r="E298" s="74"/>
      <c r="F298" s="74"/>
      <c r="G298" s="74"/>
      <c r="H298" s="1388"/>
      <c r="I298" s="74"/>
      <c r="J298" s="74"/>
      <c r="K298" s="674"/>
      <c r="L298" s="74"/>
      <c r="M298" s="1320"/>
      <c r="N298" s="74"/>
      <c r="O298" s="74"/>
      <c r="P298" s="74"/>
      <c r="Q298" s="74"/>
      <c r="R298" s="17"/>
      <c r="U298" s="177"/>
    </row>
    <row r="299" spans="1:25">
      <c r="B299" s="78"/>
      <c r="C299" s="1379"/>
      <c r="D299" s="73"/>
      <c r="E299" s="1057"/>
      <c r="F299" s="1057"/>
      <c r="G299" s="1057"/>
      <c r="H299" s="1389"/>
      <c r="I299" s="75"/>
      <c r="J299" s="75"/>
      <c r="K299" s="75"/>
      <c r="L299" s="75"/>
      <c r="M299" s="1320"/>
      <c r="N299" s="75"/>
      <c r="O299" s="75"/>
      <c r="P299" s="75"/>
      <c r="Q299" s="75"/>
      <c r="R299" s="17"/>
      <c r="U299" s="547" t="s">
        <v>518</v>
      </c>
      <c r="V299" s="548">
        <f>' LG recycle'!H15/100</f>
        <v>0.90731206697361433</v>
      </c>
      <c r="W299" s="548">
        <f>'LG Yardwaste'!H15/100</f>
        <v>0.910402802041128</v>
      </c>
      <c r="X299" s="548">
        <f>'LG MF Recycle'!H15/100</f>
        <v>0.95555422377231347</v>
      </c>
      <c r="Y299" s="548">
        <f>'LG Garbage'!H15/100</f>
        <v>0.92514135530501374</v>
      </c>
    </row>
    <row r="300" spans="1:25">
      <c r="B300" s="78"/>
      <c r="C300" s="1379"/>
      <c r="D300" s="73"/>
      <c r="E300" s="75"/>
      <c r="F300" s="75"/>
      <c r="G300" s="75"/>
      <c r="H300" s="1389"/>
      <c r="I300" s="75"/>
      <c r="J300" s="75"/>
      <c r="K300" s="75"/>
      <c r="L300" s="76"/>
      <c r="M300" s="1320"/>
      <c r="N300" s="75"/>
      <c r="O300" s="75"/>
      <c r="P300" s="75"/>
      <c r="Q300" s="75"/>
      <c r="R300" s="17"/>
      <c r="U300" s="177"/>
    </row>
    <row r="301" spans="1:25">
      <c r="D301" s="75"/>
      <c r="E301" s="75"/>
      <c r="F301" s="75"/>
      <c r="G301" s="75"/>
      <c r="H301" s="1389"/>
      <c r="I301" s="75"/>
      <c r="J301" s="75"/>
      <c r="K301" s="75"/>
      <c r="L301" s="75"/>
      <c r="M301" s="1320"/>
      <c r="N301" s="75"/>
      <c r="O301" s="75"/>
      <c r="P301" s="75"/>
      <c r="Q301" s="75"/>
      <c r="R301" s="17"/>
      <c r="U301" s="177"/>
      <c r="V301" s="549"/>
      <c r="W301" s="549"/>
      <c r="X301" s="549"/>
      <c r="Y301" s="549"/>
    </row>
    <row r="302" spans="1:25">
      <c r="R302" s="17"/>
      <c r="U302" s="177"/>
    </row>
    <row r="303" spans="1:25">
      <c r="R303" s="17"/>
      <c r="U303" s="177"/>
    </row>
    <row r="304" spans="1:25">
      <c r="R304" s="17"/>
      <c r="U304" s="177"/>
    </row>
    <row r="305" spans="2:21">
      <c r="R305" s="17"/>
      <c r="U305" s="177"/>
    </row>
    <row r="306" spans="2:21">
      <c r="B306" s="1399"/>
      <c r="C306" s="1380"/>
      <c r="R306" s="17"/>
      <c r="U306" s="177"/>
    </row>
    <row r="307" spans="2:21">
      <c r="R307" s="17"/>
      <c r="U307" s="177"/>
    </row>
    <row r="308" spans="2:21" ht="10.5" customHeight="1">
      <c r="R308" s="17"/>
      <c r="U308" s="177"/>
    </row>
    <row r="309" spans="2:21">
      <c r="D309" s="1053"/>
      <c r="R309" s="17"/>
      <c r="U309" s="177"/>
    </row>
    <row r="310" spans="2:21">
      <c r="R310" s="17"/>
      <c r="U310" s="177"/>
    </row>
    <row r="311" spans="2:21">
      <c r="R311" s="17"/>
      <c r="U311" s="177"/>
    </row>
    <row r="312" spans="2:21">
      <c r="R312" s="17"/>
      <c r="U312" s="177"/>
    </row>
    <row r="313" spans="2:21">
      <c r="R313" s="17"/>
      <c r="U313" s="177"/>
    </row>
    <row r="314" spans="2:21">
      <c r="R314" s="17"/>
      <c r="U314" s="177"/>
    </row>
    <row r="315" spans="2:21">
      <c r="R315" s="17"/>
      <c r="U315" s="177"/>
    </row>
    <row r="316" spans="2:21">
      <c r="B316" s="1399"/>
      <c r="C316" s="1380"/>
      <c r="R316" s="17"/>
      <c r="U316" s="177"/>
    </row>
    <row r="317" spans="2:21">
      <c r="R317" s="17"/>
      <c r="U317" s="177"/>
    </row>
    <row r="318" spans="2:21">
      <c r="R318" s="17"/>
      <c r="U318" s="177"/>
    </row>
    <row r="319" spans="2:21">
      <c r="R319" s="17"/>
      <c r="U319" s="177"/>
    </row>
    <row r="320" spans="2:21">
      <c r="R320" s="17"/>
      <c r="U320" s="177"/>
    </row>
    <row r="321" spans="1:21">
      <c r="B321" s="1399"/>
      <c r="C321" s="1380"/>
      <c r="R321" s="17"/>
      <c r="U321" s="177"/>
    </row>
    <row r="322" spans="1:21">
      <c r="C322" s="1378"/>
      <c r="R322" s="17"/>
      <c r="U322" s="177"/>
    </row>
    <row r="323" spans="1:21">
      <c r="A323" s="78"/>
      <c r="C323" s="1378"/>
      <c r="R323" s="17"/>
      <c r="U323" s="177"/>
    </row>
    <row r="324" spans="1:21">
      <c r="B324" s="1399"/>
      <c r="C324" s="1380"/>
      <c r="R324" s="17"/>
      <c r="U324" s="177"/>
    </row>
    <row r="325" spans="1:21">
      <c r="R325" s="17"/>
      <c r="U325" s="177"/>
    </row>
    <row r="326" spans="1:21">
      <c r="U326" s="177"/>
    </row>
    <row r="327" spans="1:21">
      <c r="U327" s="177"/>
    </row>
    <row r="328" spans="1:21">
      <c r="B328" s="1399"/>
      <c r="C328" s="1380"/>
      <c r="U328" s="177"/>
    </row>
    <row r="329" spans="1:21">
      <c r="C329" s="1378"/>
      <c r="U329" s="177"/>
    </row>
    <row r="330" spans="1:21">
      <c r="U330" s="177"/>
    </row>
    <row r="331" spans="1:21">
      <c r="U331" s="177"/>
    </row>
    <row r="332" spans="1:21">
      <c r="U332" s="177"/>
    </row>
    <row r="333" spans="1:21">
      <c r="U333" s="177"/>
    </row>
    <row r="334" spans="1:21">
      <c r="U334" s="177"/>
    </row>
    <row r="335" spans="1:21">
      <c r="U335" s="177"/>
    </row>
    <row r="336" spans="1:21">
      <c r="U336" s="177"/>
    </row>
    <row r="337" spans="1:22">
      <c r="U337" s="177"/>
    </row>
    <row r="338" spans="1:22">
      <c r="U338" s="177"/>
    </row>
    <row r="339" spans="1:22">
      <c r="U339" s="177"/>
    </row>
    <row r="340" spans="1:22">
      <c r="U340" s="177"/>
    </row>
    <row r="341" spans="1:22">
      <c r="U341" s="177"/>
    </row>
    <row r="342" spans="1:22">
      <c r="U342" s="177"/>
    </row>
    <row r="343" spans="1:22">
      <c r="U343" s="177"/>
    </row>
    <row r="344" spans="1:22">
      <c r="U344" s="177"/>
    </row>
    <row r="345" spans="1:22">
      <c r="U345" s="177"/>
    </row>
    <row r="346" spans="1:22">
      <c r="U346" s="177"/>
    </row>
    <row r="347" spans="1:22">
      <c r="U347" s="177"/>
    </row>
    <row r="348" spans="1:22" s="59" customFormat="1">
      <c r="A348" s="73"/>
      <c r="B348" s="77"/>
      <c r="C348" s="1377"/>
      <c r="D348" s="43"/>
      <c r="E348" s="43"/>
      <c r="F348" s="43"/>
      <c r="G348" s="43"/>
      <c r="H348" s="1383"/>
      <c r="I348" s="43"/>
      <c r="J348" s="43"/>
      <c r="K348" s="43"/>
      <c r="L348" s="43"/>
      <c r="M348" s="1321"/>
      <c r="N348" s="43"/>
      <c r="O348" s="43"/>
      <c r="P348" s="43"/>
      <c r="Q348" s="43"/>
      <c r="U348" s="177"/>
    </row>
    <row r="349" spans="1:22" s="59" customFormat="1">
      <c r="A349" s="73"/>
      <c r="B349" s="77"/>
      <c r="C349" s="1377"/>
      <c r="D349" s="43"/>
      <c r="E349" s="43"/>
      <c r="F349" s="43"/>
      <c r="G349" s="43"/>
      <c r="H349" s="1383"/>
      <c r="I349" s="43"/>
      <c r="J349" s="43"/>
      <c r="K349" s="43"/>
      <c r="L349" s="43"/>
      <c r="M349" s="1321"/>
      <c r="N349" s="43"/>
      <c r="O349" s="43"/>
      <c r="P349" s="43"/>
      <c r="Q349" s="43"/>
      <c r="U349" s="177"/>
    </row>
    <row r="350" spans="1:22" s="59" customFormat="1">
      <c r="A350" s="73"/>
      <c r="B350" s="77"/>
      <c r="C350" s="1377"/>
      <c r="D350" s="43"/>
      <c r="E350" s="43"/>
      <c r="F350" s="43"/>
      <c r="G350" s="43"/>
      <c r="H350" s="1383"/>
      <c r="I350" s="43"/>
      <c r="J350" s="43"/>
      <c r="K350" s="43"/>
      <c r="L350" s="43"/>
      <c r="M350" s="1321"/>
      <c r="N350" s="43"/>
      <c r="O350" s="43"/>
      <c r="P350" s="43"/>
      <c r="Q350" s="43"/>
      <c r="U350" s="177"/>
    </row>
    <row r="351" spans="1:22" s="59" customFormat="1">
      <c r="A351" s="73"/>
      <c r="B351" s="77"/>
      <c r="C351" s="1377"/>
      <c r="D351" s="43"/>
      <c r="E351" s="43"/>
      <c r="F351" s="43"/>
      <c r="G351" s="43"/>
      <c r="H351" s="1383"/>
      <c r="I351" s="43"/>
      <c r="J351" s="43"/>
      <c r="K351" s="43"/>
      <c r="L351" s="43"/>
      <c r="M351" s="1321"/>
      <c r="N351" s="43"/>
      <c r="O351" s="43"/>
      <c r="P351" s="43"/>
      <c r="Q351" s="43"/>
      <c r="U351" s="177"/>
    </row>
    <row r="352" spans="1:22" s="59" customFormat="1">
      <c r="A352" s="73"/>
      <c r="B352" s="77"/>
      <c r="C352" s="1377"/>
      <c r="D352" s="43"/>
      <c r="E352" s="43"/>
      <c r="F352" s="43"/>
      <c r="G352" s="43"/>
      <c r="H352" s="1383"/>
      <c r="I352" s="43"/>
      <c r="J352" s="43"/>
      <c r="K352" s="43"/>
      <c r="L352" s="43"/>
      <c r="M352" s="1321"/>
      <c r="N352" s="43"/>
      <c r="O352" s="43"/>
      <c r="P352" s="43"/>
      <c r="Q352" s="43"/>
      <c r="U352" s="177"/>
      <c r="V352" s="44"/>
    </row>
    <row r="353" spans="1:22" s="59" customFormat="1">
      <c r="A353" s="73"/>
      <c r="B353" s="77"/>
      <c r="C353" s="1377"/>
      <c r="D353" s="43"/>
      <c r="E353" s="43"/>
      <c r="F353" s="43"/>
      <c r="G353" s="43"/>
      <c r="H353" s="1383"/>
      <c r="I353" s="43"/>
      <c r="J353" s="43"/>
      <c r="K353" s="43"/>
      <c r="L353" s="43"/>
      <c r="M353" s="1321"/>
      <c r="N353" s="43"/>
      <c r="O353" s="43"/>
      <c r="P353" s="43"/>
      <c r="Q353" s="43"/>
      <c r="U353" s="177"/>
      <c r="V353" s="44"/>
    </row>
    <row r="354" spans="1:22" s="59" customFormat="1">
      <c r="A354" s="73"/>
      <c r="B354" s="77"/>
      <c r="C354" s="1377"/>
      <c r="D354" s="43"/>
      <c r="E354" s="43"/>
      <c r="F354" s="43"/>
      <c r="G354" s="43"/>
      <c r="H354" s="1383"/>
      <c r="I354" s="43"/>
      <c r="J354" s="43"/>
      <c r="K354" s="43"/>
      <c r="L354" s="43"/>
      <c r="M354" s="1321"/>
      <c r="N354" s="43"/>
      <c r="O354" s="43"/>
      <c r="P354" s="43"/>
      <c r="Q354" s="43"/>
      <c r="U354" s="177"/>
      <c r="V354" s="44"/>
    </row>
    <row r="355" spans="1:22">
      <c r="U355" s="177"/>
    </row>
    <row r="356" spans="1:22">
      <c r="U356" s="177"/>
    </row>
    <row r="357" spans="1:22">
      <c r="U357" s="177"/>
    </row>
    <row r="358" spans="1:22">
      <c r="U358" s="177"/>
    </row>
    <row r="359" spans="1:22">
      <c r="U359" s="177"/>
    </row>
    <row r="360" spans="1:22">
      <c r="U360" s="177"/>
    </row>
    <row r="361" spans="1:22">
      <c r="U361" s="177"/>
    </row>
    <row r="362" spans="1:22">
      <c r="U362" s="177"/>
    </row>
    <row r="363" spans="1:22">
      <c r="U363" s="177"/>
    </row>
    <row r="364" spans="1:22">
      <c r="U364" s="177"/>
    </row>
    <row r="365" spans="1:22">
      <c r="U365" s="177"/>
    </row>
    <row r="366" spans="1:22">
      <c r="U366" s="177"/>
    </row>
    <row r="367" spans="1:22">
      <c r="U367" s="177"/>
    </row>
    <row r="368" spans="1:22">
      <c r="U368" s="177"/>
    </row>
    <row r="369" spans="21:21">
      <c r="U369" s="177"/>
    </row>
    <row r="370" spans="21:21">
      <c r="U370" s="177"/>
    </row>
    <row r="371" spans="21:21">
      <c r="U371" s="177"/>
    </row>
    <row r="372" spans="21:21">
      <c r="U372" s="177"/>
    </row>
    <row r="373" spans="21:21">
      <c r="U373" s="177"/>
    </row>
    <row r="374" spans="21:21">
      <c r="U374" s="177"/>
    </row>
    <row r="375" spans="21:21">
      <c r="U375" s="177"/>
    </row>
    <row r="376" spans="21:21">
      <c r="U376" s="177"/>
    </row>
    <row r="377" spans="21:21">
      <c r="U377" s="177"/>
    </row>
    <row r="378" spans="21:21">
      <c r="U378" s="177"/>
    </row>
    <row r="379" spans="21:21">
      <c r="U379" s="177"/>
    </row>
    <row r="380" spans="21:21">
      <c r="U380" s="177"/>
    </row>
    <row r="381" spans="21:21">
      <c r="U381" s="177"/>
    </row>
    <row r="382" spans="21:21">
      <c r="U382" s="177"/>
    </row>
    <row r="383" spans="21:21">
      <c r="U383" s="177"/>
    </row>
    <row r="384" spans="21:21">
      <c r="U384" s="177"/>
    </row>
    <row r="385" spans="21:21">
      <c r="U385" s="177"/>
    </row>
    <row r="386" spans="21:21">
      <c r="U386" s="177"/>
    </row>
    <row r="387" spans="21:21">
      <c r="U387" s="177"/>
    </row>
    <row r="388" spans="21:21">
      <c r="U388" s="177"/>
    </row>
    <row r="389" spans="21:21">
      <c r="U389" s="177"/>
    </row>
    <row r="390" spans="21:21">
      <c r="U390" s="177"/>
    </row>
    <row r="391" spans="21:21">
      <c r="U391" s="177"/>
    </row>
    <row r="392" spans="21:21">
      <c r="U392" s="177"/>
    </row>
    <row r="393" spans="21:21">
      <c r="U393" s="177"/>
    </row>
    <row r="394" spans="21:21">
      <c r="U394" s="177"/>
    </row>
    <row r="395" spans="21:21">
      <c r="U395" s="177"/>
    </row>
    <row r="396" spans="21:21">
      <c r="U396" s="177"/>
    </row>
    <row r="397" spans="21:21">
      <c r="U397" s="177"/>
    </row>
    <row r="398" spans="21:21">
      <c r="U398" s="177"/>
    </row>
    <row r="399" spans="21:21">
      <c r="U399" s="177"/>
    </row>
    <row r="400" spans="21:21">
      <c r="U400" s="177"/>
    </row>
    <row r="401" spans="21:21">
      <c r="U401" s="177"/>
    </row>
    <row r="402" spans="21:21">
      <c r="U402" s="177"/>
    </row>
    <row r="403" spans="21:21">
      <c r="U403" s="177"/>
    </row>
    <row r="404" spans="21:21">
      <c r="U404" s="177"/>
    </row>
    <row r="405" spans="21:21">
      <c r="U405" s="177"/>
    </row>
    <row r="406" spans="21:21">
      <c r="U406" s="177"/>
    </row>
    <row r="407" spans="21:21">
      <c r="U407" s="177"/>
    </row>
    <row r="408" spans="21:21">
      <c r="U408" s="177"/>
    </row>
    <row r="409" spans="21:21">
      <c r="U409" s="177"/>
    </row>
    <row r="410" spans="21:21">
      <c r="U410" s="177"/>
    </row>
    <row r="411" spans="21:21">
      <c r="U411" s="177"/>
    </row>
    <row r="412" spans="21:21">
      <c r="U412" s="177"/>
    </row>
    <row r="413" spans="21:21">
      <c r="U413" s="177"/>
    </row>
    <row r="414" spans="21:21">
      <c r="U414" s="177"/>
    </row>
    <row r="415" spans="21:21">
      <c r="U415" s="177"/>
    </row>
    <row r="416" spans="21:21">
      <c r="U416" s="177"/>
    </row>
    <row r="417" spans="21:21">
      <c r="U417" s="177"/>
    </row>
    <row r="418" spans="21:21">
      <c r="U418" s="177"/>
    </row>
    <row r="419" spans="21:21">
      <c r="U419" s="177"/>
    </row>
    <row r="420" spans="21:21">
      <c r="U420" s="177"/>
    </row>
    <row r="421" spans="21:21">
      <c r="U421" s="177"/>
    </row>
    <row r="422" spans="21:21">
      <c r="U422" s="177"/>
    </row>
    <row r="423" spans="21:21">
      <c r="U423" s="177"/>
    </row>
    <row r="424" spans="21:21">
      <c r="U424" s="177"/>
    </row>
    <row r="425" spans="21:21">
      <c r="U425" s="177"/>
    </row>
    <row r="426" spans="21:21">
      <c r="U426" s="177"/>
    </row>
    <row r="427" spans="21:21">
      <c r="U427" s="177"/>
    </row>
    <row r="428" spans="21:21">
      <c r="U428" s="177"/>
    </row>
    <row r="429" spans="21:21">
      <c r="U429" s="177"/>
    </row>
    <row r="430" spans="21:21">
      <c r="U430" s="177"/>
    </row>
    <row r="431" spans="21:21">
      <c r="U431" s="177"/>
    </row>
    <row r="432" spans="21:21">
      <c r="U432" s="177"/>
    </row>
    <row r="433" spans="21:21">
      <c r="U433" s="177"/>
    </row>
    <row r="434" spans="21:21">
      <c r="U434" s="177"/>
    </row>
    <row r="435" spans="21:21">
      <c r="U435" s="177"/>
    </row>
    <row r="436" spans="21:21">
      <c r="U436" s="177"/>
    </row>
    <row r="437" spans="21:21">
      <c r="U437" s="177"/>
    </row>
    <row r="438" spans="21:21">
      <c r="U438" s="177"/>
    </row>
    <row r="439" spans="21:21">
      <c r="U439" s="177"/>
    </row>
    <row r="440" spans="21:21">
      <c r="U440" s="177"/>
    </row>
    <row r="441" spans="21:21">
      <c r="U441" s="177"/>
    </row>
    <row r="442" spans="21:21">
      <c r="U442" s="177"/>
    </row>
    <row r="443" spans="21:21">
      <c r="U443" s="177"/>
    </row>
    <row r="444" spans="21:21">
      <c r="U444" s="177"/>
    </row>
  </sheetData>
  <customSheetViews>
    <customSheetView guid="{3B54C4DD-9207-4EC3-9D58-6DDE29113D77}" showGridLines="0" printArea="1" showRuler="0">
      <pane xSplit="2" ySplit="9" topLeftCell="C238" activePane="bottomRight" state="frozen"/>
      <selection pane="bottomRight" activeCell="C245" activeCellId="12" sqref="C240 C242 C246 C212 C213 C214 C215 C219 C218 C220 C221 C248 C245"/>
      <colBreaks count="2" manualBreakCount="2">
        <brk id="6" max="1048575" man="1"/>
        <brk id="18" max="263" man="1"/>
      </colBreaks>
      <pageMargins left="0.75" right="0.75" top="1" bottom="1" header="0.5" footer="0.5"/>
      <pageSetup scale="57" fitToWidth="3" orientation="portrait" r:id="rId1"/>
      <headerFooter alignWithMargins="0"/>
    </customSheetView>
    <customSheetView guid="{F69ABAD1-EF76-489D-B027-1BD1F4CFE8A6}" showGridLines="0">
      <pane xSplit="2" ySplit="9" topLeftCell="C10" activePane="bottomRight" state="frozen"/>
      <selection pane="bottomRight" activeCell="C11" sqref="C11"/>
      <colBreaks count="2" manualBreakCount="2">
        <brk id="6" max="1048575" man="1"/>
        <brk id="18" max="263" man="1"/>
      </colBreaks>
      <pageMargins left="0.75" right="0.75" top="1" bottom="1" header="0.5" footer="0.5"/>
      <pageSetup scale="57" fitToWidth="3" orientation="portrait" r:id="rId2"/>
      <headerFooter alignWithMargins="0"/>
    </customSheetView>
  </customSheetViews>
  <mergeCells count="2">
    <mergeCell ref="N7:Q7"/>
    <mergeCell ref="V7:Y7"/>
  </mergeCells>
  <phoneticPr fontId="0" type="noConversion"/>
  <pageMargins left="0.75" right="0.75" top="1" bottom="1" header="0.5" footer="0.5"/>
  <pageSetup scale="35" fitToHeight="0" orientation="landscape" horizontalDpi="4294967295" verticalDpi="4294967295" r:id="rId3"/>
  <headerFooter alignWithMargins="0"/>
  <colBreaks count="2" manualBreakCount="2">
    <brk id="9" max="1048575" man="1"/>
    <brk id="21" max="263" man="1"/>
  </colBreaks>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25"/>
  <sheetViews>
    <sheetView topLeftCell="A27" workbookViewId="0">
      <selection activeCell="B52" sqref="B52"/>
    </sheetView>
  </sheetViews>
  <sheetFormatPr defaultRowHeight="11.25"/>
  <cols>
    <col min="1" max="1" width="8.5" customWidth="1"/>
    <col min="2" max="2" width="10.33203125" style="73" bestFit="1" customWidth="1"/>
    <col min="3" max="3" width="46.6640625" style="77" customWidth="1"/>
    <col min="4" max="4" width="16.33203125" style="1377" customWidth="1"/>
    <col min="5" max="5" width="24.1640625" style="43" customWidth="1"/>
    <col min="6" max="6" width="87.5" style="1417" customWidth="1"/>
    <col min="7" max="8" width="15.6640625" style="1417" customWidth="1"/>
    <col min="9" max="9" width="12.1640625" bestFit="1" customWidth="1"/>
    <col min="10" max="10" width="13.1640625" bestFit="1" customWidth="1"/>
  </cols>
  <sheetData>
    <row r="1" spans="1:10">
      <c r="B1" s="17"/>
      <c r="C1" s="18"/>
      <c r="D1" s="1376"/>
      <c r="E1" s="19"/>
    </row>
    <row r="2" spans="1:10">
      <c r="B2" s="17"/>
      <c r="C2" s="18" t="str">
        <f>Summary!$C$3</f>
        <v>Eastside</v>
      </c>
      <c r="D2" s="1376"/>
      <c r="E2" s="19"/>
    </row>
    <row r="3" spans="1:10">
      <c r="B3" s="17"/>
      <c r="C3" s="18" t="s">
        <v>120</v>
      </c>
      <c r="D3" s="1376"/>
      <c r="E3" s="19"/>
    </row>
    <row r="4" spans="1:10">
      <c r="B4" s="17"/>
      <c r="C4" s="18"/>
      <c r="D4" s="1376"/>
      <c r="E4" s="19"/>
    </row>
    <row r="5" spans="1:10">
      <c r="B5" s="17"/>
      <c r="C5" s="18" t="s">
        <v>121</v>
      </c>
      <c r="D5" s="1376"/>
      <c r="E5" s="19"/>
    </row>
    <row r="6" spans="1:10">
      <c r="B6" s="17"/>
      <c r="C6" s="18"/>
      <c r="D6" s="1376"/>
      <c r="E6" s="19"/>
    </row>
    <row r="7" spans="1:10" ht="12" thickBot="1">
      <c r="B7" s="17"/>
      <c r="C7" s="18" t="str">
        <f>TEXT(EDATE(Summary!C5,-12)+1,"mmmm d, yyyy")&amp;" thru "&amp;TEXT(Summary!C5,"mmmm d, yyyy")</f>
        <v>May 1, 2013 thru April 30, 2014</v>
      </c>
      <c r="D7" s="1376"/>
      <c r="E7" s="19"/>
    </row>
    <row r="8" spans="1:10">
      <c r="B8" s="18" t="s">
        <v>139</v>
      </c>
      <c r="C8" s="34"/>
      <c r="D8" s="1401"/>
      <c r="E8" s="144" t="s">
        <v>1353</v>
      </c>
    </row>
    <row r="9" spans="1:10" ht="34.5" thickBot="1">
      <c r="A9" s="1033" t="s">
        <v>1709</v>
      </c>
      <c r="B9" s="18" t="s">
        <v>164</v>
      </c>
      <c r="C9" s="34" t="s">
        <v>165</v>
      </c>
      <c r="D9" s="1402" t="s">
        <v>1704</v>
      </c>
      <c r="E9" s="146" t="s">
        <v>105</v>
      </c>
      <c r="F9" s="1420" t="s">
        <v>1707</v>
      </c>
      <c r="G9" s="1421" t="s">
        <v>1716</v>
      </c>
      <c r="H9" s="1421" t="s">
        <v>1717</v>
      </c>
      <c r="I9" s="1421" t="s">
        <v>1718</v>
      </c>
      <c r="J9" s="1421" t="s">
        <v>1719</v>
      </c>
    </row>
    <row r="10" spans="1:10" ht="12.75" thickBot="1">
      <c r="B10" s="570" t="s">
        <v>180</v>
      </c>
      <c r="C10" s="749"/>
      <c r="D10" s="1403"/>
      <c r="E10" s="566"/>
      <c r="G10" s="1419"/>
      <c r="H10" s="1419"/>
      <c r="I10" s="775"/>
      <c r="J10" s="775"/>
    </row>
    <row r="11" spans="1:10">
      <c r="A11" s="1033" t="s">
        <v>1710</v>
      </c>
      <c r="B11" s="1820">
        <v>406100</v>
      </c>
      <c r="C11" s="181" t="str">
        <f>VLOOKUP(B11,'Income Statement'!$A$6:$B$254,2,FALSE)</f>
        <v>Franchise Fees O/S</v>
      </c>
      <c r="D11" s="1404">
        <v>1673981</v>
      </c>
      <c r="E11" s="147">
        <f>SUMIF('Income Statement'!$B:$B,$C11,'Income Statement'!$O:$O)</f>
        <v>1787664</v>
      </c>
      <c r="F11" s="1417" t="s">
        <v>1713</v>
      </c>
      <c r="G11" s="1419"/>
      <c r="H11" s="1419"/>
      <c r="I11" s="775"/>
      <c r="J11" s="775"/>
    </row>
    <row r="12" spans="1:10">
      <c r="A12" s="1033" t="s">
        <v>1708</v>
      </c>
      <c r="B12" s="1820">
        <v>510061</v>
      </c>
      <c r="C12" s="1819" t="str">
        <f>VLOOKUP(B12,'Income Statement'!$A$6:$B$254,2,FALSE)</f>
        <v>Bonus Pay Corp - Sup Labor</v>
      </c>
      <c r="D12" s="1413">
        <v>31799</v>
      </c>
      <c r="E12" s="147">
        <f>SUMIF('Income Statement'!$A:$A,$B12,'Income Statement'!$O:$O)</f>
        <v>20137</v>
      </c>
      <c r="F12" s="746" t="s">
        <v>1722</v>
      </c>
      <c r="G12" s="1419">
        <v>-20137</v>
      </c>
      <c r="H12" s="1419"/>
      <c r="I12" s="775"/>
      <c r="J12" s="775"/>
    </row>
    <row r="13" spans="1:10">
      <c r="A13" s="746" t="s">
        <v>1708</v>
      </c>
      <c r="B13" s="1820">
        <v>510188</v>
      </c>
      <c r="C13" s="1819" t="str">
        <f>VLOOKUP(B13,'Income Statement'!$A$6:$B$254,2,FALSE)</f>
        <v>Uniforms &amp; Safety - Sup Labor</v>
      </c>
      <c r="D13" s="1413">
        <v>50073</v>
      </c>
      <c r="E13" s="147">
        <f>SUMIF('Income Statement'!$A:$A,$B13,'Income Statement'!$O:$O)</f>
        <v>86764</v>
      </c>
      <c r="F13" s="746" t="s">
        <v>1723</v>
      </c>
      <c r="G13" s="1419"/>
      <c r="H13" s="1419"/>
      <c r="I13" s="775"/>
      <c r="J13" s="775"/>
    </row>
    <row r="14" spans="1:10" ht="22.5">
      <c r="A14" s="1033" t="s">
        <v>1712</v>
      </c>
      <c r="B14" s="57">
        <v>530010</v>
      </c>
      <c r="C14" s="1819" t="str">
        <f>VLOOKUP(B14,'Income Statement'!$A$6:$B$254,2,FALSE)</f>
        <v>Fuel</v>
      </c>
      <c r="D14" s="1413">
        <v>1615668</v>
      </c>
      <c r="E14" s="147">
        <f>SUMIF('Income Statement'!$A:$A,$B14,'Income Statement'!$O:$O)</f>
        <v>1452791</v>
      </c>
      <c r="F14" s="1427" t="s">
        <v>2321</v>
      </c>
      <c r="G14" s="1419">
        <f>'Adj - Restating'!I100</f>
        <v>0</v>
      </c>
      <c r="H14" s="1419">
        <f>'Adj - Proforma'!L100</f>
        <v>105211.14000000001</v>
      </c>
      <c r="I14" s="775">
        <f>'Staff Fuel Summary'!I4-(E14+H14)</f>
        <v>-21543.710000000196</v>
      </c>
      <c r="J14" s="775">
        <f>'Staff Fuel Summary'!D31-'Staff Fuel Summary'!I4</f>
        <v>-131025.01377770631</v>
      </c>
    </row>
    <row r="15" spans="1:10">
      <c r="A15" s="1033" t="s">
        <v>1708</v>
      </c>
      <c r="B15" s="57">
        <v>540030</v>
      </c>
      <c r="C15" s="1819" t="str">
        <f>VLOOKUP(B15,'Income Statement'!$A$6:$B$254,2,FALSE)</f>
        <v>New Tire Expense</v>
      </c>
      <c r="D15" s="1413">
        <v>232584</v>
      </c>
      <c r="E15" s="147">
        <f>SUMIF('Income Statement'!$A:$A,$B15,'Income Statement'!$O:$O)</f>
        <v>276633</v>
      </c>
      <c r="F15" s="746" t="s">
        <v>1724</v>
      </c>
      <c r="G15" s="1419"/>
      <c r="H15" s="1419"/>
      <c r="I15" s="775"/>
      <c r="J15" s="775"/>
    </row>
    <row r="16" spans="1:10">
      <c r="A16" s="1033" t="s">
        <v>1708</v>
      </c>
      <c r="B16" s="57">
        <v>540031</v>
      </c>
      <c r="C16" s="1819" t="str">
        <f>VLOOKUP(B16,'Income Statement'!$A$6:$B$254,2,FALSE)</f>
        <v>Tire Repair</v>
      </c>
      <c r="D16" s="1413">
        <v>101854</v>
      </c>
      <c r="E16" s="147">
        <f>SUMIF('Income Statement'!$A:$A,$B16,'Income Statement'!$O:$O)</f>
        <v>94147</v>
      </c>
      <c r="F16" s="746" t="s">
        <v>1724</v>
      </c>
      <c r="G16" s="1419"/>
      <c r="H16" s="1419"/>
      <c r="I16" s="775"/>
      <c r="J16" s="775"/>
    </row>
    <row r="17" spans="1:11">
      <c r="A17" s="1033" t="s">
        <v>1708</v>
      </c>
      <c r="B17" s="57">
        <v>545010</v>
      </c>
      <c r="C17" s="1819" t="str">
        <f>VLOOKUP(B17,'Income Statement'!$A$6:$B$254,2,FALSE)</f>
        <v>Cont/Comp Parts &amp; Matls</v>
      </c>
      <c r="D17" s="1413">
        <v>21752</v>
      </c>
      <c r="E17" s="147">
        <f>SUMIF('Income Statement'!$A:$A,$B17,'Income Statement'!$O:$O)</f>
        <v>33860</v>
      </c>
      <c r="F17" s="1427"/>
      <c r="G17" s="1419"/>
      <c r="H17" s="1419"/>
      <c r="I17" s="775"/>
      <c r="J17" s="775"/>
    </row>
    <row r="18" spans="1:11">
      <c r="A18" s="1033" t="s">
        <v>1708</v>
      </c>
      <c r="B18" s="57">
        <v>545015</v>
      </c>
      <c r="C18" s="1819" t="e">
        <f>VLOOKUP(B18,'Income Statement'!$A$6:$B$254,2,FALSE)</f>
        <v>#N/A</v>
      </c>
      <c r="D18" s="1413"/>
      <c r="E18" s="147">
        <f>SUMIF('Income Statement'!$A:$A,$B18,'Income Statement'!$O:$O)</f>
        <v>0</v>
      </c>
      <c r="G18" s="1419"/>
      <c r="H18" s="1419"/>
      <c r="I18" s="775"/>
      <c r="J18" s="775"/>
    </row>
    <row r="19" spans="1:11">
      <c r="A19" s="1033" t="s">
        <v>1708</v>
      </c>
      <c r="B19" s="57">
        <v>545020</v>
      </c>
      <c r="C19" s="1819" t="e">
        <f>VLOOKUP(B19,'Income Statement'!$A$6:$B$254,2,FALSE)</f>
        <v>#N/A</v>
      </c>
      <c r="D19" s="1413"/>
      <c r="E19" s="147">
        <f>SUMIF('Income Statement'!$A:$A,$B19,'Income Statement'!$O:$O)</f>
        <v>0</v>
      </c>
      <c r="G19" s="1419"/>
      <c r="H19" s="1419"/>
      <c r="I19" s="775"/>
      <c r="J19" s="775"/>
    </row>
    <row r="20" spans="1:11">
      <c r="A20" s="1033" t="s">
        <v>1708</v>
      </c>
      <c r="B20" s="57">
        <v>545025</v>
      </c>
      <c r="C20" s="1819" t="e">
        <f>VLOOKUP(B20,'Income Statement'!$A$6:$B$254,2,FALSE)</f>
        <v>#N/A</v>
      </c>
      <c r="D20" s="1413"/>
      <c r="E20" s="147">
        <f>SUMIF('Income Statement'!$A:$A,$B20,'Income Statement'!$O:$O)</f>
        <v>0</v>
      </c>
      <c r="G20" s="1419"/>
      <c r="H20" s="1419"/>
      <c r="I20" s="775"/>
      <c r="J20" s="775"/>
    </row>
    <row r="21" spans="1:11">
      <c r="A21" s="1033" t="s">
        <v>1708</v>
      </c>
      <c r="B21" s="57">
        <v>545030</v>
      </c>
      <c r="C21" s="1819" t="e">
        <f>VLOOKUP(B21,'Income Statement'!$A$6:$B$254,2,FALSE)</f>
        <v>#N/A</v>
      </c>
      <c r="D21" s="1413"/>
      <c r="E21" s="147">
        <f>SUMIF('Income Statement'!$A:$A,$B21,'Income Statement'!$O:$O)</f>
        <v>0</v>
      </c>
      <c r="G21" s="1419"/>
      <c r="H21" s="1419"/>
      <c r="I21" s="775"/>
      <c r="J21" s="775"/>
    </row>
    <row r="22" spans="1:11">
      <c r="A22" s="1033" t="s">
        <v>1708</v>
      </c>
      <c r="B22" s="57">
        <v>545035</v>
      </c>
      <c r="C22" s="1819" t="str">
        <f>VLOOKUP(B22,'Income Statement'!$A$6:$B$254,2,FALSE)</f>
        <v>Cont/Comp Supplies</v>
      </c>
      <c r="D22" s="1413">
        <f>18104+3075+1563+1246</f>
        <v>23988</v>
      </c>
      <c r="E22" s="147">
        <f>SUMIF('Income Statement'!$A:$A,$B22,'Income Statement'!$O:$O)</f>
        <v>7224</v>
      </c>
      <c r="G22" s="1419"/>
      <c r="H22" s="1419"/>
      <c r="I22" s="775"/>
      <c r="J22" s="775"/>
    </row>
    <row r="23" spans="1:11">
      <c r="A23" s="1033" t="s">
        <v>1708</v>
      </c>
      <c r="B23" s="57">
        <v>545040</v>
      </c>
      <c r="C23" s="1819" t="str">
        <f>VLOOKUP(B23,'Income Statement'!$A$6:$B$254,2,FALSE)</f>
        <v>Cont/Comp O/S Repairs</v>
      </c>
      <c r="D23" s="1413">
        <v>199523</v>
      </c>
      <c r="E23" s="147">
        <f>SUMIF('Income Statement'!$A:$A,$B23,'Income Statement'!$O:$O)</f>
        <v>17068</v>
      </c>
      <c r="F23" s="1417" t="s">
        <v>1714</v>
      </c>
      <c r="G23" s="1419">
        <f>Proforma!E137</f>
        <v>0</v>
      </c>
      <c r="H23" s="1419">
        <f>Proforma!H137</f>
        <v>70119</v>
      </c>
      <c r="I23" s="775"/>
      <c r="J23" s="775">
        <v>70119</v>
      </c>
      <c r="K23" t="s">
        <v>2320</v>
      </c>
    </row>
    <row r="24" spans="1:11" ht="11.45" customHeight="1">
      <c r="A24" s="1033" t="s">
        <v>1708</v>
      </c>
      <c r="B24" s="57">
        <v>545090</v>
      </c>
      <c r="C24" s="1819" t="str">
        <f>VLOOKUP(B24,'Income Statement'!$A$6:$B$254,2,FALSE)</f>
        <v>Cont/Comp Equip Wash</v>
      </c>
      <c r="D24" s="1413">
        <v>11579</v>
      </c>
      <c r="E24" s="147">
        <f>SUMIF('Income Statement'!$A:$A,$B24,'Income Statement'!$O:$O)</f>
        <v>9874</v>
      </c>
      <c r="F24" s="1417" t="s">
        <v>1715</v>
      </c>
      <c r="G24" s="1419"/>
      <c r="H24" s="1419"/>
      <c r="I24" s="775"/>
      <c r="J24" s="775"/>
    </row>
    <row r="25" spans="1:11">
      <c r="A25" s="1033" t="s">
        <v>1708</v>
      </c>
      <c r="B25" s="57">
        <v>545095</v>
      </c>
      <c r="C25" s="1819" t="str">
        <f>VLOOKUP(B25,'Income Statement'!$A$6:$B$254,2,FALSE)</f>
        <v>Cont/Comp Other Maint</v>
      </c>
      <c r="D25" s="1413">
        <v>-9723</v>
      </c>
      <c r="E25" s="147">
        <f>SUMIF('Income Statement'!$A:$A,$B25,'Income Statement'!$O:$O)</f>
        <v>-323</v>
      </c>
      <c r="G25" s="1419"/>
      <c r="H25" s="1419"/>
      <c r="I25" s="775"/>
      <c r="J25" s="775"/>
    </row>
    <row r="26" spans="1:11">
      <c r="A26" s="1033" t="s">
        <v>1708</v>
      </c>
      <c r="B26" s="57">
        <v>545997</v>
      </c>
      <c r="C26" s="1819" t="str">
        <f>VLOOKUP(B26,'Income Statement'!$A$6:$B$254,2,FALSE)</f>
        <v>CShop Labor  Alloc-In</v>
      </c>
      <c r="D26" s="1413"/>
      <c r="E26" s="147">
        <f>SUMIF('Income Statement'!$A:$A,$B26,'Income Statement'!$O:$O)</f>
        <v>65102</v>
      </c>
      <c r="F26" s="1417" t="s">
        <v>2319</v>
      </c>
      <c r="G26" s="1419">
        <f>Proforma!E140</f>
        <v>0</v>
      </c>
      <c r="H26" s="1419">
        <f>Proforma!H140</f>
        <v>18869.812944469715</v>
      </c>
      <c r="I26" s="775"/>
      <c r="J26" s="775">
        <f>+'Container Maint'!N31</f>
        <v>18869.812944469715</v>
      </c>
      <c r="K26" t="s">
        <v>2320</v>
      </c>
    </row>
    <row r="27" spans="1:11">
      <c r="A27" s="1033" t="s">
        <v>1708</v>
      </c>
      <c r="B27" s="57">
        <v>545998</v>
      </c>
      <c r="C27" s="1819" t="str">
        <f>VLOOKUP(B27,'Income Statement'!$A$6:$B$254,2,FALSE)</f>
        <v>Cont/Comp Expense Alloc-In</v>
      </c>
      <c r="D27" s="1413"/>
      <c r="E27" s="147">
        <f>SUMIF('Income Statement'!$A:$A,$B27,'Income Statement'!$O:$O)</f>
        <v>34066</v>
      </c>
      <c r="G27" s="1419"/>
      <c r="H27" s="1419"/>
      <c r="I27" s="775"/>
      <c r="J27" s="775"/>
    </row>
    <row r="28" spans="1:11">
      <c r="A28" s="1033" t="s">
        <v>1708</v>
      </c>
      <c r="B28" s="57">
        <v>545999</v>
      </c>
      <c r="C28" s="1819" t="str">
        <f>VLOOKUP(B28,'Income Statement'!$A$6:$B$254,2,FALSE)</f>
        <v>Cont/Comp Expense Alloc-Out</v>
      </c>
      <c r="D28" s="1413"/>
      <c r="E28" s="147">
        <f>SUMIF('Income Statement'!$A:$A,$B28,'Income Statement'!$O:$O)</f>
        <v>-34066</v>
      </c>
      <c r="F28" s="1418"/>
      <c r="G28" s="1419"/>
      <c r="H28" s="1419"/>
      <c r="I28" s="775"/>
      <c r="J28" s="775"/>
    </row>
    <row r="29" spans="1:11" ht="12">
      <c r="A29" s="1033" t="s">
        <v>1708</v>
      </c>
      <c r="B29" s="54"/>
      <c r="C29" s="560" t="s">
        <v>554</v>
      </c>
      <c r="D29" s="1405">
        <f>SUM(D17:D28)</f>
        <v>247119</v>
      </c>
      <c r="E29" s="561">
        <f>SUM(E17:E28)</f>
        <v>132805</v>
      </c>
      <c r="G29" s="1419"/>
      <c r="H29" s="1419"/>
      <c r="I29" s="775"/>
      <c r="J29" s="775"/>
    </row>
    <row r="30" spans="1:11">
      <c r="A30" s="1033" t="s">
        <v>1711</v>
      </c>
      <c r="B30" s="57">
        <v>565006</v>
      </c>
      <c r="C30" s="765" t="str">
        <f>VLOOKUP(B30,'Income Statement'!$A$6:$B$254,2,FALSE)</f>
        <v>AW Self Ins WC/Premium Exp</v>
      </c>
      <c r="D30" s="1413"/>
      <c r="E30" s="147">
        <f>SUMIF('Income Statement'!$A:$A,$A30,'Income Statement'!$O:$O)</f>
        <v>0</v>
      </c>
      <c r="G30" s="1419">
        <f>Proforma!E146</f>
        <v>0</v>
      </c>
      <c r="H30" s="1419">
        <f>Proforma!H146</f>
        <v>-17456.46</v>
      </c>
      <c r="I30" s="775">
        <v>0</v>
      </c>
      <c r="J30" s="775">
        <v>-17456.46</v>
      </c>
      <c r="K30" t="s">
        <v>2337</v>
      </c>
    </row>
    <row r="31" spans="1:11">
      <c r="A31" s="1033" t="s">
        <v>1708</v>
      </c>
      <c r="B31" s="1820">
        <v>565008</v>
      </c>
      <c r="C31" s="1819" t="str">
        <f>VLOOKUP(B31,'Income Statement'!$A$6:$B$254,2,FALSE)</f>
        <v>Corp Ins-Fixed Other</v>
      </c>
      <c r="D31" s="1413">
        <v>175998</v>
      </c>
      <c r="E31" s="147">
        <f>SUMIF('Income Statement'!$A:$A,$B31,'Income Statement'!$O:$O)</f>
        <v>152114</v>
      </c>
      <c r="G31" s="1419"/>
      <c r="H31" s="1419"/>
      <c r="I31" s="775"/>
      <c r="J31" s="775"/>
    </row>
    <row r="32" spans="1:11">
      <c r="A32" s="1033" t="s">
        <v>1708</v>
      </c>
      <c r="B32" s="1820">
        <v>565012</v>
      </c>
      <c r="C32" s="1819" t="str">
        <f>VLOOKUP(B32,'Income Statement'!$A$6:$B$254,2,FALSE)</f>
        <v>Corp Ins-Occur AL/GL</v>
      </c>
      <c r="D32" s="1413">
        <v>186945</v>
      </c>
      <c r="E32" s="147">
        <f>SUMIF('Income Statement'!$A:$A,$B32,'Income Statement'!$O:$O)</f>
        <v>104911</v>
      </c>
      <c r="G32" s="1419"/>
      <c r="H32" s="1419"/>
      <c r="I32" s="775"/>
      <c r="J32" s="775"/>
    </row>
    <row r="33" spans="1:13">
      <c r="A33" s="1033" t="s">
        <v>2332</v>
      </c>
      <c r="B33" s="1820">
        <v>565030</v>
      </c>
      <c r="C33" s="1819" t="str">
        <f>VLOOKUP(B33,'Income Statement'!$A$6:$B$254,2,FALSE)</f>
        <v>Non-Corp Ins-W/C</v>
      </c>
      <c r="D33" s="1413">
        <v>646714</v>
      </c>
      <c r="E33" s="147">
        <f>SUMIF('Income Statement'!$A:$A,$B33,'Income Statement'!$O:$O)</f>
        <v>649281</v>
      </c>
      <c r="G33" s="1419">
        <f>Proforma!E149</f>
        <v>0</v>
      </c>
      <c r="H33" s="1419">
        <f>Proforma!H149</f>
        <v>-30771.192712578551</v>
      </c>
      <c r="I33" s="775">
        <v>-215409</v>
      </c>
      <c r="J33" s="775">
        <f>'Staff L&amp;I Retro Adjustment'!L32</f>
        <v>-30771.192712578551</v>
      </c>
      <c r="K33" t="s">
        <v>2463</v>
      </c>
    </row>
    <row r="34" spans="1:13">
      <c r="A34" s="1033" t="s">
        <v>1708</v>
      </c>
      <c r="B34" s="1820">
        <v>565040</v>
      </c>
      <c r="C34" s="1819" t="str">
        <f>VLOOKUP(B34,'Income Statement'!$A$6:$B$254,2,FALSE)</f>
        <v>Damage-RSG Prop Non-AM</v>
      </c>
      <c r="D34" s="1413">
        <v>16192</v>
      </c>
      <c r="E34" s="147">
        <f>SUMIF('Income Statement'!$A:$A,$B34,'Income Statement'!$O:$O)</f>
        <v>15685</v>
      </c>
      <c r="G34" s="1419"/>
      <c r="H34" s="1419"/>
      <c r="I34" s="775"/>
      <c r="J34" s="775"/>
    </row>
    <row r="35" spans="1:13">
      <c r="A35" s="1033" t="s">
        <v>1711</v>
      </c>
      <c r="B35" s="1820">
        <v>570000</v>
      </c>
      <c r="C35" s="1819" t="str">
        <f>VLOOKUP(B35,'Income Statement'!$A$6:$B$254,2,FALSE)</f>
        <v>Fac Maint-Parts &amp; Supplies</v>
      </c>
      <c r="D35" s="1413">
        <v>25180</v>
      </c>
      <c r="E35" s="147">
        <f>SUMIF('Income Statement'!$A:$A,$B35,'Income Statement'!$O:$O)</f>
        <v>18163</v>
      </c>
      <c r="F35" s="1417" t="s">
        <v>2328</v>
      </c>
      <c r="G35" s="1419">
        <f>'Adj - Restating'!I160</f>
        <v>0</v>
      </c>
      <c r="H35" s="1419">
        <f>'Adj - Proforma'!L160</f>
        <v>0</v>
      </c>
      <c r="I35" s="775">
        <v>0</v>
      </c>
      <c r="J35" s="775">
        <v>0</v>
      </c>
    </row>
    <row r="36" spans="1:13">
      <c r="A36" s="1033" t="s">
        <v>1712</v>
      </c>
      <c r="B36" s="1820">
        <v>570005</v>
      </c>
      <c r="C36" s="1819" t="str">
        <f>VLOOKUP(B36,'Income Statement'!$A$6:$B$254,2,FALSE)</f>
        <v>Fac Maint-O/S Repair</v>
      </c>
      <c r="D36" s="1413">
        <v>334134</v>
      </c>
      <c r="E36" s="147">
        <f>SUMIF('Income Statement'!$A:$A,$B36,'Income Statement'!$O:$O)</f>
        <v>136330</v>
      </c>
      <c r="F36" s="1417" t="s">
        <v>2328</v>
      </c>
      <c r="G36" s="1419">
        <f>'Adj - Restating'!I161</f>
        <v>0</v>
      </c>
      <c r="H36" s="1419">
        <f>'Adj - Proforma'!L161</f>
        <v>0</v>
      </c>
      <c r="I36" s="775">
        <v>0</v>
      </c>
      <c r="J36" s="775">
        <v>0</v>
      </c>
    </row>
    <row r="37" spans="1:13">
      <c r="A37" s="1033" t="s">
        <v>1710</v>
      </c>
      <c r="B37" s="1820">
        <v>570020</v>
      </c>
      <c r="C37" s="1819" t="str">
        <f>VLOOKUP(B37,'Income Statement'!$A$6:$B$254,2,FALSE)</f>
        <v>Lease/Rent</v>
      </c>
      <c r="D37" s="1413">
        <v>557229</v>
      </c>
      <c r="E37" s="147">
        <f>SUMIF('Income Statement'!$A:$A,$B37,'Income Statement'!$O:$O)</f>
        <v>574029</v>
      </c>
      <c r="F37" s="746" t="s">
        <v>1740</v>
      </c>
      <c r="G37" s="1424"/>
      <c r="H37" s="1424">
        <v>0</v>
      </c>
      <c r="I37" s="1425"/>
      <c r="J37" s="1425">
        <f>'Lease-Rent Adj'!L97</f>
        <v>17894.996400000178</v>
      </c>
      <c r="K37" s="1054" t="s">
        <v>1736</v>
      </c>
    </row>
    <row r="38" spans="1:13">
      <c r="A38" s="1033" t="s">
        <v>1711</v>
      </c>
      <c r="B38" s="1820">
        <v>570030</v>
      </c>
      <c r="C38" s="1819" t="str">
        <f>VLOOKUP(B38,'Income Statement'!$A$6:$B$254,2,FALSE)</f>
        <v>Utilities</v>
      </c>
      <c r="D38" s="1413">
        <v>127225</v>
      </c>
      <c r="E38" s="147">
        <f>SUMIF('Income Statement'!$A:$A,$B38,'Income Statement'!$O:$O)</f>
        <v>130428</v>
      </c>
      <c r="F38" s="1417" t="s">
        <v>2328</v>
      </c>
      <c r="G38" s="1419">
        <f>Proforma!E164</f>
        <v>0</v>
      </c>
      <c r="H38" s="1419">
        <f>Proforma!H164</f>
        <v>0</v>
      </c>
      <c r="I38" s="775">
        <v>0</v>
      </c>
      <c r="J38" s="775">
        <v>0</v>
      </c>
    </row>
    <row r="39" spans="1:13">
      <c r="A39" s="1033" t="s">
        <v>1710</v>
      </c>
      <c r="B39" s="1820">
        <v>570040</v>
      </c>
      <c r="C39" s="1819" t="str">
        <f>VLOOKUP(B39,'Income Statement'!$A$6:$B$254,2,FALSE)</f>
        <v>Property Taxes</v>
      </c>
      <c r="D39" s="1413">
        <v>82109</v>
      </c>
      <c r="E39" s="147">
        <f>SUMIF('Income Statement'!$A:$A,$B39,'Income Statement'!$O:$O)</f>
        <v>77187</v>
      </c>
      <c r="F39" s="746" t="s">
        <v>1725</v>
      </c>
      <c r="G39" s="1419"/>
      <c r="H39" s="1419"/>
      <c r="I39" s="775"/>
      <c r="J39" s="775"/>
    </row>
    <row r="40" spans="1:13">
      <c r="A40" s="1033" t="s">
        <v>1710</v>
      </c>
      <c r="B40" s="1820">
        <v>595010</v>
      </c>
      <c r="C40" s="1819" t="str">
        <f>VLOOKUP(B40,'Income Statement'!$A$6:$B$254,2,FALSE)</f>
        <v>Permit Fees</v>
      </c>
      <c r="D40" s="1413">
        <v>2124043</v>
      </c>
      <c r="E40" s="147">
        <f>SUMIF('Income Statement'!$A:$A,$B40,'Income Statement'!$O:$O)</f>
        <v>2251038</v>
      </c>
      <c r="F40" s="746" t="s">
        <v>1726</v>
      </c>
      <c r="G40" s="1419"/>
      <c r="H40" s="1419"/>
      <c r="I40" s="775"/>
      <c r="J40" s="775"/>
    </row>
    <row r="41" spans="1:13">
      <c r="A41" s="1033" t="s">
        <v>1710</v>
      </c>
      <c r="B41" s="1820">
        <v>595109</v>
      </c>
      <c r="C41" s="1819" t="str">
        <f>VLOOKUP(B41,'Income Statement'!$A$6:$B$254,2,FALSE)</f>
        <v>GOE Meals &amp; Entertainment(50%)</v>
      </c>
      <c r="D41" s="1413">
        <v>10046</v>
      </c>
      <c r="E41" s="147">
        <f>SUMIF('Income Statement'!$A:$A,$B41,'Income Statement'!$O:$O)</f>
        <v>8626</v>
      </c>
      <c r="F41" s="1428" t="s">
        <v>1727</v>
      </c>
      <c r="G41" s="1419"/>
      <c r="H41" s="1419"/>
      <c r="I41" s="775"/>
      <c r="J41" s="775"/>
    </row>
    <row r="42" spans="1:13">
      <c r="A42" s="1033" t="s">
        <v>1710</v>
      </c>
      <c r="B42" s="1820">
        <v>600010</v>
      </c>
      <c r="C42" s="1819" t="str">
        <f>VLOOKUP(B42,'Income Statement'!$A$6:$B$254,2,FALSE)</f>
        <v>Depr-Vehicles</v>
      </c>
      <c r="D42" s="1413">
        <v>2291454</v>
      </c>
      <c r="E42" s="147">
        <f>SUMIF('Income Statement'!$A:$A,$B42,'Income Statement'!$O:$O)</f>
        <v>2440334</v>
      </c>
      <c r="F42" s="746" t="s">
        <v>1829</v>
      </c>
      <c r="G42" s="1424">
        <f>Proforma!E186</f>
        <v>0</v>
      </c>
      <c r="H42" s="1424"/>
      <c r="I42" s="1425">
        <f>'Staff Depreciation'!V127</f>
        <v>-18946.85635072412</v>
      </c>
      <c r="J42" s="1425"/>
      <c r="K42" s="1426" t="s">
        <v>2338</v>
      </c>
      <c r="L42" s="1426"/>
      <c r="M42" s="1426"/>
    </row>
    <row r="43" spans="1:13">
      <c r="A43" s="1033" t="s">
        <v>1710</v>
      </c>
      <c r="B43" s="1820">
        <v>600020</v>
      </c>
      <c r="C43" s="1819" t="str">
        <f>VLOOKUP(B43,'Income Statement'!$A$6:$B$254,2,FALSE)</f>
        <v>Depr-Cont/Comp</v>
      </c>
      <c r="D43" s="1413">
        <v>652973</v>
      </c>
      <c r="E43" s="147">
        <f>SUMIF('Income Statement'!$A:$A,$B43,'Income Statement'!$O:$O)</f>
        <v>385468</v>
      </c>
      <c r="F43" s="746" t="s">
        <v>1828</v>
      </c>
      <c r="G43" s="1424">
        <f>Proforma!E187</f>
        <v>0</v>
      </c>
      <c r="H43" s="1424"/>
      <c r="I43" s="775">
        <f>'Staff Depreciation'!V178</f>
        <v>-3594.5050956317573</v>
      </c>
      <c r="J43" s="775"/>
      <c r="K43" s="1426" t="s">
        <v>2338</v>
      </c>
    </row>
    <row r="44" spans="1:13">
      <c r="A44" s="1033" t="s">
        <v>1710</v>
      </c>
      <c r="B44" s="1820">
        <v>600030</v>
      </c>
      <c r="C44" s="1819" t="str">
        <f>VLOOKUP(B44,'Income Statement'!$A$6:$B$254,2,FALSE)</f>
        <v>Depr-Heavy Mach &amp; Equip</v>
      </c>
      <c r="D44" s="1413">
        <v>128048</v>
      </c>
      <c r="E44" s="147">
        <f>SUMIF('Income Statement'!$A:$A,$B44,'Income Statement'!$O:$O)</f>
        <v>130068</v>
      </c>
      <c r="F44" s="746" t="s">
        <v>1829</v>
      </c>
      <c r="G44" s="1424"/>
      <c r="H44" s="1419"/>
      <c r="I44" s="775">
        <f>'Staff Depreciation'!V163</f>
        <v>-65897.396873083999</v>
      </c>
      <c r="J44" s="775"/>
      <c r="K44" s="1426" t="s">
        <v>2338</v>
      </c>
    </row>
    <row r="45" spans="1:13">
      <c r="A45" s="1033" t="s">
        <v>1710</v>
      </c>
      <c r="B45" s="1820">
        <v>600040</v>
      </c>
      <c r="C45" s="1819" t="str">
        <f>VLOOKUP(B45,'Income Statement'!$A$6:$B$254,2,FALSE)</f>
        <v>Depr-Shop Equip</v>
      </c>
      <c r="D45" s="1413">
        <v>17749</v>
      </c>
      <c r="E45" s="147">
        <f>SUMIF('Income Statement'!$A:$A,$B45,'Income Statement'!$O:$O)</f>
        <v>17036</v>
      </c>
      <c r="F45" s="746" t="s">
        <v>1829</v>
      </c>
      <c r="G45" s="1424">
        <f>Proforma!E189</f>
        <v>0</v>
      </c>
      <c r="H45" s="1424"/>
      <c r="I45" s="775">
        <f>'Staff Depreciation'!V21</f>
        <v>-342.89323308270468</v>
      </c>
      <c r="J45" s="775"/>
      <c r="K45" s="1426" t="s">
        <v>2338</v>
      </c>
    </row>
    <row r="46" spans="1:13">
      <c r="A46" s="1033" t="s">
        <v>1710</v>
      </c>
      <c r="B46" s="1820">
        <v>600070</v>
      </c>
      <c r="C46" s="1819" t="str">
        <f>VLOOKUP(B46,'Income Statement'!$A$6:$B$254,2,FALSE)</f>
        <v>Depr-Bldg &amp; Imp</v>
      </c>
      <c r="D46" s="1413">
        <v>141096</v>
      </c>
      <c r="E46" s="147">
        <f>SUMIF('Income Statement'!$A:$A,$B46,'Income Statement'!$O:$O)</f>
        <v>96664</v>
      </c>
      <c r="F46" s="746" t="s">
        <v>1829</v>
      </c>
      <c r="G46" s="1424">
        <f>Proforma!E190</f>
        <v>0</v>
      </c>
      <c r="H46" s="1424"/>
      <c r="I46" s="775">
        <f>'Staff Depreciation'!V150</f>
        <v>-20456.330334428407</v>
      </c>
      <c r="J46" s="775"/>
      <c r="K46" s="1426" t="s">
        <v>2338</v>
      </c>
    </row>
    <row r="47" spans="1:13">
      <c r="A47" s="1033" t="s">
        <v>1710</v>
      </c>
      <c r="B47" s="1820">
        <v>600090</v>
      </c>
      <c r="C47" s="1819" t="str">
        <f>VLOOKUP(B47,'Income Statement'!$A$6:$B$254,2,FALSE)</f>
        <v>Depr-Computer Equip</v>
      </c>
      <c r="D47" s="1413">
        <v>39</v>
      </c>
      <c r="E47" s="147">
        <f>SUMIF('Income Statement'!$A:$A,$B47,'Income Statement'!$O:$O)</f>
        <v>2874</v>
      </c>
      <c r="F47" s="746" t="s">
        <v>1829</v>
      </c>
      <c r="G47" s="1419"/>
      <c r="H47" s="1419"/>
      <c r="I47" s="775">
        <f>'Staff Depreciation'!V171</f>
        <v>211.99999999961801</v>
      </c>
      <c r="J47" s="775"/>
      <c r="K47" s="1426" t="s">
        <v>2338</v>
      </c>
    </row>
    <row r="48" spans="1:13">
      <c r="A48" s="1033" t="s">
        <v>1710</v>
      </c>
      <c r="B48" s="1820">
        <v>600200</v>
      </c>
      <c r="C48" s="1819" t="str">
        <f>VLOOKUP(B48,'Income Statement'!$A$6:$B$254,2,FALSE)</f>
        <v>Depr-HENS</v>
      </c>
      <c r="D48" s="1413">
        <v>26946</v>
      </c>
      <c r="E48" s="147">
        <f>SUMIF('Income Statement'!$A:$A,$B48,'Income Statement'!$O:$O)</f>
        <v>395</v>
      </c>
      <c r="F48" s="746" t="s">
        <v>1830</v>
      </c>
      <c r="G48" s="1419"/>
      <c r="H48" s="1419"/>
      <c r="I48" s="775"/>
      <c r="J48" s="775"/>
    </row>
    <row r="49" spans="1:11">
      <c r="A49" s="1033" t="s">
        <v>1710</v>
      </c>
      <c r="B49" s="1820">
        <v>600998</v>
      </c>
      <c r="C49" s="1819" t="str">
        <f>VLOOKUP(B49,'Income Statement'!$A$6:$B$254,2,FALSE)</f>
        <v>Depr Alloc-In</v>
      </c>
      <c r="D49" s="1413">
        <v>321692</v>
      </c>
      <c r="E49" s="147">
        <f>SUMIF('Income Statement'!$A:$A,$B49,'Income Statement'!$O:$O)</f>
        <v>343796</v>
      </c>
      <c r="F49" s="746" t="s">
        <v>1728</v>
      </c>
      <c r="G49" s="1419"/>
      <c r="H49" s="1419"/>
      <c r="I49" s="775"/>
      <c r="J49" s="775"/>
    </row>
    <row r="50" spans="1:11">
      <c r="A50" s="1033" t="s">
        <v>1710</v>
      </c>
      <c r="B50" s="1820">
        <v>600999</v>
      </c>
      <c r="C50" s="1819" t="str">
        <f>VLOOKUP(B50,'Income Statement'!$A$6:$B$254,2,FALSE)</f>
        <v>Depr Alloc-Out</v>
      </c>
      <c r="D50" s="1413">
        <f>-D49</f>
        <v>-321692</v>
      </c>
      <c r="E50" s="147">
        <f>SUMIF('Income Statement'!$A:$A,$B50,'Income Statement'!$O:$O)</f>
        <v>-343796</v>
      </c>
      <c r="F50" s="746" t="s">
        <v>1728</v>
      </c>
      <c r="G50" s="1419"/>
      <c r="H50" s="1419"/>
      <c r="I50" s="775"/>
      <c r="J50" s="775"/>
    </row>
    <row r="51" spans="1:11" ht="12">
      <c r="B51" s="54"/>
      <c r="C51" s="563" t="s">
        <v>542</v>
      </c>
      <c r="D51" s="1415">
        <f>SUM(D42:D50)</f>
        <v>3258305</v>
      </c>
      <c r="E51" s="147">
        <f>SUM(E42:E50)</f>
        <v>3072839</v>
      </c>
      <c r="G51" s="1419"/>
      <c r="H51" s="1419"/>
      <c r="I51" s="775"/>
      <c r="J51" s="775"/>
    </row>
    <row r="52" spans="1:11">
      <c r="A52" s="1033" t="s">
        <v>1708</v>
      </c>
      <c r="B52" s="1820">
        <v>710000</v>
      </c>
      <c r="C52" s="1819" t="str">
        <f>VLOOKUP(B52,'Income Statement'!$A$6:$B$254,2,FALSE)</f>
        <v>Sales Mgr/Supv</v>
      </c>
      <c r="D52" s="1413">
        <v>48912</v>
      </c>
      <c r="E52" s="147">
        <f>SUMIF('Income Statement'!$A:$A,$B52,'Income Statement'!$O:$O)</f>
        <v>26730</v>
      </c>
      <c r="F52" s="1780"/>
      <c r="G52" s="1419">
        <f>Proforma!E203</f>
        <v>-26730</v>
      </c>
      <c r="H52" s="1419">
        <f>Proforma!H203</f>
        <v>0</v>
      </c>
      <c r="I52" s="775"/>
      <c r="J52" s="775"/>
      <c r="K52" t="s">
        <v>2572</v>
      </c>
    </row>
    <row r="53" spans="1:11">
      <c r="A53" s="1033" t="s">
        <v>1708</v>
      </c>
      <c r="B53" s="1820">
        <v>710005</v>
      </c>
      <c r="C53" s="1819" t="str">
        <f>VLOOKUP(B53,'Income Statement'!$A$6:$B$254,2,FALSE)</f>
        <v>Sales Rep 710005</v>
      </c>
      <c r="D53" s="1413">
        <v>28184</v>
      </c>
      <c r="E53" s="147">
        <f>SUMIF('Income Statement'!$A:$A,$B53,'Income Statement'!$O:$O)</f>
        <v>57777</v>
      </c>
      <c r="F53" s="1780"/>
      <c r="G53" s="1419">
        <f>Proforma!E204</f>
        <v>-57777</v>
      </c>
      <c r="H53" s="1419">
        <f>Proforma!H204</f>
        <v>0</v>
      </c>
      <c r="I53" s="775"/>
      <c r="J53" s="775"/>
      <c r="K53" t="s">
        <v>2572</v>
      </c>
    </row>
    <row r="54" spans="1:11">
      <c r="A54" s="1033" t="s">
        <v>1708</v>
      </c>
      <c r="B54" s="1820">
        <v>710020</v>
      </c>
      <c r="C54" s="1819" t="str">
        <f>VLOOKUP(B54,'Income Statement'!$A$6:$B$254,2,FALSE)</f>
        <v>Marketing Staff</v>
      </c>
      <c r="D54" s="1413">
        <v>97104</v>
      </c>
      <c r="E54" s="147">
        <f>SUMIF('Income Statement'!$A:$A,$B54,'Income Statement'!$O:$O)</f>
        <v>80093</v>
      </c>
      <c r="F54" s="1780"/>
      <c r="G54" s="1419">
        <f>Proforma!E205</f>
        <v>-80093</v>
      </c>
      <c r="H54" s="1419">
        <f>Proforma!H205</f>
        <v>0</v>
      </c>
      <c r="I54" s="775"/>
      <c r="J54" s="775"/>
      <c r="K54" t="s">
        <v>2572</v>
      </c>
    </row>
    <row r="55" spans="1:11">
      <c r="A55" s="1033" t="s">
        <v>1708</v>
      </c>
      <c r="B55" s="1820">
        <v>710030</v>
      </c>
      <c r="C55" s="1819" t="str">
        <f>VLOOKUP(B55,'Income Statement'!$A$6:$B$254,2,FALSE)</f>
        <v>Cust Service</v>
      </c>
      <c r="D55" s="1413">
        <v>293828</v>
      </c>
      <c r="E55" s="147">
        <f>SUMIF('Income Statement'!$A:$A,$B55,'Income Statement'!$O:$O)</f>
        <v>347633</v>
      </c>
      <c r="F55" s="1780"/>
      <c r="G55" s="1419">
        <f>Proforma!E206</f>
        <v>0</v>
      </c>
      <c r="H55" s="1419">
        <f>Proforma!H206</f>
        <v>210347.69240973808</v>
      </c>
      <c r="I55" s="775"/>
      <c r="J55" s="775"/>
    </row>
    <row r="56" spans="1:11">
      <c r="A56" s="1033" t="s">
        <v>1708</v>
      </c>
      <c r="B56" s="1820">
        <v>710055</v>
      </c>
      <c r="C56" s="1819" t="str">
        <f>VLOOKUP(B56,'Income Statement'!$A$6:$B$254,2,FALSE)</f>
        <v>Temporary Labor - Sales</v>
      </c>
      <c r="D56" s="1413">
        <v>77123</v>
      </c>
      <c r="E56" s="147">
        <f>SUMIF('Income Statement'!$A:$A,$B56,'Income Statement'!$O:$O)</f>
        <v>33522</v>
      </c>
      <c r="F56" s="1780"/>
      <c r="G56" s="1419">
        <f>Proforma!E207</f>
        <v>0</v>
      </c>
      <c r="H56" s="1419">
        <f>Proforma!H207</f>
        <v>0</v>
      </c>
      <c r="I56" s="775"/>
      <c r="J56" s="775"/>
    </row>
    <row r="57" spans="1:11">
      <c r="A57" s="1033" t="s">
        <v>1708</v>
      </c>
      <c r="B57" s="1820">
        <v>710060</v>
      </c>
      <c r="C57" s="1819" t="e">
        <f>VLOOKUP(B57,'Income Statement'!$A$6:$B$254,2,FALSE)</f>
        <v>#N/A</v>
      </c>
      <c r="D57" s="1413"/>
      <c r="E57" s="147">
        <f>SUMIF('Income Statement'!$A:$A,$B57,'Income Statement'!$O:$O)</f>
        <v>0</v>
      </c>
      <c r="F57" s="1781" t="s">
        <v>2325</v>
      </c>
      <c r="G57" s="1419">
        <f>Proforma!E208</f>
        <v>0</v>
      </c>
      <c r="H57" s="1419">
        <f>Proforma!H208</f>
        <v>0</v>
      </c>
      <c r="I57" s="775"/>
      <c r="J57" s="775"/>
    </row>
    <row r="58" spans="1:11">
      <c r="A58" s="1033" t="s">
        <v>1708</v>
      </c>
      <c r="B58" s="1820">
        <v>710061</v>
      </c>
      <c r="C58" s="1819" t="str">
        <f>VLOOKUP(B58,'Income Statement'!$A$6:$B$254,2,FALSE)</f>
        <v>Bonus Pay Corp-Sales</v>
      </c>
      <c r="D58" s="1413">
        <v>13234</v>
      </c>
      <c r="E58" s="147">
        <f>SUMIF('Income Statement'!$A:$A,$B58,'Income Statement'!$O:$O)</f>
        <v>23108</v>
      </c>
      <c r="F58" s="1780"/>
      <c r="G58" s="1419">
        <f>Proforma!E209</f>
        <v>-23108</v>
      </c>
      <c r="H58" s="1419">
        <f>Proforma!H209</f>
        <v>0</v>
      </c>
      <c r="I58" s="775"/>
      <c r="J58" s="775"/>
    </row>
    <row r="59" spans="1:11">
      <c r="A59" s="1033" t="s">
        <v>1708</v>
      </c>
      <c r="B59" s="1820">
        <v>710062</v>
      </c>
      <c r="C59" s="1819" t="str">
        <f>VLOOKUP(B59,'Income Statement'!$A$6:$B$254,2,FALSE)</f>
        <v>Commission</v>
      </c>
      <c r="D59" s="1413">
        <v>22191</v>
      </c>
      <c r="E59" s="147">
        <f>SUMIF('Income Statement'!$A:$A,$B59,'Income Statement'!$O:$O)</f>
        <v>36465</v>
      </c>
      <c r="F59" s="1780"/>
      <c r="G59" s="1419">
        <f>Proforma!E210</f>
        <v>-36465</v>
      </c>
      <c r="H59" s="1419">
        <f>Proforma!H210</f>
        <v>0</v>
      </c>
      <c r="I59" s="775"/>
      <c r="J59" s="775"/>
    </row>
    <row r="60" spans="1:11">
      <c r="A60" s="1033" t="s">
        <v>1708</v>
      </c>
      <c r="B60" s="1820">
        <v>710170</v>
      </c>
      <c r="C60" s="1819" t="str">
        <f>VLOOKUP(B60,'Income Statement'!$A$6:$B$254,2,FALSE)</f>
        <v>Payroll Taxes - Sales</v>
      </c>
      <c r="D60" s="1413">
        <v>74505</v>
      </c>
      <c r="E60" s="147">
        <f>SUMIF('Income Statement'!$A:$A,$B60,'Income Statement'!$O:$O)</f>
        <v>62904</v>
      </c>
      <c r="F60" s="1780"/>
      <c r="G60" s="1419">
        <f>Proforma!E211</f>
        <v>0</v>
      </c>
      <c r="H60" s="1419">
        <f>Proforma!H211</f>
        <v>-9941.5048963072986</v>
      </c>
      <c r="I60" s="775"/>
      <c r="J60" s="775"/>
    </row>
    <row r="61" spans="1:11">
      <c r="A61" s="1033" t="s">
        <v>1708</v>
      </c>
      <c r="B61" s="1820">
        <v>710172</v>
      </c>
      <c r="C61" s="1819" t="str">
        <f>VLOOKUP(B61,'Income Statement'!$A$6:$B$254,2,FALSE)</f>
        <v>Personal Time - Sales</v>
      </c>
      <c r="D61" s="1413"/>
      <c r="E61" s="147">
        <f>SUMIF('Income Statement'!$A:$A,$B61,'Income Statement'!$O:$O)</f>
        <v>137</v>
      </c>
      <c r="F61" s="1780"/>
      <c r="G61" s="1419">
        <f>Proforma!E212</f>
        <v>0</v>
      </c>
      <c r="H61" s="1419">
        <f>Proforma!H212</f>
        <v>-137</v>
      </c>
      <c r="I61" s="775"/>
      <c r="J61" s="775"/>
    </row>
    <row r="62" spans="1:11">
      <c r="A62" s="1033" t="s">
        <v>1708</v>
      </c>
      <c r="B62" s="1820">
        <v>710173</v>
      </c>
      <c r="C62" s="1819" t="str">
        <f>VLOOKUP(B62,'Income Statement'!$A$6:$B$254,2,FALSE)</f>
        <v>Holiday Pay - Sales</v>
      </c>
      <c r="D62" s="1413">
        <v>13719</v>
      </c>
      <c r="E62" s="147">
        <f>SUMIF('Income Statement'!$A:$A,$B62,'Income Statement'!$O:$O)</f>
        <v>13147</v>
      </c>
      <c r="F62" s="1780"/>
      <c r="G62" s="1419">
        <f>Proforma!E213</f>
        <v>0</v>
      </c>
      <c r="H62" s="1419">
        <f>Proforma!H213</f>
        <v>-4364.375091387974</v>
      </c>
      <c r="I62" s="775"/>
      <c r="J62" s="775"/>
    </row>
    <row r="63" spans="1:11">
      <c r="A63" s="1033" t="s">
        <v>1708</v>
      </c>
      <c r="B63" s="1820">
        <v>710174</v>
      </c>
      <c r="C63" s="1819" t="str">
        <f>VLOOKUP(B63,'Income Statement'!$A$6:$B$254,2,FALSE)</f>
        <v>Vacation/Sick - Sales</v>
      </c>
      <c r="D63" s="1413">
        <v>22972</v>
      </c>
      <c r="E63" s="147">
        <f>SUMIF('Income Statement'!$A:$A,$B63,'Income Statement'!$O:$O)</f>
        <v>21773</v>
      </c>
      <c r="F63" s="1780"/>
      <c r="G63" s="1419">
        <f>Proforma!E214</f>
        <v>0</v>
      </c>
      <c r="H63" s="1419">
        <f>Proforma!H214</f>
        <v>-12216.914006415334</v>
      </c>
      <c r="I63" s="775"/>
      <c r="J63" s="775"/>
    </row>
    <row r="64" spans="1:11">
      <c r="A64" s="1033" t="s">
        <v>1708</v>
      </c>
      <c r="B64" s="1820">
        <v>710176</v>
      </c>
      <c r="C64" s="1819" t="str">
        <f>VLOOKUP(B64,'Income Statement'!$A$6:$B$254,2,FALSE)</f>
        <v>Benefits Corp-Sales</v>
      </c>
      <c r="D64" s="1413">
        <v>146372</v>
      </c>
      <c r="E64" s="147">
        <f>SUMIF('Income Statement'!$A:$A,$B64,'Income Statement'!$O:$O)</f>
        <v>108904</v>
      </c>
      <c r="F64" s="1780"/>
      <c r="G64" s="1419">
        <f>Proforma!E215</f>
        <v>0</v>
      </c>
      <c r="H64" s="1419">
        <f>Proforma!H215</f>
        <v>-41577.200000000084</v>
      </c>
      <c r="I64" s="775"/>
      <c r="J64" s="775"/>
    </row>
    <row r="65" spans="1:10">
      <c r="A65" s="1033" t="s">
        <v>1708</v>
      </c>
      <c r="B65" s="1820">
        <v>710177</v>
      </c>
      <c r="C65" s="1819" t="str">
        <f>VLOOKUP(B65,'Income Statement'!$A$6:$B$254,2,FALSE)</f>
        <v>Employer 401k - Sales</v>
      </c>
      <c r="D65" s="1413">
        <v>6854</v>
      </c>
      <c r="E65" s="147">
        <f>SUMIF('Income Statement'!$A:$A,$B65,'Income Statement'!$O:$O)</f>
        <v>8382</v>
      </c>
      <c r="F65" s="1780"/>
      <c r="G65" s="1419">
        <f>Proforma!E216</f>
        <v>0</v>
      </c>
      <c r="H65" s="1419">
        <f>Proforma!H216</f>
        <v>-1917.6699999999992</v>
      </c>
      <c r="I65" s="775"/>
      <c r="J65" s="775"/>
    </row>
    <row r="66" spans="1:10" ht="12">
      <c r="A66" s="1033" t="s">
        <v>1708</v>
      </c>
      <c r="B66" s="57"/>
      <c r="C66" s="563" t="s">
        <v>546</v>
      </c>
      <c r="D66" s="1415">
        <f>SUM(D52:D65)</f>
        <v>844998</v>
      </c>
      <c r="E66" s="147">
        <f>SUM(E52:E65)</f>
        <v>820575</v>
      </c>
      <c r="G66" s="1419"/>
      <c r="H66" s="1419"/>
      <c r="I66" s="775"/>
      <c r="J66" s="775"/>
    </row>
    <row r="67" spans="1:10">
      <c r="A67" s="1033"/>
      <c r="B67" s="57"/>
      <c r="C67" s="1397"/>
      <c r="D67" s="1413"/>
      <c r="E67" s="45"/>
      <c r="G67" s="1419"/>
      <c r="H67" s="1419"/>
      <c r="I67" s="775"/>
      <c r="J67" s="775"/>
    </row>
    <row r="68" spans="1:10">
      <c r="A68" s="1033" t="s">
        <v>1708</v>
      </c>
      <c r="B68" s="57">
        <v>711002</v>
      </c>
      <c r="C68" s="765" t="e">
        <f>VLOOKUP(B68,'Income Statement'!$A$6:$B$254,2,FALSE)</f>
        <v>#N/A</v>
      </c>
      <c r="D68" s="1413"/>
      <c r="E68" s="147">
        <f>SUMIF('Income Statement'!$A:$A,$B68,'Income Statement'!$O:$O)</f>
        <v>0</v>
      </c>
      <c r="G68" s="1419"/>
      <c r="H68" s="1419"/>
      <c r="I68" s="775"/>
      <c r="J68" s="775"/>
    </row>
    <row r="69" spans="1:10">
      <c r="A69" s="1033" t="s">
        <v>1708</v>
      </c>
      <c r="B69" s="1820">
        <v>711004</v>
      </c>
      <c r="C69" s="1819" t="e">
        <f>VLOOKUP(B69,'Income Statement'!$A$6:$B$254,2,FALSE)</f>
        <v>#N/A</v>
      </c>
      <c r="D69" s="1413">
        <v>850</v>
      </c>
      <c r="E69" s="147">
        <f>SUMIF('Income Statement'!$A:$A,$B69,'Income Statement'!$O:$O)</f>
        <v>0</v>
      </c>
      <c r="G69" s="1419"/>
      <c r="H69" s="1419"/>
      <c r="I69" s="775"/>
      <c r="J69" s="775"/>
    </row>
    <row r="70" spans="1:10">
      <c r="A70" s="1033" t="s">
        <v>1708</v>
      </c>
      <c r="B70" s="1820">
        <v>711005</v>
      </c>
      <c r="C70" s="1819" t="str">
        <f>VLOOKUP(B70,'Income Statement'!$A$6:$B$254,2,FALSE)</f>
        <v>Vehicle Mileage - Sales</v>
      </c>
      <c r="D70" s="1414"/>
      <c r="E70" s="147">
        <f>SUMIF('Income Statement'!$A:$A,$B70,'Income Statement'!$O:$O)</f>
        <v>4612</v>
      </c>
      <c r="F70" s="1417" t="s">
        <v>2333</v>
      </c>
      <c r="G70" s="1419">
        <f>-E70</f>
        <v>-4612</v>
      </c>
      <c r="H70" s="1419"/>
      <c r="I70" s="775"/>
      <c r="J70" s="775"/>
    </row>
    <row r="71" spans="1:10">
      <c r="A71" s="1033" t="s">
        <v>1708</v>
      </c>
      <c r="B71" s="1820">
        <v>711006</v>
      </c>
      <c r="C71" s="1819" t="str">
        <f>VLOOKUP(B71,'Income Statement'!$A$6:$B$254,2,FALSE)</f>
        <v>Travel - Sales</v>
      </c>
      <c r="D71" s="1413">
        <v>5227</v>
      </c>
      <c r="E71" s="147">
        <f>SUMIF('Income Statement'!$A:$A,$B71,'Income Statement'!$O:$O)</f>
        <v>4051</v>
      </c>
      <c r="F71" s="1417" t="s">
        <v>2333</v>
      </c>
      <c r="G71" s="1419">
        <f>-E71</f>
        <v>-4051</v>
      </c>
      <c r="H71" s="1419"/>
      <c r="I71" s="775"/>
      <c r="J71" s="775"/>
    </row>
    <row r="72" spans="1:10">
      <c r="A72" s="1033" t="s">
        <v>1708</v>
      </c>
      <c r="B72" s="1820">
        <v>711009</v>
      </c>
      <c r="C72" s="1819" t="str">
        <f>VLOOKUP(B72,'Income Statement'!$A$6:$B$254,2,FALSE)</f>
        <v>Meals &amp; Entert (50%)-Sales</v>
      </c>
      <c r="D72" s="1413">
        <v>8000</v>
      </c>
      <c r="E72" s="147" t="s">
        <v>21</v>
      </c>
      <c r="G72" s="1419"/>
      <c r="H72" s="1419"/>
      <c r="I72" s="775"/>
      <c r="J72" s="775"/>
    </row>
    <row r="73" spans="1:10">
      <c r="A73" s="1033" t="s">
        <v>1708</v>
      </c>
      <c r="B73" s="1820">
        <v>711010</v>
      </c>
      <c r="C73" s="1819" t="str">
        <f>VLOOKUP(B73,'Income Statement'!$A$6:$B$254,2,FALSE)</f>
        <v>Office Supplies - Sales</v>
      </c>
      <c r="D73" s="1413">
        <v>1518</v>
      </c>
      <c r="E73" s="147">
        <f>SUMIF('Income Statement'!$A:$A,$B73,'Income Statement'!$O:$O)</f>
        <v>1146</v>
      </c>
      <c r="G73" s="1419"/>
      <c r="H73" s="1419"/>
      <c r="I73" s="775"/>
      <c r="J73" s="775"/>
    </row>
    <row r="74" spans="1:10">
      <c r="A74" s="1033" t="s">
        <v>1711</v>
      </c>
      <c r="B74" s="1820">
        <v>711014</v>
      </c>
      <c r="C74" s="1819" t="str">
        <f>VLOOKUP(B74,'Income Statement'!$A$6:$B$254,2,FALSE)</f>
        <v>Dues &amp; Subscriptions - Sales</v>
      </c>
      <c r="D74" s="1413">
        <v>5693</v>
      </c>
      <c r="E74" s="147">
        <f>SUMIF('Income Statement'!$A:$A,$B74,'Income Statement'!$O:$O)</f>
        <v>8593</v>
      </c>
      <c r="F74" s="1417" t="s">
        <v>2322</v>
      </c>
      <c r="G74" s="1419">
        <f>'Adj - Restating'!I225</f>
        <v>-2761.2586459677532</v>
      </c>
      <c r="H74" s="1419">
        <f>'Adj - Proforma'!L225</f>
        <v>0</v>
      </c>
      <c r="I74" s="775">
        <v>0</v>
      </c>
      <c r="J74" s="775">
        <f>(E74+G74)*-1</f>
        <v>-5831.7413540322468</v>
      </c>
    </row>
    <row r="75" spans="1:10">
      <c r="A75" s="1033" t="s">
        <v>1708</v>
      </c>
      <c r="B75" s="1820">
        <v>711016</v>
      </c>
      <c r="C75" s="1819" t="str">
        <f>VLOOKUP(B75,'Income Statement'!$A$6:$B$254,2,FALSE)</f>
        <v>Telephone - Sales</v>
      </c>
      <c r="D75" s="1413">
        <v>739</v>
      </c>
      <c r="E75" s="147">
        <f>SUMIF('Income Statement'!$A:$A,$B75,'Income Statement'!$O:$O)</f>
        <v>430</v>
      </c>
      <c r="G75" s="1419"/>
      <c r="H75" s="1419"/>
      <c r="I75" s="775"/>
      <c r="J75" s="775"/>
    </row>
    <row r="76" spans="1:10">
      <c r="A76" s="1033" t="s">
        <v>1708</v>
      </c>
      <c r="B76" s="1820">
        <v>711028</v>
      </c>
      <c r="C76" s="1819" t="str">
        <f>VLOOKUP(B76,'Income Statement'!$A$6:$B$254,2,FALSE)</f>
        <v>Advertising - Sales</v>
      </c>
      <c r="D76" s="1413">
        <v>60253</v>
      </c>
      <c r="E76" s="147">
        <f>SUMIF('Income Statement'!$A:$A,$B76,'Income Statement'!$O:$O)</f>
        <v>183816</v>
      </c>
      <c r="F76" s="1417" t="s">
        <v>2334</v>
      </c>
      <c r="G76" s="1419"/>
      <c r="H76" s="1419"/>
      <c r="I76" s="775"/>
      <c r="J76" s="775"/>
    </row>
    <row r="77" spans="1:10">
      <c r="A77" s="1033" t="s">
        <v>1708</v>
      </c>
      <c r="B77" s="1820">
        <v>711095</v>
      </c>
      <c r="C77" s="1819" t="str">
        <f>VLOOKUP(B77,'Income Statement'!$A$6:$B$254,2,FALSE)</f>
        <v>Sales &amp; Mkting Misc</v>
      </c>
      <c r="D77" s="1413">
        <f>11767+34223</f>
        <v>45990</v>
      </c>
      <c r="E77" s="147">
        <f>SUMIF('Income Statement'!$A:$A,$B77,'Income Statement'!$O:$O)</f>
        <v>2667</v>
      </c>
      <c r="G77" s="1419"/>
      <c r="H77" s="1419"/>
      <c r="I77" s="775"/>
      <c r="J77" s="775"/>
    </row>
    <row r="78" spans="1:10" ht="12">
      <c r="B78" s="553"/>
      <c r="C78" s="1821" t="s">
        <v>547</v>
      </c>
      <c r="D78" s="1415">
        <f>SUM(D69:D77)</f>
        <v>128270</v>
      </c>
      <c r="E78" s="147">
        <f>SUM(E68:E77)</f>
        <v>205315</v>
      </c>
      <c r="G78" s="1419"/>
      <c r="H78" s="1419"/>
      <c r="I78" s="775"/>
      <c r="J78" s="775"/>
    </row>
    <row r="79" spans="1:10">
      <c r="B79" s="54"/>
      <c r="C79" s="765"/>
      <c r="D79" s="1413"/>
      <c r="E79" s="45"/>
      <c r="G79" s="1419"/>
      <c r="H79" s="1419"/>
      <c r="I79" s="775"/>
      <c r="J79" s="775"/>
    </row>
    <row r="80" spans="1:10" ht="12">
      <c r="B80" s="54"/>
      <c r="C80" s="560" t="s">
        <v>548</v>
      </c>
      <c r="D80" s="1408">
        <f>+D78+D66</f>
        <v>973268</v>
      </c>
      <c r="E80" s="561">
        <f>E66+E78</f>
        <v>1025890</v>
      </c>
      <c r="G80" s="1419"/>
      <c r="H80" s="1419"/>
      <c r="I80" s="775"/>
      <c r="J80" s="775"/>
    </row>
    <row r="81" spans="1:11" ht="22.5">
      <c r="A81" s="1033" t="s">
        <v>1711</v>
      </c>
      <c r="B81" s="1820">
        <v>751106</v>
      </c>
      <c r="C81" s="1819" t="str">
        <f>VLOOKUP(B81,'Income Statement'!$A$6:$B$254,2,FALSE)</f>
        <v>Travel - G&amp;A</v>
      </c>
      <c r="D81" s="1413">
        <v>9810</v>
      </c>
      <c r="E81" s="147">
        <f>SUMIF('Income Statement'!$A:$A,$B81,'Income Statement'!$O:$O)</f>
        <v>7802</v>
      </c>
      <c r="F81" s="1417" t="s">
        <v>2329</v>
      </c>
      <c r="G81" s="1419">
        <f>'Adj - Restating'!I248</f>
        <v>0</v>
      </c>
      <c r="H81" s="1419">
        <f>'Adj - Proforma'!L248</f>
        <v>0</v>
      </c>
      <c r="I81" s="775">
        <v>0</v>
      </c>
      <c r="J81" s="775">
        <v>0</v>
      </c>
    </row>
    <row r="82" spans="1:11">
      <c r="A82" s="1033" t="s">
        <v>1711</v>
      </c>
      <c r="B82" s="1820">
        <v>751109</v>
      </c>
      <c r="C82" s="1819" t="str">
        <f>VLOOKUP(B82,'Income Statement'!$A$6:$B$254,2,FALSE)</f>
        <v>Meals &amp; Entert (50%)-G&amp;A</v>
      </c>
      <c r="D82" s="1413">
        <v>17603</v>
      </c>
      <c r="E82" s="147">
        <f>SUMIF('Income Statement'!$A:$A,$B82,'Income Statement'!$O:$O)</f>
        <v>8065</v>
      </c>
      <c r="F82" s="1417" t="s">
        <v>2331</v>
      </c>
      <c r="G82" s="1419">
        <f>'Adj - Restating'!I250</f>
        <v>0</v>
      </c>
      <c r="H82" s="1419">
        <f>'Adj - Proforma'!L249</f>
        <v>0</v>
      </c>
      <c r="I82" s="775">
        <v>0</v>
      </c>
      <c r="J82" s="775">
        <v>-8065</v>
      </c>
    </row>
    <row r="83" spans="1:11">
      <c r="A83" s="1033" t="s">
        <v>1711</v>
      </c>
      <c r="B83" s="1820">
        <v>751114</v>
      </c>
      <c r="C83" s="1819" t="str">
        <f>VLOOKUP(B83,'Income Statement'!$A$6:$B$254,2,FALSE)</f>
        <v>Dues &amp; Subscriptions - G&amp;A</v>
      </c>
      <c r="D83" s="1413">
        <v>28666</v>
      </c>
      <c r="E83" s="147">
        <f>SUMIF('Income Statement'!$A:$A,$B83,'Income Statement'!$O:$O)</f>
        <v>33675</v>
      </c>
      <c r="F83" s="1417" t="s">
        <v>2323</v>
      </c>
      <c r="G83" s="1419">
        <v>0</v>
      </c>
      <c r="H83" s="1419">
        <f>'Adj - Proforma'!L254</f>
        <v>0</v>
      </c>
      <c r="I83" s="775">
        <v>0</v>
      </c>
      <c r="J83" s="775">
        <f>(G83+E83-19124.04)*-1</f>
        <v>-14550.96</v>
      </c>
    </row>
    <row r="84" spans="1:11">
      <c r="A84" s="1033" t="s">
        <v>1711</v>
      </c>
      <c r="B84" s="1820">
        <v>751120</v>
      </c>
      <c r="C84" s="1819" t="str">
        <f>VLOOKUP(B84,'Income Statement'!$A$6:$B$254,2,FALSE)</f>
        <v>Facility Maintenance - G&amp;A</v>
      </c>
      <c r="D84" s="1413">
        <v>31212</v>
      </c>
      <c r="E84" s="147">
        <f>SUMIF('Income Statement'!$A:$A,$B84,'Income Statement'!$O:$O)</f>
        <v>17647</v>
      </c>
      <c r="F84" s="1417" t="s">
        <v>2330</v>
      </c>
      <c r="G84" s="1419">
        <f>'Adj - Restating'!I258</f>
        <v>0</v>
      </c>
      <c r="H84" s="1419">
        <f>'Adj - Proforma'!L258</f>
        <v>0</v>
      </c>
      <c r="I84" s="775">
        <v>0</v>
      </c>
      <c r="J84" s="775">
        <v>0</v>
      </c>
    </row>
    <row r="85" spans="1:11" ht="22.5">
      <c r="A85" s="1033" t="s">
        <v>1711</v>
      </c>
      <c r="B85" s="1820">
        <v>751128</v>
      </c>
      <c r="C85" s="1819" t="str">
        <f>VLOOKUP(B85,'Income Statement'!$A$6:$B$254,2,FALSE)</f>
        <v>Advertising - G&amp;A</v>
      </c>
      <c r="D85" s="1413">
        <v>14753</v>
      </c>
      <c r="E85" s="147">
        <f>SUMIF('Income Statement'!$A:$A,$B85,'Income Statement'!$O:$O)</f>
        <v>20535</v>
      </c>
      <c r="F85" s="1417" t="s">
        <v>1721</v>
      </c>
      <c r="G85" s="1419">
        <f>'Adj - Restating'!I262</f>
        <v>0</v>
      </c>
      <c r="H85" s="1419">
        <f>'Adj - Proforma'!L262</f>
        <v>0</v>
      </c>
      <c r="I85" s="775"/>
      <c r="J85" s="775"/>
    </row>
    <row r="86" spans="1:11">
      <c r="A86" s="1033" t="s">
        <v>1710</v>
      </c>
      <c r="B86" s="1820">
        <v>751130</v>
      </c>
      <c r="C86" s="1819" t="str">
        <f>VLOOKUP(B86,'Income Statement'!$A$6:$B$254,2,FALSE)</f>
        <v>Printing/Reproduction</v>
      </c>
      <c r="D86" s="1413">
        <v>62442</v>
      </c>
      <c r="E86" s="147">
        <f>SUMIF('Income Statement'!$A:$A,$B86,'Income Statement'!$O:$O)</f>
        <v>26245</v>
      </c>
      <c r="F86" s="746" t="s">
        <v>1729</v>
      </c>
      <c r="G86" s="1419"/>
      <c r="H86" s="1419"/>
      <c r="I86" s="775"/>
      <c r="J86" s="775"/>
    </row>
    <row r="87" spans="1:11">
      <c r="A87" s="1033" t="s">
        <v>1710</v>
      </c>
      <c r="B87" s="1820">
        <v>751134</v>
      </c>
      <c r="C87" s="1819" t="str">
        <f>VLOOKUP(B87,'Income Statement'!$A$6:$B$254,2,FALSE)</f>
        <v>Meetings &amp; Events</v>
      </c>
      <c r="D87" s="1413">
        <v>1949</v>
      </c>
      <c r="E87" s="147">
        <f>SUMIF('Income Statement'!$A:$A,$B87,'Income Statement'!$O:$O)</f>
        <v>23162</v>
      </c>
      <c r="F87" s="1118" t="s">
        <v>1730</v>
      </c>
      <c r="G87" s="1422"/>
      <c r="H87" s="1422"/>
      <c r="I87" s="1423"/>
      <c r="J87" s="1423"/>
      <c r="K87" t="s">
        <v>1737</v>
      </c>
    </row>
    <row r="88" spans="1:11">
      <c r="A88" s="1033" t="s">
        <v>1710</v>
      </c>
      <c r="B88" s="1820">
        <v>751138</v>
      </c>
      <c r="C88" s="1819" t="str">
        <f>VLOOKUP(B88,'Income Statement'!$A$6:$B$254,2,FALSE)</f>
        <v>Outside Training - G&amp;A</v>
      </c>
      <c r="D88" s="1413"/>
      <c r="E88" s="147">
        <f>SUMIF('Income Statement'!$A:$A,$B88,'Income Statement'!$O:$O)</f>
        <v>5500</v>
      </c>
      <c r="F88" s="746" t="s">
        <v>1731</v>
      </c>
      <c r="G88" s="1419"/>
      <c r="H88" s="1419"/>
      <c r="I88" s="775"/>
      <c r="J88" s="775"/>
    </row>
    <row r="89" spans="1:11">
      <c r="A89" s="1033" t="s">
        <v>1710</v>
      </c>
      <c r="B89" s="1820">
        <v>751140</v>
      </c>
      <c r="C89" s="1819" t="str">
        <f>VLOOKUP(B89,'Income Statement'!$A$6:$B$254,2,FALSE)</f>
        <v>Bank Fees</v>
      </c>
      <c r="D89" s="1413">
        <v>443185</v>
      </c>
      <c r="E89" s="147">
        <f>SUMIF('Income Statement'!$A:$A,$B89,'Income Statement'!$O:$O)</f>
        <v>401800</v>
      </c>
      <c r="F89" s="746" t="s">
        <v>1732</v>
      </c>
      <c r="G89" s="1419"/>
      <c r="H89" s="1419"/>
      <c r="I89" s="775"/>
      <c r="J89" s="775"/>
    </row>
    <row r="90" spans="1:11">
      <c r="A90" s="1033" t="s">
        <v>1710</v>
      </c>
      <c r="B90" s="1820">
        <v>751144</v>
      </c>
      <c r="C90" s="1819" t="str">
        <f>VLOOKUP(B90,'Income Statement'!$A$6:$B$254,2,FALSE)</f>
        <v>Legal Fees</v>
      </c>
      <c r="D90" s="1413">
        <v>78662</v>
      </c>
      <c r="E90" s="147">
        <f>SUMIF('Income Statement'!$A:$A,$B90,'Income Statement'!$O:$O)</f>
        <v>234497</v>
      </c>
      <c r="F90" s="1118" t="s">
        <v>2481</v>
      </c>
      <c r="G90" s="1422"/>
      <c r="H90" s="1422"/>
      <c r="I90" s="1423"/>
      <c r="J90" s="1423"/>
      <c r="K90" t="s">
        <v>1737</v>
      </c>
    </row>
    <row r="91" spans="1:11">
      <c r="A91" s="1033" t="s">
        <v>1710</v>
      </c>
      <c r="B91" s="1820">
        <v>751145</v>
      </c>
      <c r="C91" s="1819" t="str">
        <f>VLOOKUP(B91,'Income Statement'!$A$6:$B$254,2,FALSE)</f>
        <v>Legal Settlements</v>
      </c>
      <c r="D91" s="1413"/>
      <c r="E91" s="147">
        <f>SUMIF('Income Statement'!$A:$A,$B91,'Income Statement'!$O:$O)</f>
        <v>108536</v>
      </c>
      <c r="F91" s="1118" t="s">
        <v>1733</v>
      </c>
      <c r="G91" s="1422"/>
      <c r="H91" s="1422"/>
      <c r="I91" s="1423"/>
      <c r="J91" s="1423"/>
      <c r="K91" t="s">
        <v>1737</v>
      </c>
    </row>
    <row r="92" spans="1:11" ht="22.5">
      <c r="A92" s="1033" t="s">
        <v>1710</v>
      </c>
      <c r="B92" s="1820">
        <v>751152</v>
      </c>
      <c r="C92" s="1819" t="str">
        <f>VLOOKUP(B92,'Income Statement'!$A$6:$B$254,2,FALSE)</f>
        <v>Lobbyist Fees</v>
      </c>
      <c r="D92" s="1413">
        <v>39500</v>
      </c>
      <c r="E92" s="147">
        <f>SUMIF('Income Statement'!$A:$A,$B92,'Income Statement'!$O:$O)</f>
        <v>46000</v>
      </c>
      <c r="F92" s="1429" t="s">
        <v>1734</v>
      </c>
      <c r="G92" s="1419"/>
      <c r="H92" s="1419"/>
      <c r="I92" s="775">
        <v>-46000</v>
      </c>
      <c r="J92" s="775"/>
      <c r="K92" t="s">
        <v>1739</v>
      </c>
    </row>
    <row r="93" spans="1:11">
      <c r="A93" s="1033" t="s">
        <v>1710</v>
      </c>
      <c r="B93" s="1820">
        <v>751158</v>
      </c>
      <c r="C93" s="1819" t="str">
        <f>VLOOKUP(B93,'Income Statement'!$A$6:$B$254,2,FALSE)</f>
        <v>Other Consulting/Prof Fees</v>
      </c>
      <c r="D93" s="1413">
        <v>60883</v>
      </c>
      <c r="E93" s="147">
        <f>SUMIF('Income Statement'!$A:$A,$B93,'Income Statement'!$O:$O)</f>
        <v>64545</v>
      </c>
      <c r="F93" s="746" t="s">
        <v>1735</v>
      </c>
      <c r="G93" s="1419"/>
      <c r="H93" s="1419"/>
      <c r="I93" s="775">
        <v>-21638.87</v>
      </c>
      <c r="J93" s="775"/>
      <c r="K93" t="s">
        <v>1738</v>
      </c>
    </row>
    <row r="94" spans="1:11">
      <c r="A94" s="1033" t="s">
        <v>1708</v>
      </c>
      <c r="B94" s="1820">
        <v>751170</v>
      </c>
      <c r="C94" s="1819" t="str">
        <f>VLOOKUP(B94,'Income Statement'!$A$6:$B$254,2,FALSE)</f>
        <v>Contributions Deductible</v>
      </c>
      <c r="D94" s="1413">
        <v>20100</v>
      </c>
      <c r="E94" s="147">
        <f>SUMIF('Income Statement'!$A:$A,$B94,'Income Statement'!$O:$O)</f>
        <v>300</v>
      </c>
      <c r="F94" s="1417" t="s">
        <v>1720</v>
      </c>
      <c r="G94" s="1419">
        <v>0</v>
      </c>
      <c r="H94" s="1419">
        <v>0</v>
      </c>
      <c r="I94" s="775">
        <f>-E94</f>
        <v>-300</v>
      </c>
      <c r="J94" s="775"/>
    </row>
    <row r="95" spans="1:11">
      <c r="A95" s="1033" t="s">
        <v>1708</v>
      </c>
      <c r="B95" s="1820">
        <v>751172</v>
      </c>
      <c r="C95" s="1819" t="str">
        <f>VLOOKUP(B95,'Income Statement'!$A$6:$B$254,2,FALSE)</f>
        <v>Contributions Non-Deductible</v>
      </c>
      <c r="D95" s="1413">
        <v>550</v>
      </c>
      <c r="E95" s="147">
        <f>SUMIF('Income Statement'!$A:$A,$B95,'Income Statement'!$O:$O)</f>
        <v>7500</v>
      </c>
      <c r="F95" s="1417" t="s">
        <v>1720</v>
      </c>
      <c r="G95" s="1419">
        <v>0</v>
      </c>
      <c r="H95" s="1419">
        <v>0</v>
      </c>
      <c r="I95" s="775">
        <f>-E95</f>
        <v>-7500</v>
      </c>
      <c r="J95" s="775"/>
    </row>
    <row r="96" spans="1:11">
      <c r="A96" s="1033" t="s">
        <v>1708</v>
      </c>
      <c r="B96" s="57">
        <v>751194</v>
      </c>
      <c r="C96" s="765" t="str">
        <f>VLOOKUP(B96,'Income Statement'!$A$6:$B$254,2,FALSE)</f>
        <v>Purchase Discounts-G&amp;A</v>
      </c>
      <c r="D96" s="1413">
        <v>-1775</v>
      </c>
      <c r="E96" s="147">
        <f>Proforma!D280</f>
        <v>-4878</v>
      </c>
      <c r="F96" s="1417" t="s">
        <v>2335</v>
      </c>
      <c r="G96" s="1419"/>
      <c r="H96" s="1419"/>
      <c r="I96" s="775"/>
      <c r="J96" s="775"/>
    </row>
    <row r="97" spans="1:10">
      <c r="A97" t="s">
        <v>1708</v>
      </c>
      <c r="B97" s="57">
        <v>751195</v>
      </c>
      <c r="C97" s="765" t="str">
        <f>VLOOKUP(B97,'Income Statement'!$A$6:$B$254,2,FALSE)</f>
        <v>Miscellaneous</v>
      </c>
      <c r="D97" s="1413">
        <v>4768</v>
      </c>
      <c r="E97" s="147">
        <f>Proforma!D281</f>
        <v>1592</v>
      </c>
      <c r="F97" s="1417" t="s">
        <v>2336</v>
      </c>
    </row>
    <row r="98" spans="1:10">
      <c r="A98" t="s">
        <v>1708</v>
      </c>
      <c r="B98" s="54">
        <v>755000</v>
      </c>
      <c r="C98" s="765" t="str">
        <f>VLOOKUP(B98,'Income Statement'!$A$6:$B$254,2,FALSE)</f>
        <v>Bad Debt Exp</v>
      </c>
      <c r="D98" s="1413">
        <v>71153</v>
      </c>
      <c r="E98" s="147">
        <f>Proforma!D282</f>
        <v>65688</v>
      </c>
      <c r="F98" s="1417" t="s">
        <v>2466</v>
      </c>
    </row>
    <row r="99" spans="1:10">
      <c r="B99" s="54">
        <v>755992</v>
      </c>
      <c r="C99" s="765" t="str">
        <f>VLOOKUP(B99,'Income Statement'!$A$6:$B$254,2,FALSE)</f>
        <v>Accrued P-Card Clearing</v>
      </c>
      <c r="D99" s="1413"/>
      <c r="E99" s="147">
        <f>Proforma!D283</f>
        <v>1093</v>
      </c>
      <c r="F99" s="1417" t="s">
        <v>2336</v>
      </c>
    </row>
    <row r="100" spans="1:10">
      <c r="A100" t="s">
        <v>1711</v>
      </c>
      <c r="B100" s="57">
        <v>755995</v>
      </c>
      <c r="C100" s="765" t="str">
        <f>VLOOKUP(B100,'Income Statement'!$A$6:$B$254,2,FALSE)</f>
        <v>Management Fee</v>
      </c>
      <c r="D100" s="1413">
        <v>1181598</v>
      </c>
      <c r="E100" s="147">
        <f>Proforma!D284</f>
        <v>1092334</v>
      </c>
      <c r="F100" s="1417" t="s">
        <v>2324</v>
      </c>
      <c r="G100" s="1418">
        <f>Proforma!E284</f>
        <v>0</v>
      </c>
      <c r="H100" s="1526">
        <f>'Adj - Proforma'!L284</f>
        <v>0</v>
      </c>
      <c r="I100">
        <v>0</v>
      </c>
      <c r="J100" s="1139">
        <f>'MgtFee Staff'!L44-(E100+G100)</f>
        <v>-277972.03828131966</v>
      </c>
    </row>
    <row r="101" spans="1:10">
      <c r="B101" s="57">
        <v>755998</v>
      </c>
      <c r="C101" s="765" t="e">
        <f>VLOOKUP(B101,'Income Statement'!$A$6:$B$254,2,FALSE)</f>
        <v>#N/A</v>
      </c>
      <c r="D101" s="1413">
        <f>63754+15000+59-14179</f>
        <v>64634</v>
      </c>
      <c r="E101" s="147">
        <f>Proforma!D285</f>
        <v>0</v>
      </c>
    </row>
    <row r="102" spans="1:10">
      <c r="B102" s="572"/>
      <c r="C102" s="1399"/>
      <c r="D102" s="1380"/>
    </row>
    <row r="103" spans="1:10">
      <c r="B103" s="572"/>
    </row>
    <row r="104" spans="1:10">
      <c r="B104" s="572"/>
    </row>
    <row r="105" spans="1:10">
      <c r="B105" s="572"/>
      <c r="E105" s="1053"/>
    </row>
    <row r="106" spans="1:10">
      <c r="B106" s="572"/>
    </row>
    <row r="107" spans="1:10">
      <c r="B107" s="572"/>
    </row>
    <row r="108" spans="1:10">
      <c r="B108" s="572"/>
    </row>
    <row r="109" spans="1:10">
      <c r="B109" s="572"/>
    </row>
    <row r="110" spans="1:10">
      <c r="B110" s="572"/>
    </row>
    <row r="111" spans="1:10">
      <c r="B111" s="572"/>
    </row>
    <row r="112" spans="1:10">
      <c r="B112" s="572"/>
      <c r="C112" s="1399"/>
      <c r="D112" s="1380"/>
    </row>
    <row r="113" spans="2:4">
      <c r="B113" s="572"/>
    </row>
    <row r="114" spans="2:4">
      <c r="B114" s="572"/>
    </row>
    <row r="115" spans="2:4">
      <c r="B115" s="572"/>
    </row>
    <row r="116" spans="2:4">
      <c r="B116" s="572"/>
    </row>
    <row r="117" spans="2:4">
      <c r="B117" s="572"/>
      <c r="C117" s="1399"/>
      <c r="D117" s="1380"/>
    </row>
    <row r="118" spans="2:4">
      <c r="B118" s="572"/>
      <c r="D118" s="1378"/>
    </row>
    <row r="119" spans="2:4">
      <c r="B119" s="18"/>
      <c r="D119" s="1378"/>
    </row>
    <row r="120" spans="2:4">
      <c r="C120" s="1399"/>
      <c r="D120" s="1380"/>
    </row>
    <row r="124" spans="2:4">
      <c r="C124" s="1399"/>
      <c r="D124" s="1380"/>
    </row>
    <row r="125" spans="2:4">
      <c r="D125" s="1378"/>
    </row>
  </sheetData>
  <printOptions gridLines="1"/>
  <pageMargins left="0.7" right="0.7" top="0.75" bottom="0.75" header="0.3" footer="0.3"/>
  <pageSetup paperSize="5" scale="91"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
  <sheetViews>
    <sheetView topLeftCell="A61" workbookViewId="0">
      <selection activeCell="M91" sqref="M91"/>
    </sheetView>
  </sheetViews>
  <sheetFormatPr defaultRowHeight="11.25"/>
  <cols>
    <col min="1" max="1" width="13.33203125" customWidth="1"/>
    <col min="2" max="2" width="12" customWidth="1"/>
    <col min="3" max="3" width="15.6640625" customWidth="1"/>
    <col min="4" max="4" width="19" bestFit="1" customWidth="1"/>
    <col min="7" max="7" width="14.5" customWidth="1"/>
    <col min="8" max="8" width="12.1640625" customWidth="1"/>
    <col min="9" max="9" width="17.1640625" customWidth="1"/>
    <col min="10" max="10" width="12.83203125" customWidth="1"/>
    <col min="11" max="11" width="13" customWidth="1"/>
    <col min="12" max="12" width="14.5" customWidth="1"/>
    <col min="13" max="13" width="56.5" customWidth="1"/>
    <col min="14" max="14" width="19.1640625" bestFit="1" customWidth="1"/>
    <col min="15" max="15" width="18.83203125" bestFit="1" customWidth="1"/>
    <col min="16" max="16" width="13.5" bestFit="1" customWidth="1"/>
    <col min="17" max="17" width="14.83203125" customWidth="1"/>
  </cols>
  <sheetData>
    <row r="1" spans="1:26" ht="15">
      <c r="A1" s="2147" t="s">
        <v>2490</v>
      </c>
      <c r="B1" s="2148" t="s">
        <v>2491</v>
      </c>
      <c r="C1" s="2148" t="s">
        <v>2492</v>
      </c>
      <c r="D1" s="2148" t="s">
        <v>2493</v>
      </c>
      <c r="E1" s="2148" t="s">
        <v>2494</v>
      </c>
      <c r="F1" s="2148" t="s">
        <v>2495</v>
      </c>
      <c r="G1" s="2148" t="s">
        <v>2496</v>
      </c>
      <c r="H1" s="2148" t="s">
        <v>2497</v>
      </c>
      <c r="I1" s="2148" t="s">
        <v>2498</v>
      </c>
      <c r="J1" s="2148" t="s">
        <v>425</v>
      </c>
      <c r="K1" s="2148" t="s">
        <v>1744</v>
      </c>
      <c r="L1" s="2148" t="s">
        <v>2499</v>
      </c>
      <c r="M1" s="2148" t="s">
        <v>2500</v>
      </c>
      <c r="N1" s="2149" t="s">
        <v>2501</v>
      </c>
      <c r="O1" s="2148" t="s">
        <v>2502</v>
      </c>
      <c r="P1" s="2148" t="s">
        <v>27</v>
      </c>
      <c r="Q1" s="2148" t="s">
        <v>2503</v>
      </c>
      <c r="R1" s="2148" t="s">
        <v>2504</v>
      </c>
      <c r="S1" s="2148" t="s">
        <v>2505</v>
      </c>
      <c r="T1" s="2148" t="s">
        <v>2506</v>
      </c>
      <c r="U1" s="2148" t="s">
        <v>2507</v>
      </c>
      <c r="V1" s="2148" t="s">
        <v>2508</v>
      </c>
      <c r="W1" s="2148" t="s">
        <v>2509</v>
      </c>
      <c r="X1" s="2148" t="s">
        <v>2510</v>
      </c>
      <c r="Y1" s="2148" t="s">
        <v>2511</v>
      </c>
      <c r="Z1" s="2150" t="s">
        <v>2512</v>
      </c>
    </row>
    <row r="2" spans="1:26">
      <c r="A2" s="2151">
        <v>41639</v>
      </c>
      <c r="B2" s="2152">
        <v>760</v>
      </c>
      <c r="C2" s="2152" t="s">
        <v>2513</v>
      </c>
      <c r="D2" s="2152" t="s">
        <v>2514</v>
      </c>
      <c r="E2" s="2152">
        <v>570020</v>
      </c>
      <c r="F2" s="2152">
        <v>0</v>
      </c>
      <c r="G2" s="2152" t="s">
        <v>1260</v>
      </c>
      <c r="H2" s="2152" t="s">
        <v>2515</v>
      </c>
      <c r="I2" s="2152">
        <v>186832</v>
      </c>
      <c r="J2" s="2152">
        <v>5</v>
      </c>
      <c r="K2" s="2153">
        <v>41425</v>
      </c>
      <c r="L2" s="2153">
        <v>41395</v>
      </c>
      <c r="M2" s="2152" t="s">
        <v>2516</v>
      </c>
      <c r="N2" s="2154">
        <v>42000</v>
      </c>
      <c r="O2" s="2155"/>
      <c r="P2" s="2155"/>
      <c r="Q2" s="2155">
        <v>228832</v>
      </c>
      <c r="R2" s="2152"/>
      <c r="S2" s="2152"/>
      <c r="T2" s="2152"/>
      <c r="U2" s="2152"/>
      <c r="V2" s="2152"/>
      <c r="W2" s="2152"/>
      <c r="X2" s="2152"/>
      <c r="Y2" s="2152"/>
      <c r="Z2" s="2156"/>
    </row>
    <row r="3" spans="1:26">
      <c r="A3" s="2157">
        <v>41639</v>
      </c>
      <c r="B3" s="2158">
        <v>760</v>
      </c>
      <c r="C3" s="2158" t="s">
        <v>2513</v>
      </c>
      <c r="D3" s="2158" t="s">
        <v>2514</v>
      </c>
      <c r="E3" s="2158">
        <v>570020</v>
      </c>
      <c r="F3" s="2158">
        <v>0</v>
      </c>
      <c r="G3" s="2158" t="s">
        <v>1260</v>
      </c>
      <c r="H3" s="2158" t="s">
        <v>2515</v>
      </c>
      <c r="I3" s="2158">
        <v>186832</v>
      </c>
      <c r="J3" s="2158">
        <v>5</v>
      </c>
      <c r="K3" s="2159">
        <v>41425</v>
      </c>
      <c r="L3" s="2159">
        <v>41428</v>
      </c>
      <c r="M3" s="2158" t="s">
        <v>2517</v>
      </c>
      <c r="N3" s="2160">
        <v>38220</v>
      </c>
      <c r="O3" s="2161"/>
      <c r="P3" s="2161"/>
      <c r="Q3" s="2161">
        <v>233804</v>
      </c>
      <c r="R3" s="2158"/>
      <c r="S3" s="2158"/>
      <c r="T3" s="2158"/>
      <c r="U3" s="2158"/>
      <c r="V3" s="2158"/>
      <c r="W3" s="2158"/>
      <c r="X3" s="2158"/>
      <c r="Y3" s="2158"/>
      <c r="Z3" s="2162"/>
    </row>
    <row r="4" spans="1:26">
      <c r="A4" s="2151">
        <v>41639</v>
      </c>
      <c r="B4" s="2152">
        <v>760</v>
      </c>
      <c r="C4" s="2152" t="s">
        <v>2513</v>
      </c>
      <c r="D4" s="2152" t="s">
        <v>2514</v>
      </c>
      <c r="E4" s="2152">
        <v>570020</v>
      </c>
      <c r="F4" s="2152">
        <v>0</v>
      </c>
      <c r="G4" s="2152" t="s">
        <v>1260</v>
      </c>
      <c r="H4" s="2152" t="s">
        <v>2515</v>
      </c>
      <c r="I4" s="2152">
        <v>186832</v>
      </c>
      <c r="J4" s="2152">
        <v>5</v>
      </c>
      <c r="K4" s="2153">
        <v>41425</v>
      </c>
      <c r="L4" s="2153">
        <v>41395</v>
      </c>
      <c r="M4" s="2152" t="s">
        <v>2518</v>
      </c>
      <c r="N4" s="2163">
        <v>8752</v>
      </c>
      <c r="O4" s="2155"/>
      <c r="P4" s="2155"/>
      <c r="Q4" s="2155">
        <v>237584</v>
      </c>
      <c r="R4" s="2152"/>
      <c r="S4" s="2152"/>
      <c r="T4" s="2152"/>
      <c r="U4" s="2152"/>
      <c r="V4" s="2152"/>
      <c r="W4" s="2152"/>
      <c r="X4" s="2152"/>
      <c r="Y4" s="2152"/>
      <c r="Z4" s="2156"/>
    </row>
    <row r="5" spans="1:26">
      <c r="A5" s="2157">
        <v>41639</v>
      </c>
      <c r="B5" s="2158">
        <v>760</v>
      </c>
      <c r="C5" s="2158" t="s">
        <v>2513</v>
      </c>
      <c r="D5" s="2158" t="s">
        <v>2514</v>
      </c>
      <c r="E5" s="2158">
        <v>570020</v>
      </c>
      <c r="F5" s="2158">
        <v>0</v>
      </c>
      <c r="G5" s="2158" t="s">
        <v>1260</v>
      </c>
      <c r="H5" s="2158" t="s">
        <v>2515</v>
      </c>
      <c r="I5" s="2158">
        <v>186832</v>
      </c>
      <c r="J5" s="2158">
        <v>5</v>
      </c>
      <c r="K5" s="2159">
        <v>41425</v>
      </c>
      <c r="L5" s="2159">
        <v>41428</v>
      </c>
      <c r="M5" s="2158" t="s">
        <v>2517</v>
      </c>
      <c r="N5" s="2161"/>
      <c r="O5" s="2164">
        <v>42000</v>
      </c>
      <c r="P5" s="2161"/>
      <c r="Q5" s="2161">
        <v>195584</v>
      </c>
      <c r="R5" s="2158"/>
      <c r="S5" s="2158"/>
      <c r="T5" s="2158"/>
      <c r="U5" s="2158"/>
      <c r="V5" s="2158"/>
      <c r="W5" s="2158"/>
      <c r="X5" s="2158"/>
      <c r="Y5" s="2158"/>
      <c r="Z5" s="2162"/>
    </row>
    <row r="6" spans="1:26">
      <c r="A6" s="2151">
        <v>41639</v>
      </c>
      <c r="B6" s="2152">
        <v>760</v>
      </c>
      <c r="C6" s="2152" t="s">
        <v>2513</v>
      </c>
      <c r="D6" s="2152" t="s">
        <v>2514</v>
      </c>
      <c r="E6" s="2152">
        <v>570020</v>
      </c>
      <c r="F6" s="2152">
        <v>0</v>
      </c>
      <c r="G6" s="2152" t="s">
        <v>1260</v>
      </c>
      <c r="H6" s="2152" t="s">
        <v>2515</v>
      </c>
      <c r="I6" s="2152">
        <v>186832</v>
      </c>
      <c r="J6" s="2152">
        <v>6</v>
      </c>
      <c r="K6" s="2153">
        <v>41455</v>
      </c>
      <c r="L6" s="2153">
        <v>41465</v>
      </c>
      <c r="M6" s="2152" t="s">
        <v>2519</v>
      </c>
      <c r="N6" s="2154">
        <v>42000</v>
      </c>
      <c r="O6" s="2155"/>
      <c r="P6" s="2155"/>
      <c r="Q6" s="2155">
        <v>275804</v>
      </c>
      <c r="R6" s="2152"/>
      <c r="S6" s="2152"/>
      <c r="T6" s="2152"/>
      <c r="U6" s="2152"/>
      <c r="V6" s="2152"/>
      <c r="W6" s="2152"/>
      <c r="X6" s="2152"/>
      <c r="Y6" s="2152"/>
      <c r="Z6" s="2156"/>
    </row>
    <row r="7" spans="1:26">
      <c r="A7" s="2157">
        <v>41639</v>
      </c>
      <c r="B7" s="2158">
        <v>760</v>
      </c>
      <c r="C7" s="2158" t="s">
        <v>2513</v>
      </c>
      <c r="D7" s="2158" t="s">
        <v>2514</v>
      </c>
      <c r="E7" s="2158">
        <v>570020</v>
      </c>
      <c r="F7" s="2158">
        <v>0</v>
      </c>
      <c r="G7" s="2158" t="s">
        <v>1260</v>
      </c>
      <c r="H7" s="2158" t="s">
        <v>2515</v>
      </c>
      <c r="I7" s="2158">
        <v>186832</v>
      </c>
      <c r="J7" s="2158">
        <v>6</v>
      </c>
      <c r="K7" s="2159">
        <v>41455</v>
      </c>
      <c r="L7" s="2159">
        <v>41435</v>
      </c>
      <c r="M7" s="2158" t="s">
        <v>2520</v>
      </c>
      <c r="N7" s="2164">
        <v>42000</v>
      </c>
      <c r="O7" s="2161"/>
      <c r="P7" s="2161"/>
      <c r="Q7" s="2161">
        <v>326556</v>
      </c>
      <c r="R7" s="2158"/>
      <c r="S7" s="2158"/>
      <c r="T7" s="2158"/>
      <c r="U7" s="2158"/>
      <c r="V7" s="2158"/>
      <c r="W7" s="2158"/>
      <c r="X7" s="2158"/>
      <c r="Y7" s="2158"/>
      <c r="Z7" s="2162"/>
    </row>
    <row r="8" spans="1:26">
      <c r="A8" s="2151">
        <v>41639</v>
      </c>
      <c r="B8" s="2152">
        <v>760</v>
      </c>
      <c r="C8" s="2152" t="s">
        <v>2513</v>
      </c>
      <c r="D8" s="2152" t="s">
        <v>2514</v>
      </c>
      <c r="E8" s="2152">
        <v>570020</v>
      </c>
      <c r="F8" s="2152">
        <v>0</v>
      </c>
      <c r="G8" s="2152" t="s">
        <v>1260</v>
      </c>
      <c r="H8" s="2152" t="s">
        <v>2521</v>
      </c>
      <c r="I8" s="2152">
        <v>326556</v>
      </c>
      <c r="J8" s="2152">
        <v>6</v>
      </c>
      <c r="K8" s="2153">
        <v>41455</v>
      </c>
      <c r="L8" s="2153">
        <v>41456</v>
      </c>
      <c r="M8" s="2152" t="s">
        <v>2522</v>
      </c>
      <c r="N8" s="2163">
        <v>38220</v>
      </c>
      <c r="O8" s="2155"/>
      <c r="P8" s="2155"/>
      <c r="Q8" s="2155">
        <v>331528</v>
      </c>
      <c r="R8" s="2152"/>
      <c r="S8" s="2152"/>
      <c r="T8" s="2152"/>
      <c r="U8" s="2152"/>
      <c r="V8" s="2152"/>
      <c r="W8" s="2152"/>
      <c r="X8" s="2152"/>
      <c r="Y8" s="2152"/>
      <c r="Z8" s="2156"/>
    </row>
    <row r="9" spans="1:26">
      <c r="A9" s="2157">
        <v>41639</v>
      </c>
      <c r="B9" s="2158">
        <v>760</v>
      </c>
      <c r="C9" s="2158" t="s">
        <v>2513</v>
      </c>
      <c r="D9" s="2158" t="s">
        <v>2514</v>
      </c>
      <c r="E9" s="2158">
        <v>570020</v>
      </c>
      <c r="F9" s="2158">
        <v>0</v>
      </c>
      <c r="G9" s="2158" t="s">
        <v>1260</v>
      </c>
      <c r="H9" s="2158" t="s">
        <v>2515</v>
      </c>
      <c r="I9" s="2158">
        <v>186832</v>
      </c>
      <c r="J9" s="2158">
        <v>6</v>
      </c>
      <c r="K9" s="2159">
        <v>41455</v>
      </c>
      <c r="L9" s="2159">
        <v>41465</v>
      </c>
      <c r="M9" s="2158" t="s">
        <v>2523</v>
      </c>
      <c r="N9" s="2160">
        <v>8752</v>
      </c>
      <c r="O9" s="2161"/>
      <c r="P9" s="2161"/>
      <c r="Q9" s="2161">
        <v>284556</v>
      </c>
      <c r="R9" s="2158"/>
      <c r="S9" s="2158"/>
      <c r="T9" s="2158"/>
      <c r="U9" s="2158"/>
      <c r="V9" s="2158"/>
      <c r="W9" s="2158"/>
      <c r="X9" s="2158"/>
      <c r="Y9" s="2158"/>
      <c r="Z9" s="2162"/>
    </row>
    <row r="10" spans="1:26">
      <c r="A10" s="2151">
        <v>41639</v>
      </c>
      <c r="B10" s="2152">
        <v>760</v>
      </c>
      <c r="C10" s="2152" t="s">
        <v>2513</v>
      </c>
      <c r="D10" s="2152" t="s">
        <v>2514</v>
      </c>
      <c r="E10" s="2152">
        <v>570020</v>
      </c>
      <c r="F10" s="2152">
        <v>0</v>
      </c>
      <c r="G10" s="2152" t="s">
        <v>1260</v>
      </c>
      <c r="H10" s="2152" t="s">
        <v>2521</v>
      </c>
      <c r="I10" s="2152">
        <v>326556</v>
      </c>
      <c r="J10" s="2152">
        <v>6</v>
      </c>
      <c r="K10" s="2153">
        <v>41455</v>
      </c>
      <c r="L10" s="2153">
        <v>41435</v>
      </c>
      <c r="M10" s="2152" t="s">
        <v>2524</v>
      </c>
      <c r="N10" s="2154">
        <v>8752</v>
      </c>
      <c r="O10" s="2155"/>
      <c r="P10" s="2155"/>
      <c r="Q10" s="2155">
        <v>335308</v>
      </c>
      <c r="R10" s="2152"/>
      <c r="S10" s="2152"/>
      <c r="T10" s="2152"/>
      <c r="U10" s="2152"/>
      <c r="V10" s="2152"/>
      <c r="W10" s="2152"/>
      <c r="X10" s="2152"/>
      <c r="Y10" s="2152"/>
      <c r="Z10" s="2156"/>
    </row>
    <row r="11" spans="1:26">
      <c r="A11" s="2157">
        <v>41639</v>
      </c>
      <c r="B11" s="2158">
        <v>760</v>
      </c>
      <c r="C11" s="2158" t="s">
        <v>2513</v>
      </c>
      <c r="D11" s="2158" t="s">
        <v>2514</v>
      </c>
      <c r="E11" s="2158">
        <v>570020</v>
      </c>
      <c r="F11" s="2158">
        <v>0</v>
      </c>
      <c r="G11" s="2158" t="s">
        <v>1260</v>
      </c>
      <c r="H11" s="2158" t="s">
        <v>2521</v>
      </c>
      <c r="I11" s="2158">
        <v>326556</v>
      </c>
      <c r="J11" s="2158">
        <v>6</v>
      </c>
      <c r="K11" s="2159">
        <v>41455</v>
      </c>
      <c r="L11" s="2159">
        <v>41456</v>
      </c>
      <c r="M11" s="2158" t="s">
        <v>2522</v>
      </c>
      <c r="N11" s="2161"/>
      <c r="O11" s="2164">
        <v>42000</v>
      </c>
      <c r="P11" s="2161"/>
      <c r="Q11" s="2161">
        <v>293308</v>
      </c>
      <c r="R11" s="2158"/>
      <c r="S11" s="2158"/>
      <c r="T11" s="2158"/>
      <c r="U11" s="2158"/>
      <c r="V11" s="2158"/>
      <c r="W11" s="2158"/>
      <c r="X11" s="2158"/>
      <c r="Y11" s="2158"/>
      <c r="Z11" s="2162"/>
    </row>
    <row r="12" spans="1:26">
      <c r="A12" s="2151">
        <v>41639</v>
      </c>
      <c r="B12" s="2152">
        <v>760</v>
      </c>
      <c r="C12" s="2152" t="s">
        <v>2513</v>
      </c>
      <c r="D12" s="2152" t="s">
        <v>2514</v>
      </c>
      <c r="E12" s="2152">
        <v>570020</v>
      </c>
      <c r="F12" s="2152">
        <v>0</v>
      </c>
      <c r="G12" s="2152" t="s">
        <v>1260</v>
      </c>
      <c r="H12" s="2152" t="s">
        <v>2521</v>
      </c>
      <c r="I12" s="2152">
        <v>326556</v>
      </c>
      <c r="J12" s="2152">
        <v>6</v>
      </c>
      <c r="K12" s="2153">
        <v>41455</v>
      </c>
      <c r="L12" s="2153">
        <v>41458</v>
      </c>
      <c r="M12" s="2152" t="s">
        <v>2525</v>
      </c>
      <c r="N12" s="2155"/>
      <c r="O12" s="2154">
        <v>42000</v>
      </c>
      <c r="P12" s="2155"/>
      <c r="Q12" s="2155">
        <v>289528</v>
      </c>
      <c r="R12" s="2152"/>
      <c r="S12" s="2152"/>
      <c r="T12" s="2152"/>
      <c r="U12" s="2152"/>
      <c r="V12" s="2152"/>
      <c r="W12" s="2152"/>
      <c r="X12" s="2152"/>
      <c r="Y12" s="2152"/>
      <c r="Z12" s="2156"/>
    </row>
    <row r="13" spans="1:26">
      <c r="A13" s="2157">
        <v>41639</v>
      </c>
      <c r="B13" s="2158">
        <v>760</v>
      </c>
      <c r="C13" s="2158" t="s">
        <v>2513</v>
      </c>
      <c r="D13" s="2158" t="s">
        <v>2514</v>
      </c>
      <c r="E13" s="2158">
        <v>570020</v>
      </c>
      <c r="F13" s="2158">
        <v>0</v>
      </c>
      <c r="G13" s="2158" t="s">
        <v>1260</v>
      </c>
      <c r="H13" s="2158" t="s">
        <v>2521</v>
      </c>
      <c r="I13" s="2158">
        <v>326556</v>
      </c>
      <c r="J13" s="2158">
        <v>6</v>
      </c>
      <c r="K13" s="2159">
        <v>41455</v>
      </c>
      <c r="L13" s="2159">
        <v>41458</v>
      </c>
      <c r="M13" s="2158" t="s">
        <v>2526</v>
      </c>
      <c r="N13" s="2161"/>
      <c r="O13" s="2164">
        <v>8752</v>
      </c>
      <c r="P13" s="2161"/>
      <c r="Q13" s="2161">
        <v>280776</v>
      </c>
      <c r="R13" s="2158"/>
      <c r="S13" s="2158"/>
      <c r="T13" s="2158"/>
      <c r="U13" s="2158"/>
      <c r="V13" s="2158"/>
      <c r="W13" s="2158"/>
      <c r="X13" s="2158"/>
      <c r="Y13" s="2158"/>
      <c r="Z13" s="2162"/>
    </row>
    <row r="14" spans="1:26">
      <c r="A14" s="2151">
        <v>41639</v>
      </c>
      <c r="B14" s="2152">
        <v>760</v>
      </c>
      <c r="C14" s="2152" t="s">
        <v>2513</v>
      </c>
      <c r="D14" s="2152" t="s">
        <v>2514</v>
      </c>
      <c r="E14" s="2152">
        <v>570020</v>
      </c>
      <c r="F14" s="2152">
        <v>0</v>
      </c>
      <c r="G14" s="2152" t="s">
        <v>1260</v>
      </c>
      <c r="H14" s="2152" t="s">
        <v>2521</v>
      </c>
      <c r="I14" s="2152">
        <v>326556</v>
      </c>
      <c r="J14" s="2152">
        <v>7</v>
      </c>
      <c r="K14" s="2153">
        <v>41457</v>
      </c>
      <c r="L14" s="2153">
        <v>41465</v>
      </c>
      <c r="M14" s="2152" t="s">
        <v>2527</v>
      </c>
      <c r="N14" s="2155"/>
      <c r="O14" s="2154">
        <v>42000</v>
      </c>
      <c r="P14" s="2155"/>
      <c r="Q14" s="2155">
        <v>238776</v>
      </c>
      <c r="R14" s="2152"/>
      <c r="S14" s="2152"/>
      <c r="T14" s="2152"/>
      <c r="U14" s="2152"/>
      <c r="V14" s="2152"/>
      <c r="W14" s="2152"/>
      <c r="X14" s="2152"/>
      <c r="Y14" s="2152"/>
      <c r="Z14" s="2156"/>
    </row>
    <row r="15" spans="1:26">
      <c r="A15" s="2157">
        <v>41639</v>
      </c>
      <c r="B15" s="2158">
        <v>760</v>
      </c>
      <c r="C15" s="2158" t="s">
        <v>2513</v>
      </c>
      <c r="D15" s="2158" t="s">
        <v>2514</v>
      </c>
      <c r="E15" s="2158">
        <v>570020</v>
      </c>
      <c r="F15" s="2158">
        <v>0</v>
      </c>
      <c r="G15" s="2158" t="s">
        <v>1260</v>
      </c>
      <c r="H15" s="2158" t="s">
        <v>2521</v>
      </c>
      <c r="I15" s="2158">
        <v>326556</v>
      </c>
      <c r="J15" s="2158">
        <v>7</v>
      </c>
      <c r="K15" s="2159">
        <v>41457</v>
      </c>
      <c r="L15" s="2159">
        <v>41465</v>
      </c>
      <c r="M15" s="2158" t="s">
        <v>2528</v>
      </c>
      <c r="N15" s="2161"/>
      <c r="O15" s="2164">
        <v>8752</v>
      </c>
      <c r="P15" s="2161"/>
      <c r="Q15" s="2161">
        <v>230024</v>
      </c>
      <c r="R15" s="2158"/>
      <c r="S15" s="2158"/>
      <c r="T15" s="2158"/>
      <c r="U15" s="2158"/>
      <c r="V15" s="2158"/>
      <c r="W15" s="2158"/>
      <c r="X15" s="2158"/>
      <c r="Y15" s="2158"/>
      <c r="Z15" s="2162"/>
    </row>
    <row r="16" spans="1:26">
      <c r="A16" s="2151">
        <v>41639</v>
      </c>
      <c r="B16" s="2152">
        <v>760</v>
      </c>
      <c r="C16" s="2152" t="s">
        <v>2513</v>
      </c>
      <c r="D16" s="2152" t="s">
        <v>2514</v>
      </c>
      <c r="E16" s="2152">
        <v>570020</v>
      </c>
      <c r="F16" s="2152">
        <v>0</v>
      </c>
      <c r="G16" s="2152" t="s">
        <v>1260</v>
      </c>
      <c r="H16" s="2152" t="s">
        <v>2521</v>
      </c>
      <c r="I16" s="2152">
        <v>326556</v>
      </c>
      <c r="J16" s="2152">
        <v>7</v>
      </c>
      <c r="K16" s="2153">
        <v>41486</v>
      </c>
      <c r="L16" s="2153">
        <v>41465</v>
      </c>
      <c r="M16" s="2152" t="s">
        <v>2529</v>
      </c>
      <c r="N16" s="2154">
        <v>42000</v>
      </c>
      <c r="O16" s="2155"/>
      <c r="P16" s="2155"/>
      <c r="Q16" s="2155">
        <v>272024</v>
      </c>
      <c r="R16" s="2152"/>
      <c r="S16" s="2152"/>
      <c r="T16" s="2152"/>
      <c r="U16" s="2152"/>
      <c r="V16" s="2152"/>
      <c r="W16" s="2152"/>
      <c r="X16" s="2152"/>
      <c r="Y16" s="2152"/>
      <c r="Z16" s="2156"/>
    </row>
    <row r="17" spans="1:26">
      <c r="A17" s="2157">
        <v>41639</v>
      </c>
      <c r="B17" s="2158">
        <v>760</v>
      </c>
      <c r="C17" s="2158" t="s">
        <v>2513</v>
      </c>
      <c r="D17" s="2158" t="s">
        <v>2514</v>
      </c>
      <c r="E17" s="2158">
        <v>570020</v>
      </c>
      <c r="F17" s="2158">
        <v>0</v>
      </c>
      <c r="G17" s="2158" t="s">
        <v>1260</v>
      </c>
      <c r="H17" s="2158" t="s">
        <v>2521</v>
      </c>
      <c r="I17" s="2158">
        <v>326556</v>
      </c>
      <c r="J17" s="2158">
        <v>7</v>
      </c>
      <c r="K17" s="2159">
        <v>41486</v>
      </c>
      <c r="L17" s="2159">
        <v>41477</v>
      </c>
      <c r="M17" s="2158" t="s">
        <v>2530</v>
      </c>
      <c r="N17" s="2164">
        <v>42000</v>
      </c>
      <c r="O17" s="2161"/>
      <c r="P17" s="2161"/>
      <c r="Q17" s="2161">
        <v>314024</v>
      </c>
      <c r="R17" s="2158"/>
      <c r="S17" s="2158"/>
      <c r="T17" s="2158"/>
      <c r="U17" s="2158"/>
      <c r="V17" s="2158"/>
      <c r="W17" s="2158"/>
      <c r="X17" s="2158"/>
      <c r="Y17" s="2158"/>
      <c r="Z17" s="2162"/>
    </row>
    <row r="18" spans="1:26">
      <c r="A18" s="2151">
        <v>41639</v>
      </c>
      <c r="B18" s="2152">
        <v>760</v>
      </c>
      <c r="C18" s="2152" t="s">
        <v>2513</v>
      </c>
      <c r="D18" s="2152" t="s">
        <v>2514</v>
      </c>
      <c r="E18" s="2152">
        <v>570020</v>
      </c>
      <c r="F18" s="2152">
        <v>0</v>
      </c>
      <c r="G18" s="2152" t="s">
        <v>1260</v>
      </c>
      <c r="H18" s="2152" t="s">
        <v>2521</v>
      </c>
      <c r="I18" s="2152">
        <v>326556</v>
      </c>
      <c r="J18" s="2152">
        <v>7</v>
      </c>
      <c r="K18" s="2153">
        <v>41486</v>
      </c>
      <c r="L18" s="2153">
        <v>41484</v>
      </c>
      <c r="M18" s="2152" t="s">
        <v>2531</v>
      </c>
      <c r="N18" s="2163">
        <v>38220</v>
      </c>
      <c r="O18" s="2155"/>
      <c r="P18" s="2155"/>
      <c r="Q18" s="2155">
        <v>318996</v>
      </c>
      <c r="R18" s="2152"/>
      <c r="S18" s="2152"/>
      <c r="T18" s="2152"/>
      <c r="U18" s="2152"/>
      <c r="V18" s="2152"/>
      <c r="W18" s="2152"/>
      <c r="X18" s="2152"/>
      <c r="Y18" s="2152"/>
      <c r="Z18" s="2156"/>
    </row>
    <row r="19" spans="1:26">
      <c r="A19" s="2157">
        <v>41639</v>
      </c>
      <c r="B19" s="2158">
        <v>760</v>
      </c>
      <c r="C19" s="2158" t="s">
        <v>2513</v>
      </c>
      <c r="D19" s="2158" t="s">
        <v>2514</v>
      </c>
      <c r="E19" s="2158">
        <v>570020</v>
      </c>
      <c r="F19" s="2158">
        <v>0</v>
      </c>
      <c r="G19" s="2158" t="s">
        <v>1260</v>
      </c>
      <c r="H19" s="2158" t="s">
        <v>2521</v>
      </c>
      <c r="I19" s="2158">
        <v>326556</v>
      </c>
      <c r="J19" s="2158">
        <v>7</v>
      </c>
      <c r="K19" s="2159">
        <v>41486</v>
      </c>
      <c r="L19" s="2159">
        <v>41477</v>
      </c>
      <c r="M19" s="2158" t="s">
        <v>2532</v>
      </c>
      <c r="N19" s="2160">
        <v>8752</v>
      </c>
      <c r="O19" s="2161"/>
      <c r="P19" s="2161"/>
      <c r="Q19" s="2161">
        <v>322776</v>
      </c>
      <c r="R19" s="2158"/>
      <c r="S19" s="2158"/>
      <c r="T19" s="2158"/>
      <c r="U19" s="2158"/>
      <c r="V19" s="2158"/>
      <c r="W19" s="2158"/>
      <c r="X19" s="2158"/>
      <c r="Y19" s="2158"/>
      <c r="Z19" s="2162"/>
    </row>
    <row r="20" spans="1:26">
      <c r="A20" s="2151">
        <v>41639</v>
      </c>
      <c r="B20" s="2152">
        <v>760</v>
      </c>
      <c r="C20" s="2152" t="s">
        <v>2513</v>
      </c>
      <c r="D20" s="2152" t="s">
        <v>2514</v>
      </c>
      <c r="E20" s="2152">
        <v>570020</v>
      </c>
      <c r="F20" s="2152">
        <v>0</v>
      </c>
      <c r="G20" s="2152" t="s">
        <v>1260</v>
      </c>
      <c r="H20" s="2152" t="s">
        <v>2521</v>
      </c>
      <c r="I20" s="2152">
        <v>326556</v>
      </c>
      <c r="J20" s="2152">
        <v>7</v>
      </c>
      <c r="K20" s="2153">
        <v>41486</v>
      </c>
      <c r="L20" s="2153">
        <v>41484</v>
      </c>
      <c r="M20" s="2152" t="s">
        <v>2533</v>
      </c>
      <c r="N20" s="2154">
        <v>8752</v>
      </c>
      <c r="O20" s="2155"/>
      <c r="P20" s="2155"/>
      <c r="Q20" s="2155">
        <v>327748</v>
      </c>
      <c r="R20" s="2152"/>
      <c r="S20" s="2152"/>
      <c r="T20" s="2152"/>
      <c r="U20" s="2152"/>
      <c r="V20" s="2152"/>
      <c r="W20" s="2152"/>
      <c r="X20" s="2152"/>
      <c r="Y20" s="2152"/>
      <c r="Z20" s="2156"/>
    </row>
    <row r="21" spans="1:26">
      <c r="A21" s="2157">
        <v>41639</v>
      </c>
      <c r="B21" s="2158">
        <v>760</v>
      </c>
      <c r="C21" s="2158" t="s">
        <v>2513</v>
      </c>
      <c r="D21" s="2158" t="s">
        <v>2514</v>
      </c>
      <c r="E21" s="2158">
        <v>570020</v>
      </c>
      <c r="F21" s="2158">
        <v>0</v>
      </c>
      <c r="G21" s="2158" t="s">
        <v>1260</v>
      </c>
      <c r="H21" s="2158" t="s">
        <v>2521</v>
      </c>
      <c r="I21" s="2158">
        <v>326556</v>
      </c>
      <c r="J21" s="2158">
        <v>7</v>
      </c>
      <c r="K21" s="2159">
        <v>41486</v>
      </c>
      <c r="L21" s="2159">
        <v>41484</v>
      </c>
      <c r="M21" s="2158" t="s">
        <v>2534</v>
      </c>
      <c r="N21" s="2165">
        <v>4116.42</v>
      </c>
      <c r="O21" s="2161"/>
      <c r="P21" s="2161"/>
      <c r="Q21" s="2161">
        <v>331864.42</v>
      </c>
      <c r="R21" s="2158"/>
      <c r="S21" s="2158"/>
      <c r="T21" s="2158"/>
      <c r="U21" s="2158"/>
      <c r="V21" s="2158"/>
      <c r="W21" s="2158"/>
      <c r="X21" s="2158"/>
      <c r="Y21" s="2158"/>
      <c r="Z21" s="2162"/>
    </row>
    <row r="22" spans="1:26">
      <c r="A22" s="2151">
        <v>41639</v>
      </c>
      <c r="B22" s="2152">
        <v>760</v>
      </c>
      <c r="C22" s="2152" t="s">
        <v>2513</v>
      </c>
      <c r="D22" s="2152" t="s">
        <v>2514</v>
      </c>
      <c r="E22" s="2152">
        <v>570020</v>
      </c>
      <c r="F22" s="2152">
        <v>0</v>
      </c>
      <c r="G22" s="2152" t="s">
        <v>1260</v>
      </c>
      <c r="H22" s="2152" t="s">
        <v>2521</v>
      </c>
      <c r="I22" s="2152">
        <v>326556</v>
      </c>
      <c r="J22" s="2152">
        <v>7</v>
      </c>
      <c r="K22" s="2153">
        <v>41486</v>
      </c>
      <c r="L22" s="2153">
        <v>41484</v>
      </c>
      <c r="M22" s="2152" t="s">
        <v>2531</v>
      </c>
      <c r="N22" s="2155"/>
      <c r="O22" s="2154">
        <v>42000</v>
      </c>
      <c r="P22" s="2155"/>
      <c r="Q22" s="2155">
        <v>280776</v>
      </c>
      <c r="R22" s="2152"/>
      <c r="S22" s="2152"/>
      <c r="T22" s="2152"/>
      <c r="U22" s="2152"/>
      <c r="V22" s="2152"/>
      <c r="W22" s="2152"/>
      <c r="X22" s="2152"/>
      <c r="Y22" s="2152"/>
      <c r="Z22" s="2156"/>
    </row>
    <row r="23" spans="1:26">
      <c r="A23" s="2157">
        <v>41639</v>
      </c>
      <c r="B23" s="2158">
        <v>760</v>
      </c>
      <c r="C23" s="2158" t="s">
        <v>2513</v>
      </c>
      <c r="D23" s="2158" t="s">
        <v>2514</v>
      </c>
      <c r="E23" s="2158">
        <v>570020</v>
      </c>
      <c r="F23" s="2158">
        <v>0</v>
      </c>
      <c r="G23" s="2158" t="s">
        <v>1260</v>
      </c>
      <c r="H23" s="2158" t="s">
        <v>2521</v>
      </c>
      <c r="I23" s="2158">
        <v>326556</v>
      </c>
      <c r="J23" s="2158">
        <v>8</v>
      </c>
      <c r="K23" s="2159">
        <v>41506</v>
      </c>
      <c r="L23" s="2159">
        <v>41506</v>
      </c>
      <c r="M23" s="2158" t="s">
        <v>2535</v>
      </c>
      <c r="N23" s="2164">
        <v>42000</v>
      </c>
      <c r="O23" s="2161"/>
      <c r="P23" s="2161"/>
      <c r="Q23" s="2161">
        <v>382097.26</v>
      </c>
      <c r="R23" s="2158"/>
      <c r="S23" s="2158"/>
      <c r="T23" s="2158"/>
      <c r="U23" s="2158"/>
      <c r="V23" s="2158"/>
      <c r="W23" s="2158"/>
      <c r="X23" s="2158"/>
      <c r="Y23" s="2158"/>
      <c r="Z23" s="2162"/>
    </row>
    <row r="24" spans="1:26">
      <c r="A24" s="2151">
        <v>41639</v>
      </c>
      <c r="B24" s="2152">
        <v>760</v>
      </c>
      <c r="C24" s="2152" t="s">
        <v>2513</v>
      </c>
      <c r="D24" s="2152" t="s">
        <v>2514</v>
      </c>
      <c r="E24" s="2152">
        <v>570020</v>
      </c>
      <c r="F24" s="2152">
        <v>0</v>
      </c>
      <c r="G24" s="2152" t="s">
        <v>1260</v>
      </c>
      <c r="H24" s="2152" t="s">
        <v>2521</v>
      </c>
      <c r="I24" s="2152">
        <v>326556</v>
      </c>
      <c r="J24" s="2152">
        <v>8</v>
      </c>
      <c r="K24" s="2153">
        <v>41506</v>
      </c>
      <c r="L24" s="2153">
        <v>41501</v>
      </c>
      <c r="M24" s="2152" t="s">
        <v>2536</v>
      </c>
      <c r="N24" s="2163">
        <v>8232.84</v>
      </c>
      <c r="O24" s="2155"/>
      <c r="P24" s="2155"/>
      <c r="Q24" s="2155">
        <v>340097.26</v>
      </c>
      <c r="R24" s="2152"/>
      <c r="S24" s="2152"/>
      <c r="T24" s="2152"/>
      <c r="U24" s="2152"/>
      <c r="V24" s="2152"/>
      <c r="W24" s="2152"/>
      <c r="X24" s="2152"/>
      <c r="Y24" s="2152"/>
      <c r="Z24" s="2156"/>
    </row>
    <row r="25" spans="1:26">
      <c r="A25" s="2157">
        <v>41639</v>
      </c>
      <c r="B25" s="2158">
        <v>760</v>
      </c>
      <c r="C25" s="2158" t="s">
        <v>2513</v>
      </c>
      <c r="D25" s="2158" t="s">
        <v>2514</v>
      </c>
      <c r="E25" s="2158">
        <v>570020</v>
      </c>
      <c r="F25" s="2158">
        <v>0</v>
      </c>
      <c r="G25" s="2158" t="s">
        <v>1260</v>
      </c>
      <c r="H25" s="2158" t="s">
        <v>2521</v>
      </c>
      <c r="I25" s="2158">
        <v>326556</v>
      </c>
      <c r="J25" s="2158">
        <v>8</v>
      </c>
      <c r="K25" s="2159">
        <v>41517</v>
      </c>
      <c r="L25" s="2159">
        <v>41520</v>
      </c>
      <c r="M25" s="2158" t="s">
        <v>2537</v>
      </c>
      <c r="N25" s="2160">
        <v>38220</v>
      </c>
      <c r="O25" s="2161"/>
      <c r="P25" s="2161"/>
      <c r="Q25" s="2161">
        <v>378317.26</v>
      </c>
      <c r="R25" s="2158"/>
      <c r="S25" s="2158"/>
      <c r="T25" s="2158"/>
      <c r="U25" s="2158"/>
      <c r="V25" s="2158"/>
      <c r="W25" s="2158"/>
      <c r="X25" s="2158"/>
      <c r="Y25" s="2158"/>
      <c r="Z25" s="2162"/>
    </row>
    <row r="26" spans="1:26">
      <c r="A26" s="2151">
        <v>41639</v>
      </c>
      <c r="B26" s="2152">
        <v>760</v>
      </c>
      <c r="C26" s="2152" t="s">
        <v>2513</v>
      </c>
      <c r="D26" s="2152" t="s">
        <v>2514</v>
      </c>
      <c r="E26" s="2152">
        <v>570020</v>
      </c>
      <c r="F26" s="2152">
        <v>0</v>
      </c>
      <c r="G26" s="2152" t="s">
        <v>1260</v>
      </c>
      <c r="H26" s="2152" t="s">
        <v>2521</v>
      </c>
      <c r="I26" s="2152">
        <v>326556</v>
      </c>
      <c r="J26" s="2152">
        <v>8</v>
      </c>
      <c r="K26" s="2153">
        <v>41517</v>
      </c>
      <c r="L26" s="2153">
        <v>41520</v>
      </c>
      <c r="M26" s="2152" t="s">
        <v>2537</v>
      </c>
      <c r="N26" s="2155"/>
      <c r="O26" s="2154">
        <v>42000</v>
      </c>
      <c r="P26" s="2155"/>
      <c r="Q26" s="2155">
        <v>340097.26</v>
      </c>
      <c r="R26" s="2152"/>
      <c r="S26" s="2152"/>
      <c r="T26" s="2152"/>
      <c r="U26" s="2152"/>
      <c r="V26" s="2152"/>
      <c r="W26" s="2152"/>
      <c r="X26" s="2152"/>
      <c r="Y26" s="2152"/>
      <c r="Z26" s="2156"/>
    </row>
    <row r="27" spans="1:26">
      <c r="A27" s="2157">
        <v>41639</v>
      </c>
      <c r="B27" s="2158">
        <v>760</v>
      </c>
      <c r="C27" s="2158" t="s">
        <v>2513</v>
      </c>
      <c r="D27" s="2158" t="s">
        <v>2514</v>
      </c>
      <c r="E27" s="2158">
        <v>570020</v>
      </c>
      <c r="F27" s="2158">
        <v>0</v>
      </c>
      <c r="G27" s="2158" t="s">
        <v>1260</v>
      </c>
      <c r="H27" s="2158" t="s">
        <v>2521</v>
      </c>
      <c r="I27" s="2158">
        <v>326556</v>
      </c>
      <c r="J27" s="2158">
        <v>9</v>
      </c>
      <c r="K27" s="2159">
        <v>41529</v>
      </c>
      <c r="L27" s="2159">
        <v>41529</v>
      </c>
      <c r="M27" s="2158" t="s">
        <v>2538</v>
      </c>
      <c r="N27" s="2164">
        <v>42000</v>
      </c>
      <c r="O27" s="2161"/>
      <c r="P27" s="2161"/>
      <c r="Q27" s="2161">
        <v>420317.26</v>
      </c>
      <c r="R27" s="2158"/>
      <c r="S27" s="2158"/>
      <c r="T27" s="2158"/>
      <c r="U27" s="2158"/>
      <c r="V27" s="2158"/>
      <c r="W27" s="2158"/>
      <c r="X27" s="2158"/>
      <c r="Y27" s="2158"/>
      <c r="Z27" s="2162"/>
    </row>
    <row r="28" spans="1:26">
      <c r="A28" s="2151">
        <v>41639</v>
      </c>
      <c r="B28" s="2152">
        <v>760</v>
      </c>
      <c r="C28" s="2152" t="s">
        <v>2513</v>
      </c>
      <c r="D28" s="2152" t="s">
        <v>2514</v>
      </c>
      <c r="E28" s="2152">
        <v>570020</v>
      </c>
      <c r="F28" s="2152">
        <v>0</v>
      </c>
      <c r="G28" s="2152" t="s">
        <v>1260</v>
      </c>
      <c r="H28" s="2152" t="s">
        <v>2521</v>
      </c>
      <c r="I28" s="2152">
        <v>326556</v>
      </c>
      <c r="J28" s="2152">
        <v>9</v>
      </c>
      <c r="K28" s="2153">
        <v>41529</v>
      </c>
      <c r="L28" s="2153">
        <v>41529</v>
      </c>
      <c r="M28" s="2152" t="s">
        <v>2539</v>
      </c>
      <c r="N28" s="2163">
        <v>8232.84</v>
      </c>
      <c r="O28" s="2155"/>
      <c r="P28" s="2155"/>
      <c r="Q28" s="2155">
        <v>428550.1</v>
      </c>
      <c r="R28" s="2152"/>
      <c r="S28" s="2152"/>
      <c r="T28" s="2152"/>
      <c r="U28" s="2152"/>
      <c r="V28" s="2152"/>
      <c r="W28" s="2152"/>
      <c r="X28" s="2152"/>
      <c r="Y28" s="2152"/>
      <c r="Z28" s="2156"/>
    </row>
    <row r="29" spans="1:26">
      <c r="A29" s="2157">
        <v>41639</v>
      </c>
      <c r="B29" s="2158">
        <v>760</v>
      </c>
      <c r="C29" s="2158" t="s">
        <v>2513</v>
      </c>
      <c r="D29" s="2158" t="s">
        <v>2514</v>
      </c>
      <c r="E29" s="2158">
        <v>570020</v>
      </c>
      <c r="F29" s="2158">
        <v>0</v>
      </c>
      <c r="G29" s="2158" t="s">
        <v>1260</v>
      </c>
      <c r="H29" s="2158" t="s">
        <v>2521</v>
      </c>
      <c r="I29" s="2158">
        <v>326556</v>
      </c>
      <c r="J29" s="2158">
        <v>9</v>
      </c>
      <c r="K29" s="2159">
        <v>41547</v>
      </c>
      <c r="L29" s="2159">
        <v>41548</v>
      </c>
      <c r="M29" s="2158" t="s">
        <v>2540</v>
      </c>
      <c r="N29" s="2160">
        <v>38220</v>
      </c>
      <c r="O29" s="2161"/>
      <c r="P29" s="2161"/>
      <c r="Q29" s="2161">
        <v>424770.1</v>
      </c>
      <c r="R29" s="2158"/>
      <c r="S29" s="2158"/>
      <c r="T29" s="2158"/>
      <c r="U29" s="2158"/>
      <c r="V29" s="2158"/>
      <c r="W29" s="2158"/>
      <c r="X29" s="2158"/>
      <c r="Y29" s="2158"/>
      <c r="Z29" s="2162"/>
    </row>
    <row r="30" spans="1:26">
      <c r="A30" s="2151">
        <v>41639</v>
      </c>
      <c r="B30" s="2152">
        <v>760</v>
      </c>
      <c r="C30" s="2152" t="s">
        <v>2513</v>
      </c>
      <c r="D30" s="2152" t="s">
        <v>2514</v>
      </c>
      <c r="E30" s="2152">
        <v>570020</v>
      </c>
      <c r="F30" s="2152">
        <v>0</v>
      </c>
      <c r="G30" s="2152" t="s">
        <v>1260</v>
      </c>
      <c r="H30" s="2152" t="s">
        <v>2521</v>
      </c>
      <c r="I30" s="2152">
        <v>326556</v>
      </c>
      <c r="J30" s="2152">
        <v>9</v>
      </c>
      <c r="K30" s="2153">
        <v>41547</v>
      </c>
      <c r="L30" s="2153">
        <v>41548</v>
      </c>
      <c r="M30" s="2152" t="s">
        <v>2540</v>
      </c>
      <c r="N30" s="2155"/>
      <c r="O30" s="2154">
        <v>42000</v>
      </c>
      <c r="P30" s="2155"/>
      <c r="Q30" s="2155">
        <v>386550.1</v>
      </c>
      <c r="R30" s="2152"/>
      <c r="S30" s="2152"/>
      <c r="T30" s="2152"/>
      <c r="U30" s="2152"/>
      <c r="V30" s="2152"/>
      <c r="W30" s="2152"/>
      <c r="X30" s="2152"/>
      <c r="Y30" s="2152"/>
      <c r="Z30" s="2156"/>
    </row>
    <row r="31" spans="1:26">
      <c r="A31" s="2157">
        <v>41639</v>
      </c>
      <c r="B31" s="2158">
        <v>760</v>
      </c>
      <c r="C31" s="2158" t="s">
        <v>2513</v>
      </c>
      <c r="D31" s="2158" t="s">
        <v>2514</v>
      </c>
      <c r="E31" s="2158">
        <v>570020</v>
      </c>
      <c r="F31" s="2158">
        <v>0</v>
      </c>
      <c r="G31" s="2158" t="s">
        <v>1260</v>
      </c>
      <c r="H31" s="2158" t="s">
        <v>2521</v>
      </c>
      <c r="I31" s="2158">
        <v>326556</v>
      </c>
      <c r="J31" s="2158">
        <v>10</v>
      </c>
      <c r="K31" s="2159">
        <v>41554</v>
      </c>
      <c r="L31" s="2159">
        <v>41554</v>
      </c>
      <c r="M31" s="2158" t="s">
        <v>2541</v>
      </c>
      <c r="N31" s="2164">
        <v>42000</v>
      </c>
      <c r="O31" s="2161"/>
      <c r="P31" s="2161"/>
      <c r="Q31" s="2161">
        <v>466770.1</v>
      </c>
      <c r="R31" s="2158"/>
      <c r="S31" s="2158"/>
      <c r="T31" s="2158"/>
      <c r="U31" s="2158"/>
      <c r="V31" s="2158"/>
      <c r="W31" s="2158"/>
      <c r="X31" s="2158"/>
      <c r="Y31" s="2158"/>
      <c r="Z31" s="2162"/>
    </row>
    <row r="32" spans="1:26">
      <c r="A32" s="2151">
        <v>41639</v>
      </c>
      <c r="B32" s="2152">
        <v>760</v>
      </c>
      <c r="C32" s="2152" t="s">
        <v>2513</v>
      </c>
      <c r="D32" s="2152" t="s">
        <v>2514</v>
      </c>
      <c r="E32" s="2152">
        <v>570020</v>
      </c>
      <c r="F32" s="2152">
        <v>0</v>
      </c>
      <c r="G32" s="2152" t="s">
        <v>1260</v>
      </c>
      <c r="H32" s="2152" t="s">
        <v>2521</v>
      </c>
      <c r="I32" s="2152">
        <v>326556</v>
      </c>
      <c r="J32" s="2152">
        <v>10</v>
      </c>
      <c r="K32" s="2153">
        <v>41554</v>
      </c>
      <c r="L32" s="2153">
        <v>41554</v>
      </c>
      <c r="M32" s="2152" t="s">
        <v>2542</v>
      </c>
      <c r="N32" s="2163">
        <v>8232.84</v>
      </c>
      <c r="O32" s="2155"/>
      <c r="P32" s="2155"/>
      <c r="Q32" s="2155">
        <v>475002.94</v>
      </c>
      <c r="R32" s="2152"/>
      <c r="S32" s="2152"/>
      <c r="T32" s="2152"/>
      <c r="U32" s="2152"/>
      <c r="V32" s="2152"/>
      <c r="W32" s="2152"/>
      <c r="X32" s="2152"/>
      <c r="Y32" s="2152"/>
      <c r="Z32" s="2156"/>
    </row>
    <row r="33" spans="1:26">
      <c r="A33" s="2157">
        <v>41639</v>
      </c>
      <c r="B33" s="2158">
        <v>760</v>
      </c>
      <c r="C33" s="2158" t="s">
        <v>2513</v>
      </c>
      <c r="D33" s="2158" t="s">
        <v>2514</v>
      </c>
      <c r="E33" s="2158">
        <v>570020</v>
      </c>
      <c r="F33" s="2158">
        <v>0</v>
      </c>
      <c r="G33" s="2158" t="s">
        <v>1260</v>
      </c>
      <c r="H33" s="2158" t="s">
        <v>2521</v>
      </c>
      <c r="I33" s="2158">
        <v>326556</v>
      </c>
      <c r="J33" s="2158">
        <v>10</v>
      </c>
      <c r="K33" s="2159">
        <v>41578</v>
      </c>
      <c r="L33" s="2159">
        <v>41582</v>
      </c>
      <c r="M33" s="2158" t="s">
        <v>2543</v>
      </c>
      <c r="N33" s="2160">
        <v>38220</v>
      </c>
      <c r="O33" s="2161"/>
      <c r="P33" s="2161"/>
      <c r="Q33" s="2161">
        <v>471222.94</v>
      </c>
      <c r="R33" s="2158"/>
      <c r="S33" s="2158"/>
      <c r="T33" s="2158"/>
      <c r="U33" s="2158"/>
      <c r="V33" s="2158"/>
      <c r="W33" s="2158"/>
      <c r="X33" s="2158"/>
      <c r="Y33" s="2158"/>
      <c r="Z33" s="2162"/>
    </row>
    <row r="34" spans="1:26">
      <c r="A34" s="2151">
        <v>41639</v>
      </c>
      <c r="B34" s="2152">
        <v>760</v>
      </c>
      <c r="C34" s="2152" t="s">
        <v>2513</v>
      </c>
      <c r="D34" s="2152" t="s">
        <v>2514</v>
      </c>
      <c r="E34" s="2152">
        <v>570020</v>
      </c>
      <c r="F34" s="2152">
        <v>0</v>
      </c>
      <c r="G34" s="2152" t="s">
        <v>1260</v>
      </c>
      <c r="H34" s="2152" t="s">
        <v>2521</v>
      </c>
      <c r="I34" s="2152">
        <v>326556</v>
      </c>
      <c r="J34" s="2152">
        <v>10</v>
      </c>
      <c r="K34" s="2153">
        <v>41578</v>
      </c>
      <c r="L34" s="2153">
        <v>41582</v>
      </c>
      <c r="M34" s="2152" t="s">
        <v>2543</v>
      </c>
      <c r="N34" s="2155"/>
      <c r="O34" s="2154">
        <v>42000</v>
      </c>
      <c r="P34" s="2155"/>
      <c r="Q34" s="2155">
        <v>433002.94</v>
      </c>
      <c r="R34" s="2152"/>
      <c r="S34" s="2152"/>
      <c r="T34" s="2152"/>
      <c r="U34" s="2152"/>
      <c r="V34" s="2152"/>
      <c r="W34" s="2152"/>
      <c r="X34" s="2152"/>
      <c r="Y34" s="2152"/>
      <c r="Z34" s="2156"/>
    </row>
    <row r="35" spans="1:26">
      <c r="A35" s="2157">
        <v>41639</v>
      </c>
      <c r="B35" s="2158">
        <v>760</v>
      </c>
      <c r="C35" s="2158" t="s">
        <v>2513</v>
      </c>
      <c r="D35" s="2158" t="s">
        <v>2514</v>
      </c>
      <c r="E35" s="2158">
        <v>570020</v>
      </c>
      <c r="F35" s="2158">
        <v>0</v>
      </c>
      <c r="G35" s="2158" t="s">
        <v>1260</v>
      </c>
      <c r="H35" s="2158" t="s">
        <v>2521</v>
      </c>
      <c r="I35" s="2158">
        <v>326556</v>
      </c>
      <c r="J35" s="2158">
        <v>11</v>
      </c>
      <c r="K35" s="2159">
        <v>41584</v>
      </c>
      <c r="L35" s="2159">
        <v>41579</v>
      </c>
      <c r="M35" s="2158" t="s">
        <v>2544</v>
      </c>
      <c r="N35" s="2164">
        <v>42000</v>
      </c>
      <c r="O35" s="2161"/>
      <c r="P35" s="2161"/>
      <c r="Q35" s="2161">
        <v>513222.94</v>
      </c>
      <c r="R35" s="2158"/>
      <c r="S35" s="2158"/>
      <c r="T35" s="2158"/>
      <c r="U35" s="2158"/>
      <c r="V35" s="2158"/>
      <c r="W35" s="2158"/>
      <c r="X35" s="2158"/>
      <c r="Y35" s="2158"/>
      <c r="Z35" s="2162"/>
    </row>
    <row r="36" spans="1:26">
      <c r="A36" s="2151">
        <v>41639</v>
      </c>
      <c r="B36" s="2152">
        <v>760</v>
      </c>
      <c r="C36" s="2152" t="s">
        <v>2513</v>
      </c>
      <c r="D36" s="2152" t="s">
        <v>2514</v>
      </c>
      <c r="E36" s="2152">
        <v>570020</v>
      </c>
      <c r="F36" s="2152">
        <v>0</v>
      </c>
      <c r="G36" s="2152" t="s">
        <v>1260</v>
      </c>
      <c r="H36" s="2152" t="s">
        <v>2521</v>
      </c>
      <c r="I36" s="2152">
        <v>326556</v>
      </c>
      <c r="J36" s="2152">
        <v>11</v>
      </c>
      <c r="K36" s="2153">
        <v>41584</v>
      </c>
      <c r="L36" s="2153">
        <v>41579</v>
      </c>
      <c r="M36" s="2152" t="s">
        <v>2545</v>
      </c>
      <c r="N36" s="2163">
        <v>8232.84</v>
      </c>
      <c r="O36" s="2155"/>
      <c r="P36" s="2155"/>
      <c r="Q36" s="2155">
        <v>521455.78</v>
      </c>
      <c r="R36" s="2152"/>
      <c r="S36" s="2152"/>
      <c r="T36" s="2152"/>
      <c r="U36" s="2152"/>
      <c r="V36" s="2152"/>
      <c r="W36" s="2152"/>
      <c r="X36" s="2152"/>
      <c r="Y36" s="2152"/>
      <c r="Z36" s="2156"/>
    </row>
    <row r="37" spans="1:26">
      <c r="A37" s="2157">
        <v>41639</v>
      </c>
      <c r="B37" s="2158">
        <v>760</v>
      </c>
      <c r="C37" s="2158" t="s">
        <v>2513</v>
      </c>
      <c r="D37" s="2158" t="s">
        <v>2514</v>
      </c>
      <c r="E37" s="2158">
        <v>570020</v>
      </c>
      <c r="F37" s="2158">
        <v>0</v>
      </c>
      <c r="G37" s="2158" t="s">
        <v>1260</v>
      </c>
      <c r="H37" s="2158" t="s">
        <v>2521</v>
      </c>
      <c r="I37" s="2158">
        <v>326556</v>
      </c>
      <c r="J37" s="2158">
        <v>11</v>
      </c>
      <c r="K37" s="2159">
        <v>41608</v>
      </c>
      <c r="L37" s="2159">
        <v>41605</v>
      </c>
      <c r="M37" s="2158" t="s">
        <v>2546</v>
      </c>
      <c r="N37" s="2160">
        <v>38220</v>
      </c>
      <c r="O37" s="2161"/>
      <c r="P37" s="2161"/>
      <c r="Q37" s="2161">
        <v>517675.78</v>
      </c>
      <c r="R37" s="2158"/>
      <c r="S37" s="2158"/>
      <c r="T37" s="2158"/>
      <c r="U37" s="2158"/>
      <c r="V37" s="2158"/>
      <c r="W37" s="2158"/>
      <c r="X37" s="2158"/>
      <c r="Y37" s="2158"/>
      <c r="Z37" s="2162"/>
    </row>
    <row r="38" spans="1:26">
      <c r="A38" s="2151">
        <v>41639</v>
      </c>
      <c r="B38" s="2152">
        <v>760</v>
      </c>
      <c r="C38" s="2152" t="s">
        <v>2513</v>
      </c>
      <c r="D38" s="2152" t="s">
        <v>2514</v>
      </c>
      <c r="E38" s="2152">
        <v>570020</v>
      </c>
      <c r="F38" s="2152">
        <v>0</v>
      </c>
      <c r="G38" s="2152" t="s">
        <v>1260</v>
      </c>
      <c r="H38" s="2152" t="s">
        <v>2521</v>
      </c>
      <c r="I38" s="2152">
        <v>326556</v>
      </c>
      <c r="J38" s="2152">
        <v>11</v>
      </c>
      <c r="K38" s="2153">
        <v>41608</v>
      </c>
      <c r="L38" s="2153">
        <v>41605</v>
      </c>
      <c r="M38" s="2152" t="s">
        <v>2546</v>
      </c>
      <c r="N38" s="2155"/>
      <c r="O38" s="2154">
        <v>42000</v>
      </c>
      <c r="P38" s="2155"/>
      <c r="Q38" s="2155">
        <v>479455.78</v>
      </c>
      <c r="R38" s="2152"/>
      <c r="S38" s="2152"/>
      <c r="T38" s="2152"/>
      <c r="U38" s="2152"/>
      <c r="V38" s="2152"/>
      <c r="W38" s="2152"/>
      <c r="X38" s="2152"/>
      <c r="Y38" s="2152"/>
      <c r="Z38" s="2156"/>
    </row>
    <row r="39" spans="1:26">
      <c r="A39" s="2157">
        <v>41639</v>
      </c>
      <c r="B39" s="2158">
        <v>760</v>
      </c>
      <c r="C39" s="2158" t="s">
        <v>2513</v>
      </c>
      <c r="D39" s="2158" t="s">
        <v>2514</v>
      </c>
      <c r="E39" s="2158">
        <v>570020</v>
      </c>
      <c r="F39" s="2158">
        <v>0</v>
      </c>
      <c r="G39" s="2158" t="s">
        <v>1260</v>
      </c>
      <c r="H39" s="2158" t="s">
        <v>2521</v>
      </c>
      <c r="I39" s="2158">
        <v>326556</v>
      </c>
      <c r="J39" s="2158">
        <v>12</v>
      </c>
      <c r="K39" s="2159">
        <v>41618</v>
      </c>
      <c r="L39" s="2159">
        <v>41618</v>
      </c>
      <c r="M39" s="2158" t="s">
        <v>2547</v>
      </c>
      <c r="N39" s="2160">
        <v>8232.84</v>
      </c>
      <c r="O39" s="2161"/>
      <c r="P39" s="2161"/>
      <c r="Q39" s="2161">
        <v>525908.62</v>
      </c>
      <c r="R39" s="2158"/>
      <c r="S39" s="2158"/>
      <c r="T39" s="2158"/>
      <c r="U39" s="2158"/>
      <c r="V39" s="2158"/>
      <c r="W39" s="2158"/>
      <c r="X39" s="2158"/>
      <c r="Y39" s="2158"/>
      <c r="Z39" s="2162"/>
    </row>
    <row r="40" spans="1:26">
      <c r="A40" s="2151">
        <v>41639</v>
      </c>
      <c r="B40" s="2152">
        <v>760</v>
      </c>
      <c r="C40" s="2152" t="s">
        <v>2513</v>
      </c>
      <c r="D40" s="2152" t="s">
        <v>2514</v>
      </c>
      <c r="E40" s="2152">
        <v>570020</v>
      </c>
      <c r="F40" s="2152">
        <v>0</v>
      </c>
      <c r="G40" s="2152" t="s">
        <v>1260</v>
      </c>
      <c r="H40" s="2152" t="s">
        <v>2521</v>
      </c>
      <c r="I40" s="2152">
        <v>326556</v>
      </c>
      <c r="J40" s="2152">
        <v>12</v>
      </c>
      <c r="K40" s="2153">
        <v>41631</v>
      </c>
      <c r="L40" s="2153">
        <v>41631</v>
      </c>
      <c r="M40" s="2152" t="s">
        <v>2548</v>
      </c>
      <c r="N40" s="2154">
        <v>42000</v>
      </c>
      <c r="O40" s="2155"/>
      <c r="P40" s="2155"/>
      <c r="Q40" s="2155">
        <v>567908.62</v>
      </c>
      <c r="R40" s="2152"/>
      <c r="S40" s="2152"/>
      <c r="T40" s="2152"/>
      <c r="U40" s="2152"/>
      <c r="V40" s="2152"/>
      <c r="W40" s="2152"/>
      <c r="X40" s="2152"/>
      <c r="Y40" s="2152"/>
      <c r="Z40" s="2156"/>
    </row>
    <row r="41" spans="1:26">
      <c r="A41" s="2157">
        <v>41639</v>
      </c>
      <c r="B41" s="2158">
        <v>760</v>
      </c>
      <c r="C41" s="2158" t="s">
        <v>2513</v>
      </c>
      <c r="D41" s="2158" t="s">
        <v>2514</v>
      </c>
      <c r="E41" s="2158">
        <v>570020</v>
      </c>
      <c r="F41" s="2158">
        <v>0</v>
      </c>
      <c r="G41" s="2158" t="s">
        <v>1260</v>
      </c>
      <c r="H41" s="2158" t="s">
        <v>2521</v>
      </c>
      <c r="I41" s="2158">
        <v>326556</v>
      </c>
      <c r="J41" s="2158">
        <v>12</v>
      </c>
      <c r="K41" s="2159">
        <v>41639</v>
      </c>
      <c r="L41" s="2159">
        <v>41624</v>
      </c>
      <c r="M41" s="2158" t="s">
        <v>2549</v>
      </c>
      <c r="N41" s="2160">
        <v>38220</v>
      </c>
      <c r="O41" s="2161"/>
      <c r="P41" s="2161"/>
      <c r="Q41" s="2161">
        <v>564128.62</v>
      </c>
      <c r="R41" s="2158"/>
      <c r="S41" s="2158"/>
      <c r="T41" s="2158"/>
      <c r="U41" s="2158"/>
      <c r="V41" s="2158"/>
      <c r="W41" s="2158"/>
      <c r="X41" s="2158"/>
      <c r="Y41" s="2158"/>
      <c r="Z41" s="2162"/>
    </row>
    <row r="42" spans="1:26">
      <c r="A42" s="2151">
        <v>41639</v>
      </c>
      <c r="B42" s="2152">
        <v>760</v>
      </c>
      <c r="C42" s="2152" t="s">
        <v>2513</v>
      </c>
      <c r="D42" s="2152" t="s">
        <v>2514</v>
      </c>
      <c r="E42" s="2152">
        <v>570020</v>
      </c>
      <c r="F42" s="2152">
        <v>0</v>
      </c>
      <c r="G42" s="2152" t="s">
        <v>1260</v>
      </c>
      <c r="H42" s="2152" t="s">
        <v>2521</v>
      </c>
      <c r="I42" s="2152">
        <v>326556</v>
      </c>
      <c r="J42" s="2152">
        <v>12</v>
      </c>
      <c r="K42" s="2153">
        <v>41639</v>
      </c>
      <c r="L42" s="2153">
        <v>41624</v>
      </c>
      <c r="M42" s="2152" t="s">
        <v>2549</v>
      </c>
      <c r="N42" s="2155"/>
      <c r="O42" s="2154">
        <v>42000</v>
      </c>
      <c r="P42" s="2155"/>
      <c r="Q42" s="2155">
        <v>525908.62</v>
      </c>
      <c r="R42" s="2152"/>
      <c r="S42" s="2152"/>
      <c r="T42" s="2152"/>
      <c r="U42" s="2152"/>
      <c r="V42" s="2152"/>
      <c r="W42" s="2152"/>
      <c r="X42" s="2152"/>
      <c r="Y42" s="2152"/>
      <c r="Z42" s="2156"/>
    </row>
    <row r="43" spans="1:26">
      <c r="A43" s="2157">
        <v>41759</v>
      </c>
      <c r="B43" s="2158">
        <v>760</v>
      </c>
      <c r="C43" s="2158" t="s">
        <v>2513</v>
      </c>
      <c r="D43" s="2158" t="s">
        <v>2514</v>
      </c>
      <c r="E43" s="2158">
        <v>570020</v>
      </c>
      <c r="F43" s="2158">
        <v>0</v>
      </c>
      <c r="G43" s="2158" t="s">
        <v>1260</v>
      </c>
      <c r="H43" s="2158" t="s">
        <v>2515</v>
      </c>
      <c r="I43" s="2158">
        <v>0</v>
      </c>
      <c r="J43" s="2158">
        <v>1</v>
      </c>
      <c r="K43" s="2159">
        <v>41652</v>
      </c>
      <c r="L43" s="2159">
        <v>41652</v>
      </c>
      <c r="M43" s="2158" t="s">
        <v>2550</v>
      </c>
      <c r="N43" s="2164">
        <v>45000</v>
      </c>
      <c r="O43" s="2161"/>
      <c r="P43" s="2161"/>
      <c r="Q43" s="2161">
        <v>45000</v>
      </c>
      <c r="R43" s="2158"/>
      <c r="S43" s="2158"/>
      <c r="T43" s="2158"/>
      <c r="U43" s="2158"/>
      <c r="V43" s="2158"/>
      <c r="W43" s="2158"/>
      <c r="X43" s="2158"/>
      <c r="Y43" s="2158"/>
      <c r="Z43" s="2162"/>
    </row>
    <row r="44" spans="1:26">
      <c r="A44" s="2151">
        <v>41759</v>
      </c>
      <c r="B44" s="2152">
        <v>760</v>
      </c>
      <c r="C44" s="2152" t="s">
        <v>2513</v>
      </c>
      <c r="D44" s="2152" t="s">
        <v>2514</v>
      </c>
      <c r="E44" s="2152">
        <v>570020</v>
      </c>
      <c r="F44" s="2152">
        <v>0</v>
      </c>
      <c r="G44" s="2152" t="s">
        <v>1260</v>
      </c>
      <c r="H44" s="2152" t="s">
        <v>2515</v>
      </c>
      <c r="I44" s="2152">
        <v>0</v>
      </c>
      <c r="J44" s="2152">
        <v>1</v>
      </c>
      <c r="K44" s="2153">
        <v>41652</v>
      </c>
      <c r="L44" s="2153">
        <v>41652</v>
      </c>
      <c r="M44" s="2152" t="s">
        <v>2551</v>
      </c>
      <c r="N44" s="2163">
        <v>8232.84</v>
      </c>
      <c r="O44" s="2155"/>
      <c r="P44" s="2155"/>
      <c r="Q44" s="2155">
        <v>53232.84</v>
      </c>
      <c r="R44" s="2152"/>
      <c r="S44" s="2152"/>
      <c r="T44" s="2152"/>
      <c r="U44" s="2152"/>
      <c r="V44" s="2152"/>
      <c r="W44" s="2152"/>
      <c r="X44" s="2152"/>
      <c r="Y44" s="2152"/>
      <c r="Z44" s="2156"/>
    </row>
    <row r="45" spans="1:26">
      <c r="A45" s="2157">
        <v>41759</v>
      </c>
      <c r="B45" s="2158">
        <v>760</v>
      </c>
      <c r="C45" s="2158" t="s">
        <v>2513</v>
      </c>
      <c r="D45" s="2158" t="s">
        <v>2514</v>
      </c>
      <c r="E45" s="2158">
        <v>570020</v>
      </c>
      <c r="F45" s="2158">
        <v>0</v>
      </c>
      <c r="G45" s="2158" t="s">
        <v>1260</v>
      </c>
      <c r="H45" s="2158" t="s">
        <v>2515</v>
      </c>
      <c r="I45" s="2158">
        <v>0</v>
      </c>
      <c r="J45" s="2158">
        <v>1</v>
      </c>
      <c r="K45" s="2159">
        <v>41670</v>
      </c>
      <c r="L45" s="2159">
        <v>41669</v>
      </c>
      <c r="M45" s="2158" t="s">
        <v>2552</v>
      </c>
      <c r="N45" s="2160">
        <v>40950</v>
      </c>
      <c r="O45" s="2161"/>
      <c r="P45" s="2161"/>
      <c r="Q45" s="2161">
        <v>49182.84</v>
      </c>
      <c r="R45" s="2158"/>
      <c r="S45" s="2158"/>
      <c r="T45" s="2158"/>
      <c r="U45" s="2158"/>
      <c r="V45" s="2158"/>
      <c r="W45" s="2158"/>
      <c r="X45" s="2158"/>
      <c r="Y45" s="2158"/>
      <c r="Z45" s="2162"/>
    </row>
    <row r="46" spans="1:26">
      <c r="A46" s="2151">
        <v>41759</v>
      </c>
      <c r="B46" s="2152">
        <v>760</v>
      </c>
      <c r="C46" s="2152" t="s">
        <v>2513</v>
      </c>
      <c r="D46" s="2152" t="s">
        <v>2514</v>
      </c>
      <c r="E46" s="2152">
        <v>570020</v>
      </c>
      <c r="F46" s="2152">
        <v>0</v>
      </c>
      <c r="G46" s="2152" t="s">
        <v>1260</v>
      </c>
      <c r="H46" s="2152" t="s">
        <v>2515</v>
      </c>
      <c r="I46" s="2152">
        <v>0</v>
      </c>
      <c r="J46" s="2152">
        <v>1</v>
      </c>
      <c r="K46" s="2153">
        <v>41670</v>
      </c>
      <c r="L46" s="2153">
        <v>41669</v>
      </c>
      <c r="M46" s="2152" t="s">
        <v>2552</v>
      </c>
      <c r="N46" s="2155"/>
      <c r="O46" s="2154">
        <v>45000</v>
      </c>
      <c r="P46" s="2155"/>
      <c r="Q46" s="2155">
        <v>8232.84</v>
      </c>
      <c r="R46" s="2152"/>
      <c r="S46" s="2152"/>
      <c r="T46" s="2152"/>
      <c r="U46" s="2152"/>
      <c r="V46" s="2152"/>
      <c r="W46" s="2152"/>
      <c r="X46" s="2152"/>
      <c r="Y46" s="2152"/>
      <c r="Z46" s="2156"/>
    </row>
    <row r="47" spans="1:26">
      <c r="A47" s="2157">
        <v>41759</v>
      </c>
      <c r="B47" s="2158">
        <v>760</v>
      </c>
      <c r="C47" s="2158" t="s">
        <v>2513</v>
      </c>
      <c r="D47" s="2158" t="s">
        <v>2514</v>
      </c>
      <c r="E47" s="2158">
        <v>570020</v>
      </c>
      <c r="F47" s="2158">
        <v>0</v>
      </c>
      <c r="G47" s="2158" t="s">
        <v>1260</v>
      </c>
      <c r="H47" s="2158" t="s">
        <v>2515</v>
      </c>
      <c r="I47" s="2158">
        <v>0</v>
      </c>
      <c r="J47" s="2158">
        <v>2</v>
      </c>
      <c r="K47" s="2159">
        <v>41676</v>
      </c>
      <c r="L47" s="2159">
        <v>41676</v>
      </c>
      <c r="M47" s="2158" t="s">
        <v>2553</v>
      </c>
      <c r="N47" s="2164">
        <v>45000</v>
      </c>
      <c r="O47" s="2161"/>
      <c r="P47" s="2161"/>
      <c r="Q47" s="2161">
        <v>102415.67999999999</v>
      </c>
      <c r="R47" s="2158"/>
      <c r="S47" s="2158"/>
      <c r="T47" s="2158"/>
      <c r="U47" s="2158"/>
      <c r="V47" s="2158"/>
      <c r="W47" s="2158"/>
      <c r="X47" s="2158"/>
      <c r="Y47" s="2158"/>
      <c r="Z47" s="2162"/>
    </row>
    <row r="48" spans="1:26">
      <c r="A48" s="2151">
        <v>41759</v>
      </c>
      <c r="B48" s="2152">
        <v>760</v>
      </c>
      <c r="C48" s="2152" t="s">
        <v>2513</v>
      </c>
      <c r="D48" s="2152" t="s">
        <v>2514</v>
      </c>
      <c r="E48" s="2152">
        <v>570020</v>
      </c>
      <c r="F48" s="2152">
        <v>0</v>
      </c>
      <c r="G48" s="2152" t="s">
        <v>1260</v>
      </c>
      <c r="H48" s="2152" t="s">
        <v>2515</v>
      </c>
      <c r="I48" s="2152">
        <v>0</v>
      </c>
      <c r="J48" s="2152">
        <v>2</v>
      </c>
      <c r="K48" s="2153">
        <v>41676</v>
      </c>
      <c r="L48" s="2153">
        <v>41673</v>
      </c>
      <c r="M48" s="2152" t="s">
        <v>2554</v>
      </c>
      <c r="N48" s="2163">
        <v>8232.84</v>
      </c>
      <c r="O48" s="2155"/>
      <c r="P48" s="2155"/>
      <c r="Q48" s="2155">
        <v>57415.68</v>
      </c>
      <c r="R48" s="2152"/>
      <c r="S48" s="2152"/>
      <c r="T48" s="2152"/>
      <c r="U48" s="2152"/>
      <c r="V48" s="2152"/>
      <c r="W48" s="2152"/>
      <c r="X48" s="2152"/>
      <c r="Y48" s="2152"/>
      <c r="Z48" s="2156"/>
    </row>
    <row r="49" spans="1:26">
      <c r="A49" s="2157">
        <v>41759</v>
      </c>
      <c r="B49" s="2158">
        <v>760</v>
      </c>
      <c r="C49" s="2158" t="s">
        <v>2513</v>
      </c>
      <c r="D49" s="2158" t="s">
        <v>2514</v>
      </c>
      <c r="E49" s="2158">
        <v>570020</v>
      </c>
      <c r="F49" s="2158">
        <v>0</v>
      </c>
      <c r="G49" s="2158" t="s">
        <v>1260</v>
      </c>
      <c r="H49" s="2158" t="s">
        <v>2515</v>
      </c>
      <c r="I49" s="2158">
        <v>0</v>
      </c>
      <c r="J49" s="2158">
        <v>2</v>
      </c>
      <c r="K49" s="2159">
        <v>41698</v>
      </c>
      <c r="L49" s="2159">
        <v>41701</v>
      </c>
      <c r="M49" s="2158" t="s">
        <v>2555</v>
      </c>
      <c r="N49" s="2160">
        <v>40950</v>
      </c>
      <c r="O49" s="2161"/>
      <c r="P49" s="2161"/>
      <c r="Q49" s="2161">
        <v>98365.68</v>
      </c>
      <c r="R49" s="2158"/>
      <c r="S49" s="2158"/>
      <c r="T49" s="2158"/>
      <c r="U49" s="2158"/>
      <c r="V49" s="2158"/>
      <c r="W49" s="2158"/>
      <c r="X49" s="2158"/>
      <c r="Y49" s="2158"/>
      <c r="Z49" s="2162"/>
    </row>
    <row r="50" spans="1:26">
      <c r="A50" s="2151">
        <v>41759</v>
      </c>
      <c r="B50" s="2152">
        <v>760</v>
      </c>
      <c r="C50" s="2152" t="s">
        <v>2513</v>
      </c>
      <c r="D50" s="2152" t="s">
        <v>2514</v>
      </c>
      <c r="E50" s="2152">
        <v>570020</v>
      </c>
      <c r="F50" s="2152">
        <v>0</v>
      </c>
      <c r="G50" s="2152" t="s">
        <v>1260</v>
      </c>
      <c r="H50" s="2152" t="s">
        <v>2515</v>
      </c>
      <c r="I50" s="2152">
        <v>0</v>
      </c>
      <c r="J50" s="2152">
        <v>2</v>
      </c>
      <c r="K50" s="2153">
        <v>41698</v>
      </c>
      <c r="L50" s="2153">
        <v>41701</v>
      </c>
      <c r="M50" s="2152" t="s">
        <v>2555</v>
      </c>
      <c r="N50" s="2155"/>
      <c r="O50" s="2154">
        <v>45000</v>
      </c>
      <c r="P50" s="2155"/>
      <c r="Q50" s="2155">
        <v>57415.68</v>
      </c>
      <c r="R50" s="2152"/>
      <c r="S50" s="2152"/>
      <c r="T50" s="2152"/>
      <c r="U50" s="2152"/>
      <c r="V50" s="2152"/>
      <c r="W50" s="2152"/>
      <c r="X50" s="2152"/>
      <c r="Y50" s="2152"/>
      <c r="Z50" s="2156"/>
    </row>
    <row r="51" spans="1:26">
      <c r="A51" s="2157">
        <v>41759</v>
      </c>
      <c r="B51" s="2158">
        <v>760</v>
      </c>
      <c r="C51" s="2158" t="s">
        <v>2513</v>
      </c>
      <c r="D51" s="2158" t="s">
        <v>2514</v>
      </c>
      <c r="E51" s="2158">
        <v>570020</v>
      </c>
      <c r="F51" s="2158">
        <v>0</v>
      </c>
      <c r="G51" s="2158" t="s">
        <v>1260</v>
      </c>
      <c r="H51" s="2158" t="s">
        <v>2521</v>
      </c>
      <c r="I51" s="2158">
        <v>98365.68</v>
      </c>
      <c r="J51" s="2158">
        <v>3</v>
      </c>
      <c r="K51" s="2159">
        <v>41709</v>
      </c>
      <c r="L51" s="2159">
        <v>41709</v>
      </c>
      <c r="M51" s="2158" t="s">
        <v>2556</v>
      </c>
      <c r="N51" s="2164">
        <v>45000</v>
      </c>
      <c r="O51" s="2161"/>
      <c r="P51" s="2161"/>
      <c r="Q51" s="2161">
        <v>151598.51999999999</v>
      </c>
      <c r="R51" s="2158"/>
      <c r="S51" s="2158"/>
      <c r="T51" s="2158"/>
      <c r="U51" s="2158"/>
      <c r="V51" s="2158"/>
      <c r="W51" s="2158"/>
      <c r="X51" s="2158"/>
      <c r="Y51" s="2158"/>
      <c r="Z51" s="2162"/>
    </row>
    <row r="52" spans="1:26">
      <c r="A52" s="2151">
        <v>41759</v>
      </c>
      <c r="B52" s="2152">
        <v>760</v>
      </c>
      <c r="C52" s="2152" t="s">
        <v>2513</v>
      </c>
      <c r="D52" s="2152" t="s">
        <v>2514</v>
      </c>
      <c r="E52" s="2152">
        <v>570020</v>
      </c>
      <c r="F52" s="2152">
        <v>0</v>
      </c>
      <c r="G52" s="2152" t="s">
        <v>1260</v>
      </c>
      <c r="H52" s="2152" t="s">
        <v>2521</v>
      </c>
      <c r="I52" s="2152">
        <v>98365.68</v>
      </c>
      <c r="J52" s="2152">
        <v>3</v>
      </c>
      <c r="K52" s="2153">
        <v>41709</v>
      </c>
      <c r="L52" s="2153">
        <v>41701</v>
      </c>
      <c r="M52" s="2152" t="s">
        <v>2557</v>
      </c>
      <c r="N52" s="2163">
        <v>8232.84</v>
      </c>
      <c r="O52" s="2155"/>
      <c r="P52" s="2155"/>
      <c r="Q52" s="2155">
        <v>106598.52</v>
      </c>
      <c r="R52" s="2152"/>
      <c r="S52" s="2152"/>
      <c r="T52" s="2152"/>
      <c r="U52" s="2152"/>
      <c r="V52" s="2152"/>
      <c r="W52" s="2152"/>
      <c r="X52" s="2152"/>
      <c r="Y52" s="2152"/>
      <c r="Z52" s="2156"/>
    </row>
    <row r="53" spans="1:26">
      <c r="A53" s="2157">
        <v>41759</v>
      </c>
      <c r="B53" s="2158">
        <v>760</v>
      </c>
      <c r="C53" s="2158" t="s">
        <v>2513</v>
      </c>
      <c r="D53" s="2158" t="s">
        <v>2514</v>
      </c>
      <c r="E53" s="2158">
        <v>570020</v>
      </c>
      <c r="F53" s="2158">
        <v>0</v>
      </c>
      <c r="G53" s="2158" t="s">
        <v>1260</v>
      </c>
      <c r="H53" s="2158" t="s">
        <v>2521</v>
      </c>
      <c r="I53" s="2158">
        <v>98365.68</v>
      </c>
      <c r="J53" s="2158">
        <v>3</v>
      </c>
      <c r="K53" s="2159">
        <v>41729</v>
      </c>
      <c r="L53" s="2159">
        <v>41719</v>
      </c>
      <c r="M53" s="2158" t="s">
        <v>2558</v>
      </c>
      <c r="N53" s="2160">
        <v>40950</v>
      </c>
      <c r="O53" s="2161"/>
      <c r="P53" s="2161"/>
      <c r="Q53" s="2161">
        <v>147548.51999999999</v>
      </c>
      <c r="R53" s="2158"/>
      <c r="S53" s="2158"/>
      <c r="T53" s="2158"/>
      <c r="U53" s="2158"/>
      <c r="V53" s="2158"/>
      <c r="W53" s="2158"/>
      <c r="X53" s="2158"/>
      <c r="Y53" s="2158"/>
      <c r="Z53" s="2162"/>
    </row>
    <row r="54" spans="1:26">
      <c r="A54" s="2151">
        <v>41759</v>
      </c>
      <c r="B54" s="2152">
        <v>760</v>
      </c>
      <c r="C54" s="2152" t="s">
        <v>2513</v>
      </c>
      <c r="D54" s="2152" t="s">
        <v>2514</v>
      </c>
      <c r="E54" s="2152">
        <v>570020</v>
      </c>
      <c r="F54" s="2152">
        <v>0</v>
      </c>
      <c r="G54" s="2152" t="s">
        <v>1260</v>
      </c>
      <c r="H54" s="2152" t="s">
        <v>2521</v>
      </c>
      <c r="I54" s="2152">
        <v>98365.68</v>
      </c>
      <c r="J54" s="2152">
        <v>3</v>
      </c>
      <c r="K54" s="2153">
        <v>41729</v>
      </c>
      <c r="L54" s="2153">
        <v>41719</v>
      </c>
      <c r="M54" s="2152" t="s">
        <v>2558</v>
      </c>
      <c r="N54" s="2155"/>
      <c r="O54" s="2154">
        <v>45000</v>
      </c>
      <c r="P54" s="2155"/>
      <c r="Q54" s="2155">
        <v>106598.52</v>
      </c>
      <c r="R54" s="2152"/>
      <c r="S54" s="2152"/>
      <c r="T54" s="2152"/>
      <c r="U54" s="2152"/>
      <c r="V54" s="2152"/>
      <c r="W54" s="2152"/>
      <c r="X54" s="2152"/>
      <c r="Y54" s="2152"/>
      <c r="Z54" s="2156"/>
    </row>
    <row r="55" spans="1:26">
      <c r="A55" s="2157">
        <v>41759</v>
      </c>
      <c r="B55" s="2158">
        <v>760</v>
      </c>
      <c r="C55" s="2158" t="s">
        <v>2513</v>
      </c>
      <c r="D55" s="2158" t="s">
        <v>2514</v>
      </c>
      <c r="E55" s="2158">
        <v>570020</v>
      </c>
      <c r="F55" s="2158">
        <v>0</v>
      </c>
      <c r="G55" s="2158" t="s">
        <v>1260</v>
      </c>
      <c r="H55" s="2158" t="s">
        <v>2521</v>
      </c>
      <c r="I55" s="2158">
        <v>98365.68</v>
      </c>
      <c r="J55" s="2158">
        <v>4</v>
      </c>
      <c r="K55" s="2159">
        <v>41733</v>
      </c>
      <c r="L55" s="2159">
        <v>41733</v>
      </c>
      <c r="M55" s="2158" t="s">
        <v>2559</v>
      </c>
      <c r="N55" s="2164">
        <v>45000</v>
      </c>
      <c r="O55" s="2161"/>
      <c r="P55" s="2161"/>
      <c r="Q55" s="2161">
        <v>200781.36</v>
      </c>
      <c r="R55" s="2158"/>
      <c r="S55" s="2158"/>
      <c r="T55" s="2158"/>
      <c r="U55" s="2158"/>
      <c r="V55" s="2158"/>
      <c r="W55" s="2158"/>
      <c r="X55" s="2158"/>
      <c r="Y55" s="2158"/>
      <c r="Z55" s="2162"/>
    </row>
    <row r="56" spans="1:26">
      <c r="A56" s="2151">
        <v>41759</v>
      </c>
      <c r="B56" s="2152">
        <v>760</v>
      </c>
      <c r="C56" s="2152" t="s">
        <v>2513</v>
      </c>
      <c r="D56" s="2152" t="s">
        <v>2514</v>
      </c>
      <c r="E56" s="2152">
        <v>570020</v>
      </c>
      <c r="F56" s="2152">
        <v>0</v>
      </c>
      <c r="G56" s="2152" t="s">
        <v>1260</v>
      </c>
      <c r="H56" s="2152" t="s">
        <v>2521</v>
      </c>
      <c r="I56" s="2152">
        <v>98365.68</v>
      </c>
      <c r="J56" s="2152">
        <v>4</v>
      </c>
      <c r="K56" s="2153">
        <v>41733</v>
      </c>
      <c r="L56" s="2153">
        <v>41732</v>
      </c>
      <c r="M56" s="2152" t="s">
        <v>2560</v>
      </c>
      <c r="N56" s="2163">
        <v>8232.84</v>
      </c>
      <c r="O56" s="2155"/>
      <c r="P56" s="2155"/>
      <c r="Q56" s="2155">
        <v>155781.35999999999</v>
      </c>
      <c r="R56" s="2152"/>
      <c r="S56" s="2152"/>
      <c r="T56" s="2152"/>
      <c r="U56" s="2152"/>
      <c r="V56" s="2152"/>
      <c r="W56" s="2152"/>
      <c r="X56" s="2152"/>
      <c r="Y56" s="2152"/>
      <c r="Z56" s="2156"/>
    </row>
    <row r="57" spans="1:26">
      <c r="A57" s="2157">
        <v>41759</v>
      </c>
      <c r="B57" s="2158">
        <v>760</v>
      </c>
      <c r="C57" s="2158" t="s">
        <v>2513</v>
      </c>
      <c r="D57" s="2158" t="s">
        <v>2514</v>
      </c>
      <c r="E57" s="2158">
        <v>570020</v>
      </c>
      <c r="F57" s="2158">
        <v>0</v>
      </c>
      <c r="G57" s="2158" t="s">
        <v>1260</v>
      </c>
      <c r="H57" s="2158" t="s">
        <v>2521</v>
      </c>
      <c r="I57" s="2158">
        <v>98365.68</v>
      </c>
      <c r="J57" s="2158">
        <v>4</v>
      </c>
      <c r="K57" s="2159">
        <v>41759</v>
      </c>
      <c r="L57" s="2159">
        <v>41759</v>
      </c>
      <c r="M57" s="2158" t="s">
        <v>2561</v>
      </c>
      <c r="N57" s="2160">
        <v>40950</v>
      </c>
      <c r="O57" s="2161"/>
      <c r="P57" s="2161"/>
      <c r="Q57" s="2161">
        <v>196731.36</v>
      </c>
      <c r="R57" s="2158">
        <v>570020</v>
      </c>
      <c r="S57" s="2158">
        <v>0</v>
      </c>
      <c r="T57" s="2158" t="s">
        <v>1260</v>
      </c>
      <c r="U57" s="2158" t="s">
        <v>2562</v>
      </c>
      <c r="V57" s="2158">
        <v>196731.36</v>
      </c>
      <c r="W57" s="2158"/>
      <c r="X57" s="2158"/>
      <c r="Y57" s="2158"/>
      <c r="Z57" s="2162"/>
    </row>
    <row r="58" spans="1:26">
      <c r="A58" s="2151">
        <v>41759</v>
      </c>
      <c r="B58" s="2152">
        <v>760</v>
      </c>
      <c r="C58" s="2152" t="s">
        <v>2513</v>
      </c>
      <c r="D58" s="2152" t="s">
        <v>2514</v>
      </c>
      <c r="E58" s="2152">
        <v>570020</v>
      </c>
      <c r="F58" s="2152">
        <v>0</v>
      </c>
      <c r="G58" s="2152" t="s">
        <v>1260</v>
      </c>
      <c r="H58" s="2152" t="s">
        <v>2521</v>
      </c>
      <c r="I58" s="2152">
        <v>98365.68</v>
      </c>
      <c r="J58" s="2152">
        <v>4</v>
      </c>
      <c r="K58" s="2153">
        <v>41759</v>
      </c>
      <c r="L58" s="2153">
        <v>41759</v>
      </c>
      <c r="M58" s="2152" t="s">
        <v>2561</v>
      </c>
      <c r="N58" s="2155"/>
      <c r="O58" s="2154">
        <v>45000</v>
      </c>
      <c r="P58" s="2155"/>
      <c r="Q58" s="2155">
        <v>155781.35999999999</v>
      </c>
      <c r="R58" s="2152"/>
      <c r="S58" s="2152"/>
      <c r="T58" s="2152"/>
      <c r="U58" s="2152"/>
      <c r="V58" s="2152"/>
      <c r="W58" s="2152"/>
      <c r="X58" s="2152"/>
      <c r="Y58" s="2152"/>
      <c r="Z58" s="2156"/>
    </row>
    <row r="59" spans="1:26" ht="12" thickBot="1">
      <c r="A59" s="2157">
        <v>41639</v>
      </c>
      <c r="B59" s="2158">
        <v>760</v>
      </c>
      <c r="C59" s="2158" t="s">
        <v>2513</v>
      </c>
      <c r="D59" s="2158" t="s">
        <v>2514</v>
      </c>
      <c r="E59" s="2158">
        <v>570020</v>
      </c>
      <c r="F59" s="2158">
        <v>0</v>
      </c>
      <c r="G59" s="2158" t="s">
        <v>1260</v>
      </c>
      <c r="H59" s="2158" t="s">
        <v>2521</v>
      </c>
      <c r="I59" s="2158">
        <v>564128.62</v>
      </c>
      <c r="J59" s="2158"/>
      <c r="K59" s="2158"/>
      <c r="L59" s="2158"/>
      <c r="M59" s="2158" t="s">
        <v>2158</v>
      </c>
      <c r="N59" s="2161"/>
      <c r="O59" s="2161"/>
      <c r="P59" s="2161"/>
      <c r="Q59" s="2161"/>
      <c r="R59" s="2158">
        <v>570020</v>
      </c>
      <c r="S59" s="2158">
        <v>0</v>
      </c>
      <c r="T59" s="2158" t="s">
        <v>1260</v>
      </c>
      <c r="U59" s="2158" t="s">
        <v>2562</v>
      </c>
      <c r="V59" s="2158">
        <v>564128.62</v>
      </c>
      <c r="W59" s="2158"/>
      <c r="X59" s="2158"/>
      <c r="Y59" s="2158"/>
      <c r="Z59" s="2162"/>
    </row>
    <row r="60" spans="1:26" ht="16.5" thickTop="1" thickBot="1">
      <c r="A60" s="2166"/>
      <c r="B60" s="2167"/>
      <c r="C60" s="2167"/>
      <c r="D60" s="2167"/>
      <c r="E60" s="2167"/>
      <c r="F60" s="2167"/>
      <c r="G60" s="2167"/>
      <c r="H60" s="2167"/>
      <c r="I60" s="2167"/>
      <c r="J60" s="2167"/>
      <c r="K60" s="2167"/>
      <c r="L60" s="2167"/>
      <c r="M60" s="2168"/>
      <c r="N60" s="2169">
        <f>SUM(N2:N59)</f>
        <v>1191531.98</v>
      </c>
      <c r="O60" s="2169">
        <f>SUM(O2:O59)</f>
        <v>617504</v>
      </c>
      <c r="P60" s="2170">
        <f>N60-O60</f>
        <v>574027.98</v>
      </c>
      <c r="Q60" s="2167" t="s">
        <v>2563</v>
      </c>
      <c r="R60" s="2167"/>
      <c r="S60" s="2167"/>
      <c r="T60" s="2167"/>
      <c r="U60" s="2167"/>
      <c r="V60" s="2167"/>
      <c r="W60" s="2167"/>
      <c r="X60" s="2167"/>
      <c r="Y60" s="2167"/>
      <c r="Z60" s="2171"/>
    </row>
    <row r="63" spans="1:26">
      <c r="M63" s="2172" t="s">
        <v>2564</v>
      </c>
      <c r="N63" s="1171"/>
      <c r="O63" s="1171"/>
    </row>
    <row r="65" spans="1:11" ht="18.75">
      <c r="A65" s="2173" t="s">
        <v>2565</v>
      </c>
    </row>
    <row r="67" spans="1:11" ht="15">
      <c r="A67" s="1134" t="s">
        <v>2566</v>
      </c>
    </row>
    <row r="68" spans="1:11">
      <c r="C68" t="s">
        <v>1363</v>
      </c>
      <c r="D68" t="s">
        <v>1362</v>
      </c>
      <c r="E68" t="s">
        <v>1364</v>
      </c>
    </row>
    <row r="69" spans="1:11">
      <c r="B69" s="1189">
        <v>41275</v>
      </c>
      <c r="C69" s="775">
        <v>46620</v>
      </c>
      <c r="D69" s="1054">
        <v>46620</v>
      </c>
      <c r="F69" s="1033" t="s">
        <v>25</v>
      </c>
    </row>
    <row r="70" spans="1:11">
      <c r="B70" s="1189">
        <v>41306</v>
      </c>
      <c r="C70" s="775">
        <v>93240</v>
      </c>
      <c r="D70" s="1054">
        <v>46620</v>
      </c>
      <c r="F70" s="1033" t="s">
        <v>25</v>
      </c>
    </row>
    <row r="71" spans="1:11" ht="15">
      <c r="B71" s="1189">
        <v>41334</v>
      </c>
      <c r="C71" s="775">
        <v>139860</v>
      </c>
      <c r="D71" s="1054">
        <v>46620</v>
      </c>
      <c r="F71" s="1033" t="s">
        <v>25</v>
      </c>
      <c r="J71" s="1134" t="s">
        <v>2567</v>
      </c>
    </row>
    <row r="72" spans="1:11">
      <c r="A72" s="2197" t="s">
        <v>1365</v>
      </c>
      <c r="B72" s="1190">
        <v>41365</v>
      </c>
      <c r="C72" s="2174">
        <v>186832</v>
      </c>
      <c r="D72" s="1192">
        <v>46972</v>
      </c>
      <c r="E72" s="1193"/>
      <c r="F72" s="1033" t="s">
        <v>25</v>
      </c>
    </row>
    <row r="73" spans="1:11">
      <c r="A73" s="2197"/>
      <c r="B73" s="1190">
        <v>41395</v>
      </c>
      <c r="C73" s="2174">
        <v>233804</v>
      </c>
      <c r="D73" s="1192">
        <v>46972</v>
      </c>
      <c r="E73" s="1193"/>
      <c r="F73" s="1033" t="s">
        <v>25</v>
      </c>
      <c r="I73" s="2197" t="s">
        <v>1365</v>
      </c>
      <c r="J73" s="2175">
        <v>41395</v>
      </c>
      <c r="K73" s="775">
        <v>46972</v>
      </c>
    </row>
    <row r="74" spans="1:11">
      <c r="A74" s="2197"/>
      <c r="B74" s="1190">
        <v>41426</v>
      </c>
      <c r="C74" s="2174">
        <v>280776</v>
      </c>
      <c r="D74" s="1192">
        <v>46972</v>
      </c>
      <c r="E74" s="1193"/>
      <c r="F74" s="1033" t="s">
        <v>25</v>
      </c>
      <c r="H74" s="1054"/>
      <c r="I74" s="2197"/>
      <c r="J74" s="2175">
        <v>41426</v>
      </c>
      <c r="K74" s="775">
        <v>46972</v>
      </c>
    </row>
    <row r="75" spans="1:11">
      <c r="A75" s="2197"/>
      <c r="B75" s="1190">
        <v>41456</v>
      </c>
      <c r="C75" s="2174">
        <v>331864.42</v>
      </c>
      <c r="D75" s="1192">
        <v>51088.419999999984</v>
      </c>
      <c r="E75" s="1193"/>
      <c r="F75" s="1033" t="s">
        <v>25</v>
      </c>
      <c r="H75" s="541"/>
      <c r="I75" s="2197"/>
      <c r="J75" s="2175">
        <v>41456</v>
      </c>
      <c r="K75" s="775">
        <v>51088.419999999984</v>
      </c>
    </row>
    <row r="76" spans="1:11">
      <c r="A76" s="2197"/>
      <c r="B76" s="1190">
        <v>41487</v>
      </c>
      <c r="C76" s="2174">
        <v>378317.26</v>
      </c>
      <c r="D76" s="1192">
        <v>46452.840000000026</v>
      </c>
      <c r="E76" s="1193"/>
      <c r="F76" s="1033" t="s">
        <v>25</v>
      </c>
      <c r="H76" s="541"/>
      <c r="I76" s="2197"/>
      <c r="J76" s="2175">
        <v>41487</v>
      </c>
      <c r="K76" s="775">
        <v>46452.840000000026</v>
      </c>
    </row>
    <row r="77" spans="1:11">
      <c r="A77" s="2197"/>
      <c r="B77" s="1190">
        <v>41518</v>
      </c>
      <c r="C77" s="2174">
        <v>424770.1</v>
      </c>
      <c r="D77" s="1192">
        <v>46452.839999999967</v>
      </c>
      <c r="E77" s="1193"/>
      <c r="F77" s="1033" t="s">
        <v>25</v>
      </c>
      <c r="H77" s="1307"/>
      <c r="I77" s="2197"/>
      <c r="J77" s="2175">
        <v>41518</v>
      </c>
      <c r="K77" s="775">
        <v>46452.839999999967</v>
      </c>
    </row>
    <row r="78" spans="1:11">
      <c r="A78" s="2197"/>
      <c r="B78" s="1190">
        <v>41548</v>
      </c>
      <c r="C78" s="2174">
        <v>471222.94</v>
      </c>
      <c r="D78" s="1192">
        <v>46452.840000000026</v>
      </c>
      <c r="E78" s="1193"/>
      <c r="F78" s="1033" t="s">
        <v>25</v>
      </c>
      <c r="H78" s="1307"/>
      <c r="I78" s="2197"/>
      <c r="J78" s="2175">
        <v>41548</v>
      </c>
      <c r="K78" s="775">
        <v>46452.840000000026</v>
      </c>
    </row>
    <row r="79" spans="1:11">
      <c r="A79" s="2197"/>
      <c r="B79" s="1190">
        <v>41579</v>
      </c>
      <c r="C79" s="2174">
        <v>517675.78</v>
      </c>
      <c r="D79" s="1192">
        <v>46452.840000000026</v>
      </c>
      <c r="E79" s="1193"/>
      <c r="F79" s="1033" t="s">
        <v>25</v>
      </c>
      <c r="H79" s="1307"/>
      <c r="I79" s="2197"/>
      <c r="J79" s="2175">
        <v>41579</v>
      </c>
      <c r="K79" s="775">
        <v>46452.840000000026</v>
      </c>
    </row>
    <row r="80" spans="1:11">
      <c r="A80" s="2197"/>
      <c r="B80" s="1190">
        <v>41609</v>
      </c>
      <c r="C80" s="2174">
        <v>564128.62</v>
      </c>
      <c r="D80" s="1192">
        <v>46452.839999999967</v>
      </c>
      <c r="E80" s="1193"/>
      <c r="F80" s="1033" t="s">
        <v>25</v>
      </c>
      <c r="H80" s="541"/>
      <c r="I80" s="2197"/>
      <c r="J80" s="2175">
        <v>41609</v>
      </c>
      <c r="K80" s="775">
        <v>46452.839999999967</v>
      </c>
    </row>
    <row r="81" spans="1:13">
      <c r="A81" s="2197"/>
      <c r="B81" s="1190">
        <v>41640</v>
      </c>
      <c r="C81" s="2174">
        <v>49182.84</v>
      </c>
      <c r="D81" s="1192">
        <v>49182.84</v>
      </c>
      <c r="E81" s="1192">
        <v>2562.8399999999965</v>
      </c>
      <c r="F81" s="1033" t="s">
        <v>25</v>
      </c>
      <c r="H81" s="541"/>
      <c r="I81" s="2197"/>
      <c r="J81" s="2175">
        <v>41640</v>
      </c>
      <c r="K81" s="775">
        <v>49182.84</v>
      </c>
    </row>
    <row r="82" spans="1:13">
      <c r="A82" s="2197"/>
      <c r="B82" s="1190">
        <v>41671</v>
      </c>
      <c r="C82" s="2174">
        <v>98365.68</v>
      </c>
      <c r="D82" s="1192">
        <v>49182.84</v>
      </c>
      <c r="E82" s="1192">
        <v>2562.8399999999965</v>
      </c>
      <c r="F82" s="1033" t="s">
        <v>25</v>
      </c>
      <c r="H82" s="541"/>
      <c r="I82" s="2197"/>
      <c r="J82" s="2175">
        <v>41671</v>
      </c>
      <c r="K82" s="775">
        <v>49182.84</v>
      </c>
    </row>
    <row r="83" spans="1:13">
      <c r="A83" s="2197"/>
      <c r="B83" s="1190">
        <v>41699</v>
      </c>
      <c r="C83" s="2174">
        <v>147548.51999999999</v>
      </c>
      <c r="D83" s="1192">
        <v>49182.84</v>
      </c>
      <c r="E83" s="1192">
        <v>2562.8399999999965</v>
      </c>
      <c r="F83" s="1033" t="s">
        <v>25</v>
      </c>
      <c r="H83" s="541"/>
      <c r="I83" s="2197"/>
      <c r="J83" s="2175">
        <v>41699</v>
      </c>
      <c r="K83" s="775">
        <v>49182.84</v>
      </c>
    </row>
    <row r="84" spans="1:13">
      <c r="A84" s="2197" t="s">
        <v>1366</v>
      </c>
      <c r="B84" s="1194">
        <v>41730</v>
      </c>
      <c r="C84" s="2176">
        <v>196731.36</v>
      </c>
      <c r="D84" s="1196">
        <v>49182.84</v>
      </c>
      <c r="E84" s="1196">
        <v>2210.8399999999965</v>
      </c>
      <c r="F84" s="1033" t="s">
        <v>25</v>
      </c>
      <c r="I84" s="2197"/>
      <c r="J84" s="2175">
        <v>41730</v>
      </c>
      <c r="K84" s="2177">
        <v>49182.84</v>
      </c>
      <c r="L84" s="1054">
        <v>574027.97999999986</v>
      </c>
      <c r="M84" t="s">
        <v>2568</v>
      </c>
    </row>
    <row r="85" spans="1:13">
      <c r="A85" s="2197"/>
      <c r="B85" s="1194">
        <v>41760</v>
      </c>
      <c r="C85" s="2176">
        <v>245914.2</v>
      </c>
      <c r="D85" s="1196">
        <v>49182.840000000026</v>
      </c>
      <c r="E85" s="1196">
        <v>2210.8400000000256</v>
      </c>
      <c r="F85" s="1033" t="s">
        <v>25</v>
      </c>
      <c r="I85" s="2197" t="s">
        <v>1366</v>
      </c>
      <c r="J85" s="2178">
        <v>41760</v>
      </c>
      <c r="K85" s="775">
        <v>49182.84</v>
      </c>
    </row>
    <row r="86" spans="1:13">
      <c r="A86" s="2197"/>
      <c r="B86" s="1194">
        <v>41791</v>
      </c>
      <c r="C86" s="2176">
        <v>295097.03999999998</v>
      </c>
      <c r="D86" s="1196">
        <v>49182.839999999967</v>
      </c>
      <c r="E86" s="1196">
        <v>2210.8399999999674</v>
      </c>
      <c r="F86" s="1033" t="s">
        <v>25</v>
      </c>
      <c r="I86" s="2197"/>
      <c r="J86" s="2178">
        <v>41791</v>
      </c>
      <c r="K86" s="775">
        <v>49182.84</v>
      </c>
    </row>
    <row r="87" spans="1:13">
      <c r="A87" s="2197"/>
      <c r="B87" s="1194">
        <v>41821</v>
      </c>
      <c r="C87" s="2176"/>
      <c r="D87" s="1196">
        <v>49182.839999999967</v>
      </c>
      <c r="E87" s="1197"/>
      <c r="F87" s="1033" t="s">
        <v>24</v>
      </c>
      <c r="I87" s="2197"/>
      <c r="J87" s="2178">
        <v>41821</v>
      </c>
      <c r="K87" s="775">
        <v>49182.84</v>
      </c>
    </row>
    <row r="88" spans="1:13">
      <c r="A88" s="2197"/>
      <c r="B88" s="1194">
        <v>41852</v>
      </c>
      <c r="C88" s="2176"/>
      <c r="D88" s="1196">
        <v>49182.839999999967</v>
      </c>
      <c r="E88" s="1197"/>
      <c r="F88" s="1033" t="s">
        <v>24</v>
      </c>
      <c r="I88" s="2197"/>
      <c r="J88" s="2178">
        <v>41852</v>
      </c>
      <c r="K88" s="775">
        <v>49182.84</v>
      </c>
    </row>
    <row r="89" spans="1:13">
      <c r="A89" s="2197"/>
      <c r="B89" s="1194">
        <v>41883</v>
      </c>
      <c r="C89" s="2176"/>
      <c r="D89" s="1196">
        <v>49182.839999999967</v>
      </c>
      <c r="E89" s="1197"/>
      <c r="F89" s="1033" t="s">
        <v>24</v>
      </c>
      <c r="I89" s="2197"/>
      <c r="J89" s="2178">
        <v>41883</v>
      </c>
      <c r="K89" s="775">
        <v>49182.84</v>
      </c>
    </row>
    <row r="90" spans="1:13">
      <c r="A90" s="2197"/>
      <c r="B90" s="1194">
        <v>41913</v>
      </c>
      <c r="C90" s="2176"/>
      <c r="D90" s="1196">
        <v>49182.839999999967</v>
      </c>
      <c r="E90" s="1197"/>
      <c r="F90" s="1033" t="s">
        <v>24</v>
      </c>
      <c r="I90" s="2197"/>
      <c r="J90" s="2178">
        <v>41913</v>
      </c>
      <c r="K90" s="775">
        <v>49429.825199999999</v>
      </c>
    </row>
    <row r="91" spans="1:13">
      <c r="A91" s="2197"/>
      <c r="B91" s="1194">
        <v>41944</v>
      </c>
      <c r="C91" s="2176"/>
      <c r="D91" s="1196">
        <v>49182.839999999967</v>
      </c>
      <c r="E91" s="1197"/>
      <c r="F91" s="1033" t="s">
        <v>24</v>
      </c>
      <c r="I91" s="2197"/>
      <c r="J91" s="2178">
        <v>41944</v>
      </c>
      <c r="K91" s="775">
        <v>49429.825199999999</v>
      </c>
    </row>
    <row r="92" spans="1:13">
      <c r="A92" s="2197"/>
      <c r="B92" s="1194">
        <v>41974</v>
      </c>
      <c r="C92" s="2176"/>
      <c r="D92" s="1196">
        <v>49182.839999999967</v>
      </c>
      <c r="E92" s="1197"/>
      <c r="F92" s="1033" t="s">
        <v>24</v>
      </c>
      <c r="I92" s="2197"/>
      <c r="J92" s="2178">
        <v>41974</v>
      </c>
      <c r="K92" s="775">
        <v>49429.825199999999</v>
      </c>
    </row>
    <row r="93" spans="1:13">
      <c r="A93" s="2197"/>
      <c r="B93" s="1194">
        <v>42005</v>
      </c>
      <c r="C93" s="2176"/>
      <c r="D93" s="1196">
        <v>49182.839999999967</v>
      </c>
      <c r="E93" s="1197"/>
      <c r="F93" s="1033" t="s">
        <v>24</v>
      </c>
      <c r="I93" s="2197"/>
      <c r="J93" s="2178">
        <v>42005</v>
      </c>
      <c r="K93" s="775">
        <v>49429.825199999999</v>
      </c>
    </row>
    <row r="94" spans="1:13">
      <c r="A94" s="2197"/>
      <c r="B94" s="1194">
        <v>42036</v>
      </c>
      <c r="C94" s="1197"/>
      <c r="D94" s="1196">
        <v>49182.839999999967</v>
      </c>
      <c r="E94" s="1197"/>
      <c r="F94" s="1033" t="s">
        <v>24</v>
      </c>
      <c r="I94" s="2197"/>
      <c r="J94" s="2178">
        <v>42036</v>
      </c>
      <c r="K94" s="775">
        <v>49429.825199999999</v>
      </c>
    </row>
    <row r="95" spans="1:13">
      <c r="A95" s="2197"/>
      <c r="B95" s="1194">
        <v>42064</v>
      </c>
      <c r="C95" s="1197"/>
      <c r="D95" s="1196">
        <v>49182.839999999967</v>
      </c>
      <c r="E95" s="1197"/>
      <c r="F95" s="1033" t="s">
        <v>24</v>
      </c>
      <c r="I95" s="2197"/>
      <c r="J95" s="2178">
        <v>42064</v>
      </c>
      <c r="K95" s="775">
        <v>49429.825199999999</v>
      </c>
    </row>
    <row r="96" spans="1:13">
      <c r="B96" s="1198" t="s">
        <v>1367</v>
      </c>
      <c r="F96" s="1033"/>
      <c r="I96" s="2197"/>
      <c r="J96" s="2178">
        <v>42095</v>
      </c>
      <c r="K96" s="2177">
        <v>49429.825199999999</v>
      </c>
      <c r="L96" s="2179">
        <v>591922.97640000004</v>
      </c>
      <c r="M96" t="s">
        <v>2569</v>
      </c>
    </row>
    <row r="97" spans="2:13" ht="12" thickBot="1">
      <c r="L97" s="2180">
        <v>17894.996400000178</v>
      </c>
      <c r="M97" t="s">
        <v>2208</v>
      </c>
    </row>
    <row r="98" spans="2:13">
      <c r="B98" t="s">
        <v>991</v>
      </c>
      <c r="D98" s="1054">
        <v>571817.1399999999</v>
      </c>
    </row>
    <row r="99" spans="2:13">
      <c r="B99" t="s">
        <v>2569</v>
      </c>
      <c r="D99" s="2179">
        <v>590194.07999999973</v>
      </c>
    </row>
    <row r="100" spans="2:13" ht="15">
      <c r="B100" t="s">
        <v>2570</v>
      </c>
      <c r="D100" s="1054">
        <v>18376.939999999828</v>
      </c>
      <c r="I100" s="1134" t="s">
        <v>2571</v>
      </c>
      <c r="J100" s="1134"/>
      <c r="K100" s="1134"/>
      <c r="L100" s="2181">
        <v>-481.94359999964945</v>
      </c>
    </row>
  </sheetData>
  <mergeCells count="4">
    <mergeCell ref="A72:A83"/>
    <mergeCell ref="I73:I84"/>
    <mergeCell ref="A84:A95"/>
    <mergeCell ref="I85:I96"/>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workbookViewId="0">
      <selection activeCell="C10" sqref="C10"/>
    </sheetView>
  </sheetViews>
  <sheetFormatPr defaultRowHeight="11.25"/>
  <cols>
    <col min="3" max="3" width="14.83203125" customWidth="1"/>
    <col min="7" max="7" width="12.33203125" bestFit="1" customWidth="1"/>
    <col min="9" max="9" width="10.83203125" bestFit="1" customWidth="1"/>
  </cols>
  <sheetData>
    <row r="1" spans="1:9">
      <c r="A1" t="s">
        <v>2482</v>
      </c>
      <c r="G1" t="s">
        <v>2484</v>
      </c>
    </row>
    <row r="2" spans="1:9">
      <c r="A2" t="s">
        <v>2483</v>
      </c>
    </row>
    <row r="5" spans="1:9">
      <c r="D5">
        <v>2012</v>
      </c>
      <c r="E5">
        <v>2014</v>
      </c>
      <c r="G5" t="s">
        <v>458</v>
      </c>
      <c r="I5" t="s">
        <v>1983</v>
      </c>
    </row>
    <row r="6" spans="1:9">
      <c r="B6" s="1820">
        <v>751144</v>
      </c>
      <c r="C6" s="1819" t="str">
        <f>VLOOKUP(B6,'Income Statement'!$A$6:$B$254,2,FALSE)</f>
        <v>Legal Fees</v>
      </c>
      <c r="D6" s="2118">
        <v>78662</v>
      </c>
      <c r="E6" s="147">
        <f>SUMIF('Income Statement'!$A:$A,$B6,'Income Statement'!$O:$O)</f>
        <v>234497</v>
      </c>
      <c r="G6" s="1746">
        <f>+(E6+D6)/2</f>
        <v>156579.5</v>
      </c>
      <c r="I6" s="1054">
        <f>+G6-E6</f>
        <v>-77917.5</v>
      </c>
    </row>
    <row r="9" spans="1:9">
      <c r="C9" t="s">
        <v>2485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36"/>
  <sheetViews>
    <sheetView zoomScale="85" zoomScaleNormal="85" workbookViewId="0">
      <selection activeCell="L37" sqref="L37"/>
    </sheetView>
  </sheetViews>
  <sheetFormatPr defaultRowHeight="11.25"/>
  <cols>
    <col min="1" max="1" width="25.1640625" customWidth="1"/>
    <col min="2" max="2" width="9" customWidth="1"/>
    <col min="3" max="3" width="8.83203125" customWidth="1"/>
    <col min="4" max="4" width="23.83203125" style="1449" customWidth="1"/>
    <col min="5" max="5" width="18.6640625" style="1449" customWidth="1"/>
    <col min="6" max="7" width="26.33203125" customWidth="1"/>
    <col min="8" max="8" width="24" customWidth="1"/>
    <col min="9" max="9" width="16.6640625" bestFit="1" customWidth="1"/>
    <col min="10" max="10" width="36.5" customWidth="1"/>
    <col min="11" max="11" width="19" customWidth="1"/>
    <col min="12" max="12" width="20.33203125" customWidth="1"/>
    <col min="13" max="15" width="16.6640625" bestFit="1" customWidth="1"/>
  </cols>
  <sheetData>
    <row r="1" spans="1:15">
      <c r="A1" t="s">
        <v>2438</v>
      </c>
      <c r="D1" s="2046" t="s">
        <v>2439</v>
      </c>
    </row>
    <row r="3" spans="1:15">
      <c r="A3" t="s">
        <v>2440</v>
      </c>
    </row>
    <row r="4" spans="1:15">
      <c r="A4" t="s">
        <v>2441</v>
      </c>
      <c r="B4" t="s">
        <v>2442</v>
      </c>
      <c r="C4" t="s">
        <v>2443</v>
      </c>
      <c r="D4" s="1449" t="s">
        <v>2444</v>
      </c>
      <c r="E4" s="1449" t="s">
        <v>2388</v>
      </c>
      <c r="F4" t="s">
        <v>2445</v>
      </c>
      <c r="G4" t="s">
        <v>2446</v>
      </c>
      <c r="H4" s="1426" t="s">
        <v>2447</v>
      </c>
      <c r="I4" s="1426" t="s">
        <v>2448</v>
      </c>
      <c r="J4" s="1426" t="s">
        <v>2449</v>
      </c>
      <c r="K4" s="1426" t="s">
        <v>2450</v>
      </c>
      <c r="L4" s="1426" t="s">
        <v>2451</v>
      </c>
    </row>
    <row r="5" spans="1:15" ht="22.5">
      <c r="A5" s="2047" t="s">
        <v>2452</v>
      </c>
      <c r="B5" s="2047">
        <v>2009</v>
      </c>
      <c r="C5" s="2047">
        <v>4172</v>
      </c>
      <c r="D5" s="2048">
        <v>113592.55</v>
      </c>
      <c r="E5" s="2048"/>
      <c r="F5" s="2047"/>
      <c r="G5" s="1417" t="s">
        <v>2453</v>
      </c>
      <c r="H5" s="1426"/>
      <c r="I5" s="1426"/>
    </row>
    <row r="6" spans="1:15">
      <c r="A6" t="s">
        <v>2454</v>
      </c>
      <c r="B6">
        <v>2010</v>
      </c>
      <c r="C6">
        <v>4172</v>
      </c>
      <c r="D6" s="1449">
        <v>136139.44</v>
      </c>
      <c r="E6" s="2049">
        <f>D6/F6</f>
        <v>0.24620266009197611</v>
      </c>
      <c r="F6" s="1449">
        <v>552956.81999999995</v>
      </c>
      <c r="H6" s="1426"/>
      <c r="I6" s="1426"/>
    </row>
    <row r="7" spans="1:15">
      <c r="A7" t="s">
        <v>2455</v>
      </c>
      <c r="B7">
        <v>2010</v>
      </c>
      <c r="C7">
        <v>4172</v>
      </c>
      <c r="D7" s="1449">
        <v>151264.31</v>
      </c>
      <c r="E7" s="2049">
        <f>D7/F7</f>
        <v>0.24620267286842307</v>
      </c>
      <c r="F7" s="1449">
        <v>614389.39</v>
      </c>
      <c r="H7" s="1426"/>
      <c r="I7" s="2050"/>
      <c r="K7" s="1603"/>
    </row>
    <row r="8" spans="1:15">
      <c r="A8" t="s">
        <v>2456</v>
      </c>
      <c r="B8">
        <v>2010</v>
      </c>
      <c r="C8">
        <v>4172</v>
      </c>
      <c r="D8" s="1449">
        <v>155480.18</v>
      </c>
      <c r="E8" s="2049">
        <f>D8/F8</f>
        <v>0.24620267102352625</v>
      </c>
      <c r="F8" s="1449">
        <v>631512.97</v>
      </c>
      <c r="H8" s="1426"/>
      <c r="I8" s="2050"/>
    </row>
    <row r="9" spans="1:15">
      <c r="A9" t="s">
        <v>2452</v>
      </c>
      <c r="B9">
        <v>2010</v>
      </c>
      <c r="C9">
        <v>4172</v>
      </c>
      <c r="D9" s="1449">
        <v>138177.53</v>
      </c>
      <c r="E9" s="2049">
        <f>D9/F9</f>
        <v>0.2462026596634436</v>
      </c>
      <c r="F9" s="1449">
        <v>561234.92000000004</v>
      </c>
      <c r="H9" s="1426"/>
      <c r="I9" s="2050"/>
      <c r="K9" s="1603"/>
    </row>
    <row r="10" spans="1:15" ht="15">
      <c r="A10" s="2051"/>
      <c r="B10" s="2051"/>
      <c r="C10" s="2051"/>
      <c r="D10" s="2052">
        <f>SUM(D6:D9)</f>
        <v>581061.46</v>
      </c>
      <c r="E10" s="2053" t="s">
        <v>2457</v>
      </c>
      <c r="F10" s="2052">
        <f>SUM(F6:F9)</f>
        <v>2360094.1</v>
      </c>
      <c r="G10" s="1603"/>
      <c r="H10" s="2054"/>
      <c r="I10" s="1426"/>
      <c r="J10" s="2050"/>
      <c r="K10" s="2055">
        <f>(K17+(K22+K15))*-1</f>
        <v>-259506</v>
      </c>
      <c r="L10" s="2055">
        <f>K10*E9</f>
        <v>-63891.067398621592</v>
      </c>
    </row>
    <row r="11" spans="1:15">
      <c r="A11" t="s">
        <v>2454</v>
      </c>
      <c r="B11">
        <v>2011</v>
      </c>
      <c r="C11">
        <v>4172</v>
      </c>
      <c r="D11" s="1449">
        <v>211870.88</v>
      </c>
      <c r="E11" s="2049">
        <f>D11/F11</f>
        <v>0.24620266475075531</v>
      </c>
      <c r="F11" s="1449">
        <v>860554.78</v>
      </c>
      <c r="H11" s="2050"/>
      <c r="I11" s="1426"/>
    </row>
    <row r="12" spans="1:15">
      <c r="A12" t="s">
        <v>2455</v>
      </c>
      <c r="B12">
        <v>2011</v>
      </c>
      <c r="C12">
        <v>4172</v>
      </c>
      <c r="D12" s="1449">
        <v>211687.07</v>
      </c>
      <c r="E12" s="2049">
        <f>D12/F12</f>
        <v>0.24620267046075323</v>
      </c>
      <c r="F12" s="1449">
        <v>859808.18</v>
      </c>
      <c r="H12" s="2050"/>
      <c r="I12" s="2050"/>
      <c r="K12" s="1603"/>
    </row>
    <row r="13" spans="1:15">
      <c r="A13" t="s">
        <v>2456</v>
      </c>
      <c r="B13">
        <v>2011</v>
      </c>
      <c r="C13">
        <v>4172</v>
      </c>
      <c r="D13" s="1449">
        <v>216062.51</v>
      </c>
      <c r="E13" s="2049">
        <f>D13/F13</f>
        <v>0.24620266204589847</v>
      </c>
      <c r="F13" s="1449">
        <v>877579.91</v>
      </c>
      <c r="H13" s="2050"/>
      <c r="I13" s="2050"/>
    </row>
    <row r="14" spans="1:15">
      <c r="A14" t="s">
        <v>2452</v>
      </c>
      <c r="B14">
        <v>2011</v>
      </c>
      <c r="C14">
        <v>4172</v>
      </c>
      <c r="D14" s="1449">
        <v>223472.1</v>
      </c>
      <c r="E14" s="2049">
        <f>D14/F14</f>
        <v>0.24620266774229352</v>
      </c>
      <c r="F14" s="1449">
        <v>907675.38</v>
      </c>
      <c r="H14" s="2050"/>
      <c r="I14" s="2050"/>
      <c r="K14" s="1603"/>
      <c r="M14" s="1603"/>
    </row>
    <row r="15" spans="1:15" ht="15">
      <c r="A15" s="2051"/>
      <c r="B15" s="2051"/>
      <c r="C15" s="2051"/>
      <c r="D15" s="2052">
        <f>SUM(D11:D14)</f>
        <v>863092.55999999994</v>
      </c>
      <c r="E15" s="2053" t="s">
        <v>2457</v>
      </c>
      <c r="F15" s="2052">
        <f>SUM(F11:F14)</f>
        <v>3505618.25</v>
      </c>
      <c r="G15" s="1449">
        <v>3346725</v>
      </c>
      <c r="H15" s="2050">
        <v>1399505</v>
      </c>
      <c r="I15" s="2056">
        <f>H15/G15</f>
        <v>0.41817149601476072</v>
      </c>
      <c r="J15" s="1449">
        <v>2644563</v>
      </c>
      <c r="K15" s="1603">
        <f>(G15-J15)*-1</f>
        <v>-702162</v>
      </c>
      <c r="L15" s="1603">
        <f>K15*E14</f>
        <v>-172874.15758726432</v>
      </c>
      <c r="M15" s="1603"/>
      <c r="N15" s="1603"/>
      <c r="O15" s="1603"/>
    </row>
    <row r="16" spans="1:15">
      <c r="A16" t="s">
        <v>2454</v>
      </c>
      <c r="B16">
        <v>2012</v>
      </c>
      <c r="C16">
        <v>4172</v>
      </c>
      <c r="D16" s="1449">
        <v>287261.77</v>
      </c>
      <c r="E16" s="2049">
        <f>D16/F16</f>
        <v>0.35449999716164809</v>
      </c>
      <c r="F16" s="1449">
        <v>810329.4</v>
      </c>
      <c r="H16" s="2057"/>
      <c r="I16" s="1426"/>
      <c r="J16" s="1603"/>
      <c r="M16" s="1603"/>
      <c r="N16" s="1603"/>
      <c r="O16" s="1603"/>
    </row>
    <row r="17" spans="1:15">
      <c r="A17" t="s">
        <v>2455</v>
      </c>
      <c r="B17">
        <v>2012</v>
      </c>
      <c r="C17">
        <v>4172</v>
      </c>
      <c r="D17" s="1449">
        <v>329327.5</v>
      </c>
      <c r="E17" s="2049">
        <f>D17/F17</f>
        <v>0.35450940178815843</v>
      </c>
      <c r="F17" s="1449">
        <v>928966.9</v>
      </c>
      <c r="H17" s="1426"/>
      <c r="I17" s="1426"/>
      <c r="J17" s="1470" t="s">
        <v>2458</v>
      </c>
      <c r="K17" s="2058">
        <v>253422</v>
      </c>
      <c r="L17" s="2198" t="s">
        <v>2459</v>
      </c>
      <c r="M17" s="2198"/>
      <c r="N17" s="2198"/>
      <c r="O17" s="2198"/>
    </row>
    <row r="18" spans="1:15">
      <c r="A18" t="s">
        <v>2456</v>
      </c>
      <c r="B18">
        <v>2012</v>
      </c>
      <c r="C18">
        <v>4172</v>
      </c>
      <c r="D18" s="1449">
        <v>322374.93</v>
      </c>
      <c r="E18" s="2049">
        <f>D18/F18</f>
        <v>0.35450967581516818</v>
      </c>
      <c r="F18" s="1449">
        <v>909354.39</v>
      </c>
      <c r="H18" s="1426"/>
      <c r="I18" s="2050"/>
      <c r="J18" s="1470"/>
      <c r="K18" s="1471"/>
      <c r="L18" s="2198"/>
      <c r="M18" s="2198"/>
      <c r="N18" s="2198"/>
      <c r="O18" s="2198"/>
    </row>
    <row r="19" spans="1:15">
      <c r="A19" t="s">
        <v>2452</v>
      </c>
      <c r="B19">
        <v>2012</v>
      </c>
      <c r="C19">
        <v>4172</v>
      </c>
      <c r="D19" s="1449">
        <v>318014.15000000002</v>
      </c>
      <c r="E19" s="2049">
        <f>D19/F19</f>
        <v>0.35450966110105692</v>
      </c>
      <c r="F19" s="1449">
        <v>897053.55</v>
      </c>
      <c r="H19" s="1426"/>
      <c r="I19" s="2050"/>
      <c r="K19" s="1603"/>
      <c r="M19" s="1603"/>
    </row>
    <row r="20" spans="1:15" ht="15">
      <c r="A20" s="2051"/>
      <c r="B20" s="2051"/>
      <c r="C20" s="2051"/>
      <c r="D20" s="2052">
        <f>SUM(D16:D19)</f>
        <v>1256978.3500000001</v>
      </c>
      <c r="E20" s="2053" t="s">
        <v>2457</v>
      </c>
      <c r="F20" s="2059">
        <f>SUM(F16:F19)</f>
        <v>3545704.24</v>
      </c>
      <c r="G20" s="1449">
        <v>3291130</v>
      </c>
      <c r="H20" s="2050">
        <v>1846226</v>
      </c>
      <c r="I20" s="2056">
        <f>H20/G20</f>
        <v>0.56097024426260889</v>
      </c>
      <c r="J20" s="1449">
        <v>2900238</v>
      </c>
      <c r="K20" s="1603">
        <f>(G20-J20)*-1</f>
        <v>-390892</v>
      </c>
      <c r="L20" s="1603">
        <f>K20*E19</f>
        <v>-138574.99044711434</v>
      </c>
      <c r="M20" s="1603"/>
      <c r="N20" s="1603"/>
      <c r="O20" s="1603"/>
    </row>
    <row r="21" spans="1:15">
      <c r="A21" t="s">
        <v>2454</v>
      </c>
      <c r="B21">
        <v>2013</v>
      </c>
      <c r="C21">
        <v>4172</v>
      </c>
      <c r="D21" s="1449">
        <v>199680.37</v>
      </c>
      <c r="E21" s="2049">
        <f>D21/F21</f>
        <v>0.24600000034495129</v>
      </c>
      <c r="F21" s="1449">
        <v>811708.82</v>
      </c>
      <c r="H21" s="2050"/>
      <c r="I21" s="1426"/>
      <c r="J21" s="1603"/>
      <c r="L21" s="1603"/>
      <c r="M21" s="1603"/>
      <c r="N21" s="1603"/>
      <c r="O21" s="1603"/>
    </row>
    <row r="22" spans="1:15">
      <c r="A22" t="s">
        <v>2455</v>
      </c>
      <c r="B22">
        <v>2013</v>
      </c>
      <c r="C22">
        <v>4172</v>
      </c>
      <c r="D22" s="1449">
        <v>214511.43</v>
      </c>
      <c r="E22" s="2049">
        <f t="shared" ref="E22:E29" si="0">D22/F22</f>
        <v>0.25146432063230306</v>
      </c>
      <c r="F22" s="1449">
        <v>853049.17</v>
      </c>
      <c r="G22" s="1603"/>
      <c r="H22" s="2050"/>
      <c r="I22" s="1426"/>
      <c r="J22" s="1470" t="s">
        <v>2460</v>
      </c>
      <c r="K22" s="2058">
        <v>708246</v>
      </c>
      <c r="L22" s="2198" t="s">
        <v>2459</v>
      </c>
      <c r="M22" s="2198"/>
      <c r="N22" s="2198"/>
      <c r="O22" s="2198"/>
    </row>
    <row r="23" spans="1:15">
      <c r="A23" t="s">
        <v>2456</v>
      </c>
      <c r="B23">
        <v>2013</v>
      </c>
      <c r="C23">
        <v>4172</v>
      </c>
      <c r="D23" s="1449">
        <v>213615</v>
      </c>
      <c r="E23" s="2049">
        <f t="shared" si="0"/>
        <v>0.26399999258479062</v>
      </c>
      <c r="F23" s="1449">
        <v>809147.75</v>
      </c>
      <c r="G23" s="1603"/>
      <c r="H23" s="2050"/>
      <c r="I23" s="1426"/>
      <c r="J23" s="1470"/>
      <c r="K23" s="1471"/>
      <c r="L23" s="2198"/>
      <c r="M23" s="2198"/>
      <c r="N23" s="2198"/>
      <c r="O23" s="2198"/>
    </row>
    <row r="24" spans="1:15">
      <c r="A24" t="s">
        <v>2452</v>
      </c>
      <c r="B24">
        <v>2013</v>
      </c>
      <c r="C24">
        <v>4172</v>
      </c>
      <c r="D24" s="1449">
        <v>227545.92</v>
      </c>
      <c r="E24" s="2049">
        <f t="shared" si="0"/>
        <v>0.263999998050855</v>
      </c>
      <c r="F24" s="1449">
        <v>861916.37</v>
      </c>
      <c r="G24" s="1603"/>
      <c r="H24" s="2050"/>
      <c r="I24" s="1426"/>
      <c r="L24" s="1603"/>
      <c r="M24" s="1603"/>
    </row>
    <row r="25" spans="1:15" ht="15">
      <c r="A25" s="2051"/>
      <c r="B25" s="2051"/>
      <c r="C25" s="2051"/>
      <c r="D25" s="2052">
        <f>SUM(D21:D24)</f>
        <v>855352.72000000009</v>
      </c>
      <c r="E25" s="2053" t="s">
        <v>2457</v>
      </c>
      <c r="F25" s="2059">
        <f>SUM(F21:F24)</f>
        <v>3335822.1100000003</v>
      </c>
      <c r="G25" s="1449">
        <v>2868633</v>
      </c>
      <c r="H25" s="2050">
        <v>2379931</v>
      </c>
      <c r="I25" s="2056">
        <f>H25/G25</f>
        <v>0.82963941361617188</v>
      </c>
      <c r="J25" s="1449">
        <v>3275976</v>
      </c>
      <c r="K25" s="1603">
        <f>(G25-J25)*-1</f>
        <v>407343</v>
      </c>
      <c r="L25" s="1603">
        <f>AVERAGE(E21:E24)*K25</f>
        <v>104428.92727133336</v>
      </c>
      <c r="N25" s="1603"/>
    </row>
    <row r="26" spans="1:15">
      <c r="A26" t="s">
        <v>2454</v>
      </c>
      <c r="B26">
        <v>2014</v>
      </c>
      <c r="C26">
        <v>4172</v>
      </c>
      <c r="D26" s="1449">
        <v>177770.05</v>
      </c>
      <c r="E26" s="2049">
        <f t="shared" si="0"/>
        <v>0.27550000827569121</v>
      </c>
      <c r="F26" s="1449">
        <v>645263.31999999995</v>
      </c>
      <c r="H26" s="2050"/>
      <c r="I26" s="1426"/>
      <c r="N26" s="1603"/>
    </row>
    <row r="27" spans="1:15">
      <c r="A27" t="s">
        <v>2455</v>
      </c>
      <c r="B27">
        <v>2014</v>
      </c>
      <c r="C27">
        <v>4172</v>
      </c>
      <c r="D27" s="1449">
        <v>186113.89</v>
      </c>
      <c r="E27" s="2049">
        <f t="shared" si="0"/>
        <v>0.27548442637425169</v>
      </c>
      <c r="F27" s="1449">
        <v>675587.7</v>
      </c>
      <c r="G27" s="2060"/>
      <c r="H27" s="2050"/>
      <c r="I27" s="2050"/>
      <c r="J27" s="1603"/>
    </row>
    <row r="28" spans="1:15">
      <c r="A28" t="s">
        <v>2456</v>
      </c>
      <c r="B28">
        <v>2014</v>
      </c>
      <c r="C28">
        <v>4172</v>
      </c>
      <c r="D28" s="1449">
        <v>186074.58</v>
      </c>
      <c r="E28" s="2049">
        <f t="shared" si="0"/>
        <v>0.27548445325536081</v>
      </c>
      <c r="F28" s="1449">
        <v>675444.94</v>
      </c>
      <c r="G28" s="1092"/>
      <c r="H28" s="2050"/>
      <c r="I28" s="2061"/>
      <c r="J28" s="1603"/>
      <c r="K28" s="1603"/>
    </row>
    <row r="29" spans="1:15">
      <c r="A29" t="s">
        <v>2452</v>
      </c>
      <c r="B29">
        <v>2014</v>
      </c>
      <c r="C29">
        <v>4172</v>
      </c>
      <c r="D29" s="2046">
        <f>AVERAGE(D26:D28)</f>
        <v>183319.50666666668</v>
      </c>
      <c r="E29" s="2062">
        <f t="shared" si="0"/>
        <v>0.27548947201195562</v>
      </c>
      <c r="F29" s="2046">
        <f>AVERAGE(F26:F28)</f>
        <v>665431.98666666669</v>
      </c>
      <c r="G29" s="1449">
        <v>343787</v>
      </c>
      <c r="H29" s="1449">
        <v>297512</v>
      </c>
      <c r="I29" s="2056">
        <f>H29/G29</f>
        <v>0.86539630643392562</v>
      </c>
      <c r="K29" s="2069">
        <f>(K25/I25)*I29</f>
        <v>424899.20544541877</v>
      </c>
      <c r="L29" s="2063">
        <f>AVERAGE(E25:E28)*K29</f>
        <v>117055.32459877414</v>
      </c>
    </row>
    <row r="30" spans="1:15" ht="15">
      <c r="A30" s="2051"/>
      <c r="B30" s="2051"/>
      <c r="C30" s="2051"/>
      <c r="D30" s="2064">
        <f>SUM(D26:D29)</f>
        <v>733278.02666666673</v>
      </c>
      <c r="E30" s="2065" t="s">
        <v>2457</v>
      </c>
      <c r="F30" s="2066">
        <f>SUM(F26:F29)</f>
        <v>2661727.9466666668</v>
      </c>
    </row>
    <row r="32" spans="1:15" ht="30">
      <c r="A32" s="2182" t="s">
        <v>2461</v>
      </c>
      <c r="B32" s="2182"/>
      <c r="C32" s="2182"/>
      <c r="D32" s="2182"/>
      <c r="E32" s="2182"/>
      <c r="F32" s="2182"/>
      <c r="K32" s="2067" t="s">
        <v>2462</v>
      </c>
      <c r="L32" s="2068">
        <f>AVERAGE(L29,L25,L20,L15,L10)</f>
        <v>-30771.192712578551</v>
      </c>
    </row>
    <row r="34" spans="4:12">
      <c r="D34" s="1449">
        <f>+D30+D25+D20+D15+D10</f>
        <v>4289763.1166666672</v>
      </c>
      <c r="K34" t="s">
        <v>2464</v>
      </c>
      <c r="L34" s="1603">
        <f>AVERAGE(L29,L25,L20,L15)</f>
        <v>-22491.224041067791</v>
      </c>
    </row>
    <row r="35" spans="4:12">
      <c r="D35" s="1449">
        <f>+D34/5</f>
        <v>857952.62333333341</v>
      </c>
    </row>
    <row r="36" spans="4:12">
      <c r="K36" t="s">
        <v>2465</v>
      </c>
      <c r="L36" s="1603">
        <f>AVERAGE(L25,L20,L15)</f>
        <v>-69006.740254348435</v>
      </c>
    </row>
  </sheetData>
  <mergeCells count="3">
    <mergeCell ref="L17:O18"/>
    <mergeCell ref="L22:O23"/>
    <mergeCell ref="A32:F32"/>
  </mergeCell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AE190"/>
  <sheetViews>
    <sheetView zoomScale="90" zoomScaleNormal="90" workbookViewId="0">
      <pane ySplit="8" topLeftCell="A139" activePane="bottomLeft" state="frozen"/>
      <selection activeCell="D39" sqref="D39"/>
      <selection pane="bottomLeft" activeCell="I163" sqref="I163"/>
    </sheetView>
  </sheetViews>
  <sheetFormatPr defaultColWidth="6.5" defaultRowHeight="15"/>
  <cols>
    <col min="1" max="1" width="11.33203125" style="1726" bestFit="1" customWidth="1"/>
    <col min="2" max="2" width="15.33203125" style="1726" bestFit="1" customWidth="1"/>
    <col min="3" max="3" width="48.5" style="1726" bestFit="1" customWidth="1"/>
    <col min="4" max="4" width="16.83203125" style="1726" customWidth="1"/>
    <col min="5" max="5" width="9.83203125" style="1726" bestFit="1" customWidth="1"/>
    <col min="6" max="6" width="17.6640625" style="1692" bestFit="1" customWidth="1"/>
    <col min="7" max="7" width="10.1640625" style="1726" bestFit="1" customWidth="1"/>
    <col min="8" max="8" width="9.33203125" style="1726" customWidth="1"/>
    <col min="9" max="9" width="10.1640625" style="1726" bestFit="1" customWidth="1"/>
    <col min="10" max="10" width="6.1640625" style="1726" bestFit="1" customWidth="1"/>
    <col min="11" max="11" width="7.33203125" style="1726" bestFit="1" customWidth="1"/>
    <col min="12" max="12" width="12.5" style="1692" bestFit="1" customWidth="1"/>
    <col min="13" max="13" width="21.83203125" style="1692" bestFit="1" customWidth="1"/>
    <col min="14" max="14" width="12.33203125" style="1692" bestFit="1" customWidth="1"/>
    <col min="15" max="15" width="15.6640625" style="1692" bestFit="1" customWidth="1"/>
    <col min="16" max="16" width="14.5" style="1692" bestFit="1" customWidth="1"/>
    <col min="17" max="17" width="14.33203125" style="1692" bestFit="1" customWidth="1"/>
    <col min="18" max="18" width="15.6640625" style="1692" bestFit="1" customWidth="1"/>
    <col min="19" max="19" width="16.1640625" style="1692" customWidth="1"/>
    <col min="20" max="20" width="15.83203125" style="1692" customWidth="1"/>
    <col min="21" max="21" width="16.1640625" style="1856" customWidth="1"/>
    <col min="22" max="22" width="25.33203125" style="1834" customWidth="1"/>
    <col min="23" max="23" width="16.6640625" style="1856" customWidth="1"/>
    <col min="24" max="24" width="14.5" style="1692" customWidth="1"/>
    <col min="25" max="25" width="14.33203125" style="1692" customWidth="1"/>
    <col min="26" max="26" width="18.5" style="1726" customWidth="1"/>
    <col min="27" max="27" width="9.1640625" style="1740" customWidth="1"/>
    <col min="28" max="28" width="15.33203125" style="1726" customWidth="1"/>
    <col min="29" max="29" width="9.83203125" style="1726" customWidth="1"/>
    <col min="30" max="30" width="16" style="1726" customWidth="1"/>
    <col min="31" max="31" width="15.5" style="1726" bestFit="1" customWidth="1"/>
    <col min="32" max="32" width="6.5" style="1726" customWidth="1"/>
    <col min="33" max="16384" width="6.5" style="1726"/>
  </cols>
  <sheetData>
    <row r="1" spans="1:30" s="1688" customFormat="1">
      <c r="B1" s="1689" t="s">
        <v>2158</v>
      </c>
      <c r="C1" s="1690" t="s">
        <v>2159</v>
      </c>
      <c r="F1" s="1691"/>
      <c r="L1" s="1691"/>
      <c r="M1" s="1688" t="s">
        <v>2327</v>
      </c>
      <c r="N1" s="1691"/>
      <c r="O1" s="1691"/>
      <c r="P1" s="1692"/>
      <c r="Q1" s="1692"/>
      <c r="R1" s="1691"/>
      <c r="S1" s="1691"/>
      <c r="T1" s="1691"/>
      <c r="U1" s="1833"/>
      <c r="V1" s="1834"/>
      <c r="W1" s="1833"/>
      <c r="X1" s="1691"/>
      <c r="Y1" s="1691"/>
      <c r="AA1" s="1693"/>
    </row>
    <row r="2" spans="1:30" s="1688" customFormat="1">
      <c r="C2" s="1694" t="s">
        <v>2160</v>
      </c>
      <c r="G2" s="1695"/>
      <c r="L2" s="1691"/>
      <c r="M2" s="1691"/>
      <c r="N2" s="1691"/>
      <c r="O2" s="1691"/>
      <c r="P2" s="1692"/>
      <c r="Q2" s="1692"/>
      <c r="R2" s="1691"/>
      <c r="S2" s="1691"/>
      <c r="T2" s="1691"/>
      <c r="U2" s="1833"/>
      <c r="V2" s="1834"/>
      <c r="W2" s="1833"/>
      <c r="X2" s="1691"/>
      <c r="Y2" s="1691"/>
      <c r="AA2" s="1693"/>
    </row>
    <row r="3" spans="1:30" s="1688" customFormat="1">
      <c r="E3" s="2201" t="s">
        <v>2161</v>
      </c>
      <c r="F3" s="2201"/>
      <c r="G3" s="2202" t="s">
        <v>2162</v>
      </c>
      <c r="H3" s="2202"/>
      <c r="L3" s="1691"/>
      <c r="M3" s="1691"/>
      <c r="N3" s="1691"/>
      <c r="O3" s="1691"/>
      <c r="P3" s="1692"/>
      <c r="Q3" s="1692"/>
      <c r="R3" s="1691"/>
      <c r="S3" s="1691"/>
      <c r="T3" s="1691"/>
      <c r="U3" s="1833"/>
      <c r="V3" s="1834"/>
      <c r="W3" s="1833"/>
      <c r="X3" s="1691"/>
      <c r="Y3" s="1691"/>
      <c r="AA3" s="1696"/>
      <c r="AB3" s="1689"/>
    </row>
    <row r="4" spans="1:30" s="1688" customFormat="1">
      <c r="E4" s="1697" t="s">
        <v>2163</v>
      </c>
      <c r="F4" s="1697" t="s">
        <v>2164</v>
      </c>
      <c r="G4" s="1698" t="s">
        <v>2163</v>
      </c>
      <c r="H4" s="1698" t="s">
        <v>2164</v>
      </c>
      <c r="L4" s="1691"/>
      <c r="M4" s="1691"/>
      <c r="N4" s="1691"/>
      <c r="O4" s="1691"/>
      <c r="P4" s="1692"/>
      <c r="Q4" s="1692"/>
      <c r="R4" s="1691"/>
      <c r="S4" s="1691"/>
      <c r="T4" s="1691"/>
      <c r="U4" s="1833"/>
      <c r="V4" s="1834"/>
      <c r="W4" s="1833"/>
      <c r="X4" s="1691"/>
      <c r="Y4" s="1691"/>
      <c r="AA4" s="1696"/>
      <c r="AB4" s="1689"/>
    </row>
    <row r="5" spans="1:30" s="1688" customFormat="1">
      <c r="E5" s="1699">
        <v>8</v>
      </c>
      <c r="F5" s="1699">
        <v>2013</v>
      </c>
      <c r="G5" s="1698">
        <f>12-E5</f>
        <v>4</v>
      </c>
      <c r="H5" s="1698">
        <f>F5+1</f>
        <v>2014</v>
      </c>
      <c r="L5" s="1691"/>
      <c r="M5" s="1691"/>
      <c r="N5" s="1691"/>
      <c r="O5" s="1691"/>
      <c r="P5" s="1700"/>
      <c r="Q5" s="1700"/>
      <c r="R5" s="1691"/>
      <c r="S5" s="1691"/>
      <c r="T5" s="1691"/>
      <c r="U5" s="1833"/>
      <c r="V5" s="1835"/>
      <c r="W5" s="1833"/>
      <c r="X5" s="1701"/>
      <c r="Y5" s="1701"/>
      <c r="AA5" s="1696"/>
      <c r="AB5" s="1689"/>
    </row>
    <row r="6" spans="1:30" s="1688" customFormat="1">
      <c r="B6" s="1689"/>
      <c r="E6" s="1702"/>
      <c r="F6" s="1691"/>
      <c r="G6" s="1702"/>
      <c r="I6" s="1702"/>
      <c r="K6" s="1689"/>
      <c r="L6" s="1691"/>
      <c r="M6" s="1691"/>
      <c r="N6" s="1691"/>
      <c r="O6" s="1691"/>
      <c r="P6" s="1700"/>
      <c r="Q6" s="1700"/>
      <c r="R6" s="1691"/>
      <c r="S6" s="1701"/>
      <c r="T6" s="1701"/>
      <c r="U6" s="1833"/>
      <c r="V6" s="1835"/>
      <c r="W6" s="1836"/>
      <c r="X6" s="1701"/>
      <c r="Y6" s="1701"/>
      <c r="AA6" s="1693"/>
    </row>
    <row r="7" spans="1:30" s="1688" customFormat="1" ht="45">
      <c r="C7" s="1703" t="s">
        <v>2165</v>
      </c>
      <c r="D7" s="2203" t="s">
        <v>2166</v>
      </c>
      <c r="E7" s="2203"/>
      <c r="F7" s="1879" t="s">
        <v>2167</v>
      </c>
      <c r="G7" s="1878" t="s">
        <v>2168</v>
      </c>
      <c r="H7" s="1878" t="s">
        <v>2169</v>
      </c>
      <c r="I7" s="1878" t="s">
        <v>2170</v>
      </c>
      <c r="J7" s="2204" t="s">
        <v>2171</v>
      </c>
      <c r="K7" s="2204"/>
      <c r="L7" s="2204"/>
      <c r="M7" s="1879" t="s">
        <v>2172</v>
      </c>
      <c r="N7" s="2205" t="s">
        <v>2173</v>
      </c>
      <c r="O7" s="2205"/>
      <c r="P7" s="2206" t="s">
        <v>2174</v>
      </c>
      <c r="Q7" s="2207"/>
      <c r="R7" s="1879" t="s">
        <v>2175</v>
      </c>
      <c r="S7" s="1704" t="s">
        <v>2176</v>
      </c>
      <c r="T7" s="1704" t="s">
        <v>2177</v>
      </c>
      <c r="U7" s="1704" t="s">
        <v>2178</v>
      </c>
      <c r="V7" s="1837" t="s">
        <v>2179</v>
      </c>
      <c r="W7" s="1704" t="s">
        <v>2180</v>
      </c>
      <c r="X7" s="2199" t="s">
        <v>2181</v>
      </c>
      <c r="Y7" s="2200"/>
      <c r="Z7" s="1704" t="s">
        <v>2182</v>
      </c>
      <c r="AA7" s="1705" t="s">
        <v>2183</v>
      </c>
      <c r="AB7" s="1704" t="s">
        <v>2184</v>
      </c>
      <c r="AC7" s="1704" t="s">
        <v>2185</v>
      </c>
      <c r="AD7" s="1704" t="s">
        <v>2186</v>
      </c>
    </row>
    <row r="8" spans="1:30" s="1688" customFormat="1">
      <c r="A8" s="1706" t="s">
        <v>2187</v>
      </c>
      <c r="B8" s="1706" t="s">
        <v>2188</v>
      </c>
      <c r="C8" s="1706" t="s">
        <v>2189</v>
      </c>
      <c r="D8" s="1706" t="s">
        <v>2163</v>
      </c>
      <c r="E8" s="1706" t="s">
        <v>2164</v>
      </c>
      <c r="F8" s="1707" t="s">
        <v>2190</v>
      </c>
      <c r="G8" s="1708" t="s">
        <v>1555</v>
      </c>
      <c r="H8" s="1706" t="s">
        <v>2191</v>
      </c>
      <c r="I8" s="1709" t="s">
        <v>2164</v>
      </c>
      <c r="J8" s="1710" t="s">
        <v>2192</v>
      </c>
      <c r="K8" s="1710" t="s">
        <v>2193</v>
      </c>
      <c r="L8" s="1711" t="s">
        <v>2190</v>
      </c>
      <c r="M8" s="1712" t="s">
        <v>2190</v>
      </c>
      <c r="N8" s="1713" t="s">
        <v>42</v>
      </c>
      <c r="O8" s="1713" t="s">
        <v>2194</v>
      </c>
      <c r="P8" s="1714" t="s">
        <v>2195</v>
      </c>
      <c r="Q8" s="1714" t="s">
        <v>2196</v>
      </c>
      <c r="R8" s="1713" t="s">
        <v>2190</v>
      </c>
      <c r="S8" s="1715" t="s">
        <v>2190</v>
      </c>
      <c r="T8" s="1715" t="s">
        <v>2190</v>
      </c>
      <c r="U8" s="1716" t="s">
        <v>1555</v>
      </c>
      <c r="V8" s="1838" t="s">
        <v>2190</v>
      </c>
      <c r="W8" s="1716" t="s">
        <v>1555</v>
      </c>
      <c r="X8" s="1716" t="s">
        <v>2195</v>
      </c>
      <c r="Y8" s="1716" t="s">
        <v>2196</v>
      </c>
      <c r="Z8" s="1716" t="s">
        <v>2197</v>
      </c>
      <c r="AA8" s="1717" t="s">
        <v>2198</v>
      </c>
      <c r="AB8" s="1716" t="s">
        <v>1412</v>
      </c>
      <c r="AC8" s="1716" t="s">
        <v>362</v>
      </c>
      <c r="AD8" s="1716" t="s">
        <v>363</v>
      </c>
    </row>
    <row r="9" spans="1:30">
      <c r="A9" s="1718"/>
      <c r="B9" s="1718"/>
      <c r="C9" s="1719"/>
      <c r="D9" s="1718"/>
      <c r="E9" s="1718"/>
      <c r="F9" s="1720"/>
      <c r="G9" s="1721"/>
      <c r="H9" s="1718"/>
      <c r="I9" s="1718"/>
      <c r="J9" s="1718"/>
      <c r="K9" s="1718"/>
      <c r="L9" s="1720"/>
      <c r="M9" s="1720"/>
      <c r="N9" s="1722"/>
      <c r="O9" s="1722"/>
      <c r="P9" s="1722"/>
      <c r="Q9" s="1722"/>
      <c r="R9" s="1722"/>
      <c r="S9" s="1723"/>
      <c r="T9" s="1723"/>
      <c r="U9" s="1724"/>
      <c r="V9" s="1839"/>
      <c r="W9" s="1724"/>
      <c r="X9" s="1724"/>
      <c r="Y9" s="1724"/>
      <c r="Z9" s="1724"/>
      <c r="AA9" s="1725"/>
      <c r="AB9" s="1724"/>
      <c r="AC9" s="1724"/>
      <c r="AD9" s="1724"/>
    </row>
    <row r="10" spans="1:30">
      <c r="A10" s="1718"/>
      <c r="B10" s="1718"/>
      <c r="C10" s="1719" t="s">
        <v>2199</v>
      </c>
      <c r="D10" s="1718"/>
      <c r="E10" s="1718"/>
      <c r="F10" s="1720"/>
      <c r="G10" s="1721"/>
      <c r="H10" s="1718"/>
      <c r="I10" s="1718"/>
      <c r="J10" s="1718"/>
      <c r="K10" s="1718"/>
      <c r="L10" s="1720"/>
      <c r="M10" s="1720"/>
      <c r="N10" s="1722"/>
      <c r="O10" s="1722"/>
      <c r="P10" s="1722"/>
      <c r="Q10" s="1722"/>
      <c r="R10" s="1722"/>
      <c r="S10" s="1723"/>
      <c r="T10" s="1723"/>
      <c r="U10" s="1724"/>
      <c r="V10" s="1839"/>
      <c r="W10" s="1724"/>
      <c r="X10" s="1724"/>
      <c r="Y10" s="1724"/>
      <c r="Z10" s="1724"/>
      <c r="AA10" s="1725"/>
      <c r="AB10" s="1724"/>
      <c r="AC10" s="1724"/>
      <c r="AD10" s="1724"/>
    </row>
    <row r="11" spans="1:30" s="1688" customFormat="1">
      <c r="A11" s="1718"/>
      <c r="B11" s="1727"/>
      <c r="C11" s="1728" t="s">
        <v>2200</v>
      </c>
      <c r="D11" s="1729">
        <v>8</v>
      </c>
      <c r="E11" s="1729">
        <v>2012</v>
      </c>
      <c r="F11" s="1730">
        <v>7578</v>
      </c>
      <c r="G11" s="1729">
        <v>0</v>
      </c>
      <c r="H11" s="1729">
        <v>7</v>
      </c>
      <c r="I11" s="1688">
        <f t="shared" ref="I11:I17" si="0">E11+H11</f>
        <v>2019</v>
      </c>
      <c r="J11" s="1731"/>
      <c r="K11" s="1732"/>
      <c r="L11" s="1733">
        <v>0</v>
      </c>
      <c r="M11" s="1691">
        <f t="shared" ref="M11:M17" si="1">F11-F11*G11</f>
        <v>7578</v>
      </c>
      <c r="N11" s="1691">
        <f t="shared" ref="N11:N17" si="2">M11/H11/12</f>
        <v>90.214285714285722</v>
      </c>
      <c r="O11" s="1691">
        <f t="shared" ref="O11:O17" si="3">IF(L11&gt;0,0,IF(OR(Z11&gt;AA11,AB11&lt;AC11),0,IF(AND(AB11&gt;=AC11,AB11&lt;=AA11),N11*((AB11-AC11)*12),IF(AND(AC11&lt;=Z11,AA11&gt;=Z11),((AA11-Z11)*12)*N11,IF(AB11&gt;AA11,12*N11,0)))))</f>
        <v>1082.5714285714287</v>
      </c>
      <c r="P11" s="1734">
        <f t="shared" ref="P11:P17" si="4">IF(Z11&gt;AA11,0,IF(AB11&lt;AC11,M11,IF(AND(AB11&gt;=AC11,AB11&lt;=AA11),(M11-T11),IF(AND(AC11&lt;=Z11,AA11&gt;=Z11),0,IF(AB11&gt;AA11,((AC11-Z11)*12)*N11,0)))))</f>
        <v>811.92857142857156</v>
      </c>
      <c r="Q11" s="1734">
        <f t="shared" ref="Q11:Q17" si="5">IF(L11&gt;0,0,Y11+V11*W11)*W11</f>
        <v>1894.5000000000002</v>
      </c>
      <c r="R11" s="1691">
        <f t="shared" ref="R11:R17" si="6">IF(L11&gt;0,(F11-Y11)/2,IF(Z11&gt;=AC11,(((F11*U11)*W11)-Q11)/2,((((F11*U11)*W11)-Y11)+(((F11*U11)*W11)-Q11))/2))</f>
        <v>6224.7857142857138</v>
      </c>
      <c r="S11" s="1691">
        <f t="shared" ref="S11:S17" si="7">IF(L11=0,0,IF(AND(AD11&gt;=AC11,AD11&lt;=AB11),((AD11-AC11)*12)*N11,0))</f>
        <v>0</v>
      </c>
      <c r="T11" s="1691">
        <f t="shared" ref="T11:T17" si="8">IF(S11&gt;0,S11,O11)</f>
        <v>1082.5714285714287</v>
      </c>
      <c r="U11" s="1833">
        <v>1</v>
      </c>
      <c r="V11" s="1834">
        <f t="shared" ref="V11:V17" si="9">U11*(O11+S11)</f>
        <v>1082.5714285714287</v>
      </c>
      <c r="W11" s="1833">
        <v>1</v>
      </c>
      <c r="X11" s="1691">
        <f t="shared" ref="X11:X17" si="10">P11*U11</f>
        <v>811.92857142857156</v>
      </c>
      <c r="Y11" s="1691">
        <f t="shared" ref="Y11:Y17" si="11">X11*W11</f>
        <v>811.92857142857156</v>
      </c>
      <c r="Z11" s="1735">
        <f t="shared" ref="Z11:Z17" si="12">$E11+(($D11-1)/12)</f>
        <v>2012.5833333333333</v>
      </c>
      <c r="AA11" s="1693">
        <f t="shared" ref="AA11:AA17" si="13">($H$5+1)-($E$5/12)</f>
        <v>2014.3333333333333</v>
      </c>
      <c r="AB11" s="1735">
        <f t="shared" ref="AB11:AB17" si="14">$I11+(($D11-1)/12)</f>
        <v>2019.5833333333333</v>
      </c>
      <c r="AC11" s="1688">
        <f t="shared" ref="AC11:AC17" si="15">$F$5+($G$5/12)</f>
        <v>2013.3333333333333</v>
      </c>
      <c r="AD11" s="1688">
        <f t="shared" ref="AD11:AD17" si="16">$K11+(($J11-1)/12)</f>
        <v>-8.3333333333333329E-2</v>
      </c>
    </row>
    <row r="12" spans="1:30" s="1688" customFormat="1">
      <c r="A12" s="1718"/>
      <c r="B12" s="1727"/>
      <c r="C12" s="1728" t="s">
        <v>2201</v>
      </c>
      <c r="D12" s="1729">
        <v>12</v>
      </c>
      <c r="E12" s="1729">
        <v>2010</v>
      </c>
      <c r="F12" s="1730">
        <v>146554</v>
      </c>
      <c r="G12" s="1729">
        <v>0</v>
      </c>
      <c r="H12" s="1729">
        <v>10</v>
      </c>
      <c r="I12" s="1688">
        <f t="shared" si="0"/>
        <v>2020</v>
      </c>
      <c r="J12" s="1731"/>
      <c r="K12" s="1732"/>
      <c r="L12" s="1733">
        <v>0</v>
      </c>
      <c r="M12" s="1691">
        <f t="shared" si="1"/>
        <v>146554</v>
      </c>
      <c r="N12" s="1691">
        <f t="shared" si="2"/>
        <v>1221.2833333333333</v>
      </c>
      <c r="O12" s="1691">
        <f t="shared" si="3"/>
        <v>14655.4</v>
      </c>
      <c r="P12" s="1734">
        <f t="shared" si="4"/>
        <v>35417.216666664441</v>
      </c>
      <c r="Q12" s="1734">
        <f t="shared" si="5"/>
        <v>50072.616666664442</v>
      </c>
      <c r="R12" s="1691">
        <f t="shared" si="6"/>
        <v>103809.08333333555</v>
      </c>
      <c r="S12" s="1691">
        <f t="shared" si="7"/>
        <v>0</v>
      </c>
      <c r="T12" s="1691">
        <f t="shared" si="8"/>
        <v>14655.4</v>
      </c>
      <c r="U12" s="1833">
        <v>1</v>
      </c>
      <c r="V12" s="1834">
        <f t="shared" si="9"/>
        <v>14655.4</v>
      </c>
      <c r="W12" s="1833">
        <v>1</v>
      </c>
      <c r="X12" s="1691">
        <f t="shared" si="10"/>
        <v>35417.216666664441</v>
      </c>
      <c r="Y12" s="1691">
        <f t="shared" si="11"/>
        <v>35417.216666664441</v>
      </c>
      <c r="Z12" s="1735">
        <f t="shared" si="12"/>
        <v>2010.9166666666667</v>
      </c>
      <c r="AA12" s="1693">
        <f t="shared" si="13"/>
        <v>2014.3333333333333</v>
      </c>
      <c r="AB12" s="1735">
        <f t="shared" si="14"/>
        <v>2020.9166666666667</v>
      </c>
      <c r="AC12" s="1688">
        <f t="shared" si="15"/>
        <v>2013.3333333333333</v>
      </c>
      <c r="AD12" s="1688">
        <f t="shared" si="16"/>
        <v>-8.3333333333333329E-2</v>
      </c>
    </row>
    <row r="13" spans="1:30" s="1688" customFormat="1">
      <c r="A13" s="1718"/>
      <c r="B13" s="1727"/>
      <c r="C13" s="1728" t="s">
        <v>2202</v>
      </c>
      <c r="D13" s="1729">
        <v>4</v>
      </c>
      <c r="E13" s="1729">
        <v>2012</v>
      </c>
      <c r="F13" s="1730">
        <v>417</v>
      </c>
      <c r="G13" s="1729">
        <v>0</v>
      </c>
      <c r="H13" s="1729">
        <v>7</v>
      </c>
      <c r="I13" s="1688">
        <f t="shared" si="0"/>
        <v>2019</v>
      </c>
      <c r="J13" s="1731"/>
      <c r="K13" s="1732"/>
      <c r="L13" s="1733">
        <v>0</v>
      </c>
      <c r="M13" s="1691">
        <f t="shared" si="1"/>
        <v>417</v>
      </c>
      <c r="N13" s="1691">
        <f t="shared" si="2"/>
        <v>4.9642857142857144</v>
      </c>
      <c r="O13" s="1691">
        <f t="shared" si="3"/>
        <v>59.571428571428569</v>
      </c>
      <c r="P13" s="1734">
        <f t="shared" si="4"/>
        <v>64.535714285709773</v>
      </c>
      <c r="Q13" s="1734">
        <f t="shared" si="5"/>
        <v>124.10714285713834</v>
      </c>
      <c r="R13" s="1691">
        <f t="shared" si="6"/>
        <v>322.67857142857594</v>
      </c>
      <c r="S13" s="1691">
        <f t="shared" si="7"/>
        <v>0</v>
      </c>
      <c r="T13" s="1691">
        <f t="shared" si="8"/>
        <v>59.571428571428569</v>
      </c>
      <c r="U13" s="1833">
        <v>1</v>
      </c>
      <c r="V13" s="1834">
        <f t="shared" si="9"/>
        <v>59.571428571428569</v>
      </c>
      <c r="W13" s="1833">
        <v>1</v>
      </c>
      <c r="X13" s="1691">
        <f t="shared" si="10"/>
        <v>64.535714285709773</v>
      </c>
      <c r="Y13" s="1691">
        <f t="shared" si="11"/>
        <v>64.535714285709773</v>
      </c>
      <c r="Z13" s="1735">
        <f t="shared" si="12"/>
        <v>2012.25</v>
      </c>
      <c r="AA13" s="1693">
        <f t="shared" si="13"/>
        <v>2014.3333333333333</v>
      </c>
      <c r="AB13" s="1735">
        <f t="shared" si="14"/>
        <v>2019.25</v>
      </c>
      <c r="AC13" s="1688">
        <f t="shared" si="15"/>
        <v>2013.3333333333333</v>
      </c>
      <c r="AD13" s="1688">
        <f t="shared" si="16"/>
        <v>-8.3333333333333329E-2</v>
      </c>
    </row>
    <row r="14" spans="1:30" s="1688" customFormat="1">
      <c r="A14" s="1718"/>
      <c r="B14" s="1727"/>
      <c r="C14" s="1728" t="s">
        <v>2203</v>
      </c>
      <c r="D14" s="1729">
        <v>4</v>
      </c>
      <c r="E14" s="1729">
        <v>2012</v>
      </c>
      <c r="F14" s="1730">
        <v>4390</v>
      </c>
      <c r="G14" s="1729">
        <v>0</v>
      </c>
      <c r="H14" s="1729">
        <v>7</v>
      </c>
      <c r="I14" s="1688">
        <f t="shared" si="0"/>
        <v>2019</v>
      </c>
      <c r="J14" s="1731"/>
      <c r="K14" s="1732"/>
      <c r="L14" s="1733">
        <v>0</v>
      </c>
      <c r="M14" s="1691">
        <f t="shared" si="1"/>
        <v>4390</v>
      </c>
      <c r="N14" s="1691">
        <f t="shared" si="2"/>
        <v>52.261904761904759</v>
      </c>
      <c r="O14" s="1691">
        <f t="shared" si="3"/>
        <v>627.14285714285711</v>
      </c>
      <c r="P14" s="1734">
        <f t="shared" si="4"/>
        <v>679.40476190471429</v>
      </c>
      <c r="Q14" s="1734">
        <f t="shared" si="5"/>
        <v>1306.5476190475715</v>
      </c>
      <c r="R14" s="1691">
        <f t="shared" si="6"/>
        <v>3397.0238095238574</v>
      </c>
      <c r="S14" s="1691">
        <f t="shared" si="7"/>
        <v>0</v>
      </c>
      <c r="T14" s="1691">
        <f t="shared" si="8"/>
        <v>627.14285714285711</v>
      </c>
      <c r="U14" s="1833">
        <v>1</v>
      </c>
      <c r="V14" s="1834">
        <f t="shared" si="9"/>
        <v>627.14285714285711</v>
      </c>
      <c r="W14" s="1833">
        <v>1</v>
      </c>
      <c r="X14" s="1691">
        <f t="shared" si="10"/>
        <v>679.40476190471429</v>
      </c>
      <c r="Y14" s="1691">
        <f t="shared" si="11"/>
        <v>679.40476190471429</v>
      </c>
      <c r="Z14" s="1735">
        <f t="shared" si="12"/>
        <v>2012.25</v>
      </c>
      <c r="AA14" s="1693">
        <f t="shared" si="13"/>
        <v>2014.3333333333333</v>
      </c>
      <c r="AB14" s="1735">
        <f t="shared" si="14"/>
        <v>2019.25</v>
      </c>
      <c r="AC14" s="1688">
        <f t="shared" si="15"/>
        <v>2013.3333333333333</v>
      </c>
      <c r="AD14" s="1688">
        <f t="shared" si="16"/>
        <v>-8.3333333333333329E-2</v>
      </c>
    </row>
    <row r="15" spans="1:30" s="1688" customFormat="1">
      <c r="A15" s="1718"/>
      <c r="B15" s="1727"/>
      <c r="C15" s="1728" t="s">
        <v>2204</v>
      </c>
      <c r="D15" s="1729">
        <v>11</v>
      </c>
      <c r="E15" s="1729">
        <v>2008</v>
      </c>
      <c r="F15" s="1730">
        <v>1300</v>
      </c>
      <c r="G15" s="1729">
        <v>0</v>
      </c>
      <c r="H15" s="1729">
        <v>2</v>
      </c>
      <c r="I15" s="1688">
        <f t="shared" si="0"/>
        <v>2010</v>
      </c>
      <c r="J15" s="1731"/>
      <c r="K15" s="1732"/>
      <c r="L15" s="1733">
        <v>0</v>
      </c>
      <c r="M15" s="1691">
        <f t="shared" si="1"/>
        <v>1300</v>
      </c>
      <c r="N15" s="1691">
        <f t="shared" si="2"/>
        <v>54.166666666666664</v>
      </c>
      <c r="O15" s="1691">
        <f t="shared" si="3"/>
        <v>0</v>
      </c>
      <c r="P15" s="1734">
        <f t="shared" si="4"/>
        <v>1300</v>
      </c>
      <c r="Q15" s="1734">
        <f t="shared" si="5"/>
        <v>1300</v>
      </c>
      <c r="R15" s="1691">
        <f t="shared" si="6"/>
        <v>0</v>
      </c>
      <c r="S15" s="1691">
        <f t="shared" si="7"/>
        <v>0</v>
      </c>
      <c r="T15" s="1691">
        <f t="shared" si="8"/>
        <v>0</v>
      </c>
      <c r="U15" s="1833">
        <v>1</v>
      </c>
      <c r="V15" s="1834">
        <f t="shared" si="9"/>
        <v>0</v>
      </c>
      <c r="W15" s="1833">
        <v>1</v>
      </c>
      <c r="X15" s="1691">
        <f t="shared" si="10"/>
        <v>1300</v>
      </c>
      <c r="Y15" s="1691">
        <f t="shared" si="11"/>
        <v>1300</v>
      </c>
      <c r="Z15" s="1735">
        <f t="shared" si="12"/>
        <v>2008.8333333333333</v>
      </c>
      <c r="AA15" s="1693">
        <f t="shared" si="13"/>
        <v>2014.3333333333333</v>
      </c>
      <c r="AB15" s="1735">
        <f t="shared" si="14"/>
        <v>2010.8333333333333</v>
      </c>
      <c r="AC15" s="1688">
        <f t="shared" si="15"/>
        <v>2013.3333333333333</v>
      </c>
      <c r="AD15" s="1688">
        <f t="shared" si="16"/>
        <v>-8.3333333333333329E-2</v>
      </c>
    </row>
    <row r="16" spans="1:30" s="1688" customFormat="1">
      <c r="A16" s="1718"/>
      <c r="B16" s="1727"/>
      <c r="C16" s="1728" t="s">
        <v>2205</v>
      </c>
      <c r="D16" s="1729">
        <v>11</v>
      </c>
      <c r="E16" s="1729">
        <v>2008</v>
      </c>
      <c r="F16" s="1730">
        <v>470</v>
      </c>
      <c r="G16" s="1729">
        <v>0</v>
      </c>
      <c r="H16" s="1729">
        <v>2</v>
      </c>
      <c r="I16" s="1688">
        <f t="shared" si="0"/>
        <v>2010</v>
      </c>
      <c r="J16" s="1731"/>
      <c r="K16" s="1732"/>
      <c r="L16" s="1733">
        <v>0</v>
      </c>
      <c r="M16" s="1691">
        <f t="shared" si="1"/>
        <v>470</v>
      </c>
      <c r="N16" s="1691">
        <f t="shared" si="2"/>
        <v>19.583333333333332</v>
      </c>
      <c r="O16" s="1691">
        <f t="shared" si="3"/>
        <v>0</v>
      </c>
      <c r="P16" s="1734">
        <f t="shared" si="4"/>
        <v>470</v>
      </c>
      <c r="Q16" s="1734">
        <f t="shared" si="5"/>
        <v>470</v>
      </c>
      <c r="R16" s="1691">
        <f t="shared" si="6"/>
        <v>0</v>
      </c>
      <c r="S16" s="1691">
        <f t="shared" si="7"/>
        <v>0</v>
      </c>
      <c r="T16" s="1691">
        <f t="shared" si="8"/>
        <v>0</v>
      </c>
      <c r="U16" s="1833">
        <v>1</v>
      </c>
      <c r="V16" s="1834">
        <f t="shared" si="9"/>
        <v>0</v>
      </c>
      <c r="W16" s="1833">
        <v>1</v>
      </c>
      <c r="X16" s="1691">
        <f t="shared" si="10"/>
        <v>470</v>
      </c>
      <c r="Y16" s="1691">
        <f t="shared" si="11"/>
        <v>470</v>
      </c>
      <c r="Z16" s="1735">
        <f t="shared" si="12"/>
        <v>2008.8333333333333</v>
      </c>
      <c r="AA16" s="1693">
        <f t="shared" si="13"/>
        <v>2014.3333333333333</v>
      </c>
      <c r="AB16" s="1735">
        <f t="shared" si="14"/>
        <v>2010.8333333333333</v>
      </c>
      <c r="AC16" s="1688">
        <f t="shared" si="15"/>
        <v>2013.3333333333333</v>
      </c>
      <c r="AD16" s="1688">
        <f t="shared" si="16"/>
        <v>-8.3333333333333329E-2</v>
      </c>
    </row>
    <row r="17" spans="1:31" s="1688" customFormat="1">
      <c r="A17" s="1718"/>
      <c r="B17" s="1727"/>
      <c r="C17" s="1728" t="s">
        <v>2206</v>
      </c>
      <c r="D17" s="1729">
        <v>11</v>
      </c>
      <c r="E17" s="1729">
        <v>2008</v>
      </c>
      <c r="F17" s="1730">
        <v>5100</v>
      </c>
      <c r="G17" s="1729">
        <v>0</v>
      </c>
      <c r="H17" s="1729">
        <v>4.75</v>
      </c>
      <c r="I17" s="1688">
        <f t="shared" si="0"/>
        <v>2012.75</v>
      </c>
      <c r="J17" s="1731"/>
      <c r="K17" s="1732"/>
      <c r="L17" s="1733">
        <v>0</v>
      </c>
      <c r="M17" s="1691">
        <f t="shared" si="1"/>
        <v>5100</v>
      </c>
      <c r="N17" s="1691">
        <f t="shared" si="2"/>
        <v>89.473684210526315</v>
      </c>
      <c r="O17" s="1692">
        <f t="shared" si="3"/>
        <v>268.42105263157896</v>
      </c>
      <c r="P17" s="1734">
        <f t="shared" si="4"/>
        <v>4831.5789473684208</v>
      </c>
      <c r="Q17" s="1734">
        <f t="shared" si="5"/>
        <v>5100</v>
      </c>
      <c r="R17" s="1691">
        <f t="shared" si="6"/>
        <v>134.21052631578959</v>
      </c>
      <c r="S17" s="1691">
        <f t="shared" si="7"/>
        <v>0</v>
      </c>
      <c r="T17" s="1691">
        <f t="shared" si="8"/>
        <v>268.42105263157896</v>
      </c>
      <c r="U17" s="1833">
        <v>1</v>
      </c>
      <c r="V17" s="1840">
        <f t="shared" si="9"/>
        <v>268.42105263157896</v>
      </c>
      <c r="W17" s="1833">
        <v>1</v>
      </c>
      <c r="X17" s="1691">
        <f t="shared" si="10"/>
        <v>4831.5789473684208</v>
      </c>
      <c r="Y17" s="1691">
        <f t="shared" si="11"/>
        <v>4831.5789473684208</v>
      </c>
      <c r="Z17" s="1735">
        <f t="shared" si="12"/>
        <v>2008.8333333333333</v>
      </c>
      <c r="AA17" s="1693">
        <f t="shared" si="13"/>
        <v>2014.3333333333333</v>
      </c>
      <c r="AB17" s="1735">
        <f t="shared" si="14"/>
        <v>2013.5833333333333</v>
      </c>
      <c r="AC17" s="1688">
        <f t="shared" si="15"/>
        <v>2013.3333333333333</v>
      </c>
      <c r="AD17" s="1688">
        <f t="shared" si="16"/>
        <v>-8.3333333333333329E-2</v>
      </c>
    </row>
    <row r="18" spans="1:31">
      <c r="A18" s="1718"/>
      <c r="B18" s="1718"/>
      <c r="C18" s="1719"/>
      <c r="D18" s="1718"/>
      <c r="E18" s="1718"/>
      <c r="F18" s="1720"/>
      <c r="G18" s="1721"/>
      <c r="H18" s="1718"/>
      <c r="I18" s="1718"/>
      <c r="J18" s="1718"/>
      <c r="K18" s="1718"/>
      <c r="L18" s="1720"/>
      <c r="M18" s="1720"/>
      <c r="N18" s="1722"/>
      <c r="O18" s="1722"/>
      <c r="P18" s="1722"/>
      <c r="Q18" s="1722"/>
      <c r="R18" s="1722"/>
      <c r="S18" s="1723"/>
      <c r="T18" s="1723"/>
      <c r="U18" s="1724"/>
      <c r="V18" s="1839"/>
      <c r="W18" s="1724"/>
      <c r="X18" s="1724"/>
      <c r="Y18" s="1724"/>
      <c r="Z18" s="1724"/>
      <c r="AA18" s="1725"/>
      <c r="AB18" s="1724"/>
      <c r="AC18" s="1724"/>
      <c r="AD18" s="1724"/>
    </row>
    <row r="19" spans="1:31">
      <c r="A19" s="1718"/>
      <c r="B19" s="1718"/>
      <c r="C19" s="1719" t="s">
        <v>2199</v>
      </c>
      <c r="D19" s="1718"/>
      <c r="E19" s="1718"/>
      <c r="F19" s="1736">
        <f>SUM(F11:F18)</f>
        <v>165809</v>
      </c>
      <c r="G19" s="1737"/>
      <c r="H19" s="1738"/>
      <c r="I19" s="1738"/>
      <c r="J19" s="1738"/>
      <c r="K19" s="1738"/>
      <c r="L19" s="1736">
        <f t="shared" ref="L19:T19" si="17">SUM(L11:L18)</f>
        <v>0</v>
      </c>
      <c r="M19" s="1736">
        <f t="shared" si="17"/>
        <v>165809</v>
      </c>
      <c r="N19" s="1736">
        <f t="shared" si="17"/>
        <v>1531.9474937343359</v>
      </c>
      <c r="O19" s="1736">
        <f t="shared" si="17"/>
        <v>16693.106766917295</v>
      </c>
      <c r="P19" s="1736">
        <f t="shared" si="17"/>
        <v>43574.664661651856</v>
      </c>
      <c r="Q19" s="1736">
        <f t="shared" si="17"/>
        <v>60267.771428569155</v>
      </c>
      <c r="R19" s="1736">
        <f t="shared" si="17"/>
        <v>113887.78195488949</v>
      </c>
      <c r="S19" s="1736">
        <f t="shared" si="17"/>
        <v>0</v>
      </c>
      <c r="T19" s="1736">
        <f t="shared" si="17"/>
        <v>16693.106766917295</v>
      </c>
      <c r="U19" s="1841"/>
      <c r="V19" s="1842">
        <f>SUM(V11:V18)</f>
        <v>16693.106766917295</v>
      </c>
      <c r="W19" s="1841"/>
      <c r="X19" s="1736">
        <f>SUM(X11:X18)</f>
        <v>43574.664661651856</v>
      </c>
      <c r="Y19" s="1736">
        <f>SUM(Y11:Y18)</f>
        <v>43574.664661651856</v>
      </c>
      <c r="Z19" s="1739"/>
      <c r="AB19" s="1739"/>
      <c r="AC19" s="1738"/>
      <c r="AD19" s="1738"/>
    </row>
    <row r="20" spans="1:31">
      <c r="A20" s="1718"/>
      <c r="B20" s="1718"/>
      <c r="C20" s="1719" t="s">
        <v>2207</v>
      </c>
      <c r="D20" s="1718"/>
      <c r="E20" s="1718"/>
      <c r="F20" s="1720"/>
      <c r="G20" s="1721"/>
      <c r="H20" s="1718"/>
      <c r="I20" s="1718"/>
      <c r="J20" s="1718"/>
      <c r="K20" s="1718"/>
      <c r="L20" s="1720"/>
      <c r="M20" s="1720"/>
      <c r="N20" s="1722"/>
      <c r="Q20" s="1722"/>
      <c r="R20" s="1722"/>
      <c r="S20" s="1723"/>
      <c r="T20" s="1723"/>
      <c r="U20" s="1724"/>
      <c r="V20" s="1843">
        <f>Proforma!D189</f>
        <v>17036</v>
      </c>
      <c r="W20" s="1823" t="s">
        <v>2351</v>
      </c>
      <c r="X20" s="1724"/>
      <c r="Y20" s="1724"/>
      <c r="Z20" s="1724"/>
      <c r="AA20" s="1725"/>
      <c r="AB20" s="1724"/>
      <c r="AC20" s="1724"/>
      <c r="AD20" s="1724"/>
    </row>
    <row r="21" spans="1:31" ht="21.75">
      <c r="A21" s="1718"/>
      <c r="B21" s="1718"/>
      <c r="C21" s="1719"/>
      <c r="D21" s="1718"/>
      <c r="E21" s="1718"/>
      <c r="F21" s="1720"/>
      <c r="G21" s="1721"/>
      <c r="H21" s="1718"/>
      <c r="I21" s="1718"/>
      <c r="J21" s="1718"/>
      <c r="K21" s="1718"/>
      <c r="L21" s="1720"/>
      <c r="M21" s="1720"/>
      <c r="N21" s="1722"/>
      <c r="O21" s="1743"/>
      <c r="P21" s="1744"/>
      <c r="Q21" s="1722"/>
      <c r="R21" s="1722"/>
      <c r="S21" s="1844" t="s">
        <v>2199</v>
      </c>
      <c r="T21" s="1723"/>
      <c r="U21" s="1724"/>
      <c r="V21" s="1845">
        <f>V19-V20</f>
        <v>-342.89323308270468</v>
      </c>
      <c r="W21" s="1824" t="s">
        <v>2208</v>
      </c>
      <c r="X21" s="1724"/>
      <c r="Y21" s="1724"/>
      <c r="Z21" s="1724"/>
      <c r="AA21" s="1725"/>
      <c r="AB21" s="1724"/>
      <c r="AC21" s="1724"/>
      <c r="AD21" s="1724"/>
    </row>
    <row r="22" spans="1:31">
      <c r="A22" s="1718"/>
      <c r="B22" s="1718"/>
      <c r="C22" s="1719"/>
      <c r="D22" s="1718"/>
      <c r="E22" s="1718"/>
      <c r="F22" s="1720"/>
      <c r="G22" s="1721"/>
      <c r="H22" s="1718"/>
      <c r="I22" s="1718"/>
      <c r="J22" s="1718"/>
      <c r="K22" s="1718"/>
      <c r="L22" s="1720"/>
      <c r="M22" s="1720"/>
      <c r="N22" s="1722"/>
      <c r="O22" s="1722"/>
      <c r="P22" s="1722"/>
      <c r="Q22" s="1722"/>
      <c r="R22" s="1722"/>
      <c r="S22" s="1723"/>
      <c r="T22" s="1723"/>
      <c r="U22" s="1724"/>
      <c r="V22" s="1839"/>
      <c r="W22" s="1724"/>
      <c r="X22" s="1724"/>
      <c r="Y22" s="1724"/>
      <c r="Z22" s="1724"/>
      <c r="AA22" s="1725"/>
      <c r="AB22" s="1724"/>
      <c r="AC22" s="1724"/>
      <c r="AD22" s="1724"/>
    </row>
    <row r="23" spans="1:31">
      <c r="A23" s="1718"/>
      <c r="B23" s="1718"/>
      <c r="C23" s="1719" t="s">
        <v>2209</v>
      </c>
      <c r="D23" s="1718"/>
      <c r="E23" s="1718"/>
      <c r="F23" s="1720"/>
      <c r="G23" s="1721"/>
      <c r="H23" s="1718"/>
      <c r="I23" s="1718"/>
      <c r="J23" s="1718"/>
      <c r="K23" s="1718"/>
      <c r="L23" s="1720"/>
      <c r="M23" s="1720"/>
      <c r="N23" s="1722"/>
      <c r="O23" s="1722"/>
      <c r="P23" s="1722"/>
      <c r="Q23" s="1722"/>
      <c r="R23" s="1722"/>
      <c r="S23" s="1723"/>
      <c r="T23" s="1723"/>
      <c r="U23" s="1724"/>
      <c r="V23" s="1839"/>
      <c r="W23" s="1724"/>
      <c r="X23" s="1724"/>
      <c r="Y23" s="1724"/>
      <c r="Z23" s="1724"/>
      <c r="AA23" s="1725"/>
      <c r="AB23" s="1724"/>
      <c r="AC23" s="1724"/>
      <c r="AD23" s="1724"/>
    </row>
    <row r="24" spans="1:31" s="1688" customFormat="1">
      <c r="A24" s="1846" t="s">
        <v>2357</v>
      </c>
      <c r="B24" s="1727">
        <v>361290</v>
      </c>
      <c r="C24" s="1728" t="s">
        <v>2210</v>
      </c>
      <c r="D24" s="1729">
        <v>3</v>
      </c>
      <c r="E24" s="1729">
        <v>2014</v>
      </c>
      <c r="F24" s="1730">
        <v>29700</v>
      </c>
      <c r="G24" s="1741">
        <v>0</v>
      </c>
      <c r="H24" s="1729">
        <v>4</v>
      </c>
      <c r="I24" s="1688">
        <f t="shared" ref="I24:I55" si="18">E24+H24</f>
        <v>2018</v>
      </c>
      <c r="J24" s="1731"/>
      <c r="K24" s="1732"/>
      <c r="L24" s="1733">
        <v>0</v>
      </c>
      <c r="M24" s="1691">
        <f t="shared" ref="M24:M55" si="19">F24-F24*G24</f>
        <v>29700</v>
      </c>
      <c r="N24" s="1691">
        <f t="shared" ref="N24:N55" si="20">M24/H24/12</f>
        <v>618.75</v>
      </c>
      <c r="O24" s="1691">
        <f t="shared" ref="O24:O55" si="21">IF(L24&gt;0,0,IF(OR(Z24&gt;AA24,AB24&lt;AC24),0,IF(AND(AB24&gt;=AC24,AB24&lt;=AA24),N24*((AB24-AC24)*12),IF(AND(AC24&lt;=Z24,AA24&gt;=Z24),((AA24-Z24)*12)*N24,IF(AB24&gt;AA24,12*N24,0)))))</f>
        <v>1237.4999999988745</v>
      </c>
      <c r="P24" s="1734">
        <f t="shared" ref="P24:P55" si="22">IF(Z24&gt;AA24,0,IF(AB24&lt;AC24,M24,IF(AND(AB24&gt;=AC24,AB24&lt;=AA24),(M24-T24),IF(AND(AC24&lt;=Z24,AA24&gt;=Z24),0,IF(AB24&gt;AA24,((AC24-Z24)*12)*N24,0)))))</f>
        <v>0</v>
      </c>
      <c r="Q24" s="1734">
        <f t="shared" ref="Q24:Q55" si="23">IF(L24&gt;0,0,Y24+V24*W24)*W24</f>
        <v>1237.4999999988745</v>
      </c>
      <c r="R24" s="1692">
        <f t="shared" ref="R24:R55" si="24">IF(L24&gt;0,(F24-Y24)/2,IF(Z24&gt;=AC24,(((F24*U24)*W24)-Q24)/2,((((F24*U24)*W24)-Y24)+(((F24*U24)*W24)-Q24))/2))</f>
        <v>14231.250000000562</v>
      </c>
      <c r="S24" s="1691">
        <f t="shared" ref="S24:S55" si="25">IF(L24=0,0,IF(AND(AD24&gt;=AC24,AD24&lt;=AB24),((AD24-AC24)*12)*N24,0))</f>
        <v>0</v>
      </c>
      <c r="T24" s="1691">
        <f t="shared" ref="T24:T55" si="26">IF(S24&gt;0,S24,O24)</f>
        <v>1237.4999999988745</v>
      </c>
      <c r="U24" s="1833">
        <v>1</v>
      </c>
      <c r="V24" s="1834">
        <f t="shared" ref="V24:V55" si="27">U24*(O24+S24)</f>
        <v>1237.4999999988745</v>
      </c>
      <c r="W24" s="1833">
        <v>1</v>
      </c>
      <c r="X24" s="1691">
        <f t="shared" ref="X24:X55" si="28">P24*U24</f>
        <v>0</v>
      </c>
      <c r="Y24" s="1691">
        <f t="shared" ref="Y24:Y55" si="29">X24*W24</f>
        <v>0</v>
      </c>
      <c r="Z24" s="1735">
        <f t="shared" ref="Z24:Z55" si="30">$E24+(($D24-1)/12)</f>
        <v>2014.1666666666667</v>
      </c>
      <c r="AA24" s="1693">
        <f t="shared" ref="AA24:AA55" si="31">($H$5+1)-($E$5/12)</f>
        <v>2014.3333333333333</v>
      </c>
      <c r="AB24" s="1735">
        <f t="shared" ref="AB24:AB55" si="32">$I24+(($D24-1)/12)</f>
        <v>2018.1666666666667</v>
      </c>
      <c r="AC24" s="1688">
        <f t="shared" ref="AC24:AC55" si="33">$F$5+($G$5/12)</f>
        <v>2013.3333333333333</v>
      </c>
      <c r="AD24" s="1688">
        <f t="shared" ref="AD24:AD55" si="34">$K24+(($J24-1)/12)</f>
        <v>-8.3333333333333329E-2</v>
      </c>
      <c r="AE24" s="1880">
        <f t="shared" ref="AE24:AE55" si="35">((M24-P24)+(M24-Q24))/2</f>
        <v>29081.25000000056</v>
      </c>
    </row>
    <row r="25" spans="1:31" s="1688" customFormat="1">
      <c r="A25" s="1846" t="s">
        <v>2357</v>
      </c>
      <c r="B25" s="1727">
        <v>361292</v>
      </c>
      <c r="C25" s="1728" t="s">
        <v>2211</v>
      </c>
      <c r="D25" s="1729">
        <v>3</v>
      </c>
      <c r="E25" s="1729">
        <v>2014</v>
      </c>
      <c r="F25" s="1730">
        <v>51983</v>
      </c>
      <c r="G25" s="1741">
        <v>0</v>
      </c>
      <c r="H25" s="1729">
        <v>8</v>
      </c>
      <c r="I25" s="1688">
        <f t="shared" si="18"/>
        <v>2022</v>
      </c>
      <c r="J25" s="1731"/>
      <c r="K25" s="1732"/>
      <c r="L25" s="1733">
        <v>0</v>
      </c>
      <c r="M25" s="1691">
        <f t="shared" si="19"/>
        <v>51983</v>
      </c>
      <c r="N25" s="1691">
        <f t="shared" si="20"/>
        <v>541.48958333333337</v>
      </c>
      <c r="O25" s="1691">
        <f t="shared" si="21"/>
        <v>1082.9791666656818</v>
      </c>
      <c r="P25" s="1734">
        <f t="shared" si="22"/>
        <v>0</v>
      </c>
      <c r="Q25" s="1734">
        <f t="shared" si="23"/>
        <v>1082.9791666656818</v>
      </c>
      <c r="R25" s="1692">
        <f t="shared" si="24"/>
        <v>25450.010416667159</v>
      </c>
      <c r="S25" s="1691">
        <f t="shared" si="25"/>
        <v>0</v>
      </c>
      <c r="T25" s="1691">
        <f t="shared" si="26"/>
        <v>1082.9791666656818</v>
      </c>
      <c r="U25" s="1833">
        <v>1</v>
      </c>
      <c r="V25" s="1834">
        <f t="shared" si="27"/>
        <v>1082.9791666656818</v>
      </c>
      <c r="W25" s="1833">
        <v>1</v>
      </c>
      <c r="X25" s="1691">
        <f t="shared" si="28"/>
        <v>0</v>
      </c>
      <c r="Y25" s="1691">
        <f t="shared" si="29"/>
        <v>0</v>
      </c>
      <c r="Z25" s="1735">
        <f t="shared" si="30"/>
        <v>2014.1666666666667</v>
      </c>
      <c r="AA25" s="1693">
        <f t="shared" si="31"/>
        <v>2014.3333333333333</v>
      </c>
      <c r="AB25" s="1735">
        <f t="shared" si="32"/>
        <v>2022.1666666666667</v>
      </c>
      <c r="AC25" s="1688">
        <f t="shared" si="33"/>
        <v>2013.3333333333333</v>
      </c>
      <c r="AD25" s="1688">
        <f t="shared" si="34"/>
        <v>-8.3333333333333329E-2</v>
      </c>
      <c r="AE25" s="1880">
        <f t="shared" si="35"/>
        <v>51441.510416667159</v>
      </c>
    </row>
    <row r="26" spans="1:31" s="1688" customFormat="1">
      <c r="A26" s="1848" t="s">
        <v>2359</v>
      </c>
      <c r="B26" s="1727">
        <v>307952</v>
      </c>
      <c r="C26" s="1728" t="s">
        <v>2212</v>
      </c>
      <c r="D26" s="1729">
        <v>8</v>
      </c>
      <c r="E26" s="1729">
        <v>2010</v>
      </c>
      <c r="F26" s="1730">
        <v>285070</v>
      </c>
      <c r="G26" s="1741">
        <v>0</v>
      </c>
      <c r="H26" s="1729">
        <v>8</v>
      </c>
      <c r="I26" s="1688">
        <f t="shared" si="18"/>
        <v>2018</v>
      </c>
      <c r="J26" s="1731"/>
      <c r="K26" s="1732"/>
      <c r="L26" s="1733">
        <v>0</v>
      </c>
      <c r="M26" s="1691">
        <f t="shared" si="19"/>
        <v>285070</v>
      </c>
      <c r="N26" s="1691">
        <f t="shared" si="20"/>
        <v>2969.4791666666665</v>
      </c>
      <c r="O26" s="1691">
        <f t="shared" si="21"/>
        <v>35633.75</v>
      </c>
      <c r="P26" s="1734">
        <f t="shared" si="22"/>
        <v>97992.8125</v>
      </c>
      <c r="Q26" s="1734">
        <f t="shared" si="23"/>
        <v>133626.5625</v>
      </c>
      <c r="R26" s="1691">
        <f t="shared" si="24"/>
        <v>169260.3125</v>
      </c>
      <c r="S26" s="1691">
        <f t="shared" si="25"/>
        <v>0</v>
      </c>
      <c r="T26" s="1691">
        <f t="shared" si="26"/>
        <v>35633.75</v>
      </c>
      <c r="U26" s="1833">
        <v>1</v>
      </c>
      <c r="V26" s="1834">
        <f t="shared" si="27"/>
        <v>35633.75</v>
      </c>
      <c r="W26" s="1833">
        <v>1</v>
      </c>
      <c r="X26" s="1691">
        <f t="shared" si="28"/>
        <v>97992.8125</v>
      </c>
      <c r="Y26" s="1691">
        <f t="shared" si="29"/>
        <v>97992.8125</v>
      </c>
      <c r="Z26" s="1735">
        <f t="shared" si="30"/>
        <v>2010.5833333333333</v>
      </c>
      <c r="AA26" s="1693">
        <f t="shared" si="31"/>
        <v>2014.3333333333333</v>
      </c>
      <c r="AB26" s="1735">
        <f t="shared" si="32"/>
        <v>2018.5833333333333</v>
      </c>
      <c r="AC26" s="1688">
        <f t="shared" si="33"/>
        <v>2013.3333333333333</v>
      </c>
      <c r="AD26" s="1688">
        <f t="shared" si="34"/>
        <v>-8.3333333333333329E-2</v>
      </c>
      <c r="AE26" s="1880">
        <f t="shared" si="35"/>
        <v>169260.3125</v>
      </c>
    </row>
    <row r="27" spans="1:31" s="1688" customFormat="1">
      <c r="A27" s="1848" t="s">
        <v>2359</v>
      </c>
      <c r="B27" s="1727">
        <v>308162</v>
      </c>
      <c r="C27" s="1728" t="s">
        <v>2212</v>
      </c>
      <c r="D27" s="1729">
        <v>8</v>
      </c>
      <c r="E27" s="1729">
        <v>2010</v>
      </c>
      <c r="F27" s="1730">
        <v>285070</v>
      </c>
      <c r="G27" s="1741">
        <v>0</v>
      </c>
      <c r="H27" s="1729">
        <v>8</v>
      </c>
      <c r="I27" s="1688">
        <f t="shared" si="18"/>
        <v>2018</v>
      </c>
      <c r="J27" s="1731"/>
      <c r="K27" s="1732"/>
      <c r="L27" s="1733">
        <v>0</v>
      </c>
      <c r="M27" s="1691">
        <f t="shared" si="19"/>
        <v>285070</v>
      </c>
      <c r="N27" s="1691">
        <f t="shared" si="20"/>
        <v>2969.4791666666665</v>
      </c>
      <c r="O27" s="1691">
        <f t="shared" si="21"/>
        <v>35633.75</v>
      </c>
      <c r="P27" s="1734">
        <f t="shared" si="22"/>
        <v>97992.8125</v>
      </c>
      <c r="Q27" s="1734">
        <f t="shared" si="23"/>
        <v>133626.5625</v>
      </c>
      <c r="R27" s="1691">
        <f t="shared" si="24"/>
        <v>169260.3125</v>
      </c>
      <c r="S27" s="1691">
        <f t="shared" si="25"/>
        <v>0</v>
      </c>
      <c r="T27" s="1691">
        <f t="shared" si="26"/>
        <v>35633.75</v>
      </c>
      <c r="U27" s="1833">
        <v>1</v>
      </c>
      <c r="V27" s="1834">
        <f t="shared" si="27"/>
        <v>35633.75</v>
      </c>
      <c r="W27" s="1833">
        <v>1</v>
      </c>
      <c r="X27" s="1691">
        <f t="shared" si="28"/>
        <v>97992.8125</v>
      </c>
      <c r="Y27" s="1691">
        <f t="shared" si="29"/>
        <v>97992.8125</v>
      </c>
      <c r="Z27" s="1735">
        <f t="shared" si="30"/>
        <v>2010.5833333333333</v>
      </c>
      <c r="AA27" s="1693">
        <f t="shared" si="31"/>
        <v>2014.3333333333333</v>
      </c>
      <c r="AB27" s="1735">
        <f t="shared" si="32"/>
        <v>2018.5833333333333</v>
      </c>
      <c r="AC27" s="1688">
        <f t="shared" si="33"/>
        <v>2013.3333333333333</v>
      </c>
      <c r="AD27" s="1688">
        <f t="shared" si="34"/>
        <v>-8.3333333333333329E-2</v>
      </c>
      <c r="AE27" s="1880">
        <f t="shared" si="35"/>
        <v>169260.3125</v>
      </c>
    </row>
    <row r="28" spans="1:31" s="1688" customFormat="1">
      <c r="A28" s="1848" t="s">
        <v>2359</v>
      </c>
      <c r="B28" s="1727">
        <v>308163</v>
      </c>
      <c r="C28" s="1728" t="s">
        <v>2212</v>
      </c>
      <c r="D28" s="1729">
        <v>8</v>
      </c>
      <c r="E28" s="1729">
        <v>2010</v>
      </c>
      <c r="F28" s="1730">
        <v>285070</v>
      </c>
      <c r="G28" s="1741">
        <v>0</v>
      </c>
      <c r="H28" s="1729">
        <v>8</v>
      </c>
      <c r="I28" s="1688">
        <f t="shared" si="18"/>
        <v>2018</v>
      </c>
      <c r="J28" s="1731"/>
      <c r="K28" s="1732"/>
      <c r="L28" s="1733">
        <v>0</v>
      </c>
      <c r="M28" s="1691">
        <f t="shared" si="19"/>
        <v>285070</v>
      </c>
      <c r="N28" s="1691">
        <f t="shared" si="20"/>
        <v>2969.4791666666665</v>
      </c>
      <c r="O28" s="1691">
        <f t="shared" si="21"/>
        <v>35633.75</v>
      </c>
      <c r="P28" s="1734">
        <f t="shared" si="22"/>
        <v>97992.8125</v>
      </c>
      <c r="Q28" s="1734">
        <f t="shared" si="23"/>
        <v>133626.5625</v>
      </c>
      <c r="R28" s="1691">
        <f t="shared" si="24"/>
        <v>169260.3125</v>
      </c>
      <c r="S28" s="1691">
        <f t="shared" si="25"/>
        <v>0</v>
      </c>
      <c r="T28" s="1691">
        <f t="shared" si="26"/>
        <v>35633.75</v>
      </c>
      <c r="U28" s="1833">
        <v>1</v>
      </c>
      <c r="V28" s="1834">
        <f t="shared" si="27"/>
        <v>35633.75</v>
      </c>
      <c r="W28" s="1833">
        <v>1</v>
      </c>
      <c r="X28" s="1691">
        <f t="shared" si="28"/>
        <v>97992.8125</v>
      </c>
      <c r="Y28" s="1691">
        <f t="shared" si="29"/>
        <v>97992.8125</v>
      </c>
      <c r="Z28" s="1735">
        <f t="shared" si="30"/>
        <v>2010.5833333333333</v>
      </c>
      <c r="AA28" s="1693">
        <f t="shared" si="31"/>
        <v>2014.3333333333333</v>
      </c>
      <c r="AB28" s="1735">
        <f t="shared" si="32"/>
        <v>2018.5833333333333</v>
      </c>
      <c r="AC28" s="1688">
        <f t="shared" si="33"/>
        <v>2013.3333333333333</v>
      </c>
      <c r="AD28" s="1688">
        <f t="shared" si="34"/>
        <v>-8.3333333333333329E-2</v>
      </c>
      <c r="AE28" s="1880">
        <f t="shared" si="35"/>
        <v>169260.3125</v>
      </c>
    </row>
    <row r="29" spans="1:31" s="1688" customFormat="1">
      <c r="A29" s="1848" t="s">
        <v>2359</v>
      </c>
      <c r="B29" s="1727">
        <v>308164</v>
      </c>
      <c r="C29" s="1728" t="s">
        <v>2212</v>
      </c>
      <c r="D29" s="1729">
        <v>8</v>
      </c>
      <c r="E29" s="1729">
        <v>2010</v>
      </c>
      <c r="F29" s="1730">
        <v>285070</v>
      </c>
      <c r="G29" s="1741">
        <v>0</v>
      </c>
      <c r="H29" s="1729">
        <v>8</v>
      </c>
      <c r="I29" s="1688">
        <f t="shared" si="18"/>
        <v>2018</v>
      </c>
      <c r="J29" s="1731"/>
      <c r="K29" s="1732"/>
      <c r="L29" s="1733">
        <v>0</v>
      </c>
      <c r="M29" s="1691">
        <f t="shared" si="19"/>
        <v>285070</v>
      </c>
      <c r="N29" s="1691">
        <f t="shared" si="20"/>
        <v>2969.4791666666665</v>
      </c>
      <c r="O29" s="1691">
        <f t="shared" si="21"/>
        <v>35633.75</v>
      </c>
      <c r="P29" s="1734">
        <f t="shared" si="22"/>
        <v>97992.8125</v>
      </c>
      <c r="Q29" s="1734">
        <f t="shared" si="23"/>
        <v>133626.5625</v>
      </c>
      <c r="R29" s="1691">
        <f t="shared" si="24"/>
        <v>169260.3125</v>
      </c>
      <c r="S29" s="1691">
        <f t="shared" si="25"/>
        <v>0</v>
      </c>
      <c r="T29" s="1691">
        <f t="shared" si="26"/>
        <v>35633.75</v>
      </c>
      <c r="U29" s="1833">
        <v>1</v>
      </c>
      <c r="V29" s="1834">
        <f t="shared" si="27"/>
        <v>35633.75</v>
      </c>
      <c r="W29" s="1833">
        <v>1</v>
      </c>
      <c r="X29" s="1691">
        <f t="shared" si="28"/>
        <v>97992.8125</v>
      </c>
      <c r="Y29" s="1691">
        <f t="shared" si="29"/>
        <v>97992.8125</v>
      </c>
      <c r="Z29" s="1735">
        <f t="shared" si="30"/>
        <v>2010.5833333333333</v>
      </c>
      <c r="AA29" s="1693">
        <f t="shared" si="31"/>
        <v>2014.3333333333333</v>
      </c>
      <c r="AB29" s="1735">
        <f t="shared" si="32"/>
        <v>2018.5833333333333</v>
      </c>
      <c r="AC29" s="1688">
        <f t="shared" si="33"/>
        <v>2013.3333333333333</v>
      </c>
      <c r="AD29" s="1688">
        <f t="shared" si="34"/>
        <v>-8.3333333333333329E-2</v>
      </c>
      <c r="AE29" s="1880">
        <f t="shared" si="35"/>
        <v>169260.3125</v>
      </c>
    </row>
    <row r="30" spans="1:31" s="1688" customFormat="1">
      <c r="A30" s="1848" t="s">
        <v>2359</v>
      </c>
      <c r="B30" s="1727">
        <v>308171</v>
      </c>
      <c r="C30" s="1728" t="s">
        <v>2212</v>
      </c>
      <c r="D30" s="1729">
        <v>8</v>
      </c>
      <c r="E30" s="1729">
        <v>2010</v>
      </c>
      <c r="F30" s="1730">
        <v>285070</v>
      </c>
      <c r="G30" s="1741">
        <v>0</v>
      </c>
      <c r="H30" s="1729">
        <v>8</v>
      </c>
      <c r="I30" s="1688">
        <f t="shared" si="18"/>
        <v>2018</v>
      </c>
      <c r="J30" s="1731"/>
      <c r="K30" s="1732"/>
      <c r="L30" s="1733">
        <v>0</v>
      </c>
      <c r="M30" s="1691">
        <f t="shared" si="19"/>
        <v>285070</v>
      </c>
      <c r="N30" s="1691">
        <f t="shared" si="20"/>
        <v>2969.4791666666665</v>
      </c>
      <c r="O30" s="1691">
        <f t="shared" si="21"/>
        <v>35633.75</v>
      </c>
      <c r="P30" s="1734">
        <f t="shared" si="22"/>
        <v>97992.8125</v>
      </c>
      <c r="Q30" s="1734">
        <f t="shared" si="23"/>
        <v>133626.5625</v>
      </c>
      <c r="R30" s="1691">
        <f t="shared" si="24"/>
        <v>169260.3125</v>
      </c>
      <c r="S30" s="1691">
        <f t="shared" si="25"/>
        <v>0</v>
      </c>
      <c r="T30" s="1691">
        <f t="shared" si="26"/>
        <v>35633.75</v>
      </c>
      <c r="U30" s="1833">
        <v>1</v>
      </c>
      <c r="V30" s="1834">
        <f t="shared" si="27"/>
        <v>35633.75</v>
      </c>
      <c r="W30" s="1833">
        <v>1</v>
      </c>
      <c r="X30" s="1691">
        <f t="shared" si="28"/>
        <v>97992.8125</v>
      </c>
      <c r="Y30" s="1691">
        <f t="shared" si="29"/>
        <v>97992.8125</v>
      </c>
      <c r="Z30" s="1735">
        <f t="shared" si="30"/>
        <v>2010.5833333333333</v>
      </c>
      <c r="AA30" s="1693">
        <f t="shared" si="31"/>
        <v>2014.3333333333333</v>
      </c>
      <c r="AB30" s="1735">
        <f t="shared" si="32"/>
        <v>2018.5833333333333</v>
      </c>
      <c r="AC30" s="1688">
        <f t="shared" si="33"/>
        <v>2013.3333333333333</v>
      </c>
      <c r="AD30" s="1688">
        <f t="shared" si="34"/>
        <v>-8.3333333333333329E-2</v>
      </c>
      <c r="AE30" s="1880">
        <f t="shared" si="35"/>
        <v>169260.3125</v>
      </c>
    </row>
    <row r="31" spans="1:31" s="1688" customFormat="1">
      <c r="A31" s="1848" t="s">
        <v>2359</v>
      </c>
      <c r="B31" s="1727">
        <v>308172</v>
      </c>
      <c r="C31" s="1728" t="s">
        <v>2212</v>
      </c>
      <c r="D31" s="1729">
        <v>8</v>
      </c>
      <c r="E31" s="1729">
        <v>2010</v>
      </c>
      <c r="F31" s="1730">
        <v>285143</v>
      </c>
      <c r="G31" s="1741">
        <v>0</v>
      </c>
      <c r="H31" s="1729">
        <v>8</v>
      </c>
      <c r="I31" s="1688">
        <f t="shared" si="18"/>
        <v>2018</v>
      </c>
      <c r="J31" s="1731"/>
      <c r="K31" s="1732"/>
      <c r="L31" s="1733">
        <v>0</v>
      </c>
      <c r="M31" s="1691">
        <f t="shared" si="19"/>
        <v>285143</v>
      </c>
      <c r="N31" s="1691">
        <f t="shared" si="20"/>
        <v>2970.2395833333335</v>
      </c>
      <c r="O31" s="1691">
        <f t="shared" si="21"/>
        <v>35642.875</v>
      </c>
      <c r="P31" s="1734">
        <f t="shared" si="22"/>
        <v>98017.90625</v>
      </c>
      <c r="Q31" s="1734">
        <f t="shared" si="23"/>
        <v>133660.78125</v>
      </c>
      <c r="R31" s="1691">
        <f t="shared" si="24"/>
        <v>169303.65625</v>
      </c>
      <c r="S31" s="1691">
        <f t="shared" si="25"/>
        <v>0</v>
      </c>
      <c r="T31" s="1691">
        <f t="shared" si="26"/>
        <v>35642.875</v>
      </c>
      <c r="U31" s="1833">
        <v>1</v>
      </c>
      <c r="V31" s="1834">
        <f t="shared" si="27"/>
        <v>35642.875</v>
      </c>
      <c r="W31" s="1833">
        <v>1</v>
      </c>
      <c r="X31" s="1691">
        <f t="shared" si="28"/>
        <v>98017.90625</v>
      </c>
      <c r="Y31" s="1691">
        <f t="shared" si="29"/>
        <v>98017.90625</v>
      </c>
      <c r="Z31" s="1735">
        <f t="shared" si="30"/>
        <v>2010.5833333333333</v>
      </c>
      <c r="AA31" s="1693">
        <f t="shared" si="31"/>
        <v>2014.3333333333333</v>
      </c>
      <c r="AB31" s="1735">
        <f t="shared" si="32"/>
        <v>2018.5833333333333</v>
      </c>
      <c r="AC31" s="1688">
        <f t="shared" si="33"/>
        <v>2013.3333333333333</v>
      </c>
      <c r="AD31" s="1688">
        <f t="shared" si="34"/>
        <v>-8.3333333333333329E-2</v>
      </c>
      <c r="AE31" s="1880">
        <f t="shared" si="35"/>
        <v>169303.65625</v>
      </c>
    </row>
    <row r="32" spans="1:31" s="1688" customFormat="1">
      <c r="A32" s="1848" t="s">
        <v>2359</v>
      </c>
      <c r="B32" s="1727">
        <v>319645</v>
      </c>
      <c r="C32" s="1728" t="s">
        <v>2213</v>
      </c>
      <c r="D32" s="1729">
        <v>4</v>
      </c>
      <c r="E32" s="1729">
        <v>2011</v>
      </c>
      <c r="F32" s="1730">
        <v>300077</v>
      </c>
      <c r="G32" s="1741">
        <v>0</v>
      </c>
      <c r="H32" s="1729">
        <v>8</v>
      </c>
      <c r="I32" s="1688">
        <f t="shared" si="18"/>
        <v>2019</v>
      </c>
      <c r="J32" s="1731"/>
      <c r="K32" s="1732"/>
      <c r="L32" s="1733">
        <v>0</v>
      </c>
      <c r="M32" s="1691">
        <f t="shared" si="19"/>
        <v>300077</v>
      </c>
      <c r="N32" s="1691">
        <f t="shared" si="20"/>
        <v>3125.8020833333335</v>
      </c>
      <c r="O32" s="1691">
        <f t="shared" si="21"/>
        <v>37509.625</v>
      </c>
      <c r="P32" s="1734">
        <f t="shared" si="22"/>
        <v>78145.052083330491</v>
      </c>
      <c r="Q32" s="1734">
        <f t="shared" si="23"/>
        <v>115654.67708333049</v>
      </c>
      <c r="R32" s="1691">
        <f t="shared" si="24"/>
        <v>203177.13541666951</v>
      </c>
      <c r="S32" s="1691">
        <f t="shared" si="25"/>
        <v>0</v>
      </c>
      <c r="T32" s="1691">
        <f t="shared" si="26"/>
        <v>37509.625</v>
      </c>
      <c r="U32" s="1833">
        <v>1</v>
      </c>
      <c r="V32" s="1834">
        <f t="shared" si="27"/>
        <v>37509.625</v>
      </c>
      <c r="W32" s="1833">
        <v>1</v>
      </c>
      <c r="X32" s="1691">
        <f t="shared" si="28"/>
        <v>78145.052083330491</v>
      </c>
      <c r="Y32" s="1691">
        <f t="shared" si="29"/>
        <v>78145.052083330491</v>
      </c>
      <c r="Z32" s="1735">
        <f t="shared" si="30"/>
        <v>2011.25</v>
      </c>
      <c r="AA32" s="1693">
        <f t="shared" si="31"/>
        <v>2014.3333333333333</v>
      </c>
      <c r="AB32" s="1735">
        <f t="shared" si="32"/>
        <v>2019.25</v>
      </c>
      <c r="AC32" s="1688">
        <f t="shared" si="33"/>
        <v>2013.3333333333333</v>
      </c>
      <c r="AD32" s="1688">
        <f t="shared" si="34"/>
        <v>-8.3333333333333329E-2</v>
      </c>
      <c r="AE32" s="1880">
        <f t="shared" si="35"/>
        <v>203177.13541666951</v>
      </c>
    </row>
    <row r="33" spans="1:31" s="1688" customFormat="1">
      <c r="A33" s="1848" t="s">
        <v>2359</v>
      </c>
      <c r="B33" s="1727">
        <v>319653</v>
      </c>
      <c r="C33" s="1728" t="s">
        <v>2213</v>
      </c>
      <c r="D33" s="1729">
        <v>4</v>
      </c>
      <c r="E33" s="1729">
        <v>2011</v>
      </c>
      <c r="F33" s="1730">
        <v>300077</v>
      </c>
      <c r="G33" s="1741">
        <v>0</v>
      </c>
      <c r="H33" s="1729">
        <v>8</v>
      </c>
      <c r="I33" s="1688">
        <f t="shared" si="18"/>
        <v>2019</v>
      </c>
      <c r="J33" s="1731"/>
      <c r="K33" s="1732"/>
      <c r="L33" s="1733">
        <v>0</v>
      </c>
      <c r="M33" s="1691">
        <f t="shared" si="19"/>
        <v>300077</v>
      </c>
      <c r="N33" s="1691">
        <f t="shared" si="20"/>
        <v>3125.8020833333335</v>
      </c>
      <c r="O33" s="1691">
        <f t="shared" si="21"/>
        <v>37509.625</v>
      </c>
      <c r="P33" s="1734">
        <f t="shared" si="22"/>
        <v>78145.052083330491</v>
      </c>
      <c r="Q33" s="1734">
        <f t="shared" si="23"/>
        <v>115654.67708333049</v>
      </c>
      <c r="R33" s="1691">
        <f t="shared" si="24"/>
        <v>203177.13541666951</v>
      </c>
      <c r="S33" s="1691">
        <f t="shared" si="25"/>
        <v>0</v>
      </c>
      <c r="T33" s="1691">
        <f t="shared" si="26"/>
        <v>37509.625</v>
      </c>
      <c r="U33" s="1833">
        <v>1</v>
      </c>
      <c r="V33" s="1834">
        <f t="shared" si="27"/>
        <v>37509.625</v>
      </c>
      <c r="W33" s="1833">
        <v>1</v>
      </c>
      <c r="X33" s="1691">
        <f t="shared" si="28"/>
        <v>78145.052083330491</v>
      </c>
      <c r="Y33" s="1691">
        <f t="shared" si="29"/>
        <v>78145.052083330491</v>
      </c>
      <c r="Z33" s="1735">
        <f t="shared" si="30"/>
        <v>2011.25</v>
      </c>
      <c r="AA33" s="1693">
        <f t="shared" si="31"/>
        <v>2014.3333333333333</v>
      </c>
      <c r="AB33" s="1735">
        <f t="shared" si="32"/>
        <v>2019.25</v>
      </c>
      <c r="AC33" s="1688">
        <f t="shared" si="33"/>
        <v>2013.3333333333333</v>
      </c>
      <c r="AD33" s="1688">
        <f t="shared" si="34"/>
        <v>-8.3333333333333329E-2</v>
      </c>
      <c r="AE33" s="1880">
        <f t="shared" si="35"/>
        <v>203177.13541666951</v>
      </c>
    </row>
    <row r="34" spans="1:31" s="1688" customFormat="1">
      <c r="A34" s="1848" t="s">
        <v>2359</v>
      </c>
      <c r="B34" s="1727">
        <v>320482</v>
      </c>
      <c r="C34" s="1728" t="s">
        <v>2213</v>
      </c>
      <c r="D34" s="1729">
        <v>5</v>
      </c>
      <c r="E34" s="1729">
        <v>2011</v>
      </c>
      <c r="F34" s="1730">
        <v>330067.03999999998</v>
      </c>
      <c r="G34" s="1741">
        <v>0</v>
      </c>
      <c r="H34" s="1729">
        <v>8</v>
      </c>
      <c r="I34" s="1688">
        <f t="shared" si="18"/>
        <v>2019</v>
      </c>
      <c r="J34" s="1731"/>
      <c r="K34" s="1732"/>
      <c r="L34" s="1733">
        <v>0</v>
      </c>
      <c r="M34" s="1691">
        <f t="shared" si="19"/>
        <v>330067.03999999998</v>
      </c>
      <c r="N34" s="1691">
        <f t="shared" si="20"/>
        <v>3438.1983333333333</v>
      </c>
      <c r="O34" s="1691">
        <f t="shared" si="21"/>
        <v>41258.379999999997</v>
      </c>
      <c r="P34" s="1734">
        <f t="shared" si="22"/>
        <v>82516.759999999995</v>
      </c>
      <c r="Q34" s="1734">
        <f t="shared" si="23"/>
        <v>123775.13999999998</v>
      </c>
      <c r="R34" s="1691">
        <f t="shared" si="24"/>
        <v>226921.08999999997</v>
      </c>
      <c r="S34" s="1691">
        <f t="shared" si="25"/>
        <v>0</v>
      </c>
      <c r="T34" s="1691">
        <f t="shared" si="26"/>
        <v>41258.379999999997</v>
      </c>
      <c r="U34" s="1833">
        <v>1</v>
      </c>
      <c r="V34" s="1834">
        <f t="shared" si="27"/>
        <v>41258.379999999997</v>
      </c>
      <c r="W34" s="1833">
        <v>1</v>
      </c>
      <c r="X34" s="1691">
        <f t="shared" si="28"/>
        <v>82516.759999999995</v>
      </c>
      <c r="Y34" s="1691">
        <f t="shared" si="29"/>
        <v>82516.759999999995</v>
      </c>
      <c r="Z34" s="1735">
        <f t="shared" si="30"/>
        <v>2011.3333333333333</v>
      </c>
      <c r="AA34" s="1693">
        <f t="shared" si="31"/>
        <v>2014.3333333333333</v>
      </c>
      <c r="AB34" s="1735">
        <f t="shared" si="32"/>
        <v>2019.3333333333333</v>
      </c>
      <c r="AC34" s="1688">
        <f t="shared" si="33"/>
        <v>2013.3333333333333</v>
      </c>
      <c r="AD34" s="1688">
        <f t="shared" si="34"/>
        <v>-8.3333333333333329E-2</v>
      </c>
      <c r="AE34" s="1880">
        <f t="shared" si="35"/>
        <v>226921.08999999997</v>
      </c>
    </row>
    <row r="35" spans="1:31" s="1688" customFormat="1">
      <c r="A35" s="1848" t="s">
        <v>2359</v>
      </c>
      <c r="B35" s="1727">
        <v>320483</v>
      </c>
      <c r="C35" s="1728" t="s">
        <v>2213</v>
      </c>
      <c r="D35" s="1729">
        <v>5</v>
      </c>
      <c r="E35" s="1729">
        <v>2011</v>
      </c>
      <c r="F35" s="1730">
        <v>330067.03999999998</v>
      </c>
      <c r="G35" s="1741">
        <v>0</v>
      </c>
      <c r="H35" s="1729">
        <v>8</v>
      </c>
      <c r="I35" s="1688">
        <f t="shared" si="18"/>
        <v>2019</v>
      </c>
      <c r="J35" s="1731"/>
      <c r="K35" s="1732"/>
      <c r="L35" s="1733">
        <v>0</v>
      </c>
      <c r="M35" s="1691">
        <f t="shared" si="19"/>
        <v>330067.03999999998</v>
      </c>
      <c r="N35" s="1691">
        <f t="shared" si="20"/>
        <v>3438.1983333333333</v>
      </c>
      <c r="O35" s="1691">
        <f t="shared" si="21"/>
        <v>41258.379999999997</v>
      </c>
      <c r="P35" s="1734">
        <f t="shared" si="22"/>
        <v>82516.759999999995</v>
      </c>
      <c r="Q35" s="1734">
        <f t="shared" si="23"/>
        <v>123775.13999999998</v>
      </c>
      <c r="R35" s="1691">
        <f t="shared" si="24"/>
        <v>226921.08999999997</v>
      </c>
      <c r="S35" s="1691">
        <f t="shared" si="25"/>
        <v>0</v>
      </c>
      <c r="T35" s="1691">
        <f t="shared" si="26"/>
        <v>41258.379999999997</v>
      </c>
      <c r="U35" s="1833">
        <v>1</v>
      </c>
      <c r="V35" s="1834">
        <f t="shared" si="27"/>
        <v>41258.379999999997</v>
      </c>
      <c r="W35" s="1833">
        <v>1</v>
      </c>
      <c r="X35" s="1691">
        <f t="shared" si="28"/>
        <v>82516.759999999995</v>
      </c>
      <c r="Y35" s="1691">
        <f t="shared" si="29"/>
        <v>82516.759999999995</v>
      </c>
      <c r="Z35" s="1735">
        <f t="shared" si="30"/>
        <v>2011.3333333333333</v>
      </c>
      <c r="AA35" s="1693">
        <f t="shared" si="31"/>
        <v>2014.3333333333333</v>
      </c>
      <c r="AB35" s="1735">
        <f t="shared" si="32"/>
        <v>2019.3333333333333</v>
      </c>
      <c r="AC35" s="1688">
        <f t="shared" si="33"/>
        <v>2013.3333333333333</v>
      </c>
      <c r="AD35" s="1688">
        <f t="shared" si="34"/>
        <v>-8.3333333333333329E-2</v>
      </c>
      <c r="AE35" s="1880">
        <f t="shared" si="35"/>
        <v>226921.08999999997</v>
      </c>
    </row>
    <row r="36" spans="1:31" s="1688" customFormat="1">
      <c r="A36" s="1848" t="s">
        <v>2359</v>
      </c>
      <c r="B36" s="1727">
        <v>320486</v>
      </c>
      <c r="C36" s="1728" t="s">
        <v>2213</v>
      </c>
      <c r="D36" s="1729">
        <v>5</v>
      </c>
      <c r="E36" s="1729">
        <v>2011</v>
      </c>
      <c r="F36" s="1730">
        <v>330067.03999999998</v>
      </c>
      <c r="G36" s="1741">
        <v>0</v>
      </c>
      <c r="H36" s="1729">
        <v>8</v>
      </c>
      <c r="I36" s="1688">
        <f t="shared" si="18"/>
        <v>2019</v>
      </c>
      <c r="J36" s="1731"/>
      <c r="K36" s="1732"/>
      <c r="L36" s="1733">
        <v>0</v>
      </c>
      <c r="M36" s="1691">
        <f t="shared" si="19"/>
        <v>330067.03999999998</v>
      </c>
      <c r="N36" s="1691">
        <f t="shared" si="20"/>
        <v>3438.1983333333333</v>
      </c>
      <c r="O36" s="1691">
        <f t="shared" si="21"/>
        <v>41258.379999999997</v>
      </c>
      <c r="P36" s="1734">
        <f t="shared" si="22"/>
        <v>82516.759999999995</v>
      </c>
      <c r="Q36" s="1734">
        <f t="shared" si="23"/>
        <v>123775.13999999998</v>
      </c>
      <c r="R36" s="1691">
        <f t="shared" si="24"/>
        <v>226921.08999999997</v>
      </c>
      <c r="S36" s="1691">
        <f t="shared" si="25"/>
        <v>0</v>
      </c>
      <c r="T36" s="1691">
        <f t="shared" si="26"/>
        <v>41258.379999999997</v>
      </c>
      <c r="U36" s="1833">
        <v>1</v>
      </c>
      <c r="V36" s="1834">
        <f t="shared" si="27"/>
        <v>41258.379999999997</v>
      </c>
      <c r="W36" s="1833">
        <v>1</v>
      </c>
      <c r="X36" s="1691">
        <f t="shared" si="28"/>
        <v>82516.759999999995</v>
      </c>
      <c r="Y36" s="1691">
        <f t="shared" si="29"/>
        <v>82516.759999999995</v>
      </c>
      <c r="Z36" s="1735">
        <f t="shared" si="30"/>
        <v>2011.3333333333333</v>
      </c>
      <c r="AA36" s="1693">
        <f t="shared" si="31"/>
        <v>2014.3333333333333</v>
      </c>
      <c r="AB36" s="1735">
        <f t="shared" si="32"/>
        <v>2019.3333333333333</v>
      </c>
      <c r="AC36" s="1688">
        <f t="shared" si="33"/>
        <v>2013.3333333333333</v>
      </c>
      <c r="AD36" s="1688">
        <f t="shared" si="34"/>
        <v>-8.3333333333333329E-2</v>
      </c>
      <c r="AE36" s="1880">
        <f t="shared" si="35"/>
        <v>226921.08999999997</v>
      </c>
    </row>
    <row r="37" spans="1:31" s="1688" customFormat="1">
      <c r="A37" s="1848" t="s">
        <v>2359</v>
      </c>
      <c r="B37" s="1727">
        <v>320489</v>
      </c>
      <c r="C37" s="1728" t="s">
        <v>2213</v>
      </c>
      <c r="D37" s="1729">
        <v>5</v>
      </c>
      <c r="E37" s="1729">
        <v>2011</v>
      </c>
      <c r="F37" s="1730">
        <v>330067.03999999998</v>
      </c>
      <c r="G37" s="1741">
        <v>0</v>
      </c>
      <c r="H37" s="1729">
        <v>8</v>
      </c>
      <c r="I37" s="1688">
        <f t="shared" si="18"/>
        <v>2019</v>
      </c>
      <c r="J37" s="1731"/>
      <c r="K37" s="1732"/>
      <c r="L37" s="1733">
        <v>0</v>
      </c>
      <c r="M37" s="1691">
        <f t="shared" si="19"/>
        <v>330067.03999999998</v>
      </c>
      <c r="N37" s="1691">
        <f t="shared" si="20"/>
        <v>3438.1983333333333</v>
      </c>
      <c r="O37" s="1691">
        <f t="shared" si="21"/>
        <v>41258.379999999997</v>
      </c>
      <c r="P37" s="1734">
        <f t="shared" si="22"/>
        <v>82516.759999999995</v>
      </c>
      <c r="Q37" s="1734">
        <f t="shared" si="23"/>
        <v>123775.13999999998</v>
      </c>
      <c r="R37" s="1691">
        <f t="shared" si="24"/>
        <v>226921.08999999997</v>
      </c>
      <c r="S37" s="1691">
        <f t="shared" si="25"/>
        <v>0</v>
      </c>
      <c r="T37" s="1691">
        <f t="shared" si="26"/>
        <v>41258.379999999997</v>
      </c>
      <c r="U37" s="1833">
        <v>1</v>
      </c>
      <c r="V37" s="1834">
        <f t="shared" si="27"/>
        <v>41258.379999999997</v>
      </c>
      <c r="W37" s="1833">
        <v>1</v>
      </c>
      <c r="X37" s="1691">
        <f t="shared" si="28"/>
        <v>82516.759999999995</v>
      </c>
      <c r="Y37" s="1691">
        <f t="shared" si="29"/>
        <v>82516.759999999995</v>
      </c>
      <c r="Z37" s="1735">
        <f t="shared" si="30"/>
        <v>2011.3333333333333</v>
      </c>
      <c r="AA37" s="1693">
        <f t="shared" si="31"/>
        <v>2014.3333333333333</v>
      </c>
      <c r="AB37" s="1735">
        <f t="shared" si="32"/>
        <v>2019.3333333333333</v>
      </c>
      <c r="AC37" s="1688">
        <f t="shared" si="33"/>
        <v>2013.3333333333333</v>
      </c>
      <c r="AD37" s="1688">
        <f t="shared" si="34"/>
        <v>-8.3333333333333329E-2</v>
      </c>
      <c r="AE37" s="1880">
        <f t="shared" si="35"/>
        <v>226921.08999999997</v>
      </c>
    </row>
    <row r="38" spans="1:31" s="1688" customFormat="1">
      <c r="A38" s="1848" t="s">
        <v>2359</v>
      </c>
      <c r="B38" s="1727">
        <v>320497</v>
      </c>
      <c r="C38" s="1728" t="s">
        <v>2213</v>
      </c>
      <c r="D38" s="1729">
        <v>5</v>
      </c>
      <c r="E38" s="1729">
        <v>2011</v>
      </c>
      <c r="F38" s="1730">
        <v>330067.03999999998</v>
      </c>
      <c r="G38" s="1741">
        <v>0</v>
      </c>
      <c r="H38" s="1729">
        <v>8</v>
      </c>
      <c r="I38" s="1688">
        <f t="shared" si="18"/>
        <v>2019</v>
      </c>
      <c r="J38" s="1731"/>
      <c r="K38" s="1732"/>
      <c r="L38" s="1733">
        <v>0</v>
      </c>
      <c r="M38" s="1691">
        <f t="shared" si="19"/>
        <v>330067.03999999998</v>
      </c>
      <c r="N38" s="1691">
        <f t="shared" si="20"/>
        <v>3438.1983333333333</v>
      </c>
      <c r="O38" s="1691">
        <f t="shared" si="21"/>
        <v>41258.379999999997</v>
      </c>
      <c r="P38" s="1734">
        <f t="shared" si="22"/>
        <v>82516.759999999995</v>
      </c>
      <c r="Q38" s="1734">
        <f t="shared" si="23"/>
        <v>123775.13999999998</v>
      </c>
      <c r="R38" s="1691">
        <f t="shared" si="24"/>
        <v>226921.08999999997</v>
      </c>
      <c r="S38" s="1691">
        <f t="shared" si="25"/>
        <v>0</v>
      </c>
      <c r="T38" s="1691">
        <f t="shared" si="26"/>
        <v>41258.379999999997</v>
      </c>
      <c r="U38" s="1833">
        <v>1</v>
      </c>
      <c r="V38" s="1834">
        <f t="shared" si="27"/>
        <v>41258.379999999997</v>
      </c>
      <c r="W38" s="1833">
        <v>1</v>
      </c>
      <c r="X38" s="1691">
        <f t="shared" si="28"/>
        <v>82516.759999999995</v>
      </c>
      <c r="Y38" s="1691">
        <f t="shared" si="29"/>
        <v>82516.759999999995</v>
      </c>
      <c r="Z38" s="1735">
        <f t="shared" si="30"/>
        <v>2011.3333333333333</v>
      </c>
      <c r="AA38" s="1693">
        <f t="shared" si="31"/>
        <v>2014.3333333333333</v>
      </c>
      <c r="AB38" s="1735">
        <f t="shared" si="32"/>
        <v>2019.3333333333333</v>
      </c>
      <c r="AC38" s="1688">
        <f t="shared" si="33"/>
        <v>2013.3333333333333</v>
      </c>
      <c r="AD38" s="1688">
        <f t="shared" si="34"/>
        <v>-8.3333333333333329E-2</v>
      </c>
      <c r="AE38" s="1880">
        <f t="shared" si="35"/>
        <v>226921.08999999997</v>
      </c>
    </row>
    <row r="39" spans="1:31" s="1688" customFormat="1">
      <c r="A39" s="1848" t="s">
        <v>2359</v>
      </c>
      <c r="B39" s="1727">
        <v>320499</v>
      </c>
      <c r="C39" s="1728" t="s">
        <v>2213</v>
      </c>
      <c r="D39" s="1729">
        <v>5</v>
      </c>
      <c r="E39" s="1729">
        <v>2011</v>
      </c>
      <c r="F39" s="1730">
        <v>301876.18</v>
      </c>
      <c r="G39" s="1741">
        <v>0</v>
      </c>
      <c r="H39" s="1729">
        <v>8</v>
      </c>
      <c r="I39" s="1688">
        <f t="shared" si="18"/>
        <v>2019</v>
      </c>
      <c r="J39" s="1731"/>
      <c r="K39" s="1732"/>
      <c r="L39" s="1733">
        <v>0</v>
      </c>
      <c r="M39" s="1691">
        <f t="shared" si="19"/>
        <v>301876.18</v>
      </c>
      <c r="N39" s="1691">
        <f t="shared" si="20"/>
        <v>3144.5435416666664</v>
      </c>
      <c r="O39" s="1691">
        <f t="shared" si="21"/>
        <v>37734.522499999999</v>
      </c>
      <c r="P39" s="1734">
        <f t="shared" si="22"/>
        <v>75469.044999999998</v>
      </c>
      <c r="Q39" s="1734">
        <f t="shared" si="23"/>
        <v>113203.5675</v>
      </c>
      <c r="R39" s="1691">
        <f t="shared" si="24"/>
        <v>207539.87375</v>
      </c>
      <c r="S39" s="1691">
        <f t="shared" si="25"/>
        <v>0</v>
      </c>
      <c r="T39" s="1691">
        <f t="shared" si="26"/>
        <v>37734.522499999999</v>
      </c>
      <c r="U39" s="1833">
        <v>1</v>
      </c>
      <c r="V39" s="1834">
        <f t="shared" si="27"/>
        <v>37734.522499999999</v>
      </c>
      <c r="W39" s="1833">
        <v>1</v>
      </c>
      <c r="X39" s="1691">
        <f t="shared" si="28"/>
        <v>75469.044999999998</v>
      </c>
      <c r="Y39" s="1691">
        <f t="shared" si="29"/>
        <v>75469.044999999998</v>
      </c>
      <c r="Z39" s="1735">
        <f t="shared" si="30"/>
        <v>2011.3333333333333</v>
      </c>
      <c r="AA39" s="1693">
        <f t="shared" si="31"/>
        <v>2014.3333333333333</v>
      </c>
      <c r="AB39" s="1735">
        <f t="shared" si="32"/>
        <v>2019.3333333333333</v>
      </c>
      <c r="AC39" s="1688">
        <f t="shared" si="33"/>
        <v>2013.3333333333333</v>
      </c>
      <c r="AD39" s="1688">
        <f t="shared" si="34"/>
        <v>-8.3333333333333329E-2</v>
      </c>
      <c r="AE39" s="1880">
        <f t="shared" si="35"/>
        <v>207539.87375</v>
      </c>
    </row>
    <row r="40" spans="1:31" s="1688" customFormat="1">
      <c r="A40" s="1848" t="s">
        <v>2359</v>
      </c>
      <c r="B40" s="1727">
        <v>320500</v>
      </c>
      <c r="C40" s="1728" t="s">
        <v>2213</v>
      </c>
      <c r="D40" s="1729">
        <v>5</v>
      </c>
      <c r="E40" s="1729">
        <v>2011</v>
      </c>
      <c r="F40" s="1730">
        <v>330067.03999999998</v>
      </c>
      <c r="G40" s="1741">
        <v>0</v>
      </c>
      <c r="H40" s="1729">
        <v>8</v>
      </c>
      <c r="I40" s="1688">
        <f t="shared" si="18"/>
        <v>2019</v>
      </c>
      <c r="J40" s="1731"/>
      <c r="K40" s="1732"/>
      <c r="L40" s="1733">
        <v>0</v>
      </c>
      <c r="M40" s="1691">
        <f t="shared" si="19"/>
        <v>330067.03999999998</v>
      </c>
      <c r="N40" s="1691">
        <f t="shared" si="20"/>
        <v>3438.1983333333333</v>
      </c>
      <c r="O40" s="1691">
        <f t="shared" si="21"/>
        <v>41258.379999999997</v>
      </c>
      <c r="P40" s="1734">
        <f t="shared" si="22"/>
        <v>82516.759999999995</v>
      </c>
      <c r="Q40" s="1734">
        <f t="shared" si="23"/>
        <v>123775.13999999998</v>
      </c>
      <c r="R40" s="1691">
        <f t="shared" si="24"/>
        <v>226921.08999999997</v>
      </c>
      <c r="S40" s="1691">
        <f t="shared" si="25"/>
        <v>0</v>
      </c>
      <c r="T40" s="1691">
        <f t="shared" si="26"/>
        <v>41258.379999999997</v>
      </c>
      <c r="U40" s="1833">
        <v>1</v>
      </c>
      <c r="V40" s="1834">
        <f t="shared" si="27"/>
        <v>41258.379999999997</v>
      </c>
      <c r="W40" s="1833">
        <v>1</v>
      </c>
      <c r="X40" s="1691">
        <f t="shared" si="28"/>
        <v>82516.759999999995</v>
      </c>
      <c r="Y40" s="1691">
        <f t="shared" si="29"/>
        <v>82516.759999999995</v>
      </c>
      <c r="Z40" s="1735">
        <f t="shared" si="30"/>
        <v>2011.3333333333333</v>
      </c>
      <c r="AA40" s="1693">
        <f t="shared" si="31"/>
        <v>2014.3333333333333</v>
      </c>
      <c r="AB40" s="1735">
        <f t="shared" si="32"/>
        <v>2019.3333333333333</v>
      </c>
      <c r="AC40" s="1688">
        <f t="shared" si="33"/>
        <v>2013.3333333333333</v>
      </c>
      <c r="AD40" s="1688">
        <f t="shared" si="34"/>
        <v>-8.3333333333333329E-2</v>
      </c>
      <c r="AE40" s="1880">
        <f t="shared" si="35"/>
        <v>226921.08999999997</v>
      </c>
    </row>
    <row r="41" spans="1:31" s="1688" customFormat="1">
      <c r="A41" s="1848" t="s">
        <v>2359</v>
      </c>
      <c r="B41" s="1727">
        <v>320504</v>
      </c>
      <c r="C41" s="1728" t="s">
        <v>2213</v>
      </c>
      <c r="D41" s="1729">
        <v>5</v>
      </c>
      <c r="E41" s="1729">
        <v>2011</v>
      </c>
      <c r="F41" s="1730">
        <v>330067.03999999998</v>
      </c>
      <c r="G41" s="1741">
        <v>0</v>
      </c>
      <c r="H41" s="1729">
        <v>8</v>
      </c>
      <c r="I41" s="1688">
        <f t="shared" si="18"/>
        <v>2019</v>
      </c>
      <c r="J41" s="1731"/>
      <c r="K41" s="1732"/>
      <c r="L41" s="1733">
        <v>0</v>
      </c>
      <c r="M41" s="1691">
        <f t="shared" si="19"/>
        <v>330067.03999999998</v>
      </c>
      <c r="N41" s="1691">
        <f t="shared" si="20"/>
        <v>3438.1983333333333</v>
      </c>
      <c r="O41" s="1691">
        <f t="shared" si="21"/>
        <v>41258.379999999997</v>
      </c>
      <c r="P41" s="1734">
        <f t="shared" si="22"/>
        <v>82516.759999999995</v>
      </c>
      <c r="Q41" s="1734">
        <f t="shared" si="23"/>
        <v>123775.13999999998</v>
      </c>
      <c r="R41" s="1691">
        <f t="shared" si="24"/>
        <v>226921.08999999997</v>
      </c>
      <c r="S41" s="1691">
        <f t="shared" si="25"/>
        <v>0</v>
      </c>
      <c r="T41" s="1691">
        <f t="shared" si="26"/>
        <v>41258.379999999997</v>
      </c>
      <c r="U41" s="1833">
        <v>1</v>
      </c>
      <c r="V41" s="1834">
        <f t="shared" si="27"/>
        <v>41258.379999999997</v>
      </c>
      <c r="W41" s="1833">
        <v>1</v>
      </c>
      <c r="X41" s="1691">
        <f t="shared" si="28"/>
        <v>82516.759999999995</v>
      </c>
      <c r="Y41" s="1691">
        <f t="shared" si="29"/>
        <v>82516.759999999995</v>
      </c>
      <c r="Z41" s="1735">
        <f t="shared" si="30"/>
        <v>2011.3333333333333</v>
      </c>
      <c r="AA41" s="1693">
        <f t="shared" si="31"/>
        <v>2014.3333333333333</v>
      </c>
      <c r="AB41" s="1735">
        <f t="shared" si="32"/>
        <v>2019.3333333333333</v>
      </c>
      <c r="AC41" s="1688">
        <f t="shared" si="33"/>
        <v>2013.3333333333333</v>
      </c>
      <c r="AD41" s="1688">
        <f t="shared" si="34"/>
        <v>-8.3333333333333329E-2</v>
      </c>
      <c r="AE41" s="1880">
        <f t="shared" si="35"/>
        <v>226921.08999999997</v>
      </c>
    </row>
    <row r="42" spans="1:31" s="1688" customFormat="1">
      <c r="A42" s="1848" t="s">
        <v>2359</v>
      </c>
      <c r="B42" s="1727">
        <v>320605</v>
      </c>
      <c r="C42" s="1728" t="s">
        <v>2213</v>
      </c>
      <c r="D42" s="1729">
        <v>5</v>
      </c>
      <c r="E42" s="1729">
        <v>2011</v>
      </c>
      <c r="F42" s="1730">
        <v>304223.75</v>
      </c>
      <c r="G42" s="1741">
        <v>0</v>
      </c>
      <c r="H42" s="1729">
        <v>8</v>
      </c>
      <c r="I42" s="1688">
        <f t="shared" si="18"/>
        <v>2019</v>
      </c>
      <c r="J42" s="1731"/>
      <c r="K42" s="1732"/>
      <c r="L42" s="1733">
        <v>0</v>
      </c>
      <c r="M42" s="1691">
        <f t="shared" si="19"/>
        <v>304223.75</v>
      </c>
      <c r="N42" s="1691">
        <f t="shared" si="20"/>
        <v>3168.9973958333335</v>
      </c>
      <c r="O42" s="1691">
        <f t="shared" si="21"/>
        <v>38027.96875</v>
      </c>
      <c r="P42" s="1734">
        <f t="shared" si="22"/>
        <v>76055.9375</v>
      </c>
      <c r="Q42" s="1734">
        <f t="shared" si="23"/>
        <v>114083.90625</v>
      </c>
      <c r="R42" s="1691">
        <f t="shared" si="24"/>
        <v>209153.828125</v>
      </c>
      <c r="S42" s="1691">
        <f t="shared" si="25"/>
        <v>0</v>
      </c>
      <c r="T42" s="1691">
        <f t="shared" si="26"/>
        <v>38027.96875</v>
      </c>
      <c r="U42" s="1833">
        <v>1</v>
      </c>
      <c r="V42" s="1834">
        <f t="shared" si="27"/>
        <v>38027.96875</v>
      </c>
      <c r="W42" s="1833">
        <v>1</v>
      </c>
      <c r="X42" s="1691">
        <f t="shared" si="28"/>
        <v>76055.9375</v>
      </c>
      <c r="Y42" s="1691">
        <f t="shared" si="29"/>
        <v>76055.9375</v>
      </c>
      <c r="Z42" s="1735">
        <f t="shared" si="30"/>
        <v>2011.3333333333333</v>
      </c>
      <c r="AA42" s="1693">
        <f t="shared" si="31"/>
        <v>2014.3333333333333</v>
      </c>
      <c r="AB42" s="1735">
        <f t="shared" si="32"/>
        <v>2019.3333333333333</v>
      </c>
      <c r="AC42" s="1688">
        <f t="shared" si="33"/>
        <v>2013.3333333333333</v>
      </c>
      <c r="AD42" s="1688">
        <f t="shared" si="34"/>
        <v>-8.3333333333333329E-2</v>
      </c>
      <c r="AE42" s="1880">
        <f t="shared" si="35"/>
        <v>209153.828125</v>
      </c>
    </row>
    <row r="43" spans="1:31" s="1688" customFormat="1">
      <c r="A43" s="1848" t="s">
        <v>2359</v>
      </c>
      <c r="B43" s="1727">
        <v>320607</v>
      </c>
      <c r="C43" s="1728" t="s">
        <v>2213</v>
      </c>
      <c r="D43" s="1729">
        <v>5</v>
      </c>
      <c r="E43" s="1729">
        <v>2011</v>
      </c>
      <c r="F43" s="1730">
        <v>300159.25</v>
      </c>
      <c r="G43" s="1741">
        <v>0</v>
      </c>
      <c r="H43" s="1729">
        <v>8</v>
      </c>
      <c r="I43" s="1688">
        <f t="shared" si="18"/>
        <v>2019</v>
      </c>
      <c r="J43" s="1731"/>
      <c r="K43" s="1732"/>
      <c r="L43" s="1733">
        <v>0</v>
      </c>
      <c r="M43" s="1691">
        <f t="shared" si="19"/>
        <v>300159.25</v>
      </c>
      <c r="N43" s="1691">
        <f t="shared" si="20"/>
        <v>3126.6588541666665</v>
      </c>
      <c r="O43" s="1691">
        <f t="shared" si="21"/>
        <v>37519.90625</v>
      </c>
      <c r="P43" s="1734">
        <f t="shared" si="22"/>
        <v>75039.8125</v>
      </c>
      <c r="Q43" s="1734">
        <f t="shared" si="23"/>
        <v>112559.71875</v>
      </c>
      <c r="R43" s="1691">
        <f t="shared" si="24"/>
        <v>206359.484375</v>
      </c>
      <c r="S43" s="1691">
        <f t="shared" si="25"/>
        <v>0</v>
      </c>
      <c r="T43" s="1691">
        <f t="shared" si="26"/>
        <v>37519.90625</v>
      </c>
      <c r="U43" s="1833">
        <v>1</v>
      </c>
      <c r="V43" s="1834">
        <f t="shared" si="27"/>
        <v>37519.90625</v>
      </c>
      <c r="W43" s="1833">
        <v>1</v>
      </c>
      <c r="X43" s="1691">
        <f t="shared" si="28"/>
        <v>75039.8125</v>
      </c>
      <c r="Y43" s="1691">
        <f t="shared" si="29"/>
        <v>75039.8125</v>
      </c>
      <c r="Z43" s="1735">
        <f t="shared" si="30"/>
        <v>2011.3333333333333</v>
      </c>
      <c r="AA43" s="1693">
        <f t="shared" si="31"/>
        <v>2014.3333333333333</v>
      </c>
      <c r="AB43" s="1735">
        <f t="shared" si="32"/>
        <v>2019.3333333333333</v>
      </c>
      <c r="AC43" s="1688">
        <f t="shared" si="33"/>
        <v>2013.3333333333333</v>
      </c>
      <c r="AD43" s="1688">
        <f t="shared" si="34"/>
        <v>-8.3333333333333329E-2</v>
      </c>
      <c r="AE43" s="1880">
        <f t="shared" si="35"/>
        <v>206359.484375</v>
      </c>
    </row>
    <row r="44" spans="1:31" s="1688" customFormat="1">
      <c r="A44" s="1848" t="s">
        <v>2359</v>
      </c>
      <c r="B44" s="1727">
        <v>320617</v>
      </c>
      <c r="C44" s="1728" t="s">
        <v>2213</v>
      </c>
      <c r="D44" s="1729">
        <v>5</v>
      </c>
      <c r="E44" s="1729">
        <v>2011</v>
      </c>
      <c r="F44" s="1730">
        <v>300098.34999999998</v>
      </c>
      <c r="G44" s="1741">
        <v>0</v>
      </c>
      <c r="H44" s="1729">
        <v>8</v>
      </c>
      <c r="I44" s="1688">
        <f t="shared" si="18"/>
        <v>2019</v>
      </c>
      <c r="J44" s="1731"/>
      <c r="K44" s="1732"/>
      <c r="L44" s="1733">
        <v>0</v>
      </c>
      <c r="M44" s="1691">
        <f t="shared" si="19"/>
        <v>300098.34999999998</v>
      </c>
      <c r="N44" s="1691">
        <f t="shared" si="20"/>
        <v>3126.0244791666664</v>
      </c>
      <c r="O44" s="1691">
        <f t="shared" si="21"/>
        <v>37512.293749999997</v>
      </c>
      <c r="P44" s="1734">
        <f t="shared" si="22"/>
        <v>75024.587499999994</v>
      </c>
      <c r="Q44" s="1734">
        <f t="shared" si="23"/>
        <v>112536.88124999999</v>
      </c>
      <c r="R44" s="1691">
        <f t="shared" si="24"/>
        <v>206317.61562499998</v>
      </c>
      <c r="S44" s="1691">
        <f t="shared" si="25"/>
        <v>0</v>
      </c>
      <c r="T44" s="1691">
        <f t="shared" si="26"/>
        <v>37512.293749999997</v>
      </c>
      <c r="U44" s="1833">
        <v>1</v>
      </c>
      <c r="V44" s="1834">
        <f t="shared" si="27"/>
        <v>37512.293749999997</v>
      </c>
      <c r="W44" s="1833">
        <v>1</v>
      </c>
      <c r="X44" s="1691">
        <f t="shared" si="28"/>
        <v>75024.587499999994</v>
      </c>
      <c r="Y44" s="1691">
        <f t="shared" si="29"/>
        <v>75024.587499999994</v>
      </c>
      <c r="Z44" s="1735">
        <f t="shared" si="30"/>
        <v>2011.3333333333333</v>
      </c>
      <c r="AA44" s="1693">
        <f t="shared" si="31"/>
        <v>2014.3333333333333</v>
      </c>
      <c r="AB44" s="1735">
        <f t="shared" si="32"/>
        <v>2019.3333333333333</v>
      </c>
      <c r="AC44" s="1688">
        <f t="shared" si="33"/>
        <v>2013.3333333333333</v>
      </c>
      <c r="AD44" s="1688">
        <f t="shared" si="34"/>
        <v>-8.3333333333333329E-2</v>
      </c>
      <c r="AE44" s="1880">
        <f t="shared" si="35"/>
        <v>206317.61562499998</v>
      </c>
    </row>
    <row r="45" spans="1:31" s="1688" customFormat="1">
      <c r="A45" s="1848" t="s">
        <v>2359</v>
      </c>
      <c r="B45" s="1727">
        <v>320621</v>
      </c>
      <c r="C45" s="1728" t="s">
        <v>2213</v>
      </c>
      <c r="D45" s="1729">
        <v>5</v>
      </c>
      <c r="E45" s="1729">
        <v>2011</v>
      </c>
      <c r="F45" s="1730">
        <v>304223.75</v>
      </c>
      <c r="G45" s="1741">
        <v>0</v>
      </c>
      <c r="H45" s="1729">
        <v>8</v>
      </c>
      <c r="I45" s="1688">
        <f t="shared" si="18"/>
        <v>2019</v>
      </c>
      <c r="J45" s="1731"/>
      <c r="K45" s="1732"/>
      <c r="L45" s="1733">
        <v>0</v>
      </c>
      <c r="M45" s="1691">
        <f t="shared" si="19"/>
        <v>304223.75</v>
      </c>
      <c r="N45" s="1691">
        <f t="shared" si="20"/>
        <v>3168.9973958333335</v>
      </c>
      <c r="O45" s="1691">
        <f t="shared" si="21"/>
        <v>38027.96875</v>
      </c>
      <c r="P45" s="1734">
        <f t="shared" si="22"/>
        <v>76055.9375</v>
      </c>
      <c r="Q45" s="1734">
        <f t="shared" si="23"/>
        <v>114083.90625</v>
      </c>
      <c r="R45" s="1691">
        <f t="shared" si="24"/>
        <v>209153.828125</v>
      </c>
      <c r="S45" s="1691">
        <f t="shared" si="25"/>
        <v>0</v>
      </c>
      <c r="T45" s="1691">
        <f t="shared" si="26"/>
        <v>38027.96875</v>
      </c>
      <c r="U45" s="1833">
        <v>1</v>
      </c>
      <c r="V45" s="1834">
        <f t="shared" si="27"/>
        <v>38027.96875</v>
      </c>
      <c r="W45" s="1833">
        <v>1</v>
      </c>
      <c r="X45" s="1691">
        <f t="shared" si="28"/>
        <v>76055.9375</v>
      </c>
      <c r="Y45" s="1691">
        <f t="shared" si="29"/>
        <v>76055.9375</v>
      </c>
      <c r="Z45" s="1735">
        <f t="shared" si="30"/>
        <v>2011.3333333333333</v>
      </c>
      <c r="AA45" s="1693">
        <f t="shared" si="31"/>
        <v>2014.3333333333333</v>
      </c>
      <c r="AB45" s="1735">
        <f t="shared" si="32"/>
        <v>2019.3333333333333</v>
      </c>
      <c r="AC45" s="1688">
        <f t="shared" si="33"/>
        <v>2013.3333333333333</v>
      </c>
      <c r="AD45" s="1688">
        <f t="shared" si="34"/>
        <v>-8.3333333333333329E-2</v>
      </c>
      <c r="AE45" s="1880">
        <f t="shared" si="35"/>
        <v>209153.828125</v>
      </c>
    </row>
    <row r="46" spans="1:31" s="1688" customFormat="1">
      <c r="A46" s="1848" t="s">
        <v>2359</v>
      </c>
      <c r="B46" s="1727">
        <v>143300</v>
      </c>
      <c r="C46" s="1728" t="s">
        <v>2214</v>
      </c>
      <c r="D46" s="1729">
        <v>11</v>
      </c>
      <c r="E46" s="1729">
        <v>2008</v>
      </c>
      <c r="F46" s="1730">
        <v>120000</v>
      </c>
      <c r="G46" s="1741">
        <v>0</v>
      </c>
      <c r="H46" s="1729">
        <f t="shared" ref="H46:H56" si="36">68/12</f>
        <v>5.666666666666667</v>
      </c>
      <c r="I46" s="1688">
        <f t="shared" si="18"/>
        <v>2013.6666666666667</v>
      </c>
      <c r="J46" s="1731"/>
      <c r="K46" s="1732"/>
      <c r="L46" s="1733">
        <v>0</v>
      </c>
      <c r="M46" s="1691">
        <f t="shared" si="19"/>
        <v>120000</v>
      </c>
      <c r="N46" s="1691">
        <f t="shared" si="20"/>
        <v>1764.7058823529412</v>
      </c>
      <c r="O46" s="1691">
        <f t="shared" si="21"/>
        <v>21176.470588235294</v>
      </c>
      <c r="P46" s="1734">
        <f t="shared" si="22"/>
        <v>95294.117647058825</v>
      </c>
      <c r="Q46" s="1734">
        <f t="shared" si="23"/>
        <v>116470.58823529413</v>
      </c>
      <c r="R46" s="1691">
        <f t="shared" si="24"/>
        <v>14117.647058823524</v>
      </c>
      <c r="S46" s="1691">
        <f t="shared" si="25"/>
        <v>0</v>
      </c>
      <c r="T46" s="1691">
        <f t="shared" si="26"/>
        <v>21176.470588235294</v>
      </c>
      <c r="U46" s="1833">
        <v>1</v>
      </c>
      <c r="V46" s="1834">
        <f t="shared" si="27"/>
        <v>21176.470588235294</v>
      </c>
      <c r="W46" s="1833">
        <v>1</v>
      </c>
      <c r="X46" s="1691">
        <f t="shared" si="28"/>
        <v>95294.117647058825</v>
      </c>
      <c r="Y46" s="1691">
        <f t="shared" si="29"/>
        <v>95294.117647058825</v>
      </c>
      <c r="Z46" s="1735">
        <f t="shared" si="30"/>
        <v>2008.8333333333333</v>
      </c>
      <c r="AA46" s="1693">
        <f t="shared" si="31"/>
        <v>2014.3333333333333</v>
      </c>
      <c r="AB46" s="1735">
        <f t="shared" si="32"/>
        <v>2014.5</v>
      </c>
      <c r="AC46" s="1688">
        <f t="shared" si="33"/>
        <v>2013.3333333333333</v>
      </c>
      <c r="AD46" s="1688">
        <f t="shared" si="34"/>
        <v>-8.3333333333333329E-2</v>
      </c>
      <c r="AE46" s="1880">
        <f t="shared" si="35"/>
        <v>14117.647058823524</v>
      </c>
    </row>
    <row r="47" spans="1:31" s="1688" customFormat="1">
      <c r="A47" s="1848" t="s">
        <v>2359</v>
      </c>
      <c r="B47" s="1727">
        <v>143302</v>
      </c>
      <c r="C47" s="1728" t="s">
        <v>2214</v>
      </c>
      <c r="D47" s="1729">
        <v>11</v>
      </c>
      <c r="E47" s="1729">
        <v>2008</v>
      </c>
      <c r="F47" s="1730">
        <v>120000</v>
      </c>
      <c r="G47" s="1741">
        <v>0</v>
      </c>
      <c r="H47" s="1729">
        <f t="shared" si="36"/>
        <v>5.666666666666667</v>
      </c>
      <c r="I47" s="1688">
        <f t="shared" si="18"/>
        <v>2013.6666666666667</v>
      </c>
      <c r="J47" s="1731"/>
      <c r="K47" s="1732"/>
      <c r="L47" s="1733">
        <v>0</v>
      </c>
      <c r="M47" s="1691">
        <f t="shared" si="19"/>
        <v>120000</v>
      </c>
      <c r="N47" s="1691">
        <f t="shared" si="20"/>
        <v>1764.7058823529412</v>
      </c>
      <c r="O47" s="1691">
        <f t="shared" si="21"/>
        <v>21176.470588235294</v>
      </c>
      <c r="P47" s="1734">
        <f t="shared" si="22"/>
        <v>95294.117647058825</v>
      </c>
      <c r="Q47" s="1734">
        <f t="shared" si="23"/>
        <v>116470.58823529413</v>
      </c>
      <c r="R47" s="1691">
        <f t="shared" si="24"/>
        <v>14117.647058823524</v>
      </c>
      <c r="S47" s="1691">
        <f t="shared" si="25"/>
        <v>0</v>
      </c>
      <c r="T47" s="1691">
        <f t="shared" si="26"/>
        <v>21176.470588235294</v>
      </c>
      <c r="U47" s="1833">
        <v>1</v>
      </c>
      <c r="V47" s="1834">
        <f t="shared" si="27"/>
        <v>21176.470588235294</v>
      </c>
      <c r="W47" s="1833">
        <v>1</v>
      </c>
      <c r="X47" s="1691">
        <f t="shared" si="28"/>
        <v>95294.117647058825</v>
      </c>
      <c r="Y47" s="1691">
        <f t="shared" si="29"/>
        <v>95294.117647058825</v>
      </c>
      <c r="Z47" s="1735">
        <f t="shared" si="30"/>
        <v>2008.8333333333333</v>
      </c>
      <c r="AA47" s="1693">
        <f t="shared" si="31"/>
        <v>2014.3333333333333</v>
      </c>
      <c r="AB47" s="1735">
        <f t="shared" si="32"/>
        <v>2014.5</v>
      </c>
      <c r="AC47" s="1688">
        <f t="shared" si="33"/>
        <v>2013.3333333333333</v>
      </c>
      <c r="AD47" s="1688">
        <f t="shared" si="34"/>
        <v>-8.3333333333333329E-2</v>
      </c>
      <c r="AE47" s="1880">
        <f t="shared" si="35"/>
        <v>14117.647058823524</v>
      </c>
    </row>
    <row r="48" spans="1:31" s="1688" customFormat="1">
      <c r="A48" s="1848" t="s">
        <v>2359</v>
      </c>
      <c r="B48" s="1727">
        <v>143303</v>
      </c>
      <c r="C48" s="1728" t="s">
        <v>2214</v>
      </c>
      <c r="D48" s="1729">
        <v>11</v>
      </c>
      <c r="E48" s="1729">
        <v>2008</v>
      </c>
      <c r="F48" s="1730">
        <v>120000</v>
      </c>
      <c r="G48" s="1741">
        <v>0</v>
      </c>
      <c r="H48" s="1729">
        <f t="shared" si="36"/>
        <v>5.666666666666667</v>
      </c>
      <c r="I48" s="1688">
        <f t="shared" si="18"/>
        <v>2013.6666666666667</v>
      </c>
      <c r="J48" s="1731"/>
      <c r="K48" s="1732"/>
      <c r="L48" s="1733">
        <v>0</v>
      </c>
      <c r="M48" s="1691">
        <f t="shared" si="19"/>
        <v>120000</v>
      </c>
      <c r="N48" s="1691">
        <f t="shared" si="20"/>
        <v>1764.7058823529412</v>
      </c>
      <c r="O48" s="1691">
        <f t="shared" si="21"/>
        <v>21176.470588235294</v>
      </c>
      <c r="P48" s="1734">
        <f t="shared" si="22"/>
        <v>95294.117647058825</v>
      </c>
      <c r="Q48" s="1734">
        <f t="shared" si="23"/>
        <v>116470.58823529413</v>
      </c>
      <c r="R48" s="1691">
        <f t="shared" si="24"/>
        <v>14117.647058823524</v>
      </c>
      <c r="S48" s="1691">
        <f t="shared" si="25"/>
        <v>0</v>
      </c>
      <c r="T48" s="1691">
        <f t="shared" si="26"/>
        <v>21176.470588235294</v>
      </c>
      <c r="U48" s="1833">
        <v>1</v>
      </c>
      <c r="V48" s="1834">
        <f t="shared" si="27"/>
        <v>21176.470588235294</v>
      </c>
      <c r="W48" s="1833">
        <v>1</v>
      </c>
      <c r="X48" s="1691">
        <f t="shared" si="28"/>
        <v>95294.117647058825</v>
      </c>
      <c r="Y48" s="1691">
        <f t="shared" si="29"/>
        <v>95294.117647058825</v>
      </c>
      <c r="Z48" s="1735">
        <f t="shared" si="30"/>
        <v>2008.8333333333333</v>
      </c>
      <c r="AA48" s="1693">
        <f t="shared" si="31"/>
        <v>2014.3333333333333</v>
      </c>
      <c r="AB48" s="1735">
        <f t="shared" si="32"/>
        <v>2014.5</v>
      </c>
      <c r="AC48" s="1688">
        <f t="shared" si="33"/>
        <v>2013.3333333333333</v>
      </c>
      <c r="AD48" s="1688">
        <f t="shared" si="34"/>
        <v>-8.3333333333333329E-2</v>
      </c>
      <c r="AE48" s="1880">
        <f t="shared" si="35"/>
        <v>14117.647058823524</v>
      </c>
    </row>
    <row r="49" spans="1:31" s="1688" customFormat="1">
      <c r="A49" s="1848" t="s">
        <v>2359</v>
      </c>
      <c r="B49" s="1727">
        <v>143304</v>
      </c>
      <c r="C49" s="1728" t="s">
        <v>2214</v>
      </c>
      <c r="D49" s="1729">
        <v>11</v>
      </c>
      <c r="E49" s="1729">
        <v>2008</v>
      </c>
      <c r="F49" s="1730">
        <v>120000</v>
      </c>
      <c r="G49" s="1741">
        <v>0</v>
      </c>
      <c r="H49" s="1729">
        <f t="shared" si="36"/>
        <v>5.666666666666667</v>
      </c>
      <c r="I49" s="1688">
        <f t="shared" si="18"/>
        <v>2013.6666666666667</v>
      </c>
      <c r="J49" s="1731"/>
      <c r="K49" s="1732"/>
      <c r="L49" s="1733">
        <v>0</v>
      </c>
      <c r="M49" s="1691">
        <f t="shared" si="19"/>
        <v>120000</v>
      </c>
      <c r="N49" s="1691">
        <f t="shared" si="20"/>
        <v>1764.7058823529412</v>
      </c>
      <c r="O49" s="1691">
        <f t="shared" si="21"/>
        <v>21176.470588235294</v>
      </c>
      <c r="P49" s="1734">
        <f t="shared" si="22"/>
        <v>95294.117647058825</v>
      </c>
      <c r="Q49" s="1734">
        <f t="shared" si="23"/>
        <v>116470.58823529413</v>
      </c>
      <c r="R49" s="1691">
        <f t="shared" si="24"/>
        <v>14117.647058823524</v>
      </c>
      <c r="S49" s="1691">
        <f t="shared" si="25"/>
        <v>0</v>
      </c>
      <c r="T49" s="1691">
        <f t="shared" si="26"/>
        <v>21176.470588235294</v>
      </c>
      <c r="U49" s="1833">
        <v>1</v>
      </c>
      <c r="V49" s="1834">
        <f t="shared" si="27"/>
        <v>21176.470588235294</v>
      </c>
      <c r="W49" s="1833">
        <v>1</v>
      </c>
      <c r="X49" s="1691">
        <f t="shared" si="28"/>
        <v>95294.117647058825</v>
      </c>
      <c r="Y49" s="1691">
        <f t="shared" si="29"/>
        <v>95294.117647058825</v>
      </c>
      <c r="Z49" s="1735">
        <f t="shared" si="30"/>
        <v>2008.8333333333333</v>
      </c>
      <c r="AA49" s="1693">
        <f t="shared" si="31"/>
        <v>2014.3333333333333</v>
      </c>
      <c r="AB49" s="1735">
        <f t="shared" si="32"/>
        <v>2014.5</v>
      </c>
      <c r="AC49" s="1688">
        <f t="shared" si="33"/>
        <v>2013.3333333333333</v>
      </c>
      <c r="AD49" s="1688">
        <f t="shared" si="34"/>
        <v>-8.3333333333333329E-2</v>
      </c>
      <c r="AE49" s="1880">
        <f t="shared" si="35"/>
        <v>14117.647058823524</v>
      </c>
    </row>
    <row r="50" spans="1:31" s="1688" customFormat="1">
      <c r="A50" s="1848" t="s">
        <v>2359</v>
      </c>
      <c r="B50" s="1727">
        <v>143305</v>
      </c>
      <c r="C50" s="1728" t="s">
        <v>2214</v>
      </c>
      <c r="D50" s="1729">
        <v>11</v>
      </c>
      <c r="E50" s="1729">
        <v>2008</v>
      </c>
      <c r="F50" s="1730">
        <v>120000</v>
      </c>
      <c r="G50" s="1741">
        <v>0</v>
      </c>
      <c r="H50" s="1729">
        <f t="shared" si="36"/>
        <v>5.666666666666667</v>
      </c>
      <c r="I50" s="1688">
        <f t="shared" si="18"/>
        <v>2013.6666666666667</v>
      </c>
      <c r="J50" s="1731"/>
      <c r="K50" s="1732"/>
      <c r="L50" s="1733">
        <v>0</v>
      </c>
      <c r="M50" s="1691">
        <f t="shared" si="19"/>
        <v>120000</v>
      </c>
      <c r="N50" s="1691">
        <f t="shared" si="20"/>
        <v>1764.7058823529412</v>
      </c>
      <c r="O50" s="1691">
        <f t="shared" si="21"/>
        <v>21176.470588235294</v>
      </c>
      <c r="P50" s="1734">
        <f t="shared" si="22"/>
        <v>95294.117647058825</v>
      </c>
      <c r="Q50" s="1734">
        <f t="shared" si="23"/>
        <v>116470.58823529413</v>
      </c>
      <c r="R50" s="1691">
        <f t="shared" si="24"/>
        <v>14117.647058823524</v>
      </c>
      <c r="S50" s="1691">
        <f t="shared" si="25"/>
        <v>0</v>
      </c>
      <c r="T50" s="1691">
        <f t="shared" si="26"/>
        <v>21176.470588235294</v>
      </c>
      <c r="U50" s="1833">
        <v>1</v>
      </c>
      <c r="V50" s="1834">
        <f t="shared" si="27"/>
        <v>21176.470588235294</v>
      </c>
      <c r="W50" s="1833">
        <v>1</v>
      </c>
      <c r="X50" s="1691">
        <f t="shared" si="28"/>
        <v>95294.117647058825</v>
      </c>
      <c r="Y50" s="1691">
        <f t="shared" si="29"/>
        <v>95294.117647058825</v>
      </c>
      <c r="Z50" s="1735">
        <f t="shared" si="30"/>
        <v>2008.8333333333333</v>
      </c>
      <c r="AA50" s="1693">
        <f t="shared" si="31"/>
        <v>2014.3333333333333</v>
      </c>
      <c r="AB50" s="1735">
        <f t="shared" si="32"/>
        <v>2014.5</v>
      </c>
      <c r="AC50" s="1688">
        <f t="shared" si="33"/>
        <v>2013.3333333333333</v>
      </c>
      <c r="AD50" s="1688">
        <f t="shared" si="34"/>
        <v>-8.3333333333333329E-2</v>
      </c>
      <c r="AE50" s="1880">
        <f t="shared" si="35"/>
        <v>14117.647058823524</v>
      </c>
    </row>
    <row r="51" spans="1:31" s="1688" customFormat="1">
      <c r="A51" s="1848" t="s">
        <v>2359</v>
      </c>
      <c r="B51" s="1727">
        <v>143307</v>
      </c>
      <c r="C51" s="1728" t="s">
        <v>2214</v>
      </c>
      <c r="D51" s="1729">
        <v>11</v>
      </c>
      <c r="E51" s="1729">
        <v>2008</v>
      </c>
      <c r="F51" s="1730">
        <v>120000</v>
      </c>
      <c r="G51" s="1741">
        <v>0</v>
      </c>
      <c r="H51" s="1729">
        <f t="shared" si="36"/>
        <v>5.666666666666667</v>
      </c>
      <c r="I51" s="1688">
        <f t="shared" si="18"/>
        <v>2013.6666666666667</v>
      </c>
      <c r="J51" s="1731"/>
      <c r="K51" s="1732"/>
      <c r="L51" s="1733">
        <v>0</v>
      </c>
      <c r="M51" s="1691">
        <f t="shared" si="19"/>
        <v>120000</v>
      </c>
      <c r="N51" s="1691">
        <f t="shared" si="20"/>
        <v>1764.7058823529412</v>
      </c>
      <c r="O51" s="1691">
        <f t="shared" si="21"/>
        <v>21176.470588235294</v>
      </c>
      <c r="P51" s="1734">
        <f t="shared" si="22"/>
        <v>95294.117647058825</v>
      </c>
      <c r="Q51" s="1734">
        <f t="shared" si="23"/>
        <v>116470.58823529413</v>
      </c>
      <c r="R51" s="1691">
        <f t="shared" si="24"/>
        <v>14117.647058823524</v>
      </c>
      <c r="S51" s="1691">
        <f t="shared" si="25"/>
        <v>0</v>
      </c>
      <c r="T51" s="1691">
        <f t="shared" si="26"/>
        <v>21176.470588235294</v>
      </c>
      <c r="U51" s="1833">
        <v>1</v>
      </c>
      <c r="V51" s="1834">
        <f t="shared" si="27"/>
        <v>21176.470588235294</v>
      </c>
      <c r="W51" s="1833">
        <v>1</v>
      </c>
      <c r="X51" s="1691">
        <f t="shared" si="28"/>
        <v>95294.117647058825</v>
      </c>
      <c r="Y51" s="1691">
        <f t="shared" si="29"/>
        <v>95294.117647058825</v>
      </c>
      <c r="Z51" s="1735">
        <f t="shared" si="30"/>
        <v>2008.8333333333333</v>
      </c>
      <c r="AA51" s="1693">
        <f t="shared" si="31"/>
        <v>2014.3333333333333</v>
      </c>
      <c r="AB51" s="1735">
        <f t="shared" si="32"/>
        <v>2014.5</v>
      </c>
      <c r="AC51" s="1688">
        <f t="shared" si="33"/>
        <v>2013.3333333333333</v>
      </c>
      <c r="AD51" s="1688">
        <f t="shared" si="34"/>
        <v>-8.3333333333333329E-2</v>
      </c>
      <c r="AE51" s="1880">
        <f t="shared" si="35"/>
        <v>14117.647058823524</v>
      </c>
    </row>
    <row r="52" spans="1:31" s="1688" customFormat="1">
      <c r="A52" s="1848" t="s">
        <v>2359</v>
      </c>
      <c r="B52" s="1727">
        <v>143308</v>
      </c>
      <c r="C52" s="1728" t="s">
        <v>2214</v>
      </c>
      <c r="D52" s="1729">
        <v>11</v>
      </c>
      <c r="E52" s="1729">
        <v>2008</v>
      </c>
      <c r="F52" s="1730">
        <v>130000</v>
      </c>
      <c r="G52" s="1741">
        <v>0</v>
      </c>
      <c r="H52" s="1729">
        <f t="shared" si="36"/>
        <v>5.666666666666667</v>
      </c>
      <c r="I52" s="1688">
        <f t="shared" si="18"/>
        <v>2013.6666666666667</v>
      </c>
      <c r="J52" s="1731"/>
      <c r="K52" s="1732"/>
      <c r="L52" s="1733">
        <v>0</v>
      </c>
      <c r="M52" s="1691">
        <f t="shared" si="19"/>
        <v>130000</v>
      </c>
      <c r="N52" s="1691">
        <f t="shared" si="20"/>
        <v>1911.7647058823529</v>
      </c>
      <c r="O52" s="1691">
        <f t="shared" si="21"/>
        <v>22941.176470588234</v>
      </c>
      <c r="P52" s="1734">
        <f t="shared" si="22"/>
        <v>103235.29411764706</v>
      </c>
      <c r="Q52" s="1734">
        <f t="shared" si="23"/>
        <v>126176.4705882353</v>
      </c>
      <c r="R52" s="1691">
        <f t="shared" si="24"/>
        <v>15294.117647058818</v>
      </c>
      <c r="S52" s="1691">
        <f t="shared" si="25"/>
        <v>0</v>
      </c>
      <c r="T52" s="1691">
        <f t="shared" si="26"/>
        <v>22941.176470588234</v>
      </c>
      <c r="U52" s="1833">
        <v>1</v>
      </c>
      <c r="V52" s="1834">
        <f t="shared" si="27"/>
        <v>22941.176470588234</v>
      </c>
      <c r="W52" s="1833">
        <v>1</v>
      </c>
      <c r="X52" s="1691">
        <f t="shared" si="28"/>
        <v>103235.29411764706</v>
      </c>
      <c r="Y52" s="1691">
        <f t="shared" si="29"/>
        <v>103235.29411764706</v>
      </c>
      <c r="Z52" s="1735">
        <f t="shared" si="30"/>
        <v>2008.8333333333333</v>
      </c>
      <c r="AA52" s="1693">
        <f t="shared" si="31"/>
        <v>2014.3333333333333</v>
      </c>
      <c r="AB52" s="1735">
        <f t="shared" si="32"/>
        <v>2014.5</v>
      </c>
      <c r="AC52" s="1688">
        <f t="shared" si="33"/>
        <v>2013.3333333333333</v>
      </c>
      <c r="AD52" s="1688">
        <f t="shared" si="34"/>
        <v>-8.3333333333333329E-2</v>
      </c>
      <c r="AE52" s="1880">
        <f t="shared" si="35"/>
        <v>15294.117647058818</v>
      </c>
    </row>
    <row r="53" spans="1:31" s="1688" customFormat="1">
      <c r="A53" s="1848" t="s">
        <v>2359</v>
      </c>
      <c r="B53" s="1727">
        <v>143309</v>
      </c>
      <c r="C53" s="1728" t="s">
        <v>2215</v>
      </c>
      <c r="D53" s="1729">
        <v>11</v>
      </c>
      <c r="E53" s="1729">
        <v>2008</v>
      </c>
      <c r="F53" s="1730">
        <v>120000</v>
      </c>
      <c r="G53" s="1741">
        <v>0</v>
      </c>
      <c r="H53" s="1729">
        <f t="shared" si="36"/>
        <v>5.666666666666667</v>
      </c>
      <c r="I53" s="1688">
        <f t="shared" si="18"/>
        <v>2013.6666666666667</v>
      </c>
      <c r="J53" s="1731"/>
      <c r="K53" s="1732"/>
      <c r="L53" s="1733">
        <v>0</v>
      </c>
      <c r="M53" s="1691">
        <f t="shared" si="19"/>
        <v>120000</v>
      </c>
      <c r="N53" s="1691">
        <f t="shared" si="20"/>
        <v>1764.7058823529412</v>
      </c>
      <c r="O53" s="1691">
        <f t="shared" si="21"/>
        <v>21176.470588235294</v>
      </c>
      <c r="P53" s="1734">
        <f t="shared" si="22"/>
        <v>95294.117647058825</v>
      </c>
      <c r="Q53" s="1734">
        <f t="shared" si="23"/>
        <v>116470.58823529413</v>
      </c>
      <c r="R53" s="1691">
        <f t="shared" si="24"/>
        <v>14117.647058823524</v>
      </c>
      <c r="S53" s="1691">
        <f t="shared" si="25"/>
        <v>0</v>
      </c>
      <c r="T53" s="1691">
        <f t="shared" si="26"/>
        <v>21176.470588235294</v>
      </c>
      <c r="U53" s="1833">
        <v>1</v>
      </c>
      <c r="V53" s="1834">
        <f t="shared" si="27"/>
        <v>21176.470588235294</v>
      </c>
      <c r="W53" s="1833">
        <v>1</v>
      </c>
      <c r="X53" s="1691">
        <f t="shared" si="28"/>
        <v>95294.117647058825</v>
      </c>
      <c r="Y53" s="1691">
        <f t="shared" si="29"/>
        <v>95294.117647058825</v>
      </c>
      <c r="Z53" s="1735">
        <f t="shared" si="30"/>
        <v>2008.8333333333333</v>
      </c>
      <c r="AA53" s="1693">
        <f t="shared" si="31"/>
        <v>2014.3333333333333</v>
      </c>
      <c r="AB53" s="1735">
        <f t="shared" si="32"/>
        <v>2014.5</v>
      </c>
      <c r="AC53" s="1688">
        <f t="shared" si="33"/>
        <v>2013.3333333333333</v>
      </c>
      <c r="AD53" s="1688">
        <f t="shared" si="34"/>
        <v>-8.3333333333333329E-2</v>
      </c>
      <c r="AE53" s="1880">
        <f t="shared" si="35"/>
        <v>14117.647058823524</v>
      </c>
    </row>
    <row r="54" spans="1:31" s="1688" customFormat="1">
      <c r="A54" s="1848" t="s">
        <v>2359</v>
      </c>
      <c r="B54" s="1727">
        <v>143310</v>
      </c>
      <c r="C54" s="1728" t="s">
        <v>2215</v>
      </c>
      <c r="D54" s="1729">
        <v>11</v>
      </c>
      <c r="E54" s="1729">
        <v>2008</v>
      </c>
      <c r="F54" s="1730">
        <v>120000</v>
      </c>
      <c r="G54" s="1741">
        <v>0</v>
      </c>
      <c r="H54" s="1729">
        <f t="shared" si="36"/>
        <v>5.666666666666667</v>
      </c>
      <c r="I54" s="1688">
        <f t="shared" si="18"/>
        <v>2013.6666666666667</v>
      </c>
      <c r="J54" s="1731"/>
      <c r="K54" s="1732"/>
      <c r="L54" s="1733">
        <v>0</v>
      </c>
      <c r="M54" s="1691">
        <f t="shared" si="19"/>
        <v>120000</v>
      </c>
      <c r="N54" s="1691">
        <f t="shared" si="20"/>
        <v>1764.7058823529412</v>
      </c>
      <c r="O54" s="1691">
        <f t="shared" si="21"/>
        <v>21176.470588235294</v>
      </c>
      <c r="P54" s="1734">
        <f t="shared" si="22"/>
        <v>95294.117647058825</v>
      </c>
      <c r="Q54" s="1734">
        <f t="shared" si="23"/>
        <v>116470.58823529413</v>
      </c>
      <c r="R54" s="1691">
        <f t="shared" si="24"/>
        <v>14117.647058823524</v>
      </c>
      <c r="S54" s="1691">
        <f t="shared" si="25"/>
        <v>0</v>
      </c>
      <c r="T54" s="1691">
        <f t="shared" si="26"/>
        <v>21176.470588235294</v>
      </c>
      <c r="U54" s="1833">
        <v>1</v>
      </c>
      <c r="V54" s="1834">
        <f t="shared" si="27"/>
        <v>21176.470588235294</v>
      </c>
      <c r="W54" s="1833">
        <v>1</v>
      </c>
      <c r="X54" s="1691">
        <f t="shared" si="28"/>
        <v>95294.117647058825</v>
      </c>
      <c r="Y54" s="1691">
        <f t="shared" si="29"/>
        <v>95294.117647058825</v>
      </c>
      <c r="Z54" s="1735">
        <f t="shared" si="30"/>
        <v>2008.8333333333333</v>
      </c>
      <c r="AA54" s="1693">
        <f t="shared" si="31"/>
        <v>2014.3333333333333</v>
      </c>
      <c r="AB54" s="1735">
        <f t="shared" si="32"/>
        <v>2014.5</v>
      </c>
      <c r="AC54" s="1688">
        <f t="shared" si="33"/>
        <v>2013.3333333333333</v>
      </c>
      <c r="AD54" s="1688">
        <f t="shared" si="34"/>
        <v>-8.3333333333333329E-2</v>
      </c>
      <c r="AE54" s="1880">
        <f t="shared" si="35"/>
        <v>14117.647058823524</v>
      </c>
    </row>
    <row r="55" spans="1:31" s="1688" customFormat="1">
      <c r="A55" s="1848" t="s">
        <v>2359</v>
      </c>
      <c r="B55" s="1727">
        <v>143311</v>
      </c>
      <c r="C55" s="1728" t="s">
        <v>2215</v>
      </c>
      <c r="D55" s="1729">
        <v>11</v>
      </c>
      <c r="E55" s="1729">
        <v>2008</v>
      </c>
      <c r="F55" s="1730">
        <v>120000</v>
      </c>
      <c r="G55" s="1741">
        <v>0</v>
      </c>
      <c r="H55" s="1729">
        <f t="shared" si="36"/>
        <v>5.666666666666667</v>
      </c>
      <c r="I55" s="1688">
        <f t="shared" si="18"/>
        <v>2013.6666666666667</v>
      </c>
      <c r="J55" s="1731"/>
      <c r="K55" s="1732"/>
      <c r="L55" s="1733">
        <v>0</v>
      </c>
      <c r="M55" s="1691">
        <f t="shared" si="19"/>
        <v>120000</v>
      </c>
      <c r="N55" s="1691">
        <f t="shared" si="20"/>
        <v>1764.7058823529412</v>
      </c>
      <c r="O55" s="1691">
        <f t="shared" si="21"/>
        <v>21176.470588235294</v>
      </c>
      <c r="P55" s="1734">
        <f t="shared" si="22"/>
        <v>95294.117647058825</v>
      </c>
      <c r="Q55" s="1734">
        <f t="shared" si="23"/>
        <v>116470.58823529413</v>
      </c>
      <c r="R55" s="1691">
        <f t="shared" si="24"/>
        <v>14117.647058823524</v>
      </c>
      <c r="S55" s="1691">
        <f t="shared" si="25"/>
        <v>0</v>
      </c>
      <c r="T55" s="1691">
        <f t="shared" si="26"/>
        <v>21176.470588235294</v>
      </c>
      <c r="U55" s="1833">
        <v>1</v>
      </c>
      <c r="V55" s="1834">
        <f t="shared" si="27"/>
        <v>21176.470588235294</v>
      </c>
      <c r="W55" s="1833">
        <v>1</v>
      </c>
      <c r="X55" s="1691">
        <f t="shared" si="28"/>
        <v>95294.117647058825</v>
      </c>
      <c r="Y55" s="1691">
        <f t="shared" si="29"/>
        <v>95294.117647058825</v>
      </c>
      <c r="Z55" s="1735">
        <f t="shared" si="30"/>
        <v>2008.8333333333333</v>
      </c>
      <c r="AA55" s="1693">
        <f t="shared" si="31"/>
        <v>2014.3333333333333</v>
      </c>
      <c r="AB55" s="1735">
        <f t="shared" si="32"/>
        <v>2014.5</v>
      </c>
      <c r="AC55" s="1688">
        <f t="shared" si="33"/>
        <v>2013.3333333333333</v>
      </c>
      <c r="AD55" s="1688">
        <f t="shared" si="34"/>
        <v>-8.3333333333333329E-2</v>
      </c>
      <c r="AE55" s="1880">
        <f t="shared" si="35"/>
        <v>14117.647058823524</v>
      </c>
    </row>
    <row r="56" spans="1:31" s="1688" customFormat="1">
      <c r="A56" s="1848" t="s">
        <v>2359</v>
      </c>
      <c r="B56" s="1727">
        <v>143312</v>
      </c>
      <c r="C56" s="1728" t="s">
        <v>2215</v>
      </c>
      <c r="D56" s="1729">
        <v>11</v>
      </c>
      <c r="E56" s="1729">
        <v>2008</v>
      </c>
      <c r="F56" s="1730">
        <v>120000</v>
      </c>
      <c r="G56" s="1741">
        <v>0</v>
      </c>
      <c r="H56" s="1729">
        <f t="shared" si="36"/>
        <v>5.666666666666667</v>
      </c>
      <c r="I56" s="1688">
        <f t="shared" ref="I56:I87" si="37">E56+H56</f>
        <v>2013.6666666666667</v>
      </c>
      <c r="J56" s="1731"/>
      <c r="K56" s="1732"/>
      <c r="L56" s="1733">
        <v>0</v>
      </c>
      <c r="M56" s="1691">
        <f t="shared" ref="M56:M87" si="38">F56-F56*G56</f>
        <v>120000</v>
      </c>
      <c r="N56" s="1691">
        <f t="shared" ref="N56:N87" si="39">M56/H56/12</f>
        <v>1764.7058823529412</v>
      </c>
      <c r="O56" s="1691">
        <f t="shared" ref="O56:O87" si="40">IF(L56&gt;0,0,IF(OR(Z56&gt;AA56,AB56&lt;AC56),0,IF(AND(AB56&gt;=AC56,AB56&lt;=AA56),N56*((AB56-AC56)*12),IF(AND(AC56&lt;=Z56,AA56&gt;=Z56),((AA56-Z56)*12)*N56,IF(AB56&gt;AA56,12*N56,0)))))</f>
        <v>21176.470588235294</v>
      </c>
      <c r="P56" s="1734">
        <f t="shared" ref="P56:P87" si="41">IF(Z56&gt;AA56,0,IF(AB56&lt;AC56,M56,IF(AND(AB56&gt;=AC56,AB56&lt;=AA56),(M56-T56),IF(AND(AC56&lt;=Z56,AA56&gt;=Z56),0,IF(AB56&gt;AA56,((AC56-Z56)*12)*N56,0)))))</f>
        <v>95294.117647058825</v>
      </c>
      <c r="Q56" s="1734">
        <f t="shared" ref="Q56:Q87" si="42">IF(L56&gt;0,0,Y56+V56*W56)*W56</f>
        <v>116470.58823529413</v>
      </c>
      <c r="R56" s="1691">
        <f t="shared" ref="R56:R87" si="43">IF(L56&gt;0,(F56-Y56)/2,IF(Z56&gt;=AC56,(((F56*U56)*W56)-Q56)/2,((((F56*U56)*W56)-Y56)+(((F56*U56)*W56)-Q56))/2))</f>
        <v>14117.647058823524</v>
      </c>
      <c r="S56" s="1691">
        <f t="shared" ref="S56:S87" si="44">IF(L56=0,0,IF(AND(AD56&gt;=AC56,AD56&lt;=AB56),((AD56-AC56)*12)*N56,0))</f>
        <v>0</v>
      </c>
      <c r="T56" s="1691">
        <f t="shared" ref="T56:T87" si="45">IF(S56&gt;0,S56,O56)</f>
        <v>21176.470588235294</v>
      </c>
      <c r="U56" s="1833">
        <v>1</v>
      </c>
      <c r="V56" s="1834">
        <f t="shared" ref="V56:V87" si="46">U56*(O56+S56)</f>
        <v>21176.470588235294</v>
      </c>
      <c r="W56" s="1833">
        <v>1</v>
      </c>
      <c r="X56" s="1691">
        <f t="shared" ref="X56:X87" si="47">P56*U56</f>
        <v>95294.117647058825</v>
      </c>
      <c r="Y56" s="1691">
        <f t="shared" ref="Y56:Y87" si="48">X56*W56</f>
        <v>95294.117647058825</v>
      </c>
      <c r="Z56" s="1735">
        <f t="shared" ref="Z56:Z87" si="49">$E56+(($D56-1)/12)</f>
        <v>2008.8333333333333</v>
      </c>
      <c r="AA56" s="1693">
        <f t="shared" ref="AA56:AA87" si="50">($H$5+1)-($E$5/12)</f>
        <v>2014.3333333333333</v>
      </c>
      <c r="AB56" s="1735">
        <f t="shared" ref="AB56:AB87" si="51">$I56+(($D56-1)/12)</f>
        <v>2014.5</v>
      </c>
      <c r="AC56" s="1688">
        <f t="shared" ref="AC56:AC87" si="52">$F$5+($G$5/12)</f>
        <v>2013.3333333333333</v>
      </c>
      <c r="AD56" s="1688">
        <f t="shared" ref="AD56:AD87" si="53">$K56+(($J56-1)/12)</f>
        <v>-8.3333333333333329E-2</v>
      </c>
      <c r="AE56" s="1880">
        <f t="shared" ref="AE56:AE87" si="54">((M56-P56)+(M56-Q56))/2</f>
        <v>14117.647058823524</v>
      </c>
    </row>
    <row r="57" spans="1:31" s="1688" customFormat="1">
      <c r="A57" s="1848" t="s">
        <v>2359</v>
      </c>
      <c r="B57" s="1727">
        <v>143966</v>
      </c>
      <c r="C57" s="1728" t="s">
        <v>2216</v>
      </c>
      <c r="D57" s="1729">
        <v>11</v>
      </c>
      <c r="E57" s="1729">
        <v>2008</v>
      </c>
      <c r="F57" s="1730">
        <v>170000</v>
      </c>
      <c r="G57" s="1741">
        <v>0</v>
      </c>
      <c r="H57" s="1729">
        <v>7.5</v>
      </c>
      <c r="I57" s="1688">
        <f t="shared" si="37"/>
        <v>2015.5</v>
      </c>
      <c r="J57" s="1731"/>
      <c r="K57" s="1732"/>
      <c r="L57" s="1733">
        <v>0</v>
      </c>
      <c r="M57" s="1691">
        <f t="shared" si="38"/>
        <v>170000</v>
      </c>
      <c r="N57" s="1691">
        <f t="shared" si="39"/>
        <v>1888.8888888888889</v>
      </c>
      <c r="O57" s="1691">
        <f t="shared" si="40"/>
        <v>22666.666666666668</v>
      </c>
      <c r="P57" s="1734">
        <f t="shared" si="41"/>
        <v>102000</v>
      </c>
      <c r="Q57" s="1734">
        <f t="shared" si="42"/>
        <v>124666.66666666667</v>
      </c>
      <c r="R57" s="1691">
        <f t="shared" si="43"/>
        <v>56666.666666666664</v>
      </c>
      <c r="S57" s="1691">
        <f t="shared" si="44"/>
        <v>0</v>
      </c>
      <c r="T57" s="1691">
        <f t="shared" si="45"/>
        <v>22666.666666666668</v>
      </c>
      <c r="U57" s="1833">
        <v>1</v>
      </c>
      <c r="V57" s="1834">
        <f t="shared" si="46"/>
        <v>22666.666666666668</v>
      </c>
      <c r="W57" s="1833">
        <v>1</v>
      </c>
      <c r="X57" s="1691">
        <f t="shared" si="47"/>
        <v>102000</v>
      </c>
      <c r="Y57" s="1691">
        <f t="shared" si="48"/>
        <v>102000</v>
      </c>
      <c r="Z57" s="1735">
        <f t="shared" si="49"/>
        <v>2008.8333333333333</v>
      </c>
      <c r="AA57" s="1693">
        <f t="shared" si="50"/>
        <v>2014.3333333333333</v>
      </c>
      <c r="AB57" s="1735">
        <f t="shared" si="51"/>
        <v>2016.3333333333333</v>
      </c>
      <c r="AC57" s="1688">
        <f t="shared" si="52"/>
        <v>2013.3333333333333</v>
      </c>
      <c r="AD57" s="1688">
        <f t="shared" si="53"/>
        <v>-8.3333333333333329E-2</v>
      </c>
      <c r="AE57" s="1880">
        <f t="shared" si="54"/>
        <v>56666.666666666664</v>
      </c>
    </row>
    <row r="58" spans="1:31" s="1688" customFormat="1">
      <c r="A58" s="1848" t="s">
        <v>2359</v>
      </c>
      <c r="B58" s="1727">
        <v>143967</v>
      </c>
      <c r="C58" s="1728" t="s">
        <v>2217</v>
      </c>
      <c r="D58" s="1729">
        <v>11</v>
      </c>
      <c r="E58" s="1729">
        <v>2008</v>
      </c>
      <c r="F58" s="1730">
        <v>170000</v>
      </c>
      <c r="G58" s="1741">
        <v>0</v>
      </c>
      <c r="H58" s="1729">
        <v>7.5</v>
      </c>
      <c r="I58" s="1688">
        <f t="shared" si="37"/>
        <v>2015.5</v>
      </c>
      <c r="J58" s="1731"/>
      <c r="K58" s="1732"/>
      <c r="L58" s="1733">
        <v>0</v>
      </c>
      <c r="M58" s="1691">
        <f t="shared" si="38"/>
        <v>170000</v>
      </c>
      <c r="N58" s="1691">
        <f t="shared" si="39"/>
        <v>1888.8888888888889</v>
      </c>
      <c r="O58" s="1691">
        <f t="shared" si="40"/>
        <v>22666.666666666668</v>
      </c>
      <c r="P58" s="1734">
        <f t="shared" si="41"/>
        <v>102000</v>
      </c>
      <c r="Q58" s="1734">
        <f t="shared" si="42"/>
        <v>124666.66666666667</v>
      </c>
      <c r="R58" s="1691">
        <f t="shared" si="43"/>
        <v>56666.666666666664</v>
      </c>
      <c r="S58" s="1691">
        <f t="shared" si="44"/>
        <v>0</v>
      </c>
      <c r="T58" s="1691">
        <f t="shared" si="45"/>
        <v>22666.666666666668</v>
      </c>
      <c r="U58" s="1833">
        <v>1</v>
      </c>
      <c r="V58" s="1834">
        <f t="shared" si="46"/>
        <v>22666.666666666668</v>
      </c>
      <c r="W58" s="1833">
        <v>1</v>
      </c>
      <c r="X58" s="1691">
        <f t="shared" si="47"/>
        <v>102000</v>
      </c>
      <c r="Y58" s="1691">
        <f t="shared" si="48"/>
        <v>102000</v>
      </c>
      <c r="Z58" s="1735">
        <f t="shared" si="49"/>
        <v>2008.8333333333333</v>
      </c>
      <c r="AA58" s="1693">
        <f t="shared" si="50"/>
        <v>2014.3333333333333</v>
      </c>
      <c r="AB58" s="1735">
        <f t="shared" si="51"/>
        <v>2016.3333333333333</v>
      </c>
      <c r="AC58" s="1688">
        <f t="shared" si="52"/>
        <v>2013.3333333333333</v>
      </c>
      <c r="AD58" s="1688">
        <f t="shared" si="53"/>
        <v>-8.3333333333333329E-2</v>
      </c>
      <c r="AE58" s="1880">
        <f t="shared" si="54"/>
        <v>56666.666666666664</v>
      </c>
    </row>
    <row r="59" spans="1:31" s="1688" customFormat="1">
      <c r="A59" s="1848" t="s">
        <v>2359</v>
      </c>
      <c r="B59" s="1727">
        <v>143968</v>
      </c>
      <c r="C59" s="1728" t="s">
        <v>2217</v>
      </c>
      <c r="D59" s="1729">
        <v>11</v>
      </c>
      <c r="E59" s="1729">
        <v>2008</v>
      </c>
      <c r="F59" s="1730">
        <v>170000</v>
      </c>
      <c r="G59" s="1741">
        <v>0</v>
      </c>
      <c r="H59" s="1729">
        <v>7.5</v>
      </c>
      <c r="I59" s="1688">
        <f t="shared" si="37"/>
        <v>2015.5</v>
      </c>
      <c r="J59" s="1731"/>
      <c r="K59" s="1732"/>
      <c r="L59" s="1733">
        <v>0</v>
      </c>
      <c r="M59" s="1691">
        <f t="shared" si="38"/>
        <v>170000</v>
      </c>
      <c r="N59" s="1691">
        <f t="shared" si="39"/>
        <v>1888.8888888888889</v>
      </c>
      <c r="O59" s="1691">
        <f t="shared" si="40"/>
        <v>22666.666666666668</v>
      </c>
      <c r="P59" s="1734">
        <f t="shared" si="41"/>
        <v>102000</v>
      </c>
      <c r="Q59" s="1734">
        <f t="shared" si="42"/>
        <v>124666.66666666667</v>
      </c>
      <c r="R59" s="1691">
        <f t="shared" si="43"/>
        <v>56666.666666666664</v>
      </c>
      <c r="S59" s="1691">
        <f t="shared" si="44"/>
        <v>0</v>
      </c>
      <c r="T59" s="1691">
        <f t="shared" si="45"/>
        <v>22666.666666666668</v>
      </c>
      <c r="U59" s="1833">
        <v>1</v>
      </c>
      <c r="V59" s="1834">
        <f t="shared" si="46"/>
        <v>22666.666666666668</v>
      </c>
      <c r="W59" s="1833">
        <v>1</v>
      </c>
      <c r="X59" s="1691">
        <f t="shared" si="47"/>
        <v>102000</v>
      </c>
      <c r="Y59" s="1691">
        <f t="shared" si="48"/>
        <v>102000</v>
      </c>
      <c r="Z59" s="1735">
        <f t="shared" si="49"/>
        <v>2008.8333333333333</v>
      </c>
      <c r="AA59" s="1693">
        <f t="shared" si="50"/>
        <v>2014.3333333333333</v>
      </c>
      <c r="AB59" s="1735">
        <f t="shared" si="51"/>
        <v>2016.3333333333333</v>
      </c>
      <c r="AC59" s="1688">
        <f t="shared" si="52"/>
        <v>2013.3333333333333</v>
      </c>
      <c r="AD59" s="1688">
        <f t="shared" si="53"/>
        <v>-8.3333333333333329E-2</v>
      </c>
      <c r="AE59" s="1880">
        <f t="shared" si="54"/>
        <v>56666.666666666664</v>
      </c>
    </row>
    <row r="60" spans="1:31" s="1688" customFormat="1">
      <c r="A60" s="1848" t="s">
        <v>2359</v>
      </c>
      <c r="B60" s="1727">
        <v>143969</v>
      </c>
      <c r="C60" s="1728" t="s">
        <v>2217</v>
      </c>
      <c r="D60" s="1729">
        <v>11</v>
      </c>
      <c r="E60" s="1729">
        <v>2008</v>
      </c>
      <c r="F60" s="1730">
        <v>170000</v>
      </c>
      <c r="G60" s="1741">
        <v>0</v>
      </c>
      <c r="H60" s="1729">
        <v>7.5</v>
      </c>
      <c r="I60" s="1688">
        <f t="shared" si="37"/>
        <v>2015.5</v>
      </c>
      <c r="J60" s="1731"/>
      <c r="K60" s="1732"/>
      <c r="L60" s="1733">
        <v>0</v>
      </c>
      <c r="M60" s="1691">
        <f t="shared" si="38"/>
        <v>170000</v>
      </c>
      <c r="N60" s="1691">
        <f t="shared" si="39"/>
        <v>1888.8888888888889</v>
      </c>
      <c r="O60" s="1691">
        <f t="shared" si="40"/>
        <v>22666.666666666668</v>
      </c>
      <c r="P60" s="1734">
        <f t="shared" si="41"/>
        <v>102000</v>
      </c>
      <c r="Q60" s="1734">
        <f t="shared" si="42"/>
        <v>124666.66666666667</v>
      </c>
      <c r="R60" s="1691">
        <f t="shared" si="43"/>
        <v>56666.666666666664</v>
      </c>
      <c r="S60" s="1691">
        <f t="shared" si="44"/>
        <v>0</v>
      </c>
      <c r="T60" s="1691">
        <f t="shared" si="45"/>
        <v>22666.666666666668</v>
      </c>
      <c r="U60" s="1833">
        <v>1</v>
      </c>
      <c r="V60" s="1834">
        <f t="shared" si="46"/>
        <v>22666.666666666668</v>
      </c>
      <c r="W60" s="1833">
        <v>1</v>
      </c>
      <c r="X60" s="1691">
        <f t="shared" si="47"/>
        <v>102000</v>
      </c>
      <c r="Y60" s="1691">
        <f t="shared" si="48"/>
        <v>102000</v>
      </c>
      <c r="Z60" s="1735">
        <f t="shared" si="49"/>
        <v>2008.8333333333333</v>
      </c>
      <c r="AA60" s="1693">
        <f t="shared" si="50"/>
        <v>2014.3333333333333</v>
      </c>
      <c r="AB60" s="1735">
        <f t="shared" si="51"/>
        <v>2016.3333333333333</v>
      </c>
      <c r="AC60" s="1688">
        <f t="shared" si="52"/>
        <v>2013.3333333333333</v>
      </c>
      <c r="AD60" s="1688">
        <f t="shared" si="53"/>
        <v>-8.3333333333333329E-2</v>
      </c>
      <c r="AE60" s="1880">
        <f t="shared" si="54"/>
        <v>56666.666666666664</v>
      </c>
    </row>
    <row r="61" spans="1:31" s="1688" customFormat="1">
      <c r="A61" s="1848" t="s">
        <v>2359</v>
      </c>
      <c r="B61" s="1727">
        <v>143970</v>
      </c>
      <c r="C61" s="1728" t="s">
        <v>2217</v>
      </c>
      <c r="D61" s="1729">
        <v>11</v>
      </c>
      <c r="E61" s="1729">
        <v>2008</v>
      </c>
      <c r="F61" s="1730">
        <v>170000</v>
      </c>
      <c r="G61" s="1741">
        <v>0</v>
      </c>
      <c r="H61" s="1729">
        <v>7.5</v>
      </c>
      <c r="I61" s="1688">
        <f t="shared" si="37"/>
        <v>2015.5</v>
      </c>
      <c r="J61" s="1731"/>
      <c r="K61" s="1732"/>
      <c r="L61" s="1733">
        <v>0</v>
      </c>
      <c r="M61" s="1691">
        <f t="shared" si="38"/>
        <v>170000</v>
      </c>
      <c r="N61" s="1691">
        <f t="shared" si="39"/>
        <v>1888.8888888888889</v>
      </c>
      <c r="O61" s="1691">
        <f t="shared" si="40"/>
        <v>22666.666666666668</v>
      </c>
      <c r="P61" s="1734">
        <f t="shared" si="41"/>
        <v>102000</v>
      </c>
      <c r="Q61" s="1734">
        <f t="shared" si="42"/>
        <v>124666.66666666667</v>
      </c>
      <c r="R61" s="1691">
        <f t="shared" si="43"/>
        <v>56666.666666666664</v>
      </c>
      <c r="S61" s="1691">
        <f t="shared" si="44"/>
        <v>0</v>
      </c>
      <c r="T61" s="1691">
        <f t="shared" si="45"/>
        <v>22666.666666666668</v>
      </c>
      <c r="U61" s="1833">
        <v>1</v>
      </c>
      <c r="V61" s="1834">
        <f t="shared" si="46"/>
        <v>22666.666666666668</v>
      </c>
      <c r="W61" s="1833">
        <v>1</v>
      </c>
      <c r="X61" s="1691">
        <f t="shared" si="47"/>
        <v>102000</v>
      </c>
      <c r="Y61" s="1691">
        <f t="shared" si="48"/>
        <v>102000</v>
      </c>
      <c r="Z61" s="1735">
        <f t="shared" si="49"/>
        <v>2008.8333333333333</v>
      </c>
      <c r="AA61" s="1693">
        <f t="shared" si="50"/>
        <v>2014.3333333333333</v>
      </c>
      <c r="AB61" s="1735">
        <f t="shared" si="51"/>
        <v>2016.3333333333333</v>
      </c>
      <c r="AC61" s="1688">
        <f t="shared" si="52"/>
        <v>2013.3333333333333</v>
      </c>
      <c r="AD61" s="1688">
        <f t="shared" si="53"/>
        <v>-8.3333333333333329E-2</v>
      </c>
      <c r="AE61" s="1880">
        <f t="shared" si="54"/>
        <v>56666.666666666664</v>
      </c>
    </row>
    <row r="62" spans="1:31" s="1688" customFormat="1">
      <c r="A62" s="1848" t="s">
        <v>2359</v>
      </c>
      <c r="B62" s="1727">
        <v>143973</v>
      </c>
      <c r="C62" s="1728" t="s">
        <v>2218</v>
      </c>
      <c r="D62" s="1729">
        <v>11</v>
      </c>
      <c r="E62" s="1729">
        <v>2008</v>
      </c>
      <c r="F62" s="1730">
        <v>170000</v>
      </c>
      <c r="G62" s="1741">
        <v>0</v>
      </c>
      <c r="H62" s="1729">
        <v>7.5</v>
      </c>
      <c r="I62" s="1688">
        <f t="shared" si="37"/>
        <v>2015.5</v>
      </c>
      <c r="J62" s="1731"/>
      <c r="K62" s="1732"/>
      <c r="L62" s="1733">
        <v>0</v>
      </c>
      <c r="M62" s="1691">
        <f t="shared" si="38"/>
        <v>170000</v>
      </c>
      <c r="N62" s="1691">
        <f t="shared" si="39"/>
        <v>1888.8888888888889</v>
      </c>
      <c r="O62" s="1691">
        <f t="shared" si="40"/>
        <v>22666.666666666668</v>
      </c>
      <c r="P62" s="1734">
        <f t="shared" si="41"/>
        <v>102000</v>
      </c>
      <c r="Q62" s="1734">
        <f t="shared" si="42"/>
        <v>124666.66666666667</v>
      </c>
      <c r="R62" s="1691">
        <f t="shared" si="43"/>
        <v>56666.666666666664</v>
      </c>
      <c r="S62" s="1691">
        <f t="shared" si="44"/>
        <v>0</v>
      </c>
      <c r="T62" s="1691">
        <f t="shared" si="45"/>
        <v>22666.666666666668</v>
      </c>
      <c r="U62" s="1833">
        <v>1</v>
      </c>
      <c r="V62" s="1834">
        <f t="shared" si="46"/>
        <v>22666.666666666668</v>
      </c>
      <c r="W62" s="1833">
        <v>1</v>
      </c>
      <c r="X62" s="1691">
        <f t="shared" si="47"/>
        <v>102000</v>
      </c>
      <c r="Y62" s="1691">
        <f t="shared" si="48"/>
        <v>102000</v>
      </c>
      <c r="Z62" s="1735">
        <f t="shared" si="49"/>
        <v>2008.8333333333333</v>
      </c>
      <c r="AA62" s="1693">
        <f t="shared" si="50"/>
        <v>2014.3333333333333</v>
      </c>
      <c r="AB62" s="1735">
        <f t="shared" si="51"/>
        <v>2016.3333333333333</v>
      </c>
      <c r="AC62" s="1688">
        <f t="shared" si="52"/>
        <v>2013.3333333333333</v>
      </c>
      <c r="AD62" s="1688">
        <f t="shared" si="53"/>
        <v>-8.3333333333333329E-2</v>
      </c>
      <c r="AE62" s="1880">
        <f t="shared" si="54"/>
        <v>56666.666666666664</v>
      </c>
    </row>
    <row r="63" spans="1:31" s="1688" customFormat="1">
      <c r="A63" s="1848" t="s">
        <v>2359</v>
      </c>
      <c r="B63" s="1727">
        <v>144072</v>
      </c>
      <c r="C63" s="1728" t="s">
        <v>2219</v>
      </c>
      <c r="D63" s="1729">
        <v>11</v>
      </c>
      <c r="E63" s="1729">
        <v>2008</v>
      </c>
      <c r="F63" s="1730">
        <v>230000</v>
      </c>
      <c r="G63" s="1741">
        <v>0</v>
      </c>
      <c r="H63" s="1729">
        <v>9.5833333333333304</v>
      </c>
      <c r="I63" s="1688">
        <f t="shared" si="37"/>
        <v>2017.5833333333333</v>
      </c>
      <c r="J63" s="1731"/>
      <c r="K63" s="1732"/>
      <c r="L63" s="1733">
        <v>0</v>
      </c>
      <c r="M63" s="1691">
        <f t="shared" si="38"/>
        <v>230000</v>
      </c>
      <c r="N63" s="1691">
        <f t="shared" si="39"/>
        <v>2000.0000000000007</v>
      </c>
      <c r="O63" s="1691">
        <f t="shared" si="40"/>
        <v>24000.000000000007</v>
      </c>
      <c r="P63" s="1734">
        <f t="shared" si="41"/>
        <v>108000.00000000004</v>
      </c>
      <c r="Q63" s="1734">
        <f t="shared" si="42"/>
        <v>132000.00000000006</v>
      </c>
      <c r="R63" s="1691">
        <f t="shared" si="43"/>
        <v>109999.99999999994</v>
      </c>
      <c r="S63" s="1691">
        <f t="shared" si="44"/>
        <v>0</v>
      </c>
      <c r="T63" s="1691">
        <f t="shared" si="45"/>
        <v>24000.000000000007</v>
      </c>
      <c r="U63" s="1833">
        <v>1</v>
      </c>
      <c r="V63" s="1834">
        <f t="shared" si="46"/>
        <v>24000.000000000007</v>
      </c>
      <c r="W63" s="1833">
        <v>1</v>
      </c>
      <c r="X63" s="1691">
        <f t="shared" si="47"/>
        <v>108000.00000000004</v>
      </c>
      <c r="Y63" s="1691">
        <f t="shared" si="48"/>
        <v>108000.00000000004</v>
      </c>
      <c r="Z63" s="1735">
        <f t="shared" si="49"/>
        <v>2008.8333333333333</v>
      </c>
      <c r="AA63" s="1693">
        <f t="shared" si="50"/>
        <v>2014.3333333333333</v>
      </c>
      <c r="AB63" s="1735">
        <f t="shared" si="51"/>
        <v>2018.4166666666665</v>
      </c>
      <c r="AC63" s="1688">
        <f t="shared" si="52"/>
        <v>2013.3333333333333</v>
      </c>
      <c r="AD63" s="1688">
        <f t="shared" si="53"/>
        <v>-8.3333333333333329E-2</v>
      </c>
      <c r="AE63" s="1880">
        <f t="shared" si="54"/>
        <v>109999.99999999994</v>
      </c>
    </row>
    <row r="64" spans="1:31" s="1688" customFormat="1">
      <c r="A64" s="1848" t="s">
        <v>2359</v>
      </c>
      <c r="B64" s="1727">
        <v>300807</v>
      </c>
      <c r="C64" s="1728" t="s">
        <v>2220</v>
      </c>
      <c r="D64" s="1729">
        <v>1</v>
      </c>
      <c r="E64" s="1729">
        <v>2010</v>
      </c>
      <c r="F64" s="1730">
        <v>47972</v>
      </c>
      <c r="G64" s="1741">
        <v>0</v>
      </c>
      <c r="H64" s="1729">
        <v>10</v>
      </c>
      <c r="I64" s="1688">
        <f t="shared" si="37"/>
        <v>2020</v>
      </c>
      <c r="J64" s="1731"/>
      <c r="K64" s="1732"/>
      <c r="L64" s="1733">
        <v>0</v>
      </c>
      <c r="M64" s="1691">
        <f t="shared" si="38"/>
        <v>47972</v>
      </c>
      <c r="N64" s="1691">
        <f t="shared" si="39"/>
        <v>399.76666666666665</v>
      </c>
      <c r="O64" s="1691">
        <f t="shared" si="40"/>
        <v>4797.2</v>
      </c>
      <c r="P64" s="1734">
        <f t="shared" si="41"/>
        <v>15990.666666666302</v>
      </c>
      <c r="Q64" s="1734">
        <f t="shared" si="42"/>
        <v>20787.866666666301</v>
      </c>
      <c r="R64" s="1691">
        <f t="shared" si="43"/>
        <v>29582.733333333701</v>
      </c>
      <c r="S64" s="1691">
        <f t="shared" si="44"/>
        <v>0</v>
      </c>
      <c r="T64" s="1691">
        <f t="shared" si="45"/>
        <v>4797.2</v>
      </c>
      <c r="U64" s="1833">
        <v>1</v>
      </c>
      <c r="V64" s="1834">
        <f t="shared" si="46"/>
        <v>4797.2</v>
      </c>
      <c r="W64" s="1833">
        <v>1</v>
      </c>
      <c r="X64" s="1691">
        <f t="shared" si="47"/>
        <v>15990.666666666302</v>
      </c>
      <c r="Y64" s="1691">
        <f t="shared" si="48"/>
        <v>15990.666666666302</v>
      </c>
      <c r="Z64" s="1735">
        <f t="shared" si="49"/>
        <v>2010</v>
      </c>
      <c r="AA64" s="1693">
        <f t="shared" si="50"/>
        <v>2014.3333333333333</v>
      </c>
      <c r="AB64" s="1735">
        <f t="shared" si="51"/>
        <v>2020</v>
      </c>
      <c r="AC64" s="1688">
        <f t="shared" si="52"/>
        <v>2013.3333333333333</v>
      </c>
      <c r="AD64" s="1688">
        <f t="shared" si="53"/>
        <v>-8.3333333333333329E-2</v>
      </c>
      <c r="AE64" s="1880">
        <f t="shared" si="54"/>
        <v>29582.733333333701</v>
      </c>
    </row>
    <row r="65" spans="1:31" s="1688" customFormat="1">
      <c r="A65" s="1848" t="s">
        <v>2359</v>
      </c>
      <c r="B65" s="1727">
        <v>300808</v>
      </c>
      <c r="C65" s="1728" t="s">
        <v>2220</v>
      </c>
      <c r="D65" s="1729">
        <v>1</v>
      </c>
      <c r="E65" s="1729">
        <v>2010</v>
      </c>
      <c r="F65" s="1730">
        <v>47972</v>
      </c>
      <c r="G65" s="1741">
        <v>0</v>
      </c>
      <c r="H65" s="1729">
        <v>10</v>
      </c>
      <c r="I65" s="1688">
        <f t="shared" si="37"/>
        <v>2020</v>
      </c>
      <c r="J65" s="1731"/>
      <c r="K65" s="1732"/>
      <c r="L65" s="1733">
        <v>0</v>
      </c>
      <c r="M65" s="1691">
        <f t="shared" si="38"/>
        <v>47972</v>
      </c>
      <c r="N65" s="1691">
        <f t="shared" si="39"/>
        <v>399.76666666666665</v>
      </c>
      <c r="O65" s="1691">
        <f t="shared" si="40"/>
        <v>4797.2</v>
      </c>
      <c r="P65" s="1734">
        <f t="shared" si="41"/>
        <v>15990.666666666302</v>
      </c>
      <c r="Q65" s="1734">
        <f t="shared" si="42"/>
        <v>20787.866666666301</v>
      </c>
      <c r="R65" s="1691">
        <f t="shared" si="43"/>
        <v>29582.733333333701</v>
      </c>
      <c r="S65" s="1691">
        <f t="shared" si="44"/>
        <v>0</v>
      </c>
      <c r="T65" s="1691">
        <f t="shared" si="45"/>
        <v>4797.2</v>
      </c>
      <c r="U65" s="1833">
        <v>1</v>
      </c>
      <c r="V65" s="1834">
        <f t="shared" si="46"/>
        <v>4797.2</v>
      </c>
      <c r="W65" s="1833">
        <v>1</v>
      </c>
      <c r="X65" s="1691">
        <f t="shared" si="47"/>
        <v>15990.666666666302</v>
      </c>
      <c r="Y65" s="1691">
        <f t="shared" si="48"/>
        <v>15990.666666666302</v>
      </c>
      <c r="Z65" s="1735">
        <f t="shared" si="49"/>
        <v>2010</v>
      </c>
      <c r="AA65" s="1693">
        <f t="shared" si="50"/>
        <v>2014.3333333333333</v>
      </c>
      <c r="AB65" s="1735">
        <f t="shared" si="51"/>
        <v>2020</v>
      </c>
      <c r="AC65" s="1688">
        <f t="shared" si="52"/>
        <v>2013.3333333333333</v>
      </c>
      <c r="AD65" s="1688">
        <f t="shared" si="53"/>
        <v>-8.3333333333333329E-2</v>
      </c>
      <c r="AE65" s="1880">
        <f t="shared" si="54"/>
        <v>29582.733333333701</v>
      </c>
    </row>
    <row r="66" spans="1:31" s="1688" customFormat="1">
      <c r="A66" s="1846" t="s">
        <v>2358</v>
      </c>
      <c r="B66" s="1727">
        <v>300803</v>
      </c>
      <c r="C66" s="1728" t="s">
        <v>2221</v>
      </c>
      <c r="D66" s="1729">
        <v>1</v>
      </c>
      <c r="E66" s="1729">
        <v>2010</v>
      </c>
      <c r="F66" s="1730">
        <v>21850.2</v>
      </c>
      <c r="G66" s="1741">
        <v>0</v>
      </c>
      <c r="H66" s="1729">
        <v>5</v>
      </c>
      <c r="I66" s="1688">
        <f t="shared" si="37"/>
        <v>2015</v>
      </c>
      <c r="J66" s="1731"/>
      <c r="K66" s="1732"/>
      <c r="L66" s="1733">
        <v>0</v>
      </c>
      <c r="M66" s="1691">
        <f t="shared" si="38"/>
        <v>21850.2</v>
      </c>
      <c r="N66" s="1691">
        <f t="shared" si="39"/>
        <v>364.17</v>
      </c>
      <c r="O66" s="1691">
        <f t="shared" si="40"/>
        <v>4370.04</v>
      </c>
      <c r="P66" s="1734">
        <f t="shared" si="41"/>
        <v>14566.79999999967</v>
      </c>
      <c r="Q66" s="1734">
        <f t="shared" si="42"/>
        <v>18936.839999999669</v>
      </c>
      <c r="R66" s="1691">
        <f t="shared" si="43"/>
        <v>5098.3800000003312</v>
      </c>
      <c r="S66" s="1691">
        <f t="shared" si="44"/>
        <v>0</v>
      </c>
      <c r="T66" s="1691">
        <f t="shared" si="45"/>
        <v>4370.04</v>
      </c>
      <c r="U66" s="1833">
        <v>1</v>
      </c>
      <c r="V66" s="1834">
        <f t="shared" si="46"/>
        <v>4370.04</v>
      </c>
      <c r="W66" s="1833">
        <v>1</v>
      </c>
      <c r="X66" s="1691">
        <f t="shared" si="47"/>
        <v>14566.79999999967</v>
      </c>
      <c r="Y66" s="1691">
        <f t="shared" si="48"/>
        <v>14566.79999999967</v>
      </c>
      <c r="Z66" s="1735">
        <f t="shared" si="49"/>
        <v>2010</v>
      </c>
      <c r="AA66" s="1693">
        <f t="shared" si="50"/>
        <v>2014.3333333333333</v>
      </c>
      <c r="AB66" s="1735">
        <f t="shared" si="51"/>
        <v>2015</v>
      </c>
      <c r="AC66" s="1688">
        <f t="shared" si="52"/>
        <v>2013.3333333333333</v>
      </c>
      <c r="AD66" s="1688">
        <f t="shared" si="53"/>
        <v>-8.3333333333333329E-2</v>
      </c>
      <c r="AE66" s="1880">
        <f t="shared" si="54"/>
        <v>5098.3800000003312</v>
      </c>
    </row>
    <row r="67" spans="1:31" s="1688" customFormat="1">
      <c r="A67" s="1846" t="s">
        <v>2358</v>
      </c>
      <c r="B67" s="1727">
        <v>300804</v>
      </c>
      <c r="C67" s="1728" t="s">
        <v>2222</v>
      </c>
      <c r="D67" s="1729">
        <v>1</v>
      </c>
      <c r="E67" s="1729">
        <v>2010</v>
      </c>
      <c r="F67" s="1730">
        <v>21850.2</v>
      </c>
      <c r="G67" s="1741">
        <v>0</v>
      </c>
      <c r="H67" s="1729">
        <v>5</v>
      </c>
      <c r="I67" s="1688">
        <f t="shared" si="37"/>
        <v>2015</v>
      </c>
      <c r="J67" s="1731"/>
      <c r="K67" s="1732"/>
      <c r="L67" s="1733">
        <v>0</v>
      </c>
      <c r="M67" s="1691">
        <f t="shared" si="38"/>
        <v>21850.2</v>
      </c>
      <c r="N67" s="1691">
        <f t="shared" si="39"/>
        <v>364.17</v>
      </c>
      <c r="O67" s="1691">
        <f t="shared" si="40"/>
        <v>4370.04</v>
      </c>
      <c r="P67" s="1734">
        <f t="shared" si="41"/>
        <v>14566.79999999967</v>
      </c>
      <c r="Q67" s="1734">
        <f t="shared" si="42"/>
        <v>18936.839999999669</v>
      </c>
      <c r="R67" s="1691">
        <f t="shared" si="43"/>
        <v>5098.3800000003312</v>
      </c>
      <c r="S67" s="1691">
        <f t="shared" si="44"/>
        <v>0</v>
      </c>
      <c r="T67" s="1691">
        <f t="shared" si="45"/>
        <v>4370.04</v>
      </c>
      <c r="U67" s="1833">
        <v>1</v>
      </c>
      <c r="V67" s="1834">
        <f t="shared" si="46"/>
        <v>4370.04</v>
      </c>
      <c r="W67" s="1833">
        <v>1</v>
      </c>
      <c r="X67" s="1691">
        <f t="shared" si="47"/>
        <v>14566.79999999967</v>
      </c>
      <c r="Y67" s="1691">
        <f t="shared" si="48"/>
        <v>14566.79999999967</v>
      </c>
      <c r="Z67" s="1735">
        <f t="shared" si="49"/>
        <v>2010</v>
      </c>
      <c r="AA67" s="1693">
        <f t="shared" si="50"/>
        <v>2014.3333333333333</v>
      </c>
      <c r="AB67" s="1735">
        <f t="shared" si="51"/>
        <v>2015</v>
      </c>
      <c r="AC67" s="1688">
        <f t="shared" si="52"/>
        <v>2013.3333333333333</v>
      </c>
      <c r="AD67" s="1688">
        <f t="shared" si="53"/>
        <v>-8.3333333333333329E-2</v>
      </c>
      <c r="AE67" s="1880">
        <f t="shared" si="54"/>
        <v>5098.3800000003312</v>
      </c>
    </row>
    <row r="68" spans="1:31" s="1688" customFormat="1">
      <c r="A68" s="1846" t="s">
        <v>2358</v>
      </c>
      <c r="B68" s="1727">
        <v>300805</v>
      </c>
      <c r="C68" s="1728" t="s">
        <v>2222</v>
      </c>
      <c r="D68" s="1729">
        <v>1</v>
      </c>
      <c r="E68" s="1729">
        <v>2010</v>
      </c>
      <c r="F68" s="1730">
        <v>21850.2</v>
      </c>
      <c r="G68" s="1741">
        <v>0</v>
      </c>
      <c r="H68" s="1729">
        <v>5</v>
      </c>
      <c r="I68" s="1688">
        <f t="shared" si="37"/>
        <v>2015</v>
      </c>
      <c r="J68" s="1731"/>
      <c r="K68" s="1732"/>
      <c r="L68" s="1733">
        <v>0</v>
      </c>
      <c r="M68" s="1691">
        <f t="shared" si="38"/>
        <v>21850.2</v>
      </c>
      <c r="N68" s="1691">
        <f t="shared" si="39"/>
        <v>364.17</v>
      </c>
      <c r="O68" s="1691">
        <f t="shared" si="40"/>
        <v>4370.04</v>
      </c>
      <c r="P68" s="1734">
        <f t="shared" si="41"/>
        <v>14566.79999999967</v>
      </c>
      <c r="Q68" s="1734">
        <f t="shared" si="42"/>
        <v>18936.839999999669</v>
      </c>
      <c r="R68" s="1691">
        <f t="shared" si="43"/>
        <v>5098.3800000003312</v>
      </c>
      <c r="S68" s="1691">
        <f t="shared" si="44"/>
        <v>0</v>
      </c>
      <c r="T68" s="1691">
        <f t="shared" si="45"/>
        <v>4370.04</v>
      </c>
      <c r="U68" s="1833">
        <v>1</v>
      </c>
      <c r="V68" s="1834">
        <f t="shared" si="46"/>
        <v>4370.04</v>
      </c>
      <c r="W68" s="1833">
        <v>1</v>
      </c>
      <c r="X68" s="1691">
        <f t="shared" si="47"/>
        <v>14566.79999999967</v>
      </c>
      <c r="Y68" s="1691">
        <f t="shared" si="48"/>
        <v>14566.79999999967</v>
      </c>
      <c r="Z68" s="1735">
        <f t="shared" si="49"/>
        <v>2010</v>
      </c>
      <c r="AA68" s="1693">
        <f t="shared" si="50"/>
        <v>2014.3333333333333</v>
      </c>
      <c r="AB68" s="1735">
        <f t="shared" si="51"/>
        <v>2015</v>
      </c>
      <c r="AC68" s="1688">
        <f t="shared" si="52"/>
        <v>2013.3333333333333</v>
      </c>
      <c r="AD68" s="1688">
        <f t="shared" si="53"/>
        <v>-8.3333333333333329E-2</v>
      </c>
      <c r="AE68" s="1880">
        <f t="shared" si="54"/>
        <v>5098.3800000003312</v>
      </c>
    </row>
    <row r="69" spans="1:31" s="1688" customFormat="1">
      <c r="A69" s="1846" t="s">
        <v>2358</v>
      </c>
      <c r="B69" s="1727">
        <v>323034</v>
      </c>
      <c r="C69" s="1728" t="s">
        <v>2223</v>
      </c>
      <c r="D69" s="1729">
        <v>7</v>
      </c>
      <c r="E69" s="1729">
        <v>2011</v>
      </c>
      <c r="F69" s="1730">
        <v>9306.41</v>
      </c>
      <c r="G69" s="1741">
        <v>0</v>
      </c>
      <c r="H69" s="1729">
        <v>5</v>
      </c>
      <c r="I69" s="1688">
        <f t="shared" si="37"/>
        <v>2016</v>
      </c>
      <c r="J69" s="1731"/>
      <c r="K69" s="1732"/>
      <c r="L69" s="1733">
        <v>0</v>
      </c>
      <c r="M69" s="1691">
        <f t="shared" si="38"/>
        <v>9306.41</v>
      </c>
      <c r="N69" s="1691">
        <f t="shared" si="39"/>
        <v>155.10683333333333</v>
      </c>
      <c r="O69" s="1691">
        <f t="shared" si="40"/>
        <v>1861.2819999999999</v>
      </c>
      <c r="P69" s="1734">
        <f t="shared" si="41"/>
        <v>3412.3503333331923</v>
      </c>
      <c r="Q69" s="1734">
        <f t="shared" si="42"/>
        <v>5273.632333333192</v>
      </c>
      <c r="R69" s="1691">
        <f t="shared" si="43"/>
        <v>4963.4186666668083</v>
      </c>
      <c r="S69" s="1691">
        <f t="shared" si="44"/>
        <v>0</v>
      </c>
      <c r="T69" s="1691">
        <f t="shared" si="45"/>
        <v>1861.2819999999999</v>
      </c>
      <c r="U69" s="1833">
        <v>1</v>
      </c>
      <c r="V69" s="1834">
        <f t="shared" si="46"/>
        <v>1861.2819999999999</v>
      </c>
      <c r="W69" s="1833">
        <v>1</v>
      </c>
      <c r="X69" s="1691">
        <f t="shared" si="47"/>
        <v>3412.3503333331923</v>
      </c>
      <c r="Y69" s="1691">
        <f t="shared" si="48"/>
        <v>3412.3503333331923</v>
      </c>
      <c r="Z69" s="1735">
        <f t="shared" si="49"/>
        <v>2011.5</v>
      </c>
      <c r="AA69" s="1693">
        <f t="shared" si="50"/>
        <v>2014.3333333333333</v>
      </c>
      <c r="AB69" s="1735">
        <f t="shared" si="51"/>
        <v>2016.5</v>
      </c>
      <c r="AC69" s="1688">
        <f t="shared" si="52"/>
        <v>2013.3333333333333</v>
      </c>
      <c r="AD69" s="1688">
        <f t="shared" si="53"/>
        <v>-8.3333333333333329E-2</v>
      </c>
      <c r="AE69" s="1880">
        <f t="shared" si="54"/>
        <v>4963.4186666668083</v>
      </c>
    </row>
    <row r="70" spans="1:31" s="1688" customFormat="1">
      <c r="A70" s="1846" t="s">
        <v>2358</v>
      </c>
      <c r="B70" s="1727">
        <v>315785</v>
      </c>
      <c r="C70" s="1728" t="s">
        <v>2224</v>
      </c>
      <c r="D70" s="1729">
        <v>1</v>
      </c>
      <c r="E70" s="1729">
        <v>2011</v>
      </c>
      <c r="F70" s="1730">
        <v>22289.4</v>
      </c>
      <c r="G70" s="1741">
        <v>0</v>
      </c>
      <c r="H70" s="1729">
        <v>5</v>
      </c>
      <c r="I70" s="1688">
        <f t="shared" si="37"/>
        <v>2016</v>
      </c>
      <c r="J70" s="1731"/>
      <c r="K70" s="1732"/>
      <c r="L70" s="1733">
        <v>0</v>
      </c>
      <c r="M70" s="1691">
        <f t="shared" si="38"/>
        <v>22289.4</v>
      </c>
      <c r="N70" s="1691">
        <f t="shared" si="39"/>
        <v>371.49</v>
      </c>
      <c r="O70" s="1691">
        <f t="shared" si="40"/>
        <v>4457.88</v>
      </c>
      <c r="P70" s="1734">
        <f t="shared" si="41"/>
        <v>10401.719999999663</v>
      </c>
      <c r="Q70" s="1734">
        <f t="shared" si="42"/>
        <v>14859.599999999664</v>
      </c>
      <c r="R70" s="1691">
        <f t="shared" si="43"/>
        <v>9658.7400000003381</v>
      </c>
      <c r="S70" s="1691">
        <f t="shared" si="44"/>
        <v>0</v>
      </c>
      <c r="T70" s="1691">
        <f t="shared" si="45"/>
        <v>4457.88</v>
      </c>
      <c r="U70" s="1833">
        <v>1</v>
      </c>
      <c r="V70" s="1834">
        <f t="shared" si="46"/>
        <v>4457.88</v>
      </c>
      <c r="W70" s="1833">
        <v>1</v>
      </c>
      <c r="X70" s="1691">
        <f t="shared" si="47"/>
        <v>10401.719999999663</v>
      </c>
      <c r="Y70" s="1691">
        <f t="shared" si="48"/>
        <v>10401.719999999663</v>
      </c>
      <c r="Z70" s="1735">
        <f t="shared" si="49"/>
        <v>2011</v>
      </c>
      <c r="AA70" s="1693">
        <f t="shared" si="50"/>
        <v>2014.3333333333333</v>
      </c>
      <c r="AB70" s="1735">
        <f t="shared" si="51"/>
        <v>2016</v>
      </c>
      <c r="AC70" s="1688">
        <f t="shared" si="52"/>
        <v>2013.3333333333333</v>
      </c>
      <c r="AD70" s="1688">
        <f t="shared" si="53"/>
        <v>-8.3333333333333329E-2</v>
      </c>
      <c r="AE70" s="1880">
        <f t="shared" si="54"/>
        <v>9658.7400000003381</v>
      </c>
    </row>
    <row r="71" spans="1:31" s="1688" customFormat="1">
      <c r="A71" s="1846" t="s">
        <v>2358</v>
      </c>
      <c r="B71" s="1727">
        <v>144103</v>
      </c>
      <c r="C71" s="1728" t="s">
        <v>2225</v>
      </c>
      <c r="D71" s="1729">
        <v>1</v>
      </c>
      <c r="E71" s="1729">
        <v>2009</v>
      </c>
      <c r="F71" s="1730">
        <v>24546</v>
      </c>
      <c r="G71" s="1741">
        <v>0</v>
      </c>
      <c r="H71" s="1729">
        <v>5</v>
      </c>
      <c r="I71" s="1688">
        <f t="shared" si="37"/>
        <v>2014</v>
      </c>
      <c r="J71" s="1731"/>
      <c r="K71" s="1732"/>
      <c r="L71" s="1733">
        <v>0</v>
      </c>
      <c r="M71" s="1691">
        <f t="shared" si="38"/>
        <v>24546</v>
      </c>
      <c r="N71" s="1691">
        <f t="shared" si="39"/>
        <v>409.09999999999997</v>
      </c>
      <c r="O71" s="1691">
        <f t="shared" si="40"/>
        <v>3272.8000000003717</v>
      </c>
      <c r="P71" s="1734">
        <f t="shared" si="41"/>
        <v>21273.19999999963</v>
      </c>
      <c r="Q71" s="1734">
        <f t="shared" si="42"/>
        <v>24546</v>
      </c>
      <c r="R71" s="1691">
        <f t="shared" si="43"/>
        <v>1636.4000000001852</v>
      </c>
      <c r="S71" s="1691">
        <f t="shared" si="44"/>
        <v>0</v>
      </c>
      <c r="T71" s="1691">
        <f t="shared" si="45"/>
        <v>3272.8000000003717</v>
      </c>
      <c r="U71" s="1833">
        <v>1</v>
      </c>
      <c r="V71" s="1834">
        <f t="shared" si="46"/>
        <v>3272.8000000003717</v>
      </c>
      <c r="W71" s="1833">
        <v>1</v>
      </c>
      <c r="X71" s="1691">
        <f t="shared" si="47"/>
        <v>21273.19999999963</v>
      </c>
      <c r="Y71" s="1691">
        <f t="shared" si="48"/>
        <v>21273.19999999963</v>
      </c>
      <c r="Z71" s="1735">
        <f t="shared" si="49"/>
        <v>2009</v>
      </c>
      <c r="AA71" s="1693">
        <f t="shared" si="50"/>
        <v>2014.3333333333333</v>
      </c>
      <c r="AB71" s="1735">
        <f t="shared" si="51"/>
        <v>2014</v>
      </c>
      <c r="AC71" s="1688">
        <f t="shared" si="52"/>
        <v>2013.3333333333333</v>
      </c>
      <c r="AD71" s="1688">
        <f t="shared" si="53"/>
        <v>-8.3333333333333329E-2</v>
      </c>
      <c r="AE71" s="1880">
        <f t="shared" si="54"/>
        <v>1636.4000000001852</v>
      </c>
    </row>
    <row r="72" spans="1:31" s="1688" customFormat="1">
      <c r="A72" s="1848" t="s">
        <v>2359</v>
      </c>
      <c r="B72" s="1727">
        <v>308167</v>
      </c>
      <c r="C72" s="1728" t="s">
        <v>2226</v>
      </c>
      <c r="D72" s="1729">
        <v>8</v>
      </c>
      <c r="E72" s="1729">
        <v>2010</v>
      </c>
      <c r="F72" s="1730">
        <v>226444.94</v>
      </c>
      <c r="G72" s="1741">
        <v>0</v>
      </c>
      <c r="H72" s="1729">
        <v>10</v>
      </c>
      <c r="I72" s="1688">
        <f t="shared" si="37"/>
        <v>2020</v>
      </c>
      <c r="J72" s="1731"/>
      <c r="K72" s="1732"/>
      <c r="L72" s="1733">
        <v>0</v>
      </c>
      <c r="M72" s="1691">
        <f t="shared" si="38"/>
        <v>226444.94</v>
      </c>
      <c r="N72" s="1691">
        <f t="shared" si="39"/>
        <v>1887.0411666666666</v>
      </c>
      <c r="O72" s="1691">
        <f t="shared" si="40"/>
        <v>22644.493999999999</v>
      </c>
      <c r="P72" s="1734">
        <f t="shared" si="41"/>
        <v>62272.358500000002</v>
      </c>
      <c r="Q72" s="1734">
        <f t="shared" si="42"/>
        <v>84916.852500000008</v>
      </c>
      <c r="R72" s="1691">
        <f t="shared" si="43"/>
        <v>152850.3345</v>
      </c>
      <c r="S72" s="1691">
        <f t="shared" si="44"/>
        <v>0</v>
      </c>
      <c r="T72" s="1691">
        <f t="shared" si="45"/>
        <v>22644.493999999999</v>
      </c>
      <c r="U72" s="1833">
        <v>1</v>
      </c>
      <c r="V72" s="1834">
        <f t="shared" si="46"/>
        <v>22644.493999999999</v>
      </c>
      <c r="W72" s="1833">
        <v>1</v>
      </c>
      <c r="X72" s="1691">
        <f t="shared" si="47"/>
        <v>62272.358500000002</v>
      </c>
      <c r="Y72" s="1691">
        <f t="shared" si="48"/>
        <v>62272.358500000002</v>
      </c>
      <c r="Z72" s="1735">
        <f t="shared" si="49"/>
        <v>2010.5833333333333</v>
      </c>
      <c r="AA72" s="1693">
        <f t="shared" si="50"/>
        <v>2014.3333333333333</v>
      </c>
      <c r="AB72" s="1735">
        <f t="shared" si="51"/>
        <v>2020.5833333333333</v>
      </c>
      <c r="AC72" s="1688">
        <f t="shared" si="52"/>
        <v>2013.3333333333333</v>
      </c>
      <c r="AD72" s="1688">
        <f t="shared" si="53"/>
        <v>-8.3333333333333329E-2</v>
      </c>
      <c r="AE72" s="1880">
        <f t="shared" si="54"/>
        <v>152850.3345</v>
      </c>
    </row>
    <row r="73" spans="1:31" s="1688" customFormat="1">
      <c r="A73" s="1848" t="s">
        <v>2359</v>
      </c>
      <c r="B73" s="1727">
        <v>308170</v>
      </c>
      <c r="C73" s="1728" t="s">
        <v>2212</v>
      </c>
      <c r="D73" s="1729">
        <v>8</v>
      </c>
      <c r="E73" s="1729">
        <v>2010</v>
      </c>
      <c r="F73" s="1730">
        <v>225541.42</v>
      </c>
      <c r="G73" s="1741">
        <v>0</v>
      </c>
      <c r="H73" s="1729">
        <v>10</v>
      </c>
      <c r="I73" s="1688">
        <f t="shared" si="37"/>
        <v>2020</v>
      </c>
      <c r="J73" s="1731"/>
      <c r="K73" s="1732"/>
      <c r="L73" s="1733">
        <v>0</v>
      </c>
      <c r="M73" s="1691">
        <f t="shared" si="38"/>
        <v>225541.42</v>
      </c>
      <c r="N73" s="1691">
        <f t="shared" si="39"/>
        <v>1879.5118333333332</v>
      </c>
      <c r="O73" s="1691">
        <f t="shared" si="40"/>
        <v>22554.142</v>
      </c>
      <c r="P73" s="1734">
        <f t="shared" si="41"/>
        <v>62023.890499999994</v>
      </c>
      <c r="Q73" s="1734">
        <f t="shared" si="42"/>
        <v>84578.032500000001</v>
      </c>
      <c r="R73" s="1691">
        <f t="shared" si="43"/>
        <v>152240.45850000001</v>
      </c>
      <c r="S73" s="1691">
        <f t="shared" si="44"/>
        <v>0</v>
      </c>
      <c r="T73" s="1691">
        <f t="shared" si="45"/>
        <v>22554.142</v>
      </c>
      <c r="U73" s="1833">
        <v>1</v>
      </c>
      <c r="V73" s="1834">
        <f t="shared" si="46"/>
        <v>22554.142</v>
      </c>
      <c r="W73" s="1833">
        <v>1</v>
      </c>
      <c r="X73" s="1691">
        <f t="shared" si="47"/>
        <v>62023.890499999994</v>
      </c>
      <c r="Y73" s="1691">
        <f t="shared" si="48"/>
        <v>62023.890499999994</v>
      </c>
      <c r="Z73" s="1735">
        <f t="shared" si="49"/>
        <v>2010.5833333333333</v>
      </c>
      <c r="AA73" s="1693">
        <f t="shared" si="50"/>
        <v>2014.3333333333333</v>
      </c>
      <c r="AB73" s="1735">
        <f t="shared" si="51"/>
        <v>2020.5833333333333</v>
      </c>
      <c r="AC73" s="1688">
        <f t="shared" si="52"/>
        <v>2013.3333333333333</v>
      </c>
      <c r="AD73" s="1688">
        <f t="shared" si="53"/>
        <v>-8.3333333333333329E-2</v>
      </c>
      <c r="AE73" s="1880">
        <f t="shared" si="54"/>
        <v>152240.45850000001</v>
      </c>
    </row>
    <row r="74" spans="1:31" s="1688" customFormat="1">
      <c r="A74" s="1848" t="s">
        <v>2359</v>
      </c>
      <c r="B74" s="1727">
        <v>306805</v>
      </c>
      <c r="C74" s="1728" t="s">
        <v>2227</v>
      </c>
      <c r="D74" s="1729">
        <v>7</v>
      </c>
      <c r="E74" s="1729">
        <v>2010</v>
      </c>
      <c r="F74" s="1730">
        <v>231256.58</v>
      </c>
      <c r="G74" s="1741">
        <v>0</v>
      </c>
      <c r="H74" s="1729">
        <v>10</v>
      </c>
      <c r="I74" s="1688">
        <f t="shared" si="37"/>
        <v>2020</v>
      </c>
      <c r="J74" s="1731"/>
      <c r="K74" s="1732"/>
      <c r="L74" s="1733">
        <v>0</v>
      </c>
      <c r="M74" s="1691">
        <f t="shared" si="38"/>
        <v>231256.58</v>
      </c>
      <c r="N74" s="1691">
        <f t="shared" si="39"/>
        <v>1927.1381666666666</v>
      </c>
      <c r="O74" s="1691">
        <f t="shared" si="40"/>
        <v>23125.657999999999</v>
      </c>
      <c r="P74" s="1734">
        <f t="shared" si="41"/>
        <v>65522.697666664913</v>
      </c>
      <c r="Q74" s="1734">
        <f t="shared" si="42"/>
        <v>88648.355666664909</v>
      </c>
      <c r="R74" s="1691">
        <f t="shared" si="43"/>
        <v>154171.05333333506</v>
      </c>
      <c r="S74" s="1691">
        <f t="shared" si="44"/>
        <v>0</v>
      </c>
      <c r="T74" s="1691">
        <f t="shared" si="45"/>
        <v>23125.657999999999</v>
      </c>
      <c r="U74" s="1833">
        <v>1</v>
      </c>
      <c r="V74" s="1834">
        <f t="shared" si="46"/>
        <v>23125.657999999999</v>
      </c>
      <c r="W74" s="1833">
        <v>1</v>
      </c>
      <c r="X74" s="1691">
        <f t="shared" si="47"/>
        <v>65522.697666664913</v>
      </c>
      <c r="Y74" s="1691">
        <f t="shared" si="48"/>
        <v>65522.697666664913</v>
      </c>
      <c r="Z74" s="1735">
        <f t="shared" si="49"/>
        <v>2010.5</v>
      </c>
      <c r="AA74" s="1693">
        <f t="shared" si="50"/>
        <v>2014.3333333333333</v>
      </c>
      <c r="AB74" s="1735">
        <f t="shared" si="51"/>
        <v>2020.5</v>
      </c>
      <c r="AC74" s="1688">
        <f t="shared" si="52"/>
        <v>2013.3333333333333</v>
      </c>
      <c r="AD74" s="1688">
        <f t="shared" si="53"/>
        <v>-8.3333333333333329E-2</v>
      </c>
      <c r="AE74" s="1880">
        <f t="shared" si="54"/>
        <v>154171.05333333506</v>
      </c>
    </row>
    <row r="75" spans="1:31" s="1688" customFormat="1">
      <c r="A75" s="1848" t="s">
        <v>2359</v>
      </c>
      <c r="B75" s="1727">
        <v>306806</v>
      </c>
      <c r="C75" s="1728" t="s">
        <v>2228</v>
      </c>
      <c r="D75" s="1729">
        <v>7</v>
      </c>
      <c r="E75" s="1729">
        <v>2010</v>
      </c>
      <c r="F75" s="1730">
        <v>226518.44</v>
      </c>
      <c r="G75" s="1741">
        <v>0</v>
      </c>
      <c r="H75" s="1729">
        <v>10</v>
      </c>
      <c r="I75" s="1688">
        <f t="shared" si="37"/>
        <v>2020</v>
      </c>
      <c r="J75" s="1731"/>
      <c r="K75" s="1732"/>
      <c r="L75" s="1733">
        <v>0</v>
      </c>
      <c r="M75" s="1691">
        <f t="shared" si="38"/>
        <v>226518.44</v>
      </c>
      <c r="N75" s="1691">
        <f t="shared" si="39"/>
        <v>1887.6536666666668</v>
      </c>
      <c r="O75" s="1691">
        <f t="shared" si="40"/>
        <v>22651.844000000001</v>
      </c>
      <c r="P75" s="1734">
        <f t="shared" si="41"/>
        <v>64180.224666664952</v>
      </c>
      <c r="Q75" s="1734">
        <f t="shared" si="42"/>
        <v>86832.068666664956</v>
      </c>
      <c r="R75" s="1691">
        <f t="shared" si="43"/>
        <v>151012.29333333505</v>
      </c>
      <c r="S75" s="1691">
        <f t="shared" si="44"/>
        <v>0</v>
      </c>
      <c r="T75" s="1691">
        <f t="shared" si="45"/>
        <v>22651.844000000001</v>
      </c>
      <c r="U75" s="1833">
        <v>1</v>
      </c>
      <c r="V75" s="1834">
        <f t="shared" si="46"/>
        <v>22651.844000000001</v>
      </c>
      <c r="W75" s="1833">
        <v>1</v>
      </c>
      <c r="X75" s="1691">
        <f t="shared" si="47"/>
        <v>64180.224666664952</v>
      </c>
      <c r="Y75" s="1691">
        <f t="shared" si="48"/>
        <v>64180.224666664952</v>
      </c>
      <c r="Z75" s="1735">
        <f t="shared" si="49"/>
        <v>2010.5</v>
      </c>
      <c r="AA75" s="1693">
        <f t="shared" si="50"/>
        <v>2014.3333333333333</v>
      </c>
      <c r="AB75" s="1735">
        <f t="shared" si="51"/>
        <v>2020.5</v>
      </c>
      <c r="AC75" s="1688">
        <f t="shared" si="52"/>
        <v>2013.3333333333333</v>
      </c>
      <c r="AD75" s="1688">
        <f t="shared" si="53"/>
        <v>-8.3333333333333329E-2</v>
      </c>
      <c r="AE75" s="1880">
        <f t="shared" si="54"/>
        <v>151012.29333333505</v>
      </c>
    </row>
    <row r="76" spans="1:31" s="1688" customFormat="1">
      <c r="A76" s="1848" t="s">
        <v>2359</v>
      </c>
      <c r="B76" s="1727">
        <v>144556</v>
      </c>
      <c r="C76" s="1728" t="s">
        <v>2229</v>
      </c>
      <c r="D76" s="1729">
        <v>11</v>
      </c>
      <c r="E76" s="1729">
        <v>2008</v>
      </c>
      <c r="F76" s="1730">
        <v>99000</v>
      </c>
      <c r="G76" s="1741">
        <v>0</v>
      </c>
      <c r="H76" s="1729">
        <v>6.1666999999999996</v>
      </c>
      <c r="I76" s="1825">
        <f t="shared" si="37"/>
        <v>2014.1667</v>
      </c>
      <c r="J76" s="1731"/>
      <c r="K76" s="1732"/>
      <c r="L76" s="1733">
        <v>0</v>
      </c>
      <c r="M76" s="1691">
        <f t="shared" si="38"/>
        <v>99000</v>
      </c>
      <c r="N76" s="1691">
        <f t="shared" si="39"/>
        <v>1337.8306063210468</v>
      </c>
      <c r="O76" s="1691">
        <f t="shared" si="40"/>
        <v>16053.967275852563</v>
      </c>
      <c r="P76" s="1734">
        <f t="shared" si="41"/>
        <v>72242.852741336523</v>
      </c>
      <c r="Q76" s="1734">
        <f t="shared" si="42"/>
        <v>88296.820017189078</v>
      </c>
      <c r="R76" s="1691">
        <f t="shared" si="43"/>
        <v>18730.163620737199</v>
      </c>
      <c r="S76" s="1691">
        <f t="shared" si="44"/>
        <v>0</v>
      </c>
      <c r="T76" s="1691">
        <f t="shared" si="45"/>
        <v>16053.967275852563</v>
      </c>
      <c r="U76" s="1833">
        <v>1</v>
      </c>
      <c r="V76" s="1834">
        <f t="shared" si="46"/>
        <v>16053.967275852563</v>
      </c>
      <c r="W76" s="1833">
        <v>1</v>
      </c>
      <c r="X76" s="1691">
        <f t="shared" si="47"/>
        <v>72242.852741336523</v>
      </c>
      <c r="Y76" s="1691">
        <f t="shared" si="48"/>
        <v>72242.852741336523</v>
      </c>
      <c r="Z76" s="1735">
        <f t="shared" si="49"/>
        <v>2008.8333333333333</v>
      </c>
      <c r="AA76" s="1693">
        <f t="shared" si="50"/>
        <v>2014.3333333333333</v>
      </c>
      <c r="AB76" s="1735">
        <f t="shared" si="51"/>
        <v>2015.0000333333332</v>
      </c>
      <c r="AC76" s="1688">
        <f t="shared" si="52"/>
        <v>2013.3333333333333</v>
      </c>
      <c r="AD76" s="1688">
        <f t="shared" si="53"/>
        <v>-8.3333333333333329E-2</v>
      </c>
      <c r="AE76" s="1880">
        <f t="shared" si="54"/>
        <v>18730.163620737199</v>
      </c>
    </row>
    <row r="77" spans="1:31" s="1688" customFormat="1">
      <c r="A77" s="1848" t="s">
        <v>2359</v>
      </c>
      <c r="B77" s="1727">
        <v>144557</v>
      </c>
      <c r="C77" s="1728" t="s">
        <v>2230</v>
      </c>
      <c r="D77" s="1729">
        <v>11</v>
      </c>
      <c r="E77" s="1729">
        <v>2008</v>
      </c>
      <c r="F77" s="1730">
        <v>98000</v>
      </c>
      <c r="G77" s="1741">
        <v>0</v>
      </c>
      <c r="H77" s="1729">
        <v>6.1666999999999996</v>
      </c>
      <c r="I77" s="1825">
        <f t="shared" si="37"/>
        <v>2014.1667</v>
      </c>
      <c r="J77" s="1731"/>
      <c r="K77" s="1732"/>
      <c r="L77" s="1733">
        <v>0</v>
      </c>
      <c r="M77" s="1691">
        <f t="shared" si="38"/>
        <v>98000</v>
      </c>
      <c r="N77" s="1691">
        <f t="shared" si="39"/>
        <v>1324.3171658531576</v>
      </c>
      <c r="O77" s="1691">
        <f t="shared" si="40"/>
        <v>15891.805990237892</v>
      </c>
      <c r="P77" s="1734">
        <f t="shared" si="41"/>
        <v>71513.126956070511</v>
      </c>
      <c r="Q77" s="1734">
        <f t="shared" si="42"/>
        <v>87404.9329463084</v>
      </c>
      <c r="R77" s="1691">
        <f t="shared" si="43"/>
        <v>18540.970048810545</v>
      </c>
      <c r="S77" s="1691">
        <f t="shared" si="44"/>
        <v>0</v>
      </c>
      <c r="T77" s="1691">
        <f t="shared" si="45"/>
        <v>15891.805990237892</v>
      </c>
      <c r="U77" s="1833">
        <v>1</v>
      </c>
      <c r="V77" s="1834">
        <f t="shared" si="46"/>
        <v>15891.805990237892</v>
      </c>
      <c r="W77" s="1833">
        <v>1</v>
      </c>
      <c r="X77" s="1691">
        <f t="shared" si="47"/>
        <v>71513.126956070511</v>
      </c>
      <c r="Y77" s="1691">
        <f t="shared" si="48"/>
        <v>71513.126956070511</v>
      </c>
      <c r="Z77" s="1735">
        <f t="shared" si="49"/>
        <v>2008.8333333333333</v>
      </c>
      <c r="AA77" s="1693">
        <f t="shared" si="50"/>
        <v>2014.3333333333333</v>
      </c>
      <c r="AB77" s="1735">
        <f t="shared" si="51"/>
        <v>2015.0000333333332</v>
      </c>
      <c r="AC77" s="1688">
        <f t="shared" si="52"/>
        <v>2013.3333333333333</v>
      </c>
      <c r="AD77" s="1688">
        <f t="shared" si="53"/>
        <v>-8.3333333333333329E-2</v>
      </c>
      <c r="AE77" s="1880">
        <f t="shared" si="54"/>
        <v>18540.970048810545</v>
      </c>
    </row>
    <row r="78" spans="1:31" s="1688" customFormat="1">
      <c r="A78" s="1848" t="s">
        <v>2359</v>
      </c>
      <c r="B78" s="1727">
        <v>144073</v>
      </c>
      <c r="C78" s="1728" t="s">
        <v>2231</v>
      </c>
      <c r="D78" s="1729">
        <v>11</v>
      </c>
      <c r="E78" s="1729">
        <v>2008</v>
      </c>
      <c r="F78" s="1730">
        <v>180000</v>
      </c>
      <c r="G78" s="1741">
        <v>0</v>
      </c>
      <c r="H78" s="1729">
        <f>116/12</f>
        <v>9.6666666666666661</v>
      </c>
      <c r="I78" s="1688">
        <f t="shared" si="37"/>
        <v>2017.6666666666667</v>
      </c>
      <c r="J78" s="1731"/>
      <c r="K78" s="1732"/>
      <c r="L78" s="1733">
        <v>0</v>
      </c>
      <c r="M78" s="1691">
        <f t="shared" si="38"/>
        <v>180000</v>
      </c>
      <c r="N78" s="1691">
        <f t="shared" si="39"/>
        <v>1551.7241379310346</v>
      </c>
      <c r="O78" s="1691">
        <f t="shared" si="40"/>
        <v>18620.689655172417</v>
      </c>
      <c r="P78" s="1734">
        <f t="shared" si="41"/>
        <v>83793.10344827587</v>
      </c>
      <c r="Q78" s="1734">
        <f t="shared" si="42"/>
        <v>102413.79310344829</v>
      </c>
      <c r="R78" s="1691">
        <f t="shared" si="43"/>
        <v>86896.551724137913</v>
      </c>
      <c r="S78" s="1691">
        <f t="shared" si="44"/>
        <v>0</v>
      </c>
      <c r="T78" s="1691">
        <f t="shared" si="45"/>
        <v>18620.689655172417</v>
      </c>
      <c r="U78" s="1833">
        <v>1</v>
      </c>
      <c r="V78" s="1834">
        <f t="shared" si="46"/>
        <v>18620.689655172417</v>
      </c>
      <c r="W78" s="1833">
        <v>1</v>
      </c>
      <c r="X78" s="1691">
        <f t="shared" si="47"/>
        <v>83793.10344827587</v>
      </c>
      <c r="Y78" s="1691">
        <f t="shared" si="48"/>
        <v>83793.10344827587</v>
      </c>
      <c r="Z78" s="1735">
        <f t="shared" si="49"/>
        <v>2008.8333333333333</v>
      </c>
      <c r="AA78" s="1693">
        <f t="shared" si="50"/>
        <v>2014.3333333333333</v>
      </c>
      <c r="AB78" s="1735">
        <f t="shared" si="51"/>
        <v>2018.5</v>
      </c>
      <c r="AC78" s="1688">
        <f t="shared" si="52"/>
        <v>2013.3333333333333</v>
      </c>
      <c r="AD78" s="1688">
        <f t="shared" si="53"/>
        <v>-8.3333333333333329E-2</v>
      </c>
      <c r="AE78" s="1880">
        <f t="shared" si="54"/>
        <v>86896.551724137913</v>
      </c>
    </row>
    <row r="79" spans="1:31" s="1688" customFormat="1">
      <c r="A79" s="1848" t="s">
        <v>2359</v>
      </c>
      <c r="B79" s="1727">
        <v>144075</v>
      </c>
      <c r="C79" s="1728" t="s">
        <v>2231</v>
      </c>
      <c r="D79" s="1729">
        <v>11</v>
      </c>
      <c r="E79" s="1729">
        <v>2008</v>
      </c>
      <c r="F79" s="1730">
        <v>200000</v>
      </c>
      <c r="G79" s="1741">
        <v>0</v>
      </c>
      <c r="H79" s="1729">
        <f>118/12</f>
        <v>9.8333333333333339</v>
      </c>
      <c r="I79" s="1688">
        <f t="shared" si="37"/>
        <v>2017.8333333333333</v>
      </c>
      <c r="J79" s="1731"/>
      <c r="K79" s="1732"/>
      <c r="L79" s="1733">
        <v>0</v>
      </c>
      <c r="M79" s="1691">
        <f t="shared" si="38"/>
        <v>200000</v>
      </c>
      <c r="N79" s="1691">
        <f t="shared" si="39"/>
        <v>1694.9152542372879</v>
      </c>
      <c r="O79" s="1691">
        <f t="shared" si="40"/>
        <v>20338.983050847455</v>
      </c>
      <c r="P79" s="1734">
        <f t="shared" si="41"/>
        <v>91525.423728813548</v>
      </c>
      <c r="Q79" s="1734">
        <f t="shared" si="42"/>
        <v>111864.406779661</v>
      </c>
      <c r="R79" s="1691">
        <f t="shared" si="43"/>
        <v>98305.084745762724</v>
      </c>
      <c r="S79" s="1691">
        <f t="shared" si="44"/>
        <v>0</v>
      </c>
      <c r="T79" s="1691">
        <f t="shared" si="45"/>
        <v>20338.983050847455</v>
      </c>
      <c r="U79" s="1833">
        <v>1</v>
      </c>
      <c r="V79" s="1834">
        <f t="shared" si="46"/>
        <v>20338.983050847455</v>
      </c>
      <c r="W79" s="1833">
        <v>1</v>
      </c>
      <c r="X79" s="1691">
        <f t="shared" si="47"/>
        <v>91525.423728813548</v>
      </c>
      <c r="Y79" s="1691">
        <f t="shared" si="48"/>
        <v>91525.423728813548</v>
      </c>
      <c r="Z79" s="1735">
        <f t="shared" si="49"/>
        <v>2008.8333333333333</v>
      </c>
      <c r="AA79" s="1693">
        <f t="shared" si="50"/>
        <v>2014.3333333333333</v>
      </c>
      <c r="AB79" s="1735">
        <f t="shared" si="51"/>
        <v>2018.6666666666665</v>
      </c>
      <c r="AC79" s="1688">
        <f t="shared" si="52"/>
        <v>2013.3333333333333</v>
      </c>
      <c r="AD79" s="1688">
        <f t="shared" si="53"/>
        <v>-8.3333333333333329E-2</v>
      </c>
      <c r="AE79" s="1880">
        <f t="shared" si="54"/>
        <v>98305.084745762724</v>
      </c>
    </row>
    <row r="80" spans="1:31" s="1688" customFormat="1">
      <c r="A80" s="1848" t="s">
        <v>2359</v>
      </c>
      <c r="B80" s="1727">
        <v>144086</v>
      </c>
      <c r="C80" s="1728" t="s">
        <v>2232</v>
      </c>
      <c r="D80" s="1729">
        <v>11</v>
      </c>
      <c r="E80" s="1729">
        <v>2008</v>
      </c>
      <c r="F80" s="1730">
        <v>9300</v>
      </c>
      <c r="G80" s="1741">
        <v>0</v>
      </c>
      <c r="H80" s="1729">
        <f>116/12</f>
        <v>9.6666666666666661</v>
      </c>
      <c r="I80" s="1688">
        <f t="shared" si="37"/>
        <v>2017.6666666666667</v>
      </c>
      <c r="J80" s="1731"/>
      <c r="K80" s="1732"/>
      <c r="L80" s="1733">
        <v>0</v>
      </c>
      <c r="M80" s="1691">
        <f t="shared" si="38"/>
        <v>9300</v>
      </c>
      <c r="N80" s="1691">
        <f t="shared" si="39"/>
        <v>80.172413793103445</v>
      </c>
      <c r="O80" s="1691">
        <f t="shared" si="40"/>
        <v>962.06896551724139</v>
      </c>
      <c r="P80" s="1734">
        <f t="shared" si="41"/>
        <v>4329.3103448275861</v>
      </c>
      <c r="Q80" s="1734">
        <f t="shared" si="42"/>
        <v>5291.3793103448279</v>
      </c>
      <c r="R80" s="1691">
        <f t="shared" si="43"/>
        <v>4489.6551724137935</v>
      </c>
      <c r="S80" s="1691">
        <f t="shared" si="44"/>
        <v>0</v>
      </c>
      <c r="T80" s="1691">
        <f t="shared" si="45"/>
        <v>962.06896551724139</v>
      </c>
      <c r="U80" s="1833">
        <v>1</v>
      </c>
      <c r="V80" s="1834">
        <f t="shared" si="46"/>
        <v>962.06896551724139</v>
      </c>
      <c r="W80" s="1833">
        <v>1</v>
      </c>
      <c r="X80" s="1691">
        <f t="shared" si="47"/>
        <v>4329.3103448275861</v>
      </c>
      <c r="Y80" s="1691">
        <f t="shared" si="48"/>
        <v>4329.3103448275861</v>
      </c>
      <c r="Z80" s="1735">
        <f t="shared" si="49"/>
        <v>2008.8333333333333</v>
      </c>
      <c r="AA80" s="1693">
        <f t="shared" si="50"/>
        <v>2014.3333333333333</v>
      </c>
      <c r="AB80" s="1735">
        <f t="shared" si="51"/>
        <v>2018.5</v>
      </c>
      <c r="AC80" s="1688">
        <f t="shared" si="52"/>
        <v>2013.3333333333333</v>
      </c>
      <c r="AD80" s="1688">
        <f t="shared" si="53"/>
        <v>-8.3333333333333329E-2</v>
      </c>
      <c r="AE80" s="1880">
        <f t="shared" si="54"/>
        <v>4489.6551724137935</v>
      </c>
    </row>
    <row r="81" spans="1:31" s="1688" customFormat="1">
      <c r="A81" s="1848" t="s">
        <v>2359</v>
      </c>
      <c r="B81" s="1727">
        <v>144099</v>
      </c>
      <c r="C81" s="1728" t="s">
        <v>2233</v>
      </c>
      <c r="D81" s="1729">
        <v>11</v>
      </c>
      <c r="E81" s="1729">
        <v>2008</v>
      </c>
      <c r="F81" s="1730">
        <v>9011.24</v>
      </c>
      <c r="G81" s="1741">
        <v>0</v>
      </c>
      <c r="H81" s="1729">
        <v>10</v>
      </c>
      <c r="I81" s="1688">
        <f t="shared" si="37"/>
        <v>2018</v>
      </c>
      <c r="J81" s="1731"/>
      <c r="K81" s="1732"/>
      <c r="L81" s="1733">
        <v>0</v>
      </c>
      <c r="M81" s="1691">
        <f t="shared" si="38"/>
        <v>9011.24</v>
      </c>
      <c r="N81" s="1691">
        <f t="shared" si="39"/>
        <v>75.093666666666664</v>
      </c>
      <c r="O81" s="1691">
        <f t="shared" si="40"/>
        <v>901.12400000000002</v>
      </c>
      <c r="P81" s="1734">
        <f t="shared" si="41"/>
        <v>4055.058</v>
      </c>
      <c r="Q81" s="1734">
        <f t="shared" si="42"/>
        <v>4956.1819999999998</v>
      </c>
      <c r="R81" s="1691">
        <f t="shared" si="43"/>
        <v>4505.62</v>
      </c>
      <c r="S81" s="1691">
        <f t="shared" si="44"/>
        <v>0</v>
      </c>
      <c r="T81" s="1691">
        <f t="shared" si="45"/>
        <v>901.12400000000002</v>
      </c>
      <c r="U81" s="1833">
        <v>1</v>
      </c>
      <c r="V81" s="1834">
        <f t="shared" si="46"/>
        <v>901.12400000000002</v>
      </c>
      <c r="W81" s="1833">
        <v>1</v>
      </c>
      <c r="X81" s="1691">
        <f t="shared" si="47"/>
        <v>4055.058</v>
      </c>
      <c r="Y81" s="1691">
        <f t="shared" si="48"/>
        <v>4055.058</v>
      </c>
      <c r="Z81" s="1735">
        <f t="shared" si="49"/>
        <v>2008.8333333333333</v>
      </c>
      <c r="AA81" s="1693">
        <f t="shared" si="50"/>
        <v>2014.3333333333333</v>
      </c>
      <c r="AB81" s="1735">
        <f t="shared" si="51"/>
        <v>2018.8333333333333</v>
      </c>
      <c r="AC81" s="1688">
        <f t="shared" si="52"/>
        <v>2013.3333333333333</v>
      </c>
      <c r="AD81" s="1688">
        <f t="shared" si="53"/>
        <v>-8.3333333333333329E-2</v>
      </c>
      <c r="AE81" s="1880">
        <f t="shared" si="54"/>
        <v>4505.62</v>
      </c>
    </row>
    <row r="82" spans="1:31" s="1688" customFormat="1">
      <c r="A82" s="1849" t="s">
        <v>2355</v>
      </c>
      <c r="B82" s="1727">
        <v>328408</v>
      </c>
      <c r="C82" s="1728" t="s">
        <v>2234</v>
      </c>
      <c r="D82" s="1729">
        <v>12</v>
      </c>
      <c r="E82" s="1729">
        <v>2011</v>
      </c>
      <c r="F82" s="1730">
        <v>260759.91</v>
      </c>
      <c r="G82" s="1741">
        <v>0</v>
      </c>
      <c r="H82" s="1729">
        <f t="shared" ref="H82:H88" si="55">144/12</f>
        <v>12</v>
      </c>
      <c r="I82" s="1688">
        <f t="shared" si="37"/>
        <v>2023</v>
      </c>
      <c r="J82" s="1731"/>
      <c r="K82" s="1732"/>
      <c r="L82" s="1733">
        <v>0</v>
      </c>
      <c r="M82" s="1691">
        <f t="shared" si="38"/>
        <v>260759.91</v>
      </c>
      <c r="N82" s="1691">
        <f t="shared" si="39"/>
        <v>1810.8327083333334</v>
      </c>
      <c r="O82" s="1691">
        <f t="shared" si="40"/>
        <v>21729.9925</v>
      </c>
      <c r="P82" s="1734">
        <f t="shared" si="41"/>
        <v>30784.156041663373</v>
      </c>
      <c r="Q82" s="1734">
        <f t="shared" si="42"/>
        <v>52514.148541663373</v>
      </c>
      <c r="R82" s="1691">
        <f t="shared" si="43"/>
        <v>219110.75770833663</v>
      </c>
      <c r="S82" s="1691">
        <f t="shared" si="44"/>
        <v>0</v>
      </c>
      <c r="T82" s="1691">
        <f t="shared" si="45"/>
        <v>21729.9925</v>
      </c>
      <c r="U82" s="1833">
        <v>1</v>
      </c>
      <c r="V82" s="1834">
        <f t="shared" si="46"/>
        <v>21729.9925</v>
      </c>
      <c r="W82" s="1833">
        <v>1</v>
      </c>
      <c r="X82" s="1691">
        <f t="shared" si="47"/>
        <v>30784.156041663373</v>
      </c>
      <c r="Y82" s="1691">
        <f t="shared" si="48"/>
        <v>30784.156041663373</v>
      </c>
      <c r="Z82" s="1735">
        <f t="shared" si="49"/>
        <v>2011.9166666666667</v>
      </c>
      <c r="AA82" s="1693">
        <f t="shared" si="50"/>
        <v>2014.3333333333333</v>
      </c>
      <c r="AB82" s="1735">
        <f t="shared" si="51"/>
        <v>2023.9166666666667</v>
      </c>
      <c r="AC82" s="1688">
        <f t="shared" si="52"/>
        <v>2013.3333333333333</v>
      </c>
      <c r="AD82" s="1688">
        <f t="shared" si="53"/>
        <v>-8.3333333333333329E-2</v>
      </c>
      <c r="AE82" s="1880">
        <f t="shared" si="54"/>
        <v>219110.75770833663</v>
      </c>
    </row>
    <row r="83" spans="1:31" s="1688" customFormat="1">
      <c r="A83" s="1849" t="s">
        <v>2355</v>
      </c>
      <c r="B83" s="1727">
        <v>328409</v>
      </c>
      <c r="C83" s="1728" t="s">
        <v>2235</v>
      </c>
      <c r="D83" s="1729">
        <v>12</v>
      </c>
      <c r="E83" s="1729">
        <v>2011</v>
      </c>
      <c r="F83" s="1730">
        <v>260759.91</v>
      </c>
      <c r="G83" s="1741">
        <v>0</v>
      </c>
      <c r="H83" s="1729">
        <f t="shared" si="55"/>
        <v>12</v>
      </c>
      <c r="I83" s="1688">
        <f t="shared" si="37"/>
        <v>2023</v>
      </c>
      <c r="J83" s="1731"/>
      <c r="K83" s="1732"/>
      <c r="L83" s="1733">
        <v>0</v>
      </c>
      <c r="M83" s="1691">
        <f t="shared" si="38"/>
        <v>260759.91</v>
      </c>
      <c r="N83" s="1691">
        <f t="shared" si="39"/>
        <v>1810.8327083333334</v>
      </c>
      <c r="O83" s="1691">
        <f t="shared" si="40"/>
        <v>21729.9925</v>
      </c>
      <c r="P83" s="1734">
        <f t="shared" si="41"/>
        <v>30784.156041663373</v>
      </c>
      <c r="Q83" s="1734">
        <f t="shared" si="42"/>
        <v>52514.148541663373</v>
      </c>
      <c r="R83" s="1691">
        <f t="shared" si="43"/>
        <v>219110.75770833663</v>
      </c>
      <c r="S83" s="1691">
        <f t="shared" si="44"/>
        <v>0</v>
      </c>
      <c r="T83" s="1691">
        <f t="shared" si="45"/>
        <v>21729.9925</v>
      </c>
      <c r="U83" s="1833">
        <v>1</v>
      </c>
      <c r="V83" s="1834">
        <f t="shared" si="46"/>
        <v>21729.9925</v>
      </c>
      <c r="W83" s="1833">
        <v>1</v>
      </c>
      <c r="X83" s="1691">
        <f t="shared" si="47"/>
        <v>30784.156041663373</v>
      </c>
      <c r="Y83" s="1691">
        <f t="shared" si="48"/>
        <v>30784.156041663373</v>
      </c>
      <c r="Z83" s="1735">
        <f t="shared" si="49"/>
        <v>2011.9166666666667</v>
      </c>
      <c r="AA83" s="1693">
        <f t="shared" si="50"/>
        <v>2014.3333333333333</v>
      </c>
      <c r="AB83" s="1735">
        <f t="shared" si="51"/>
        <v>2023.9166666666667</v>
      </c>
      <c r="AC83" s="1688">
        <f t="shared" si="52"/>
        <v>2013.3333333333333</v>
      </c>
      <c r="AD83" s="1688">
        <f t="shared" si="53"/>
        <v>-8.3333333333333329E-2</v>
      </c>
      <c r="AE83" s="1880">
        <f t="shared" si="54"/>
        <v>219110.75770833663</v>
      </c>
    </row>
    <row r="84" spans="1:31" s="1688" customFormat="1">
      <c r="A84" s="1849" t="s">
        <v>2355</v>
      </c>
      <c r="B84" s="1727">
        <v>328410</v>
      </c>
      <c r="C84" s="1728" t="s">
        <v>2235</v>
      </c>
      <c r="D84" s="1729">
        <v>12</v>
      </c>
      <c r="E84" s="1729">
        <v>2011</v>
      </c>
      <c r="F84" s="1730">
        <v>260759.91</v>
      </c>
      <c r="G84" s="1741">
        <v>0</v>
      </c>
      <c r="H84" s="1729">
        <f t="shared" si="55"/>
        <v>12</v>
      </c>
      <c r="I84" s="1688">
        <f t="shared" si="37"/>
        <v>2023</v>
      </c>
      <c r="J84" s="1731"/>
      <c r="K84" s="1732"/>
      <c r="L84" s="1733">
        <v>0</v>
      </c>
      <c r="M84" s="1691">
        <f t="shared" si="38"/>
        <v>260759.91</v>
      </c>
      <c r="N84" s="1691">
        <f t="shared" si="39"/>
        <v>1810.8327083333334</v>
      </c>
      <c r="O84" s="1691">
        <f t="shared" si="40"/>
        <v>21729.9925</v>
      </c>
      <c r="P84" s="1734">
        <f t="shared" si="41"/>
        <v>30784.156041663373</v>
      </c>
      <c r="Q84" s="1734">
        <f t="shared" si="42"/>
        <v>52514.148541663373</v>
      </c>
      <c r="R84" s="1691">
        <f t="shared" si="43"/>
        <v>219110.75770833663</v>
      </c>
      <c r="S84" s="1691">
        <f t="shared" si="44"/>
        <v>0</v>
      </c>
      <c r="T84" s="1691">
        <f t="shared" si="45"/>
        <v>21729.9925</v>
      </c>
      <c r="U84" s="1833">
        <v>1</v>
      </c>
      <c r="V84" s="1834">
        <f t="shared" si="46"/>
        <v>21729.9925</v>
      </c>
      <c r="W84" s="1833">
        <v>1</v>
      </c>
      <c r="X84" s="1691">
        <f t="shared" si="47"/>
        <v>30784.156041663373</v>
      </c>
      <c r="Y84" s="1691">
        <f t="shared" si="48"/>
        <v>30784.156041663373</v>
      </c>
      <c r="Z84" s="1735">
        <f t="shared" si="49"/>
        <v>2011.9166666666667</v>
      </c>
      <c r="AA84" s="1693">
        <f t="shared" si="50"/>
        <v>2014.3333333333333</v>
      </c>
      <c r="AB84" s="1735">
        <f t="shared" si="51"/>
        <v>2023.9166666666667</v>
      </c>
      <c r="AC84" s="1688">
        <f t="shared" si="52"/>
        <v>2013.3333333333333</v>
      </c>
      <c r="AD84" s="1688">
        <f t="shared" si="53"/>
        <v>-8.3333333333333329E-2</v>
      </c>
      <c r="AE84" s="1880">
        <f t="shared" si="54"/>
        <v>219110.75770833663</v>
      </c>
    </row>
    <row r="85" spans="1:31" s="1688" customFormat="1">
      <c r="A85" s="1849" t="s">
        <v>2355</v>
      </c>
      <c r="B85" s="1727">
        <v>328411</v>
      </c>
      <c r="C85" s="1728" t="s">
        <v>2235</v>
      </c>
      <c r="D85" s="1729">
        <v>12</v>
      </c>
      <c r="E85" s="1729">
        <v>2011</v>
      </c>
      <c r="F85" s="1730">
        <v>260759.91</v>
      </c>
      <c r="G85" s="1741">
        <v>0</v>
      </c>
      <c r="H85" s="1729">
        <f t="shared" si="55"/>
        <v>12</v>
      </c>
      <c r="I85" s="1688">
        <f t="shared" si="37"/>
        <v>2023</v>
      </c>
      <c r="J85" s="1731"/>
      <c r="K85" s="1732"/>
      <c r="L85" s="1733">
        <v>0</v>
      </c>
      <c r="M85" s="1691">
        <f t="shared" si="38"/>
        <v>260759.91</v>
      </c>
      <c r="N85" s="1691">
        <f t="shared" si="39"/>
        <v>1810.8327083333334</v>
      </c>
      <c r="O85" s="1691">
        <f t="shared" si="40"/>
        <v>21729.9925</v>
      </c>
      <c r="P85" s="1734">
        <f t="shared" si="41"/>
        <v>30784.156041663373</v>
      </c>
      <c r="Q85" s="1734">
        <f t="shared" si="42"/>
        <v>52514.148541663373</v>
      </c>
      <c r="R85" s="1691">
        <f t="shared" si="43"/>
        <v>219110.75770833663</v>
      </c>
      <c r="S85" s="1691">
        <f t="shared" si="44"/>
        <v>0</v>
      </c>
      <c r="T85" s="1691">
        <f t="shared" si="45"/>
        <v>21729.9925</v>
      </c>
      <c r="U85" s="1833">
        <v>1</v>
      </c>
      <c r="V85" s="1834">
        <f t="shared" si="46"/>
        <v>21729.9925</v>
      </c>
      <c r="W85" s="1833">
        <v>1</v>
      </c>
      <c r="X85" s="1691">
        <f t="shared" si="47"/>
        <v>30784.156041663373</v>
      </c>
      <c r="Y85" s="1691">
        <f t="shared" si="48"/>
        <v>30784.156041663373</v>
      </c>
      <c r="Z85" s="1735">
        <f t="shared" si="49"/>
        <v>2011.9166666666667</v>
      </c>
      <c r="AA85" s="1693">
        <f t="shared" si="50"/>
        <v>2014.3333333333333</v>
      </c>
      <c r="AB85" s="1735">
        <f t="shared" si="51"/>
        <v>2023.9166666666667</v>
      </c>
      <c r="AC85" s="1688">
        <f t="shared" si="52"/>
        <v>2013.3333333333333</v>
      </c>
      <c r="AD85" s="1688">
        <f t="shared" si="53"/>
        <v>-8.3333333333333329E-2</v>
      </c>
      <c r="AE85" s="1880">
        <f t="shared" si="54"/>
        <v>219110.75770833663</v>
      </c>
    </row>
    <row r="86" spans="1:31" s="1688" customFormat="1">
      <c r="A86" s="1849" t="s">
        <v>2355</v>
      </c>
      <c r="B86" s="1727">
        <v>342549</v>
      </c>
      <c r="C86" s="1728" t="s">
        <v>2236</v>
      </c>
      <c r="D86" s="1729">
        <v>12</v>
      </c>
      <c r="E86" s="1729">
        <v>2012</v>
      </c>
      <c r="F86" s="1730">
        <v>264763.40000000002</v>
      </c>
      <c r="G86" s="1741">
        <v>0</v>
      </c>
      <c r="H86" s="1729">
        <f t="shared" si="55"/>
        <v>12</v>
      </c>
      <c r="I86" s="1688">
        <f t="shared" si="37"/>
        <v>2024</v>
      </c>
      <c r="J86" s="1731"/>
      <c r="K86" s="1732"/>
      <c r="L86" s="1733">
        <v>0</v>
      </c>
      <c r="M86" s="1691">
        <f t="shared" si="38"/>
        <v>264763.40000000002</v>
      </c>
      <c r="N86" s="1691">
        <f t="shared" si="39"/>
        <v>1838.6347222222223</v>
      </c>
      <c r="O86" s="1691">
        <f t="shared" si="40"/>
        <v>22063.616666666669</v>
      </c>
      <c r="P86" s="1734">
        <f t="shared" si="41"/>
        <v>9193.1736111077662</v>
      </c>
      <c r="Q86" s="1734">
        <f t="shared" si="42"/>
        <v>31256.790277774435</v>
      </c>
      <c r="R86" s="1691">
        <f t="shared" si="43"/>
        <v>244538.41805555893</v>
      </c>
      <c r="S86" s="1691">
        <f t="shared" si="44"/>
        <v>0</v>
      </c>
      <c r="T86" s="1691">
        <f t="shared" si="45"/>
        <v>22063.616666666669</v>
      </c>
      <c r="U86" s="1833">
        <v>1</v>
      </c>
      <c r="V86" s="1834">
        <f t="shared" si="46"/>
        <v>22063.616666666669</v>
      </c>
      <c r="W86" s="1833">
        <v>1</v>
      </c>
      <c r="X86" s="1691">
        <f t="shared" si="47"/>
        <v>9193.1736111077662</v>
      </c>
      <c r="Y86" s="1691">
        <f t="shared" si="48"/>
        <v>9193.1736111077662</v>
      </c>
      <c r="Z86" s="1735">
        <f t="shared" si="49"/>
        <v>2012.9166666666667</v>
      </c>
      <c r="AA86" s="1693">
        <f t="shared" si="50"/>
        <v>2014.3333333333333</v>
      </c>
      <c r="AB86" s="1735">
        <f t="shared" si="51"/>
        <v>2024.9166666666667</v>
      </c>
      <c r="AC86" s="1688">
        <f t="shared" si="52"/>
        <v>2013.3333333333333</v>
      </c>
      <c r="AD86" s="1688">
        <f t="shared" si="53"/>
        <v>-8.3333333333333329E-2</v>
      </c>
      <c r="AE86" s="1880">
        <f t="shared" si="54"/>
        <v>244538.41805555893</v>
      </c>
    </row>
    <row r="87" spans="1:31" s="1688" customFormat="1">
      <c r="A87" s="1849" t="s">
        <v>2355</v>
      </c>
      <c r="B87" s="1727">
        <v>350909</v>
      </c>
      <c r="C87" s="1728" t="s">
        <v>2237</v>
      </c>
      <c r="D87" s="1729">
        <v>7</v>
      </c>
      <c r="E87" s="1729">
        <v>2013</v>
      </c>
      <c r="F87" s="1730">
        <v>233539.31</v>
      </c>
      <c r="G87" s="1741">
        <v>0</v>
      </c>
      <c r="H87" s="1729">
        <f t="shared" si="55"/>
        <v>12</v>
      </c>
      <c r="I87" s="1688">
        <f t="shared" si="37"/>
        <v>2025</v>
      </c>
      <c r="J87" s="1731"/>
      <c r="K87" s="1732"/>
      <c r="L87" s="1733">
        <v>0</v>
      </c>
      <c r="M87" s="1691">
        <f t="shared" si="38"/>
        <v>233539.31</v>
      </c>
      <c r="N87" s="1691">
        <f t="shared" si="39"/>
        <v>1621.8007638888887</v>
      </c>
      <c r="O87" s="1691">
        <f t="shared" si="40"/>
        <v>16218.007638887411</v>
      </c>
      <c r="P87" s="1734">
        <f t="shared" si="41"/>
        <v>0</v>
      </c>
      <c r="Q87" s="1734">
        <f t="shared" si="42"/>
        <v>16218.007638887411</v>
      </c>
      <c r="R87" s="1691">
        <f t="shared" si="43"/>
        <v>108660.65118055629</v>
      </c>
      <c r="S87" s="1691">
        <f t="shared" si="44"/>
        <v>0</v>
      </c>
      <c r="T87" s="1691">
        <f t="shared" si="45"/>
        <v>16218.007638887411</v>
      </c>
      <c r="U87" s="1833">
        <v>1</v>
      </c>
      <c r="V87" s="1834">
        <f t="shared" si="46"/>
        <v>16218.007638887411</v>
      </c>
      <c r="W87" s="1833">
        <v>1</v>
      </c>
      <c r="X87" s="1691">
        <f t="shared" si="47"/>
        <v>0</v>
      </c>
      <c r="Y87" s="1691">
        <f t="shared" si="48"/>
        <v>0</v>
      </c>
      <c r="Z87" s="1735">
        <f t="shared" si="49"/>
        <v>2013.5</v>
      </c>
      <c r="AA87" s="1693">
        <f t="shared" si="50"/>
        <v>2014.3333333333333</v>
      </c>
      <c r="AB87" s="1735">
        <f t="shared" si="51"/>
        <v>2025.5</v>
      </c>
      <c r="AC87" s="1688">
        <f t="shared" si="52"/>
        <v>2013.3333333333333</v>
      </c>
      <c r="AD87" s="1688">
        <f t="shared" si="53"/>
        <v>-8.3333333333333329E-2</v>
      </c>
      <c r="AE87" s="1880">
        <f t="shared" si="54"/>
        <v>225430.3061805563</v>
      </c>
    </row>
    <row r="88" spans="1:31" s="1688" customFormat="1">
      <c r="A88" s="1849" t="s">
        <v>2355</v>
      </c>
      <c r="B88" s="1727">
        <v>350911</v>
      </c>
      <c r="C88" s="1728" t="s">
        <v>2237</v>
      </c>
      <c r="D88" s="1729">
        <v>7</v>
      </c>
      <c r="E88" s="1729">
        <v>2013</v>
      </c>
      <c r="F88" s="1730">
        <v>233539.31</v>
      </c>
      <c r="G88" s="1741">
        <v>0</v>
      </c>
      <c r="H88" s="1729">
        <f t="shared" si="55"/>
        <v>12</v>
      </c>
      <c r="I88" s="1688">
        <f t="shared" ref="I88:I119" si="56">E88+H88</f>
        <v>2025</v>
      </c>
      <c r="J88" s="1731"/>
      <c r="K88" s="1732"/>
      <c r="L88" s="1733">
        <v>0</v>
      </c>
      <c r="M88" s="1691">
        <f t="shared" ref="M88:M123" si="57">F88-F88*G88</f>
        <v>233539.31</v>
      </c>
      <c r="N88" s="1691">
        <f t="shared" ref="N88:N119" si="58">M88/H88/12</f>
        <v>1621.8007638888887</v>
      </c>
      <c r="O88" s="1691">
        <f t="shared" ref="O88:O119" si="59">IF(L88&gt;0,0,IF(OR(Z88&gt;AA88,AB88&lt;AC88),0,IF(AND(AB88&gt;=AC88,AB88&lt;=AA88),N88*((AB88-AC88)*12),IF(AND(AC88&lt;=Z88,AA88&gt;=Z88),((AA88-Z88)*12)*N88,IF(AB88&gt;AA88,12*N88,0)))))</f>
        <v>16218.007638887411</v>
      </c>
      <c r="P88" s="1734">
        <f t="shared" ref="P88:P123" si="60">IF(Z88&gt;AA88,0,IF(AB88&lt;AC88,M88,IF(AND(AB88&gt;=AC88,AB88&lt;=AA88),(M88-T88),IF(AND(AC88&lt;=Z88,AA88&gt;=Z88),0,IF(AB88&gt;AA88,((AC88-Z88)*12)*N88,0)))))</f>
        <v>0</v>
      </c>
      <c r="Q88" s="1734">
        <f t="shared" ref="Q88:Q123" si="61">IF(L88&gt;0,0,Y88+V88*W88)*W88</f>
        <v>16218.007638887411</v>
      </c>
      <c r="R88" s="1691">
        <f t="shared" ref="R88:R119" si="62">IF(L88&gt;0,(F88-Y88)/2,IF(Z88&gt;=AC88,(((F88*U88)*W88)-Q88)/2,((((F88*U88)*W88)-Y88)+(((F88*U88)*W88)-Q88))/2))</f>
        <v>108660.65118055629</v>
      </c>
      <c r="S88" s="1691">
        <f t="shared" ref="S88:S123" si="63">IF(L88=0,0,IF(AND(AD88&gt;=AC88,AD88&lt;=AB88),((AD88-AC88)*12)*N88,0))</f>
        <v>0</v>
      </c>
      <c r="T88" s="1691">
        <f t="shared" ref="T88:T119" si="64">IF(S88&gt;0,S88,O88)</f>
        <v>16218.007638887411</v>
      </c>
      <c r="U88" s="1833">
        <v>1</v>
      </c>
      <c r="V88" s="1834">
        <f t="shared" ref="V88:V119" si="65">U88*(O88+S88)</f>
        <v>16218.007638887411</v>
      </c>
      <c r="W88" s="1833">
        <v>1</v>
      </c>
      <c r="X88" s="1691">
        <f t="shared" ref="X88:X123" si="66">P88*U88</f>
        <v>0</v>
      </c>
      <c r="Y88" s="1691">
        <f t="shared" ref="Y88:Y119" si="67">X88*W88</f>
        <v>0</v>
      </c>
      <c r="Z88" s="1735">
        <f t="shared" ref="Z88:Z123" si="68">$E88+(($D88-1)/12)</f>
        <v>2013.5</v>
      </c>
      <c r="AA88" s="1693">
        <f t="shared" ref="AA88:AA123" si="69">($H$5+1)-($E$5/12)</f>
        <v>2014.3333333333333</v>
      </c>
      <c r="AB88" s="1735">
        <f t="shared" ref="AB88:AB123" si="70">$I88+(($D88-1)/12)</f>
        <v>2025.5</v>
      </c>
      <c r="AC88" s="1688">
        <f t="shared" ref="AC88:AC123" si="71">$F$5+($G$5/12)</f>
        <v>2013.3333333333333</v>
      </c>
      <c r="AD88" s="1688">
        <f t="shared" ref="AD88:AD123" si="72">$K88+(($J88-1)/12)</f>
        <v>-8.3333333333333329E-2</v>
      </c>
      <c r="AE88" s="1880">
        <f t="shared" ref="AE88:AE123" si="73">((M88-P88)+(M88-Q88))/2</f>
        <v>225430.3061805563</v>
      </c>
    </row>
    <row r="89" spans="1:31" s="1688" customFormat="1">
      <c r="A89" s="1849" t="s">
        <v>2355</v>
      </c>
      <c r="B89" s="1727">
        <v>144074</v>
      </c>
      <c r="C89" s="1728" t="s">
        <v>2238</v>
      </c>
      <c r="D89" s="1729">
        <v>11</v>
      </c>
      <c r="E89" s="1729">
        <v>2008</v>
      </c>
      <c r="F89" s="1730">
        <v>140000</v>
      </c>
      <c r="G89" s="1741">
        <v>0</v>
      </c>
      <c r="H89" s="1729">
        <f>116/12</f>
        <v>9.6666666666666661</v>
      </c>
      <c r="I89" s="1688">
        <f t="shared" si="56"/>
        <v>2017.6666666666667</v>
      </c>
      <c r="J89" s="1731"/>
      <c r="K89" s="1732"/>
      <c r="L89" s="1733">
        <v>0</v>
      </c>
      <c r="M89" s="1691">
        <f t="shared" si="57"/>
        <v>140000</v>
      </c>
      <c r="N89" s="1691">
        <f t="shared" si="58"/>
        <v>1206.8965517241379</v>
      </c>
      <c r="O89" s="1691">
        <f t="shared" si="59"/>
        <v>14482.758620689656</v>
      </c>
      <c r="P89" s="1734">
        <f t="shared" si="60"/>
        <v>65172.413793103449</v>
      </c>
      <c r="Q89" s="1734">
        <f t="shared" si="61"/>
        <v>79655.172413793101</v>
      </c>
      <c r="R89" s="1691">
        <f t="shared" si="62"/>
        <v>67586.206896551725</v>
      </c>
      <c r="S89" s="1691">
        <f t="shared" si="63"/>
        <v>0</v>
      </c>
      <c r="T89" s="1691">
        <f t="shared" si="64"/>
        <v>14482.758620689656</v>
      </c>
      <c r="U89" s="1833">
        <v>1</v>
      </c>
      <c r="V89" s="1834">
        <f t="shared" si="65"/>
        <v>14482.758620689656</v>
      </c>
      <c r="W89" s="1833">
        <v>1</v>
      </c>
      <c r="X89" s="1691">
        <f t="shared" si="66"/>
        <v>65172.413793103449</v>
      </c>
      <c r="Y89" s="1691">
        <f t="shared" si="67"/>
        <v>65172.413793103449</v>
      </c>
      <c r="Z89" s="1735">
        <f t="shared" si="68"/>
        <v>2008.8333333333333</v>
      </c>
      <c r="AA89" s="1693">
        <f t="shared" si="69"/>
        <v>2014.3333333333333</v>
      </c>
      <c r="AB89" s="1735">
        <f t="shared" si="70"/>
        <v>2018.5</v>
      </c>
      <c r="AC89" s="1688">
        <f t="shared" si="71"/>
        <v>2013.3333333333333</v>
      </c>
      <c r="AD89" s="1688">
        <f t="shared" si="72"/>
        <v>-8.3333333333333329E-2</v>
      </c>
      <c r="AE89" s="1880">
        <f t="shared" si="73"/>
        <v>67586.206896551725</v>
      </c>
    </row>
    <row r="90" spans="1:31" s="1688" customFormat="1">
      <c r="A90" s="1846" t="s">
        <v>2356</v>
      </c>
      <c r="B90" s="1727">
        <v>315783</v>
      </c>
      <c r="C90" s="1728" t="s">
        <v>2239</v>
      </c>
      <c r="D90" s="1729">
        <v>12</v>
      </c>
      <c r="E90" s="1729">
        <v>2010</v>
      </c>
      <c r="F90" s="1730">
        <v>86193</v>
      </c>
      <c r="G90" s="1741">
        <v>0</v>
      </c>
      <c r="H90" s="1729">
        <f>96/12</f>
        <v>8</v>
      </c>
      <c r="I90" s="1688">
        <f t="shared" si="56"/>
        <v>2018</v>
      </c>
      <c r="J90" s="1731"/>
      <c r="K90" s="1732"/>
      <c r="L90" s="1733">
        <v>0</v>
      </c>
      <c r="M90" s="1691">
        <f t="shared" si="57"/>
        <v>86193</v>
      </c>
      <c r="N90" s="1691">
        <f t="shared" si="58"/>
        <v>897.84375</v>
      </c>
      <c r="O90" s="1691">
        <f t="shared" si="59"/>
        <v>10774.125</v>
      </c>
      <c r="P90" s="1734">
        <f t="shared" si="60"/>
        <v>26037.468749998367</v>
      </c>
      <c r="Q90" s="1734">
        <f t="shared" si="61"/>
        <v>36811.59374999837</v>
      </c>
      <c r="R90" s="1691">
        <f t="shared" si="62"/>
        <v>54768.46875000163</v>
      </c>
      <c r="S90" s="1691">
        <f t="shared" si="63"/>
        <v>0</v>
      </c>
      <c r="T90" s="1691">
        <f t="shared" si="64"/>
        <v>10774.125</v>
      </c>
      <c r="U90" s="1833">
        <v>1</v>
      </c>
      <c r="V90" s="1834">
        <f t="shared" si="65"/>
        <v>10774.125</v>
      </c>
      <c r="W90" s="1833">
        <v>1</v>
      </c>
      <c r="X90" s="1691">
        <f t="shared" si="66"/>
        <v>26037.468749998367</v>
      </c>
      <c r="Y90" s="1691">
        <f t="shared" si="67"/>
        <v>26037.468749998367</v>
      </c>
      <c r="Z90" s="1735">
        <f t="shared" si="68"/>
        <v>2010.9166666666667</v>
      </c>
      <c r="AA90" s="1693">
        <f t="shared" si="69"/>
        <v>2014.3333333333333</v>
      </c>
      <c r="AB90" s="1735">
        <f t="shared" si="70"/>
        <v>2018.9166666666667</v>
      </c>
      <c r="AC90" s="1688">
        <f t="shared" si="71"/>
        <v>2013.3333333333333</v>
      </c>
      <c r="AD90" s="1688">
        <f t="shared" si="72"/>
        <v>-8.3333333333333329E-2</v>
      </c>
      <c r="AE90" s="1880">
        <f t="shared" si="73"/>
        <v>54768.46875000163</v>
      </c>
    </row>
    <row r="91" spans="1:31" s="1688" customFormat="1">
      <c r="A91" s="1848" t="s">
        <v>2359</v>
      </c>
      <c r="B91" s="1727">
        <v>314764</v>
      </c>
      <c r="C91" s="1728" t="s">
        <v>2240</v>
      </c>
      <c r="D91" s="1729">
        <v>12</v>
      </c>
      <c r="E91" s="1729">
        <v>2010</v>
      </c>
      <c r="F91" s="1730">
        <v>131060.57</v>
      </c>
      <c r="G91" s="1741">
        <v>0</v>
      </c>
      <c r="H91" s="1729">
        <v>10</v>
      </c>
      <c r="I91" s="1688">
        <f t="shared" si="56"/>
        <v>2020</v>
      </c>
      <c r="J91" s="1731"/>
      <c r="K91" s="1732"/>
      <c r="L91" s="1733">
        <v>0</v>
      </c>
      <c r="M91" s="1691">
        <f t="shared" si="57"/>
        <v>131060.57</v>
      </c>
      <c r="N91" s="1691">
        <f t="shared" si="58"/>
        <v>1092.1714166666668</v>
      </c>
      <c r="O91" s="1691">
        <f t="shared" si="59"/>
        <v>13106.057000000001</v>
      </c>
      <c r="P91" s="1734">
        <f t="shared" si="60"/>
        <v>31672.971083331351</v>
      </c>
      <c r="Q91" s="1734">
        <f t="shared" si="61"/>
        <v>44779.028083331352</v>
      </c>
      <c r="R91" s="1691">
        <f t="shared" si="62"/>
        <v>92834.570416668648</v>
      </c>
      <c r="S91" s="1691">
        <f t="shared" si="63"/>
        <v>0</v>
      </c>
      <c r="T91" s="1691">
        <f t="shared" si="64"/>
        <v>13106.057000000001</v>
      </c>
      <c r="U91" s="1833">
        <v>1</v>
      </c>
      <c r="V91" s="1834">
        <f t="shared" si="65"/>
        <v>13106.057000000001</v>
      </c>
      <c r="W91" s="1833">
        <v>1</v>
      </c>
      <c r="X91" s="1691">
        <f t="shared" si="66"/>
        <v>31672.971083331351</v>
      </c>
      <c r="Y91" s="1691">
        <f t="shared" si="67"/>
        <v>31672.971083331351</v>
      </c>
      <c r="Z91" s="1735">
        <f t="shared" si="68"/>
        <v>2010.9166666666667</v>
      </c>
      <c r="AA91" s="1693">
        <f t="shared" si="69"/>
        <v>2014.3333333333333</v>
      </c>
      <c r="AB91" s="1735">
        <f t="shared" si="70"/>
        <v>2020.9166666666667</v>
      </c>
      <c r="AC91" s="1688">
        <f t="shared" si="71"/>
        <v>2013.3333333333333</v>
      </c>
      <c r="AD91" s="1688">
        <f t="shared" si="72"/>
        <v>-8.3333333333333329E-2</v>
      </c>
      <c r="AE91" s="1880">
        <f t="shared" si="73"/>
        <v>92834.570416668648</v>
      </c>
    </row>
    <row r="92" spans="1:31" s="1688" customFormat="1">
      <c r="A92" s="1848" t="s">
        <v>2359</v>
      </c>
      <c r="B92" s="1727">
        <v>314770</v>
      </c>
      <c r="C92" s="1728" t="s">
        <v>2240</v>
      </c>
      <c r="D92" s="1729">
        <v>12</v>
      </c>
      <c r="E92" s="1729">
        <v>2010</v>
      </c>
      <c r="F92" s="1730">
        <v>131060.57</v>
      </c>
      <c r="G92" s="1741">
        <v>0</v>
      </c>
      <c r="H92" s="1729">
        <v>10</v>
      </c>
      <c r="I92" s="1688">
        <f t="shared" si="56"/>
        <v>2020</v>
      </c>
      <c r="J92" s="1731"/>
      <c r="K92" s="1732"/>
      <c r="L92" s="1733">
        <v>0</v>
      </c>
      <c r="M92" s="1691">
        <f t="shared" si="57"/>
        <v>131060.57</v>
      </c>
      <c r="N92" s="1691">
        <f t="shared" si="58"/>
        <v>1092.1714166666668</v>
      </c>
      <c r="O92" s="1691">
        <f t="shared" si="59"/>
        <v>13106.057000000001</v>
      </c>
      <c r="P92" s="1734">
        <f t="shared" si="60"/>
        <v>31672.971083331351</v>
      </c>
      <c r="Q92" s="1734">
        <f t="shared" si="61"/>
        <v>44779.028083331352</v>
      </c>
      <c r="R92" s="1691">
        <f t="shared" si="62"/>
        <v>92834.570416668648</v>
      </c>
      <c r="S92" s="1691">
        <f t="shared" si="63"/>
        <v>0</v>
      </c>
      <c r="T92" s="1691">
        <f t="shared" si="64"/>
        <v>13106.057000000001</v>
      </c>
      <c r="U92" s="1833">
        <v>1</v>
      </c>
      <c r="V92" s="1834">
        <f t="shared" si="65"/>
        <v>13106.057000000001</v>
      </c>
      <c r="W92" s="1833">
        <v>1</v>
      </c>
      <c r="X92" s="1691">
        <f t="shared" si="66"/>
        <v>31672.971083331351</v>
      </c>
      <c r="Y92" s="1691">
        <f t="shared" si="67"/>
        <v>31672.971083331351</v>
      </c>
      <c r="Z92" s="1735">
        <f t="shared" si="68"/>
        <v>2010.9166666666667</v>
      </c>
      <c r="AA92" s="1693">
        <f t="shared" si="69"/>
        <v>2014.3333333333333</v>
      </c>
      <c r="AB92" s="1735">
        <f t="shared" si="70"/>
        <v>2020.9166666666667</v>
      </c>
      <c r="AC92" s="1688">
        <f t="shared" si="71"/>
        <v>2013.3333333333333</v>
      </c>
      <c r="AD92" s="1688">
        <f t="shared" si="72"/>
        <v>-8.3333333333333329E-2</v>
      </c>
      <c r="AE92" s="1880">
        <f t="shared" si="73"/>
        <v>92834.570416668648</v>
      </c>
    </row>
    <row r="93" spans="1:31" s="1688" customFormat="1">
      <c r="A93" s="1848" t="s">
        <v>2359</v>
      </c>
      <c r="B93" s="1727">
        <v>144020</v>
      </c>
      <c r="C93" s="1728" t="s">
        <v>2241</v>
      </c>
      <c r="D93" s="1729">
        <v>11</v>
      </c>
      <c r="E93" s="1729">
        <v>2008</v>
      </c>
      <c r="F93" s="1730">
        <v>95000</v>
      </c>
      <c r="G93" s="1741">
        <v>0</v>
      </c>
      <c r="H93" s="1729">
        <f>98/12</f>
        <v>8.1666666666666661</v>
      </c>
      <c r="I93" s="1688">
        <f t="shared" si="56"/>
        <v>2016.1666666666667</v>
      </c>
      <c r="J93" s="1731"/>
      <c r="K93" s="1732"/>
      <c r="L93" s="1733">
        <v>0</v>
      </c>
      <c r="M93" s="1691">
        <f t="shared" si="57"/>
        <v>95000</v>
      </c>
      <c r="N93" s="1691">
        <f t="shared" si="58"/>
        <v>969.38775510204096</v>
      </c>
      <c r="O93" s="1691">
        <f t="shared" si="59"/>
        <v>11632.653061224491</v>
      </c>
      <c r="P93" s="1734">
        <f t="shared" si="60"/>
        <v>52346.938775510214</v>
      </c>
      <c r="Q93" s="1734">
        <f t="shared" si="61"/>
        <v>63979.591836734704</v>
      </c>
      <c r="R93" s="1691">
        <f t="shared" si="62"/>
        <v>36836.734693877544</v>
      </c>
      <c r="S93" s="1691">
        <f t="shared" si="63"/>
        <v>0</v>
      </c>
      <c r="T93" s="1691">
        <f t="shared" si="64"/>
        <v>11632.653061224491</v>
      </c>
      <c r="U93" s="1833">
        <v>1</v>
      </c>
      <c r="V93" s="1834">
        <f t="shared" si="65"/>
        <v>11632.653061224491</v>
      </c>
      <c r="W93" s="1833">
        <v>1</v>
      </c>
      <c r="X93" s="1691">
        <f t="shared" si="66"/>
        <v>52346.938775510214</v>
      </c>
      <c r="Y93" s="1691">
        <f t="shared" si="67"/>
        <v>52346.938775510214</v>
      </c>
      <c r="Z93" s="1735">
        <f t="shared" si="68"/>
        <v>2008.8333333333333</v>
      </c>
      <c r="AA93" s="1693">
        <f t="shared" si="69"/>
        <v>2014.3333333333333</v>
      </c>
      <c r="AB93" s="1735">
        <f t="shared" si="70"/>
        <v>2017</v>
      </c>
      <c r="AC93" s="1688">
        <f t="shared" si="71"/>
        <v>2013.3333333333333</v>
      </c>
      <c r="AD93" s="1688">
        <f t="shared" si="72"/>
        <v>-8.3333333333333329E-2</v>
      </c>
      <c r="AE93" s="1880">
        <f t="shared" si="73"/>
        <v>36836.734693877544</v>
      </c>
    </row>
    <row r="94" spans="1:31" s="1688" customFormat="1">
      <c r="A94" s="1848" t="s">
        <v>2359</v>
      </c>
      <c r="B94" s="1727">
        <v>144076</v>
      </c>
      <c r="C94" s="1728" t="s">
        <v>2242</v>
      </c>
      <c r="D94" s="1729">
        <v>11</v>
      </c>
      <c r="E94" s="1729">
        <v>2008</v>
      </c>
      <c r="F94" s="1730">
        <v>200000</v>
      </c>
      <c r="G94" s="1741">
        <v>0</v>
      </c>
      <c r="H94" s="1729">
        <f>117/12</f>
        <v>9.75</v>
      </c>
      <c r="I94" s="1688">
        <f t="shared" si="56"/>
        <v>2017.75</v>
      </c>
      <c r="J94" s="1731"/>
      <c r="K94" s="1732"/>
      <c r="L94" s="1733">
        <v>0</v>
      </c>
      <c r="M94" s="1691">
        <f t="shared" si="57"/>
        <v>200000</v>
      </c>
      <c r="N94" s="1691">
        <f t="shared" si="58"/>
        <v>1709.4017094017092</v>
      </c>
      <c r="O94" s="1691">
        <f t="shared" si="59"/>
        <v>20512.820512820512</v>
      </c>
      <c r="P94" s="1734">
        <f t="shared" si="60"/>
        <v>92307.692307692298</v>
      </c>
      <c r="Q94" s="1734">
        <f t="shared" si="61"/>
        <v>112820.51282051281</v>
      </c>
      <c r="R94" s="1691">
        <f t="shared" si="62"/>
        <v>97435.897435897437</v>
      </c>
      <c r="S94" s="1691">
        <f t="shared" si="63"/>
        <v>0</v>
      </c>
      <c r="T94" s="1691">
        <f t="shared" si="64"/>
        <v>20512.820512820512</v>
      </c>
      <c r="U94" s="1833">
        <v>1</v>
      </c>
      <c r="V94" s="1834">
        <f t="shared" si="65"/>
        <v>20512.820512820512</v>
      </c>
      <c r="W94" s="1833">
        <v>1</v>
      </c>
      <c r="X94" s="1691">
        <f t="shared" si="66"/>
        <v>92307.692307692298</v>
      </c>
      <c r="Y94" s="1691">
        <f t="shared" si="67"/>
        <v>92307.692307692298</v>
      </c>
      <c r="Z94" s="1735">
        <f t="shared" si="68"/>
        <v>2008.8333333333333</v>
      </c>
      <c r="AA94" s="1693">
        <f t="shared" si="69"/>
        <v>2014.3333333333333</v>
      </c>
      <c r="AB94" s="1735">
        <f t="shared" si="70"/>
        <v>2018.5833333333333</v>
      </c>
      <c r="AC94" s="1688">
        <f t="shared" si="71"/>
        <v>2013.3333333333333</v>
      </c>
      <c r="AD94" s="1688">
        <f t="shared" si="72"/>
        <v>-8.3333333333333329E-2</v>
      </c>
      <c r="AE94" s="1880">
        <f t="shared" si="73"/>
        <v>97435.897435897437</v>
      </c>
    </row>
    <row r="95" spans="1:31" s="1688" customFormat="1">
      <c r="A95" s="1848" t="s">
        <v>2359</v>
      </c>
      <c r="B95" s="1727">
        <v>144085</v>
      </c>
      <c r="C95" s="1728" t="s">
        <v>2243</v>
      </c>
      <c r="D95" s="1729">
        <v>11</v>
      </c>
      <c r="E95" s="1729">
        <v>2008</v>
      </c>
      <c r="F95" s="1730">
        <v>9700</v>
      </c>
      <c r="G95" s="1741">
        <v>0</v>
      </c>
      <c r="H95" s="1729">
        <f>117/12</f>
        <v>9.75</v>
      </c>
      <c r="I95" s="1688">
        <f t="shared" si="56"/>
        <v>2017.75</v>
      </c>
      <c r="J95" s="1731"/>
      <c r="K95" s="1732"/>
      <c r="L95" s="1733">
        <v>0</v>
      </c>
      <c r="M95" s="1691">
        <f t="shared" si="57"/>
        <v>9700</v>
      </c>
      <c r="N95" s="1691">
        <f t="shared" si="58"/>
        <v>82.90598290598291</v>
      </c>
      <c r="O95" s="1691">
        <f t="shared" si="59"/>
        <v>994.87179487179492</v>
      </c>
      <c r="P95" s="1734">
        <f t="shared" si="60"/>
        <v>4476.9230769230771</v>
      </c>
      <c r="Q95" s="1734">
        <f t="shared" si="61"/>
        <v>5471.7948717948721</v>
      </c>
      <c r="R95" s="1691">
        <f t="shared" si="62"/>
        <v>4725.6410256410254</v>
      </c>
      <c r="S95" s="1691">
        <f t="shared" si="63"/>
        <v>0</v>
      </c>
      <c r="T95" s="1691">
        <f t="shared" si="64"/>
        <v>994.87179487179492</v>
      </c>
      <c r="U95" s="1833">
        <v>1</v>
      </c>
      <c r="V95" s="1834">
        <f t="shared" si="65"/>
        <v>994.87179487179492</v>
      </c>
      <c r="W95" s="1833">
        <v>1</v>
      </c>
      <c r="X95" s="1691">
        <f t="shared" si="66"/>
        <v>4476.9230769230771</v>
      </c>
      <c r="Y95" s="1691">
        <f t="shared" si="67"/>
        <v>4476.9230769230771</v>
      </c>
      <c r="Z95" s="1735">
        <f t="shared" si="68"/>
        <v>2008.8333333333333</v>
      </c>
      <c r="AA95" s="1693">
        <f t="shared" si="69"/>
        <v>2014.3333333333333</v>
      </c>
      <c r="AB95" s="1735">
        <f t="shared" si="70"/>
        <v>2018.5833333333333</v>
      </c>
      <c r="AC95" s="1688">
        <f t="shared" si="71"/>
        <v>2013.3333333333333</v>
      </c>
      <c r="AD95" s="1688">
        <f t="shared" si="72"/>
        <v>-8.3333333333333329E-2</v>
      </c>
      <c r="AE95" s="1880">
        <f t="shared" si="73"/>
        <v>4725.6410256410254</v>
      </c>
    </row>
    <row r="96" spans="1:31" s="1688" customFormat="1">
      <c r="A96" s="1848" t="s">
        <v>2359</v>
      </c>
      <c r="B96" s="1727">
        <v>305326</v>
      </c>
      <c r="C96" s="1728" t="s">
        <v>2244</v>
      </c>
      <c r="D96" s="1729">
        <v>6</v>
      </c>
      <c r="E96" s="1729">
        <v>2010</v>
      </c>
      <c r="F96" s="1730">
        <v>289452.83</v>
      </c>
      <c r="G96" s="1741">
        <v>0</v>
      </c>
      <c r="H96" s="1729">
        <f t="shared" ref="H96:H114" si="74">96/12</f>
        <v>8</v>
      </c>
      <c r="I96" s="1688">
        <f t="shared" si="56"/>
        <v>2018</v>
      </c>
      <c r="J96" s="1731"/>
      <c r="K96" s="1732"/>
      <c r="L96" s="1733">
        <v>0</v>
      </c>
      <c r="M96" s="1691">
        <f t="shared" si="57"/>
        <v>289452.83</v>
      </c>
      <c r="N96" s="1691">
        <f t="shared" si="58"/>
        <v>3015.1336458333335</v>
      </c>
      <c r="O96" s="1691">
        <f t="shared" si="59"/>
        <v>36181.603750000002</v>
      </c>
      <c r="P96" s="1734">
        <f t="shared" si="60"/>
        <v>105529.67760416119</v>
      </c>
      <c r="Q96" s="1734">
        <f t="shared" si="61"/>
        <v>141711.28135416118</v>
      </c>
      <c r="R96" s="1691">
        <f t="shared" si="62"/>
        <v>165832.35052083881</v>
      </c>
      <c r="S96" s="1691">
        <f t="shared" si="63"/>
        <v>0</v>
      </c>
      <c r="T96" s="1691">
        <f t="shared" si="64"/>
        <v>36181.603750000002</v>
      </c>
      <c r="U96" s="1833">
        <v>1</v>
      </c>
      <c r="V96" s="1834">
        <f t="shared" si="65"/>
        <v>36181.603750000002</v>
      </c>
      <c r="W96" s="1833">
        <v>1</v>
      </c>
      <c r="X96" s="1691">
        <f t="shared" si="66"/>
        <v>105529.67760416119</v>
      </c>
      <c r="Y96" s="1691">
        <f t="shared" si="67"/>
        <v>105529.67760416119</v>
      </c>
      <c r="Z96" s="1735">
        <f t="shared" si="68"/>
        <v>2010.4166666666667</v>
      </c>
      <c r="AA96" s="1693">
        <f t="shared" si="69"/>
        <v>2014.3333333333333</v>
      </c>
      <c r="AB96" s="1735">
        <f t="shared" si="70"/>
        <v>2018.4166666666667</v>
      </c>
      <c r="AC96" s="1688">
        <f t="shared" si="71"/>
        <v>2013.3333333333333</v>
      </c>
      <c r="AD96" s="1688">
        <f t="shared" si="72"/>
        <v>-8.3333333333333329E-2</v>
      </c>
      <c r="AE96" s="1880">
        <f t="shared" si="73"/>
        <v>165832.35052083881</v>
      </c>
    </row>
    <row r="97" spans="1:31" s="1688" customFormat="1">
      <c r="A97" s="1848" t="s">
        <v>2359</v>
      </c>
      <c r="B97" s="1727">
        <v>305327</v>
      </c>
      <c r="C97" s="1728" t="s">
        <v>2245</v>
      </c>
      <c r="D97" s="1729">
        <v>6</v>
      </c>
      <c r="E97" s="1729">
        <v>2010</v>
      </c>
      <c r="F97" s="1730">
        <v>289379.33</v>
      </c>
      <c r="G97" s="1741">
        <v>0</v>
      </c>
      <c r="H97" s="1729">
        <f t="shared" si="74"/>
        <v>8</v>
      </c>
      <c r="I97" s="1688">
        <f t="shared" si="56"/>
        <v>2018</v>
      </c>
      <c r="J97" s="1731"/>
      <c r="K97" s="1732"/>
      <c r="L97" s="1733">
        <v>0</v>
      </c>
      <c r="M97" s="1691">
        <f t="shared" si="57"/>
        <v>289379.33</v>
      </c>
      <c r="N97" s="1691">
        <f t="shared" si="58"/>
        <v>3014.3680208333335</v>
      </c>
      <c r="O97" s="1691">
        <f t="shared" si="59"/>
        <v>36172.416250000002</v>
      </c>
      <c r="P97" s="1734">
        <f t="shared" si="60"/>
        <v>105502.88072916119</v>
      </c>
      <c r="Q97" s="1734">
        <f t="shared" si="61"/>
        <v>141675.29697916118</v>
      </c>
      <c r="R97" s="1691">
        <f t="shared" si="62"/>
        <v>165790.24114583881</v>
      </c>
      <c r="S97" s="1691">
        <f t="shared" si="63"/>
        <v>0</v>
      </c>
      <c r="T97" s="1691">
        <f t="shared" si="64"/>
        <v>36172.416250000002</v>
      </c>
      <c r="U97" s="1833">
        <v>1</v>
      </c>
      <c r="V97" s="1834">
        <f t="shared" si="65"/>
        <v>36172.416250000002</v>
      </c>
      <c r="W97" s="1833">
        <v>1</v>
      </c>
      <c r="X97" s="1691">
        <f t="shared" si="66"/>
        <v>105502.88072916119</v>
      </c>
      <c r="Y97" s="1691">
        <f t="shared" si="67"/>
        <v>105502.88072916119</v>
      </c>
      <c r="Z97" s="1735">
        <f t="shared" si="68"/>
        <v>2010.4166666666667</v>
      </c>
      <c r="AA97" s="1693">
        <f t="shared" si="69"/>
        <v>2014.3333333333333</v>
      </c>
      <c r="AB97" s="1735">
        <f t="shared" si="70"/>
        <v>2018.4166666666667</v>
      </c>
      <c r="AC97" s="1688">
        <f t="shared" si="71"/>
        <v>2013.3333333333333</v>
      </c>
      <c r="AD97" s="1688">
        <f t="shared" si="72"/>
        <v>-8.3333333333333329E-2</v>
      </c>
      <c r="AE97" s="1880">
        <f t="shared" si="73"/>
        <v>165790.24114583881</v>
      </c>
    </row>
    <row r="98" spans="1:31" s="1688" customFormat="1">
      <c r="A98" s="1848" t="s">
        <v>2359</v>
      </c>
      <c r="B98" s="1727">
        <v>305328</v>
      </c>
      <c r="C98" s="1728" t="s">
        <v>2246</v>
      </c>
      <c r="D98" s="1729">
        <v>6</v>
      </c>
      <c r="E98" s="1729">
        <v>2010</v>
      </c>
      <c r="F98" s="1730">
        <v>289452.83</v>
      </c>
      <c r="G98" s="1741">
        <v>0</v>
      </c>
      <c r="H98" s="1729">
        <f t="shared" si="74"/>
        <v>8</v>
      </c>
      <c r="I98" s="1688">
        <f t="shared" si="56"/>
        <v>2018</v>
      </c>
      <c r="J98" s="1731"/>
      <c r="K98" s="1732"/>
      <c r="L98" s="1733">
        <v>0</v>
      </c>
      <c r="M98" s="1691">
        <f t="shared" si="57"/>
        <v>289452.83</v>
      </c>
      <c r="N98" s="1691">
        <f t="shared" si="58"/>
        <v>3015.1336458333335</v>
      </c>
      <c r="O98" s="1691">
        <f t="shared" si="59"/>
        <v>36181.603750000002</v>
      </c>
      <c r="P98" s="1734">
        <f t="shared" si="60"/>
        <v>105529.67760416119</v>
      </c>
      <c r="Q98" s="1734">
        <f t="shared" si="61"/>
        <v>141711.28135416118</v>
      </c>
      <c r="R98" s="1691">
        <f t="shared" si="62"/>
        <v>165832.35052083881</v>
      </c>
      <c r="S98" s="1691">
        <f t="shared" si="63"/>
        <v>0</v>
      </c>
      <c r="T98" s="1691">
        <f t="shared" si="64"/>
        <v>36181.603750000002</v>
      </c>
      <c r="U98" s="1833">
        <v>1</v>
      </c>
      <c r="V98" s="1834">
        <f t="shared" si="65"/>
        <v>36181.603750000002</v>
      </c>
      <c r="W98" s="1833">
        <v>1</v>
      </c>
      <c r="X98" s="1691">
        <f t="shared" si="66"/>
        <v>105529.67760416119</v>
      </c>
      <c r="Y98" s="1691">
        <f t="shared" si="67"/>
        <v>105529.67760416119</v>
      </c>
      <c r="Z98" s="1735">
        <f t="shared" si="68"/>
        <v>2010.4166666666667</v>
      </c>
      <c r="AA98" s="1693">
        <f t="shared" si="69"/>
        <v>2014.3333333333333</v>
      </c>
      <c r="AB98" s="1735">
        <f t="shared" si="70"/>
        <v>2018.4166666666667</v>
      </c>
      <c r="AC98" s="1688">
        <f t="shared" si="71"/>
        <v>2013.3333333333333</v>
      </c>
      <c r="AD98" s="1688">
        <f t="shared" si="72"/>
        <v>-8.3333333333333329E-2</v>
      </c>
      <c r="AE98" s="1880">
        <f t="shared" si="73"/>
        <v>165832.35052083881</v>
      </c>
    </row>
    <row r="99" spans="1:31" s="1688" customFormat="1">
      <c r="A99" s="1848" t="s">
        <v>2359</v>
      </c>
      <c r="B99" s="1727">
        <v>305329</v>
      </c>
      <c r="C99" s="1728" t="s">
        <v>2247</v>
      </c>
      <c r="D99" s="1729">
        <v>6</v>
      </c>
      <c r="E99" s="1729">
        <v>2010</v>
      </c>
      <c r="F99" s="1730">
        <v>289452.83</v>
      </c>
      <c r="G99" s="1741">
        <v>0</v>
      </c>
      <c r="H99" s="1729">
        <f t="shared" si="74"/>
        <v>8</v>
      </c>
      <c r="I99" s="1688">
        <f t="shared" si="56"/>
        <v>2018</v>
      </c>
      <c r="J99" s="1731"/>
      <c r="K99" s="1732"/>
      <c r="L99" s="1733">
        <v>0</v>
      </c>
      <c r="M99" s="1691">
        <f t="shared" si="57"/>
        <v>289452.83</v>
      </c>
      <c r="N99" s="1691">
        <f t="shared" si="58"/>
        <v>3015.1336458333335</v>
      </c>
      <c r="O99" s="1691">
        <f t="shared" si="59"/>
        <v>36181.603750000002</v>
      </c>
      <c r="P99" s="1734">
        <f t="shared" si="60"/>
        <v>105529.67760416119</v>
      </c>
      <c r="Q99" s="1734">
        <f t="shared" si="61"/>
        <v>141711.28135416118</v>
      </c>
      <c r="R99" s="1691">
        <f t="shared" si="62"/>
        <v>165832.35052083881</v>
      </c>
      <c r="S99" s="1691">
        <f t="shared" si="63"/>
        <v>0</v>
      </c>
      <c r="T99" s="1691">
        <f t="shared" si="64"/>
        <v>36181.603750000002</v>
      </c>
      <c r="U99" s="1833">
        <v>1</v>
      </c>
      <c r="V99" s="1834">
        <f t="shared" si="65"/>
        <v>36181.603750000002</v>
      </c>
      <c r="W99" s="1833">
        <v>1</v>
      </c>
      <c r="X99" s="1691">
        <f t="shared" si="66"/>
        <v>105529.67760416119</v>
      </c>
      <c r="Y99" s="1691">
        <f t="shared" si="67"/>
        <v>105529.67760416119</v>
      </c>
      <c r="Z99" s="1735">
        <f t="shared" si="68"/>
        <v>2010.4166666666667</v>
      </c>
      <c r="AA99" s="1693">
        <f t="shared" si="69"/>
        <v>2014.3333333333333</v>
      </c>
      <c r="AB99" s="1735">
        <f t="shared" si="70"/>
        <v>2018.4166666666667</v>
      </c>
      <c r="AC99" s="1688">
        <f t="shared" si="71"/>
        <v>2013.3333333333333</v>
      </c>
      <c r="AD99" s="1688">
        <f t="shared" si="72"/>
        <v>-8.3333333333333329E-2</v>
      </c>
      <c r="AE99" s="1880">
        <f t="shared" si="73"/>
        <v>165832.35052083881</v>
      </c>
    </row>
    <row r="100" spans="1:31" s="1688" customFormat="1">
      <c r="A100" s="1848" t="s">
        <v>2359</v>
      </c>
      <c r="B100" s="1727">
        <v>308491</v>
      </c>
      <c r="C100" s="1728" t="s">
        <v>2212</v>
      </c>
      <c r="D100" s="1729">
        <v>8</v>
      </c>
      <c r="E100" s="1729">
        <v>2010</v>
      </c>
      <c r="F100" s="1730">
        <v>290196.99</v>
      </c>
      <c r="G100" s="1741">
        <v>0</v>
      </c>
      <c r="H100" s="1729">
        <f t="shared" si="74"/>
        <v>8</v>
      </c>
      <c r="I100" s="1688">
        <f t="shared" si="56"/>
        <v>2018</v>
      </c>
      <c r="J100" s="1731"/>
      <c r="K100" s="1732"/>
      <c r="L100" s="1733">
        <v>0</v>
      </c>
      <c r="M100" s="1691">
        <f t="shared" si="57"/>
        <v>290196.99</v>
      </c>
      <c r="N100" s="1691">
        <f t="shared" si="58"/>
        <v>3022.8853125000001</v>
      </c>
      <c r="O100" s="1691">
        <f t="shared" si="59"/>
        <v>36274.623749999999</v>
      </c>
      <c r="P100" s="1734">
        <f t="shared" si="60"/>
        <v>99755.215312500004</v>
      </c>
      <c r="Q100" s="1734">
        <f t="shared" si="61"/>
        <v>136029.83906249999</v>
      </c>
      <c r="R100" s="1691">
        <f t="shared" si="62"/>
        <v>172304.46281249999</v>
      </c>
      <c r="S100" s="1691">
        <f t="shared" si="63"/>
        <v>0</v>
      </c>
      <c r="T100" s="1691">
        <f t="shared" si="64"/>
        <v>36274.623749999999</v>
      </c>
      <c r="U100" s="1833">
        <v>1</v>
      </c>
      <c r="V100" s="1834">
        <f t="shared" si="65"/>
        <v>36274.623749999999</v>
      </c>
      <c r="W100" s="1833">
        <v>1</v>
      </c>
      <c r="X100" s="1691">
        <f t="shared" si="66"/>
        <v>99755.215312500004</v>
      </c>
      <c r="Y100" s="1691">
        <f t="shared" si="67"/>
        <v>99755.215312500004</v>
      </c>
      <c r="Z100" s="1735">
        <f t="shared" si="68"/>
        <v>2010.5833333333333</v>
      </c>
      <c r="AA100" s="1693">
        <f t="shared" si="69"/>
        <v>2014.3333333333333</v>
      </c>
      <c r="AB100" s="1735">
        <f t="shared" si="70"/>
        <v>2018.5833333333333</v>
      </c>
      <c r="AC100" s="1688">
        <f t="shared" si="71"/>
        <v>2013.3333333333333</v>
      </c>
      <c r="AD100" s="1688">
        <f t="shared" si="72"/>
        <v>-8.3333333333333329E-2</v>
      </c>
      <c r="AE100" s="1880">
        <f t="shared" si="73"/>
        <v>172304.46281249999</v>
      </c>
    </row>
    <row r="101" spans="1:31" s="1688" customFormat="1">
      <c r="A101" s="1848" t="s">
        <v>2359</v>
      </c>
      <c r="B101" s="1727">
        <v>308492</v>
      </c>
      <c r="C101" s="1728" t="s">
        <v>2212</v>
      </c>
      <c r="D101" s="1729">
        <v>8</v>
      </c>
      <c r="E101" s="1729">
        <v>2010</v>
      </c>
      <c r="F101" s="1730">
        <v>290196.99</v>
      </c>
      <c r="G101" s="1741">
        <v>0</v>
      </c>
      <c r="H101" s="1729">
        <f t="shared" si="74"/>
        <v>8</v>
      </c>
      <c r="I101" s="1688">
        <f t="shared" si="56"/>
        <v>2018</v>
      </c>
      <c r="J101" s="1731"/>
      <c r="K101" s="1732"/>
      <c r="L101" s="1733">
        <v>0</v>
      </c>
      <c r="M101" s="1691">
        <f t="shared" si="57"/>
        <v>290196.99</v>
      </c>
      <c r="N101" s="1691">
        <f t="shared" si="58"/>
        <v>3022.8853125000001</v>
      </c>
      <c r="O101" s="1691">
        <f t="shared" si="59"/>
        <v>36274.623749999999</v>
      </c>
      <c r="P101" s="1734">
        <f t="shared" si="60"/>
        <v>99755.215312500004</v>
      </c>
      <c r="Q101" s="1734">
        <f t="shared" si="61"/>
        <v>136029.83906249999</v>
      </c>
      <c r="R101" s="1691">
        <f t="shared" si="62"/>
        <v>172304.46281249999</v>
      </c>
      <c r="S101" s="1691">
        <f t="shared" si="63"/>
        <v>0</v>
      </c>
      <c r="T101" s="1691">
        <f t="shared" si="64"/>
        <v>36274.623749999999</v>
      </c>
      <c r="U101" s="1833">
        <v>1</v>
      </c>
      <c r="V101" s="1834">
        <f t="shared" si="65"/>
        <v>36274.623749999999</v>
      </c>
      <c r="W101" s="1833">
        <v>1</v>
      </c>
      <c r="X101" s="1691">
        <f t="shared" si="66"/>
        <v>99755.215312500004</v>
      </c>
      <c r="Y101" s="1691">
        <f t="shared" si="67"/>
        <v>99755.215312500004</v>
      </c>
      <c r="Z101" s="1735">
        <f t="shared" si="68"/>
        <v>2010.5833333333333</v>
      </c>
      <c r="AA101" s="1693">
        <f t="shared" si="69"/>
        <v>2014.3333333333333</v>
      </c>
      <c r="AB101" s="1735">
        <f t="shared" si="70"/>
        <v>2018.5833333333333</v>
      </c>
      <c r="AC101" s="1688">
        <f t="shared" si="71"/>
        <v>2013.3333333333333</v>
      </c>
      <c r="AD101" s="1688">
        <f t="shared" si="72"/>
        <v>-8.3333333333333329E-2</v>
      </c>
      <c r="AE101" s="1880">
        <f t="shared" si="73"/>
        <v>172304.46281249999</v>
      </c>
    </row>
    <row r="102" spans="1:31" s="1688" customFormat="1">
      <c r="A102" s="1848" t="s">
        <v>2359</v>
      </c>
      <c r="B102" s="1727">
        <v>308493</v>
      </c>
      <c r="C102" s="1728" t="s">
        <v>2212</v>
      </c>
      <c r="D102" s="1729">
        <v>8</v>
      </c>
      <c r="E102" s="1729">
        <v>2010</v>
      </c>
      <c r="F102" s="1730">
        <v>290270.49</v>
      </c>
      <c r="G102" s="1741">
        <v>0</v>
      </c>
      <c r="H102" s="1729">
        <f t="shared" si="74"/>
        <v>8</v>
      </c>
      <c r="I102" s="1688">
        <f t="shared" si="56"/>
        <v>2018</v>
      </c>
      <c r="J102" s="1731"/>
      <c r="K102" s="1732"/>
      <c r="L102" s="1733">
        <v>0</v>
      </c>
      <c r="M102" s="1691">
        <f t="shared" si="57"/>
        <v>290270.49</v>
      </c>
      <c r="N102" s="1691">
        <f t="shared" si="58"/>
        <v>3023.6509375000001</v>
      </c>
      <c r="O102" s="1691">
        <f t="shared" si="59"/>
        <v>36283.811249999999</v>
      </c>
      <c r="P102" s="1734">
        <f t="shared" si="60"/>
        <v>99780.480937500004</v>
      </c>
      <c r="Q102" s="1734">
        <f t="shared" si="61"/>
        <v>136064.29218749999</v>
      </c>
      <c r="R102" s="1691">
        <f t="shared" si="62"/>
        <v>172348.10343749999</v>
      </c>
      <c r="S102" s="1691">
        <f t="shared" si="63"/>
        <v>0</v>
      </c>
      <c r="T102" s="1691">
        <f t="shared" si="64"/>
        <v>36283.811249999999</v>
      </c>
      <c r="U102" s="1833">
        <v>1</v>
      </c>
      <c r="V102" s="1834">
        <f t="shared" si="65"/>
        <v>36283.811249999999</v>
      </c>
      <c r="W102" s="1833">
        <v>1</v>
      </c>
      <c r="X102" s="1691">
        <f t="shared" si="66"/>
        <v>99780.480937500004</v>
      </c>
      <c r="Y102" s="1691">
        <f t="shared" si="67"/>
        <v>99780.480937500004</v>
      </c>
      <c r="Z102" s="1735">
        <f t="shared" si="68"/>
        <v>2010.5833333333333</v>
      </c>
      <c r="AA102" s="1693">
        <f t="shared" si="69"/>
        <v>2014.3333333333333</v>
      </c>
      <c r="AB102" s="1735">
        <f t="shared" si="70"/>
        <v>2018.5833333333333</v>
      </c>
      <c r="AC102" s="1688">
        <f t="shared" si="71"/>
        <v>2013.3333333333333</v>
      </c>
      <c r="AD102" s="1688">
        <f t="shared" si="72"/>
        <v>-8.3333333333333329E-2</v>
      </c>
      <c r="AE102" s="1880">
        <f t="shared" si="73"/>
        <v>172348.10343749999</v>
      </c>
    </row>
    <row r="103" spans="1:31" s="1688" customFormat="1">
      <c r="A103" s="1848" t="s">
        <v>2359</v>
      </c>
      <c r="B103" s="1727">
        <v>306592</v>
      </c>
      <c r="C103" s="1728" t="s">
        <v>2212</v>
      </c>
      <c r="D103" s="1729">
        <v>7</v>
      </c>
      <c r="E103" s="1729">
        <v>2010</v>
      </c>
      <c r="F103" s="1730">
        <v>289452.83</v>
      </c>
      <c r="G103" s="1741">
        <v>0</v>
      </c>
      <c r="H103" s="1729">
        <f t="shared" si="74"/>
        <v>8</v>
      </c>
      <c r="I103" s="1688">
        <f t="shared" si="56"/>
        <v>2018</v>
      </c>
      <c r="J103" s="1731"/>
      <c r="K103" s="1732"/>
      <c r="L103" s="1733">
        <v>0</v>
      </c>
      <c r="M103" s="1691">
        <f t="shared" si="57"/>
        <v>289452.83</v>
      </c>
      <c r="N103" s="1691">
        <f t="shared" si="58"/>
        <v>3015.1336458333335</v>
      </c>
      <c r="O103" s="1691">
        <f t="shared" si="59"/>
        <v>36181.603750000002</v>
      </c>
      <c r="P103" s="1734">
        <f t="shared" si="60"/>
        <v>102514.5439583306</v>
      </c>
      <c r="Q103" s="1734">
        <f t="shared" si="61"/>
        <v>138696.14770833059</v>
      </c>
      <c r="R103" s="1691">
        <f t="shared" si="62"/>
        <v>168847.48416666943</v>
      </c>
      <c r="S103" s="1691">
        <f t="shared" si="63"/>
        <v>0</v>
      </c>
      <c r="T103" s="1691">
        <f t="shared" si="64"/>
        <v>36181.603750000002</v>
      </c>
      <c r="U103" s="1833">
        <v>1</v>
      </c>
      <c r="V103" s="1834">
        <f t="shared" si="65"/>
        <v>36181.603750000002</v>
      </c>
      <c r="W103" s="1833">
        <v>1</v>
      </c>
      <c r="X103" s="1691">
        <f t="shared" si="66"/>
        <v>102514.5439583306</v>
      </c>
      <c r="Y103" s="1691">
        <f t="shared" si="67"/>
        <v>102514.5439583306</v>
      </c>
      <c r="Z103" s="1735">
        <f t="shared" si="68"/>
        <v>2010.5</v>
      </c>
      <c r="AA103" s="1693">
        <f t="shared" si="69"/>
        <v>2014.3333333333333</v>
      </c>
      <c r="AB103" s="1735">
        <f t="shared" si="70"/>
        <v>2018.5</v>
      </c>
      <c r="AC103" s="1688">
        <f t="shared" si="71"/>
        <v>2013.3333333333333</v>
      </c>
      <c r="AD103" s="1688">
        <f t="shared" si="72"/>
        <v>-8.3333333333333329E-2</v>
      </c>
      <c r="AE103" s="1880">
        <f t="shared" si="73"/>
        <v>168847.48416666943</v>
      </c>
    </row>
    <row r="104" spans="1:31" s="1688" customFormat="1">
      <c r="A104" s="1848" t="s">
        <v>2359</v>
      </c>
      <c r="B104" s="1727">
        <v>306589</v>
      </c>
      <c r="C104" s="1728" t="s">
        <v>2212</v>
      </c>
      <c r="D104" s="1729">
        <v>7</v>
      </c>
      <c r="E104" s="1729">
        <v>2010</v>
      </c>
      <c r="F104" s="1730">
        <v>289452.83</v>
      </c>
      <c r="G104" s="1741">
        <v>0</v>
      </c>
      <c r="H104" s="1729">
        <f t="shared" si="74"/>
        <v>8</v>
      </c>
      <c r="I104" s="1688">
        <f t="shared" si="56"/>
        <v>2018</v>
      </c>
      <c r="J104" s="1731"/>
      <c r="K104" s="1732"/>
      <c r="L104" s="1733">
        <v>0</v>
      </c>
      <c r="M104" s="1691">
        <f t="shared" si="57"/>
        <v>289452.83</v>
      </c>
      <c r="N104" s="1691">
        <f t="shared" si="58"/>
        <v>3015.1336458333335</v>
      </c>
      <c r="O104" s="1691">
        <f t="shared" si="59"/>
        <v>36181.603750000002</v>
      </c>
      <c r="P104" s="1734">
        <f t="shared" si="60"/>
        <v>102514.5439583306</v>
      </c>
      <c r="Q104" s="1734">
        <f t="shared" si="61"/>
        <v>138696.14770833059</v>
      </c>
      <c r="R104" s="1691">
        <f t="shared" si="62"/>
        <v>168847.48416666943</v>
      </c>
      <c r="S104" s="1691">
        <f t="shared" si="63"/>
        <v>0</v>
      </c>
      <c r="T104" s="1691">
        <f t="shared" si="64"/>
        <v>36181.603750000002</v>
      </c>
      <c r="U104" s="1833">
        <v>1</v>
      </c>
      <c r="V104" s="1834">
        <f t="shared" si="65"/>
        <v>36181.603750000002</v>
      </c>
      <c r="W104" s="1833">
        <v>1</v>
      </c>
      <c r="X104" s="1691">
        <f t="shared" si="66"/>
        <v>102514.5439583306</v>
      </c>
      <c r="Y104" s="1691">
        <f t="shared" si="67"/>
        <v>102514.5439583306</v>
      </c>
      <c r="Z104" s="1735">
        <f t="shared" si="68"/>
        <v>2010.5</v>
      </c>
      <c r="AA104" s="1693">
        <f t="shared" si="69"/>
        <v>2014.3333333333333</v>
      </c>
      <c r="AB104" s="1735">
        <f t="shared" si="70"/>
        <v>2018.5</v>
      </c>
      <c r="AC104" s="1688">
        <f t="shared" si="71"/>
        <v>2013.3333333333333</v>
      </c>
      <c r="AD104" s="1688">
        <f t="shared" si="72"/>
        <v>-8.3333333333333329E-2</v>
      </c>
      <c r="AE104" s="1880">
        <f t="shared" si="73"/>
        <v>168847.48416666943</v>
      </c>
    </row>
    <row r="105" spans="1:31" s="1688" customFormat="1">
      <c r="A105" s="1848" t="s">
        <v>2359</v>
      </c>
      <c r="B105" s="1727">
        <v>306591</v>
      </c>
      <c r="C105" s="1728" t="s">
        <v>2212</v>
      </c>
      <c r="D105" s="1729">
        <v>7</v>
      </c>
      <c r="E105" s="1729">
        <v>2010</v>
      </c>
      <c r="F105" s="1730">
        <v>289452.83</v>
      </c>
      <c r="G105" s="1741">
        <v>0</v>
      </c>
      <c r="H105" s="1729">
        <f t="shared" si="74"/>
        <v>8</v>
      </c>
      <c r="I105" s="1688">
        <f t="shared" si="56"/>
        <v>2018</v>
      </c>
      <c r="J105" s="1731"/>
      <c r="K105" s="1732"/>
      <c r="L105" s="1733">
        <v>0</v>
      </c>
      <c r="M105" s="1691">
        <f t="shared" si="57"/>
        <v>289452.83</v>
      </c>
      <c r="N105" s="1691">
        <f t="shared" si="58"/>
        <v>3015.1336458333335</v>
      </c>
      <c r="O105" s="1691">
        <f t="shared" si="59"/>
        <v>36181.603750000002</v>
      </c>
      <c r="P105" s="1734">
        <f t="shared" si="60"/>
        <v>102514.5439583306</v>
      </c>
      <c r="Q105" s="1734">
        <f t="shared" si="61"/>
        <v>138696.14770833059</v>
      </c>
      <c r="R105" s="1691">
        <f t="shared" si="62"/>
        <v>168847.48416666943</v>
      </c>
      <c r="S105" s="1691">
        <f t="shared" si="63"/>
        <v>0</v>
      </c>
      <c r="T105" s="1691">
        <f t="shared" si="64"/>
        <v>36181.603750000002</v>
      </c>
      <c r="U105" s="1833">
        <v>1</v>
      </c>
      <c r="V105" s="1834">
        <f t="shared" si="65"/>
        <v>36181.603750000002</v>
      </c>
      <c r="W105" s="1833">
        <v>1</v>
      </c>
      <c r="X105" s="1691">
        <f t="shared" si="66"/>
        <v>102514.5439583306</v>
      </c>
      <c r="Y105" s="1691">
        <f t="shared" si="67"/>
        <v>102514.5439583306</v>
      </c>
      <c r="Z105" s="1735">
        <f t="shared" si="68"/>
        <v>2010.5</v>
      </c>
      <c r="AA105" s="1693">
        <f t="shared" si="69"/>
        <v>2014.3333333333333</v>
      </c>
      <c r="AB105" s="1735">
        <f t="shared" si="70"/>
        <v>2018.5</v>
      </c>
      <c r="AC105" s="1688">
        <f t="shared" si="71"/>
        <v>2013.3333333333333</v>
      </c>
      <c r="AD105" s="1688">
        <f t="shared" si="72"/>
        <v>-8.3333333333333329E-2</v>
      </c>
      <c r="AE105" s="1880">
        <f t="shared" si="73"/>
        <v>168847.48416666943</v>
      </c>
    </row>
    <row r="106" spans="1:31" s="1688" customFormat="1">
      <c r="A106" s="1848" t="s">
        <v>2359</v>
      </c>
      <c r="B106" s="1727">
        <v>306593</v>
      </c>
      <c r="C106" s="1728" t="s">
        <v>2212</v>
      </c>
      <c r="D106" s="1729">
        <v>7</v>
      </c>
      <c r="E106" s="1729">
        <v>2010</v>
      </c>
      <c r="F106" s="1730">
        <v>289452.83</v>
      </c>
      <c r="G106" s="1741">
        <v>0</v>
      </c>
      <c r="H106" s="1729">
        <f t="shared" si="74"/>
        <v>8</v>
      </c>
      <c r="I106" s="1688">
        <f t="shared" si="56"/>
        <v>2018</v>
      </c>
      <c r="J106" s="1731"/>
      <c r="K106" s="1732"/>
      <c r="L106" s="1733">
        <v>0</v>
      </c>
      <c r="M106" s="1691">
        <f t="shared" si="57"/>
        <v>289452.83</v>
      </c>
      <c r="N106" s="1691">
        <f t="shared" si="58"/>
        <v>3015.1336458333335</v>
      </c>
      <c r="O106" s="1691">
        <f t="shared" si="59"/>
        <v>36181.603750000002</v>
      </c>
      <c r="P106" s="1734">
        <f t="shared" si="60"/>
        <v>102514.5439583306</v>
      </c>
      <c r="Q106" s="1734">
        <f t="shared" si="61"/>
        <v>138696.14770833059</v>
      </c>
      <c r="R106" s="1691">
        <f t="shared" si="62"/>
        <v>168847.48416666943</v>
      </c>
      <c r="S106" s="1691">
        <f t="shared" si="63"/>
        <v>0</v>
      </c>
      <c r="T106" s="1691">
        <f t="shared" si="64"/>
        <v>36181.603750000002</v>
      </c>
      <c r="U106" s="1833">
        <v>1</v>
      </c>
      <c r="V106" s="1834">
        <f t="shared" si="65"/>
        <v>36181.603750000002</v>
      </c>
      <c r="W106" s="1833">
        <v>1</v>
      </c>
      <c r="X106" s="1691">
        <f t="shared" si="66"/>
        <v>102514.5439583306</v>
      </c>
      <c r="Y106" s="1691">
        <f t="shared" si="67"/>
        <v>102514.5439583306</v>
      </c>
      <c r="Z106" s="1735">
        <f t="shared" si="68"/>
        <v>2010.5</v>
      </c>
      <c r="AA106" s="1693">
        <f t="shared" si="69"/>
        <v>2014.3333333333333</v>
      </c>
      <c r="AB106" s="1735">
        <f t="shared" si="70"/>
        <v>2018.5</v>
      </c>
      <c r="AC106" s="1688">
        <f t="shared" si="71"/>
        <v>2013.3333333333333</v>
      </c>
      <c r="AD106" s="1688">
        <f t="shared" si="72"/>
        <v>-8.3333333333333329E-2</v>
      </c>
      <c r="AE106" s="1880">
        <f t="shared" si="73"/>
        <v>168847.48416666943</v>
      </c>
    </row>
    <row r="107" spans="1:31" s="1688" customFormat="1">
      <c r="A107" s="1848" t="s">
        <v>2359</v>
      </c>
      <c r="B107" s="1727">
        <v>306808</v>
      </c>
      <c r="C107" s="1728" t="s">
        <v>2212</v>
      </c>
      <c r="D107" s="1729">
        <v>7</v>
      </c>
      <c r="E107" s="1729">
        <v>2010</v>
      </c>
      <c r="F107" s="1730">
        <v>289452.84000000003</v>
      </c>
      <c r="G107" s="1741">
        <v>0</v>
      </c>
      <c r="H107" s="1729">
        <f t="shared" si="74"/>
        <v>8</v>
      </c>
      <c r="I107" s="1688">
        <f t="shared" si="56"/>
        <v>2018</v>
      </c>
      <c r="J107" s="1731"/>
      <c r="K107" s="1732"/>
      <c r="L107" s="1733">
        <v>0</v>
      </c>
      <c r="M107" s="1691">
        <f t="shared" si="57"/>
        <v>289452.84000000003</v>
      </c>
      <c r="N107" s="1691">
        <f t="shared" si="58"/>
        <v>3015.1337500000004</v>
      </c>
      <c r="O107" s="1691">
        <f t="shared" si="59"/>
        <v>36181.605000000003</v>
      </c>
      <c r="P107" s="1734">
        <f t="shared" si="60"/>
        <v>102514.54749999726</v>
      </c>
      <c r="Q107" s="1734">
        <f t="shared" si="61"/>
        <v>138696.15249999726</v>
      </c>
      <c r="R107" s="1691">
        <f t="shared" si="62"/>
        <v>168847.49000000278</v>
      </c>
      <c r="S107" s="1691">
        <f t="shared" si="63"/>
        <v>0</v>
      </c>
      <c r="T107" s="1691">
        <f t="shared" si="64"/>
        <v>36181.605000000003</v>
      </c>
      <c r="U107" s="1833">
        <v>1</v>
      </c>
      <c r="V107" s="1834">
        <f t="shared" si="65"/>
        <v>36181.605000000003</v>
      </c>
      <c r="W107" s="1833">
        <v>1</v>
      </c>
      <c r="X107" s="1691">
        <f t="shared" si="66"/>
        <v>102514.54749999726</v>
      </c>
      <c r="Y107" s="1691">
        <f t="shared" si="67"/>
        <v>102514.54749999726</v>
      </c>
      <c r="Z107" s="1735">
        <f t="shared" si="68"/>
        <v>2010.5</v>
      </c>
      <c r="AA107" s="1693">
        <f t="shared" si="69"/>
        <v>2014.3333333333333</v>
      </c>
      <c r="AB107" s="1735">
        <f t="shared" si="70"/>
        <v>2018.5</v>
      </c>
      <c r="AC107" s="1688">
        <f t="shared" si="71"/>
        <v>2013.3333333333333</v>
      </c>
      <c r="AD107" s="1688">
        <f t="shared" si="72"/>
        <v>-8.3333333333333329E-2</v>
      </c>
      <c r="AE107" s="1880">
        <f t="shared" si="73"/>
        <v>168847.49000000278</v>
      </c>
    </row>
    <row r="108" spans="1:31" s="1688" customFormat="1">
      <c r="A108" s="1848" t="s">
        <v>2359</v>
      </c>
      <c r="B108" s="1727">
        <v>306807</v>
      </c>
      <c r="C108" s="1728" t="s">
        <v>2212</v>
      </c>
      <c r="D108" s="1729">
        <v>7</v>
      </c>
      <c r="E108" s="1729">
        <v>2010</v>
      </c>
      <c r="F108" s="1730">
        <v>289379.34000000003</v>
      </c>
      <c r="G108" s="1741">
        <v>0</v>
      </c>
      <c r="H108" s="1729">
        <f t="shared" si="74"/>
        <v>8</v>
      </c>
      <c r="I108" s="1688">
        <f t="shared" si="56"/>
        <v>2018</v>
      </c>
      <c r="J108" s="1731"/>
      <c r="K108" s="1732"/>
      <c r="L108" s="1733">
        <v>0</v>
      </c>
      <c r="M108" s="1691">
        <f t="shared" si="57"/>
        <v>289379.34000000003</v>
      </c>
      <c r="N108" s="1691">
        <f t="shared" si="58"/>
        <v>3014.3681250000004</v>
      </c>
      <c r="O108" s="1691">
        <f t="shared" si="59"/>
        <v>36172.417500000003</v>
      </c>
      <c r="P108" s="1734">
        <f t="shared" si="60"/>
        <v>102488.51624999728</v>
      </c>
      <c r="Q108" s="1734">
        <f t="shared" si="61"/>
        <v>138660.93374999729</v>
      </c>
      <c r="R108" s="1691">
        <f t="shared" si="62"/>
        <v>168804.61500000273</v>
      </c>
      <c r="S108" s="1691">
        <f t="shared" si="63"/>
        <v>0</v>
      </c>
      <c r="T108" s="1691">
        <f t="shared" si="64"/>
        <v>36172.417500000003</v>
      </c>
      <c r="U108" s="1833">
        <v>1</v>
      </c>
      <c r="V108" s="1834">
        <f t="shared" si="65"/>
        <v>36172.417500000003</v>
      </c>
      <c r="W108" s="1833">
        <v>1</v>
      </c>
      <c r="X108" s="1691">
        <f t="shared" si="66"/>
        <v>102488.51624999728</v>
      </c>
      <c r="Y108" s="1691">
        <f t="shared" si="67"/>
        <v>102488.51624999728</v>
      </c>
      <c r="Z108" s="1735">
        <f t="shared" si="68"/>
        <v>2010.5</v>
      </c>
      <c r="AA108" s="1693">
        <f t="shared" si="69"/>
        <v>2014.3333333333333</v>
      </c>
      <c r="AB108" s="1735">
        <f t="shared" si="70"/>
        <v>2018.5</v>
      </c>
      <c r="AC108" s="1688">
        <f t="shared" si="71"/>
        <v>2013.3333333333333</v>
      </c>
      <c r="AD108" s="1688">
        <f t="shared" si="72"/>
        <v>-8.3333333333333329E-2</v>
      </c>
      <c r="AE108" s="1880">
        <f t="shared" si="73"/>
        <v>168804.61500000273</v>
      </c>
    </row>
    <row r="109" spans="1:31" s="1688" customFormat="1">
      <c r="A109" s="1848" t="s">
        <v>2359</v>
      </c>
      <c r="B109" s="1727">
        <v>306587</v>
      </c>
      <c r="C109" s="1728" t="s">
        <v>2212</v>
      </c>
      <c r="D109" s="1729">
        <v>7</v>
      </c>
      <c r="E109" s="1729">
        <v>2010</v>
      </c>
      <c r="F109" s="1730">
        <v>289452.83</v>
      </c>
      <c r="G109" s="1741">
        <v>0</v>
      </c>
      <c r="H109" s="1729">
        <f t="shared" si="74"/>
        <v>8</v>
      </c>
      <c r="I109" s="1688">
        <f t="shared" si="56"/>
        <v>2018</v>
      </c>
      <c r="J109" s="1731"/>
      <c r="K109" s="1732"/>
      <c r="L109" s="1733">
        <v>0</v>
      </c>
      <c r="M109" s="1691">
        <f t="shared" si="57"/>
        <v>289452.83</v>
      </c>
      <c r="N109" s="1691">
        <f t="shared" si="58"/>
        <v>3015.1336458333335</v>
      </c>
      <c r="O109" s="1691">
        <f t="shared" si="59"/>
        <v>36181.603750000002</v>
      </c>
      <c r="P109" s="1734">
        <f t="shared" si="60"/>
        <v>102514.5439583306</v>
      </c>
      <c r="Q109" s="1734">
        <f t="shared" si="61"/>
        <v>138696.14770833059</v>
      </c>
      <c r="R109" s="1691">
        <f t="shared" si="62"/>
        <v>168847.48416666943</v>
      </c>
      <c r="S109" s="1691">
        <f t="shared" si="63"/>
        <v>0</v>
      </c>
      <c r="T109" s="1691">
        <f t="shared" si="64"/>
        <v>36181.603750000002</v>
      </c>
      <c r="U109" s="1833">
        <v>1</v>
      </c>
      <c r="V109" s="1834">
        <f t="shared" si="65"/>
        <v>36181.603750000002</v>
      </c>
      <c r="W109" s="1833">
        <v>1</v>
      </c>
      <c r="X109" s="1691">
        <f t="shared" si="66"/>
        <v>102514.5439583306</v>
      </c>
      <c r="Y109" s="1691">
        <f t="shared" si="67"/>
        <v>102514.5439583306</v>
      </c>
      <c r="Z109" s="1735">
        <f t="shared" si="68"/>
        <v>2010.5</v>
      </c>
      <c r="AA109" s="1693">
        <f t="shared" si="69"/>
        <v>2014.3333333333333</v>
      </c>
      <c r="AB109" s="1735">
        <f t="shared" si="70"/>
        <v>2018.5</v>
      </c>
      <c r="AC109" s="1688">
        <f t="shared" si="71"/>
        <v>2013.3333333333333</v>
      </c>
      <c r="AD109" s="1688">
        <f t="shared" si="72"/>
        <v>-8.3333333333333329E-2</v>
      </c>
      <c r="AE109" s="1880">
        <f t="shared" si="73"/>
        <v>168847.48416666943</v>
      </c>
    </row>
    <row r="110" spans="1:31" s="1688" customFormat="1">
      <c r="A110" s="1848" t="s">
        <v>2359</v>
      </c>
      <c r="B110" s="1727">
        <v>306588</v>
      </c>
      <c r="C110" s="1728" t="s">
        <v>2212</v>
      </c>
      <c r="D110" s="1729">
        <v>7</v>
      </c>
      <c r="E110" s="1729">
        <v>2010</v>
      </c>
      <c r="F110" s="1730">
        <v>289379.33</v>
      </c>
      <c r="G110" s="1741">
        <v>0</v>
      </c>
      <c r="H110" s="1729">
        <f t="shared" si="74"/>
        <v>8</v>
      </c>
      <c r="I110" s="1688">
        <f t="shared" si="56"/>
        <v>2018</v>
      </c>
      <c r="J110" s="1731"/>
      <c r="K110" s="1732"/>
      <c r="L110" s="1733">
        <v>0</v>
      </c>
      <c r="M110" s="1691">
        <f t="shared" si="57"/>
        <v>289379.33</v>
      </c>
      <c r="N110" s="1691">
        <f t="shared" si="58"/>
        <v>3014.3680208333335</v>
      </c>
      <c r="O110" s="1691">
        <f t="shared" si="59"/>
        <v>36172.416250000002</v>
      </c>
      <c r="P110" s="1734">
        <f t="shared" si="60"/>
        <v>102488.5127083306</v>
      </c>
      <c r="Q110" s="1734">
        <f t="shared" si="61"/>
        <v>138660.92895833059</v>
      </c>
      <c r="R110" s="1691">
        <f t="shared" si="62"/>
        <v>168804.60916666943</v>
      </c>
      <c r="S110" s="1691">
        <f t="shared" si="63"/>
        <v>0</v>
      </c>
      <c r="T110" s="1691">
        <f t="shared" si="64"/>
        <v>36172.416250000002</v>
      </c>
      <c r="U110" s="1833">
        <v>1</v>
      </c>
      <c r="V110" s="1834">
        <f t="shared" si="65"/>
        <v>36172.416250000002</v>
      </c>
      <c r="W110" s="1833">
        <v>1</v>
      </c>
      <c r="X110" s="1691">
        <f t="shared" si="66"/>
        <v>102488.5127083306</v>
      </c>
      <c r="Y110" s="1691">
        <f t="shared" si="67"/>
        <v>102488.5127083306</v>
      </c>
      <c r="Z110" s="1735">
        <f t="shared" si="68"/>
        <v>2010.5</v>
      </c>
      <c r="AA110" s="1693">
        <f t="shared" si="69"/>
        <v>2014.3333333333333</v>
      </c>
      <c r="AB110" s="1735">
        <f t="shared" si="70"/>
        <v>2018.5</v>
      </c>
      <c r="AC110" s="1688">
        <f t="shared" si="71"/>
        <v>2013.3333333333333</v>
      </c>
      <c r="AD110" s="1688">
        <f t="shared" si="72"/>
        <v>-8.3333333333333329E-2</v>
      </c>
      <c r="AE110" s="1880">
        <f t="shared" si="73"/>
        <v>168804.60916666943</v>
      </c>
    </row>
    <row r="111" spans="1:31" s="1688" customFormat="1">
      <c r="A111" s="1848" t="s">
        <v>2359</v>
      </c>
      <c r="B111" s="1727">
        <v>306810</v>
      </c>
      <c r="C111" s="1728" t="s">
        <v>2212</v>
      </c>
      <c r="D111" s="1729">
        <v>7</v>
      </c>
      <c r="E111" s="1729">
        <v>2010</v>
      </c>
      <c r="F111" s="1730">
        <v>289452.84000000003</v>
      </c>
      <c r="G111" s="1741">
        <v>0</v>
      </c>
      <c r="H111" s="1729">
        <f t="shared" si="74"/>
        <v>8</v>
      </c>
      <c r="I111" s="1688">
        <f t="shared" si="56"/>
        <v>2018</v>
      </c>
      <c r="J111" s="1731"/>
      <c r="K111" s="1732"/>
      <c r="L111" s="1733">
        <v>0</v>
      </c>
      <c r="M111" s="1691">
        <f t="shared" si="57"/>
        <v>289452.84000000003</v>
      </c>
      <c r="N111" s="1691">
        <f t="shared" si="58"/>
        <v>3015.1337500000004</v>
      </c>
      <c r="O111" s="1691">
        <f t="shared" si="59"/>
        <v>36181.605000000003</v>
      </c>
      <c r="P111" s="1734">
        <f t="shared" si="60"/>
        <v>102514.54749999726</v>
      </c>
      <c r="Q111" s="1734">
        <f t="shared" si="61"/>
        <v>138696.15249999726</v>
      </c>
      <c r="R111" s="1691">
        <f t="shared" si="62"/>
        <v>168847.49000000278</v>
      </c>
      <c r="S111" s="1691">
        <f t="shared" si="63"/>
        <v>0</v>
      </c>
      <c r="T111" s="1691">
        <f t="shared" si="64"/>
        <v>36181.605000000003</v>
      </c>
      <c r="U111" s="1833">
        <v>1</v>
      </c>
      <c r="V111" s="1834">
        <f t="shared" si="65"/>
        <v>36181.605000000003</v>
      </c>
      <c r="W111" s="1833">
        <v>1</v>
      </c>
      <c r="X111" s="1691">
        <f t="shared" si="66"/>
        <v>102514.54749999726</v>
      </c>
      <c r="Y111" s="1691">
        <f t="shared" si="67"/>
        <v>102514.54749999726</v>
      </c>
      <c r="Z111" s="1735">
        <f t="shared" si="68"/>
        <v>2010.5</v>
      </c>
      <c r="AA111" s="1693">
        <f t="shared" si="69"/>
        <v>2014.3333333333333</v>
      </c>
      <c r="AB111" s="1735">
        <f t="shared" si="70"/>
        <v>2018.5</v>
      </c>
      <c r="AC111" s="1688">
        <f t="shared" si="71"/>
        <v>2013.3333333333333</v>
      </c>
      <c r="AD111" s="1688">
        <f t="shared" si="72"/>
        <v>-8.3333333333333329E-2</v>
      </c>
      <c r="AE111" s="1880">
        <f t="shared" si="73"/>
        <v>168847.49000000278</v>
      </c>
    </row>
    <row r="112" spans="1:31" s="1688" customFormat="1">
      <c r="A112" s="1848" t="s">
        <v>2359</v>
      </c>
      <c r="B112" s="1727">
        <v>306809</v>
      </c>
      <c r="C112" s="1728" t="s">
        <v>2212</v>
      </c>
      <c r="D112" s="1729">
        <v>7</v>
      </c>
      <c r="E112" s="1729">
        <v>2010</v>
      </c>
      <c r="F112" s="1730">
        <v>289452.84000000003</v>
      </c>
      <c r="G112" s="1741">
        <v>0</v>
      </c>
      <c r="H112" s="1729">
        <f t="shared" si="74"/>
        <v>8</v>
      </c>
      <c r="I112" s="1688">
        <f t="shared" si="56"/>
        <v>2018</v>
      </c>
      <c r="J112" s="1731"/>
      <c r="K112" s="1732"/>
      <c r="L112" s="1733">
        <v>0</v>
      </c>
      <c r="M112" s="1691">
        <f t="shared" si="57"/>
        <v>289452.84000000003</v>
      </c>
      <c r="N112" s="1691">
        <f t="shared" si="58"/>
        <v>3015.1337500000004</v>
      </c>
      <c r="O112" s="1691">
        <f t="shared" si="59"/>
        <v>36181.605000000003</v>
      </c>
      <c r="P112" s="1734">
        <f t="shared" si="60"/>
        <v>102514.54749999726</v>
      </c>
      <c r="Q112" s="1734">
        <f t="shared" si="61"/>
        <v>138696.15249999726</v>
      </c>
      <c r="R112" s="1691">
        <f t="shared" si="62"/>
        <v>168847.49000000278</v>
      </c>
      <c r="S112" s="1691">
        <f t="shared" si="63"/>
        <v>0</v>
      </c>
      <c r="T112" s="1691">
        <f t="shared" si="64"/>
        <v>36181.605000000003</v>
      </c>
      <c r="U112" s="1833">
        <v>1</v>
      </c>
      <c r="V112" s="1834">
        <f t="shared" si="65"/>
        <v>36181.605000000003</v>
      </c>
      <c r="W112" s="1833">
        <v>1</v>
      </c>
      <c r="X112" s="1691">
        <f t="shared" si="66"/>
        <v>102514.54749999726</v>
      </c>
      <c r="Y112" s="1691">
        <f t="shared" si="67"/>
        <v>102514.54749999726</v>
      </c>
      <c r="Z112" s="1735">
        <f t="shared" si="68"/>
        <v>2010.5</v>
      </c>
      <c r="AA112" s="1693">
        <f t="shared" si="69"/>
        <v>2014.3333333333333</v>
      </c>
      <c r="AB112" s="1735">
        <f t="shared" si="70"/>
        <v>2018.5</v>
      </c>
      <c r="AC112" s="1688">
        <f t="shared" si="71"/>
        <v>2013.3333333333333</v>
      </c>
      <c r="AD112" s="1688">
        <f t="shared" si="72"/>
        <v>-8.3333333333333329E-2</v>
      </c>
      <c r="AE112" s="1880">
        <f t="shared" si="73"/>
        <v>168847.49000000278</v>
      </c>
    </row>
    <row r="113" spans="1:31" s="1688" customFormat="1">
      <c r="A113" s="1848" t="s">
        <v>2359</v>
      </c>
      <c r="B113" s="1727">
        <v>306590</v>
      </c>
      <c r="C113" s="1728" t="s">
        <v>2212</v>
      </c>
      <c r="D113" s="1729">
        <v>7</v>
      </c>
      <c r="E113" s="1729">
        <v>2010</v>
      </c>
      <c r="F113" s="1730">
        <v>289452.83</v>
      </c>
      <c r="G113" s="1741">
        <v>0</v>
      </c>
      <c r="H113" s="1729">
        <f t="shared" si="74"/>
        <v>8</v>
      </c>
      <c r="I113" s="1688">
        <f t="shared" si="56"/>
        <v>2018</v>
      </c>
      <c r="J113" s="1731"/>
      <c r="K113" s="1732"/>
      <c r="L113" s="1733">
        <v>0</v>
      </c>
      <c r="M113" s="1691">
        <f t="shared" si="57"/>
        <v>289452.83</v>
      </c>
      <c r="N113" s="1691">
        <f t="shared" si="58"/>
        <v>3015.1336458333335</v>
      </c>
      <c r="O113" s="1691">
        <f t="shared" si="59"/>
        <v>36181.603750000002</v>
      </c>
      <c r="P113" s="1734">
        <f t="shared" si="60"/>
        <v>102514.5439583306</v>
      </c>
      <c r="Q113" s="1734">
        <f t="shared" si="61"/>
        <v>138696.14770833059</v>
      </c>
      <c r="R113" s="1691">
        <f t="shared" si="62"/>
        <v>168847.48416666943</v>
      </c>
      <c r="S113" s="1691">
        <f t="shared" si="63"/>
        <v>0</v>
      </c>
      <c r="T113" s="1691">
        <f t="shared" si="64"/>
        <v>36181.603750000002</v>
      </c>
      <c r="U113" s="1833">
        <v>1</v>
      </c>
      <c r="V113" s="1834">
        <f t="shared" si="65"/>
        <v>36181.603750000002</v>
      </c>
      <c r="W113" s="1833">
        <v>1</v>
      </c>
      <c r="X113" s="1691">
        <f t="shared" si="66"/>
        <v>102514.5439583306</v>
      </c>
      <c r="Y113" s="1691">
        <f t="shared" si="67"/>
        <v>102514.5439583306</v>
      </c>
      <c r="Z113" s="1735">
        <f t="shared" si="68"/>
        <v>2010.5</v>
      </c>
      <c r="AA113" s="1693">
        <f t="shared" si="69"/>
        <v>2014.3333333333333</v>
      </c>
      <c r="AB113" s="1735">
        <f t="shared" si="70"/>
        <v>2018.5</v>
      </c>
      <c r="AC113" s="1688">
        <f t="shared" si="71"/>
        <v>2013.3333333333333</v>
      </c>
      <c r="AD113" s="1688">
        <f t="shared" si="72"/>
        <v>-8.3333333333333329E-2</v>
      </c>
      <c r="AE113" s="1880">
        <f t="shared" si="73"/>
        <v>168847.48416666943</v>
      </c>
    </row>
    <row r="114" spans="1:31" s="1688" customFormat="1">
      <c r="A114" s="1848" t="s">
        <v>2359</v>
      </c>
      <c r="B114" s="1727">
        <v>306586</v>
      </c>
      <c r="C114" s="1728" t="s">
        <v>2212</v>
      </c>
      <c r="D114" s="1729">
        <v>7</v>
      </c>
      <c r="E114" s="1729">
        <v>2010</v>
      </c>
      <c r="F114" s="1730">
        <v>289379.33</v>
      </c>
      <c r="G114" s="1741">
        <v>0</v>
      </c>
      <c r="H114" s="1729">
        <f t="shared" si="74"/>
        <v>8</v>
      </c>
      <c r="I114" s="1726">
        <f t="shared" si="56"/>
        <v>2018</v>
      </c>
      <c r="J114" s="1731"/>
      <c r="K114" s="1732"/>
      <c r="L114" s="1733">
        <v>0</v>
      </c>
      <c r="M114" s="1691">
        <f t="shared" si="57"/>
        <v>289379.33</v>
      </c>
      <c r="N114" s="1691">
        <f t="shared" si="58"/>
        <v>3014.3680208333335</v>
      </c>
      <c r="O114" s="1691">
        <f t="shared" si="59"/>
        <v>36172.416250000002</v>
      </c>
      <c r="P114" s="1734">
        <f t="shared" si="60"/>
        <v>102488.5127083306</v>
      </c>
      <c r="Q114" s="1734">
        <f t="shared" si="61"/>
        <v>138660.92895833059</v>
      </c>
      <c r="R114" s="1691">
        <f t="shared" si="62"/>
        <v>168804.60916666943</v>
      </c>
      <c r="S114" s="1691">
        <f t="shared" si="63"/>
        <v>0</v>
      </c>
      <c r="T114" s="1691">
        <f t="shared" si="64"/>
        <v>36172.416250000002</v>
      </c>
      <c r="U114" s="1833">
        <v>1</v>
      </c>
      <c r="V114" s="1834">
        <f t="shared" si="65"/>
        <v>36172.416250000002</v>
      </c>
      <c r="W114" s="1833">
        <v>1</v>
      </c>
      <c r="X114" s="1691">
        <f t="shared" si="66"/>
        <v>102488.5127083306</v>
      </c>
      <c r="Y114" s="1691">
        <f t="shared" si="67"/>
        <v>102488.5127083306</v>
      </c>
      <c r="Z114" s="1735">
        <f t="shared" si="68"/>
        <v>2010.5</v>
      </c>
      <c r="AA114" s="1693">
        <f t="shared" si="69"/>
        <v>2014.3333333333333</v>
      </c>
      <c r="AB114" s="1735">
        <f t="shared" si="70"/>
        <v>2018.5</v>
      </c>
      <c r="AC114" s="1688">
        <f t="shared" si="71"/>
        <v>2013.3333333333333</v>
      </c>
      <c r="AD114" s="1688">
        <f t="shared" si="72"/>
        <v>-8.3333333333333329E-2</v>
      </c>
      <c r="AE114" s="1880">
        <f t="shared" si="73"/>
        <v>168804.60916666943</v>
      </c>
    </row>
    <row r="115" spans="1:31" s="1688" customFormat="1">
      <c r="A115" s="1848" t="s">
        <v>2359</v>
      </c>
      <c r="B115" s="1727">
        <v>143956</v>
      </c>
      <c r="C115" s="1728" t="s">
        <v>2248</v>
      </c>
      <c r="D115" s="1729">
        <v>11</v>
      </c>
      <c r="E115" s="1729">
        <v>2008</v>
      </c>
      <c r="F115" s="1730">
        <v>140000</v>
      </c>
      <c r="G115" s="1741">
        <v>0</v>
      </c>
      <c r="H115" s="1729">
        <f>82/12</f>
        <v>6.833333333333333</v>
      </c>
      <c r="I115" s="1726">
        <f t="shared" si="56"/>
        <v>2014.8333333333333</v>
      </c>
      <c r="J115" s="1731"/>
      <c r="K115" s="1732"/>
      <c r="L115" s="1733">
        <v>0</v>
      </c>
      <c r="M115" s="1691">
        <f t="shared" si="57"/>
        <v>140000</v>
      </c>
      <c r="N115" s="1691">
        <f t="shared" si="58"/>
        <v>1707.3170731707316</v>
      </c>
      <c r="O115" s="1691">
        <f t="shared" si="59"/>
        <v>20487.804878048781</v>
      </c>
      <c r="P115" s="1734">
        <f t="shared" si="60"/>
        <v>92195.121951219509</v>
      </c>
      <c r="Q115" s="1734">
        <f t="shared" si="61"/>
        <v>112682.92682926828</v>
      </c>
      <c r="R115" s="1691">
        <f t="shared" si="62"/>
        <v>37560.975609756104</v>
      </c>
      <c r="S115" s="1691">
        <f t="shared" si="63"/>
        <v>0</v>
      </c>
      <c r="T115" s="1691">
        <f t="shared" si="64"/>
        <v>20487.804878048781</v>
      </c>
      <c r="U115" s="1833">
        <v>1</v>
      </c>
      <c r="V115" s="1834">
        <f t="shared" si="65"/>
        <v>20487.804878048781</v>
      </c>
      <c r="W115" s="1833">
        <v>1</v>
      </c>
      <c r="X115" s="1691">
        <f t="shared" si="66"/>
        <v>92195.121951219509</v>
      </c>
      <c r="Y115" s="1691">
        <f t="shared" si="67"/>
        <v>92195.121951219509</v>
      </c>
      <c r="Z115" s="1735">
        <f t="shared" si="68"/>
        <v>2008.8333333333333</v>
      </c>
      <c r="AA115" s="1693">
        <f t="shared" si="69"/>
        <v>2014.3333333333333</v>
      </c>
      <c r="AB115" s="1735">
        <f t="shared" si="70"/>
        <v>2015.6666666666665</v>
      </c>
      <c r="AC115" s="1688">
        <f t="shared" si="71"/>
        <v>2013.3333333333333</v>
      </c>
      <c r="AD115" s="1688">
        <f t="shared" si="72"/>
        <v>-8.3333333333333329E-2</v>
      </c>
      <c r="AE115" s="1880">
        <f t="shared" si="73"/>
        <v>37560.975609756104</v>
      </c>
    </row>
    <row r="116" spans="1:31" s="1688" customFormat="1">
      <c r="A116" s="1848" t="s">
        <v>2359</v>
      </c>
      <c r="B116" s="1727">
        <v>143959</v>
      </c>
      <c r="C116" s="1728" t="s">
        <v>2249</v>
      </c>
      <c r="D116" s="1729">
        <v>11</v>
      </c>
      <c r="E116" s="1729">
        <v>2008</v>
      </c>
      <c r="F116" s="1730">
        <v>150000</v>
      </c>
      <c r="G116" s="1741">
        <v>0</v>
      </c>
      <c r="H116" s="1729">
        <f>86/12</f>
        <v>7.166666666666667</v>
      </c>
      <c r="I116" s="1726">
        <f t="shared" si="56"/>
        <v>2015.1666666666667</v>
      </c>
      <c r="J116" s="1731"/>
      <c r="K116" s="1732"/>
      <c r="L116" s="1733">
        <v>0</v>
      </c>
      <c r="M116" s="1691">
        <f t="shared" si="57"/>
        <v>150000</v>
      </c>
      <c r="N116" s="1691">
        <f t="shared" si="58"/>
        <v>1744.1860465116279</v>
      </c>
      <c r="O116" s="1691">
        <f t="shared" si="59"/>
        <v>20930.232558139534</v>
      </c>
      <c r="P116" s="1734">
        <f t="shared" si="60"/>
        <v>94186.046511627908</v>
      </c>
      <c r="Q116" s="1734">
        <f t="shared" si="61"/>
        <v>115116.27906976745</v>
      </c>
      <c r="R116" s="1691">
        <f t="shared" si="62"/>
        <v>45348.837209302321</v>
      </c>
      <c r="S116" s="1691">
        <f t="shared" si="63"/>
        <v>0</v>
      </c>
      <c r="T116" s="1691">
        <f t="shared" si="64"/>
        <v>20930.232558139534</v>
      </c>
      <c r="U116" s="1833">
        <v>1</v>
      </c>
      <c r="V116" s="1834">
        <f t="shared" si="65"/>
        <v>20930.232558139534</v>
      </c>
      <c r="W116" s="1833">
        <v>1</v>
      </c>
      <c r="X116" s="1691">
        <f t="shared" si="66"/>
        <v>94186.046511627908</v>
      </c>
      <c r="Y116" s="1691">
        <f t="shared" si="67"/>
        <v>94186.046511627908</v>
      </c>
      <c r="Z116" s="1735">
        <f t="shared" si="68"/>
        <v>2008.8333333333333</v>
      </c>
      <c r="AA116" s="1693">
        <f t="shared" si="69"/>
        <v>2014.3333333333333</v>
      </c>
      <c r="AB116" s="1735">
        <f t="shared" si="70"/>
        <v>2016</v>
      </c>
      <c r="AC116" s="1688">
        <f t="shared" si="71"/>
        <v>2013.3333333333333</v>
      </c>
      <c r="AD116" s="1688">
        <f t="shared" si="72"/>
        <v>-8.3333333333333329E-2</v>
      </c>
      <c r="AE116" s="1880">
        <f t="shared" si="73"/>
        <v>45348.837209302321</v>
      </c>
    </row>
    <row r="117" spans="1:31" s="1688" customFormat="1">
      <c r="A117" s="1848" t="s">
        <v>2359</v>
      </c>
      <c r="B117" s="1727">
        <v>143962</v>
      </c>
      <c r="C117" s="1728" t="s">
        <v>2250</v>
      </c>
      <c r="D117" s="1729">
        <v>11</v>
      </c>
      <c r="E117" s="1729">
        <v>2008</v>
      </c>
      <c r="F117" s="1730">
        <v>5900</v>
      </c>
      <c r="G117" s="1741">
        <v>0</v>
      </c>
      <c r="H117" s="1729">
        <f>82/12</f>
        <v>6.833333333333333</v>
      </c>
      <c r="I117" s="1726">
        <f t="shared" si="56"/>
        <v>2014.8333333333333</v>
      </c>
      <c r="J117" s="1731"/>
      <c r="K117" s="1732"/>
      <c r="L117" s="1733">
        <v>0</v>
      </c>
      <c r="M117" s="1691">
        <f t="shared" si="57"/>
        <v>5900</v>
      </c>
      <c r="N117" s="1691">
        <f t="shared" si="58"/>
        <v>71.951219512195124</v>
      </c>
      <c r="O117" s="1691">
        <f t="shared" si="59"/>
        <v>863.41463414634154</v>
      </c>
      <c r="P117" s="1734">
        <f t="shared" si="60"/>
        <v>3885.3658536585367</v>
      </c>
      <c r="Q117" s="1734">
        <f t="shared" si="61"/>
        <v>4748.7804878048782</v>
      </c>
      <c r="R117" s="1691">
        <f t="shared" si="62"/>
        <v>1582.9268292682925</v>
      </c>
      <c r="S117" s="1691">
        <f t="shared" si="63"/>
        <v>0</v>
      </c>
      <c r="T117" s="1691">
        <f t="shared" si="64"/>
        <v>863.41463414634154</v>
      </c>
      <c r="U117" s="1833">
        <v>1</v>
      </c>
      <c r="V117" s="1834">
        <f t="shared" si="65"/>
        <v>863.41463414634154</v>
      </c>
      <c r="W117" s="1833">
        <v>1</v>
      </c>
      <c r="X117" s="1691">
        <f t="shared" si="66"/>
        <v>3885.3658536585367</v>
      </c>
      <c r="Y117" s="1691">
        <f t="shared" si="67"/>
        <v>3885.3658536585367</v>
      </c>
      <c r="Z117" s="1735">
        <f t="shared" si="68"/>
        <v>2008.8333333333333</v>
      </c>
      <c r="AA117" s="1693">
        <f t="shared" si="69"/>
        <v>2014.3333333333333</v>
      </c>
      <c r="AB117" s="1735">
        <f t="shared" si="70"/>
        <v>2015.6666666666665</v>
      </c>
      <c r="AC117" s="1688">
        <f t="shared" si="71"/>
        <v>2013.3333333333333</v>
      </c>
      <c r="AD117" s="1688">
        <f t="shared" si="72"/>
        <v>-8.3333333333333329E-2</v>
      </c>
      <c r="AE117" s="1880">
        <f t="shared" si="73"/>
        <v>1582.9268292682925</v>
      </c>
    </row>
    <row r="118" spans="1:31" s="1688" customFormat="1">
      <c r="A118" s="1848" t="s">
        <v>2359</v>
      </c>
      <c r="B118" s="1727">
        <v>143975</v>
      </c>
      <c r="C118" s="1728" t="s">
        <v>2251</v>
      </c>
      <c r="D118" s="1729">
        <v>11</v>
      </c>
      <c r="E118" s="1729">
        <v>2008</v>
      </c>
      <c r="F118" s="1730">
        <v>150000</v>
      </c>
      <c r="G118" s="1741">
        <v>0</v>
      </c>
      <c r="H118" s="1729">
        <f>95/12</f>
        <v>7.916666666666667</v>
      </c>
      <c r="I118" s="1726">
        <f t="shared" si="56"/>
        <v>2015.9166666666667</v>
      </c>
      <c r="J118" s="1731"/>
      <c r="K118" s="1732"/>
      <c r="L118" s="1733">
        <v>0</v>
      </c>
      <c r="M118" s="1691">
        <f t="shared" si="57"/>
        <v>150000</v>
      </c>
      <c r="N118" s="1691">
        <f t="shared" si="58"/>
        <v>1578.9473684210525</v>
      </c>
      <c r="O118" s="1691">
        <f t="shared" si="59"/>
        <v>18947.36842105263</v>
      </c>
      <c r="P118" s="1734">
        <f t="shared" si="60"/>
        <v>85263.15789473684</v>
      </c>
      <c r="Q118" s="1734">
        <f t="shared" si="61"/>
        <v>104210.52631578947</v>
      </c>
      <c r="R118" s="1691">
        <f t="shared" si="62"/>
        <v>55263.157894736847</v>
      </c>
      <c r="S118" s="1691">
        <f t="shared" si="63"/>
        <v>0</v>
      </c>
      <c r="T118" s="1691">
        <f t="shared" si="64"/>
        <v>18947.36842105263</v>
      </c>
      <c r="U118" s="1833">
        <v>1</v>
      </c>
      <c r="V118" s="1834">
        <f t="shared" si="65"/>
        <v>18947.36842105263</v>
      </c>
      <c r="W118" s="1833">
        <v>1</v>
      </c>
      <c r="X118" s="1691">
        <f t="shared" si="66"/>
        <v>85263.15789473684</v>
      </c>
      <c r="Y118" s="1691">
        <f t="shared" si="67"/>
        <v>85263.15789473684</v>
      </c>
      <c r="Z118" s="1735">
        <f t="shared" si="68"/>
        <v>2008.8333333333333</v>
      </c>
      <c r="AA118" s="1693">
        <f t="shared" si="69"/>
        <v>2014.3333333333333</v>
      </c>
      <c r="AB118" s="1735">
        <f t="shared" si="70"/>
        <v>2016.75</v>
      </c>
      <c r="AC118" s="1688">
        <f t="shared" si="71"/>
        <v>2013.3333333333333</v>
      </c>
      <c r="AD118" s="1688">
        <f t="shared" si="72"/>
        <v>-8.3333333333333329E-2</v>
      </c>
      <c r="AE118" s="1880">
        <f t="shared" si="73"/>
        <v>55263.157894736847</v>
      </c>
    </row>
    <row r="119" spans="1:31" s="1688" customFormat="1">
      <c r="A119" s="1848" t="s">
        <v>2359</v>
      </c>
      <c r="B119" s="1727">
        <v>143976</v>
      </c>
      <c r="C119" s="1728" t="s">
        <v>2251</v>
      </c>
      <c r="D119" s="1729">
        <v>11</v>
      </c>
      <c r="E119" s="1729">
        <v>2008</v>
      </c>
      <c r="F119" s="1730">
        <v>150000</v>
      </c>
      <c r="G119" s="1741">
        <v>0</v>
      </c>
      <c r="H119" s="1729">
        <f>95/12</f>
        <v>7.916666666666667</v>
      </c>
      <c r="I119" s="1726">
        <f t="shared" si="56"/>
        <v>2015.9166666666667</v>
      </c>
      <c r="J119" s="1731"/>
      <c r="K119" s="1732"/>
      <c r="L119" s="1733">
        <v>0</v>
      </c>
      <c r="M119" s="1691">
        <f t="shared" si="57"/>
        <v>150000</v>
      </c>
      <c r="N119" s="1691">
        <f t="shared" si="58"/>
        <v>1578.9473684210525</v>
      </c>
      <c r="O119" s="1691">
        <f t="shared" si="59"/>
        <v>18947.36842105263</v>
      </c>
      <c r="P119" s="1734">
        <f t="shared" si="60"/>
        <v>85263.15789473684</v>
      </c>
      <c r="Q119" s="1734">
        <f t="shared" si="61"/>
        <v>104210.52631578947</v>
      </c>
      <c r="R119" s="1691">
        <f t="shared" si="62"/>
        <v>55263.157894736847</v>
      </c>
      <c r="S119" s="1691">
        <f t="shared" si="63"/>
        <v>0</v>
      </c>
      <c r="T119" s="1691">
        <f t="shared" si="64"/>
        <v>18947.36842105263</v>
      </c>
      <c r="U119" s="1833">
        <v>1</v>
      </c>
      <c r="V119" s="1834">
        <f t="shared" si="65"/>
        <v>18947.36842105263</v>
      </c>
      <c r="W119" s="1833">
        <v>1</v>
      </c>
      <c r="X119" s="1691">
        <f t="shared" si="66"/>
        <v>85263.15789473684</v>
      </c>
      <c r="Y119" s="1691">
        <f t="shared" si="67"/>
        <v>85263.15789473684</v>
      </c>
      <c r="Z119" s="1735">
        <f t="shared" si="68"/>
        <v>2008.8333333333333</v>
      </c>
      <c r="AA119" s="1693">
        <f t="shared" si="69"/>
        <v>2014.3333333333333</v>
      </c>
      <c r="AB119" s="1735">
        <f t="shared" si="70"/>
        <v>2016.75</v>
      </c>
      <c r="AC119" s="1688">
        <f t="shared" si="71"/>
        <v>2013.3333333333333</v>
      </c>
      <c r="AD119" s="1688">
        <f t="shared" si="72"/>
        <v>-8.3333333333333329E-2</v>
      </c>
      <c r="AE119" s="1880">
        <f t="shared" si="73"/>
        <v>55263.157894736847</v>
      </c>
    </row>
    <row r="120" spans="1:31" s="1688" customFormat="1">
      <c r="A120" s="1848" t="s">
        <v>2359</v>
      </c>
      <c r="B120" s="1727">
        <v>143998</v>
      </c>
      <c r="C120" s="1728" t="s">
        <v>2252</v>
      </c>
      <c r="D120" s="1729">
        <v>11</v>
      </c>
      <c r="E120" s="1729">
        <v>2008</v>
      </c>
      <c r="F120" s="1730">
        <v>8100</v>
      </c>
      <c r="G120" s="1741">
        <v>0</v>
      </c>
      <c r="H120" s="1729">
        <f>82/12</f>
        <v>6.833333333333333</v>
      </c>
      <c r="I120" s="1726">
        <f>E120+H120</f>
        <v>2014.8333333333333</v>
      </c>
      <c r="J120" s="1731"/>
      <c r="K120" s="1732"/>
      <c r="L120" s="1733">
        <v>0</v>
      </c>
      <c r="M120" s="1691">
        <f t="shared" si="57"/>
        <v>8100</v>
      </c>
      <c r="N120" s="1691">
        <f>M120/H120/12</f>
        <v>98.780487804878064</v>
      </c>
      <c r="O120" s="1691">
        <f>IF(L120&gt;0,0,IF(OR(Z120&gt;AA120,AB120&lt;AC120),0,IF(AND(AB120&gt;=AC120,AB120&lt;=AA120),N120*((AB120-AC120)*12),IF(AND(AC120&lt;=Z120,AA120&gt;=Z120),((AA120-Z120)*12)*N120,IF(AB120&gt;AA120,12*N120,0)))))</f>
        <v>1185.3658536585367</v>
      </c>
      <c r="P120" s="1734">
        <f t="shared" si="60"/>
        <v>5334.1463414634154</v>
      </c>
      <c r="Q120" s="1734">
        <f t="shared" si="61"/>
        <v>6519.5121951219517</v>
      </c>
      <c r="R120" s="1691">
        <f>IF(L120&gt;0,(F120-Y120)/2,IF(Z120&gt;=AC120,(((F120*U120)*W120)-Q120)/2,((((F120*U120)*W120)-Y120)+(((F120*U120)*W120)-Q120))/2))</f>
        <v>2173.1707317073165</v>
      </c>
      <c r="S120" s="1691">
        <f t="shared" si="63"/>
        <v>0</v>
      </c>
      <c r="T120" s="1691">
        <f>IF(S120&gt;0,S120,O120)</f>
        <v>1185.3658536585367</v>
      </c>
      <c r="U120" s="1833">
        <v>1</v>
      </c>
      <c r="V120" s="1834">
        <f>U120*(O120+S120)</f>
        <v>1185.3658536585367</v>
      </c>
      <c r="W120" s="1833">
        <v>1</v>
      </c>
      <c r="X120" s="1691">
        <f t="shared" si="66"/>
        <v>5334.1463414634154</v>
      </c>
      <c r="Y120" s="1691">
        <f>X120*W120</f>
        <v>5334.1463414634154</v>
      </c>
      <c r="Z120" s="1735">
        <f t="shared" si="68"/>
        <v>2008.8333333333333</v>
      </c>
      <c r="AA120" s="1693">
        <f t="shared" si="69"/>
        <v>2014.3333333333333</v>
      </c>
      <c r="AB120" s="1735">
        <f t="shared" si="70"/>
        <v>2015.6666666666665</v>
      </c>
      <c r="AC120" s="1688">
        <f t="shared" si="71"/>
        <v>2013.3333333333333</v>
      </c>
      <c r="AD120" s="1688">
        <f t="shared" si="72"/>
        <v>-8.3333333333333329E-2</v>
      </c>
      <c r="AE120" s="1880">
        <f t="shared" si="73"/>
        <v>2173.1707317073165</v>
      </c>
    </row>
    <row r="121" spans="1:31" s="1688" customFormat="1">
      <c r="A121" s="1848" t="s">
        <v>2359</v>
      </c>
      <c r="B121" s="1727">
        <v>342545</v>
      </c>
      <c r="C121" s="1728" t="s">
        <v>2253</v>
      </c>
      <c r="D121" s="1729">
        <v>12</v>
      </c>
      <c r="E121" s="1729">
        <v>2012</v>
      </c>
      <c r="F121" s="1730">
        <v>529184</v>
      </c>
      <c r="G121" s="1741">
        <v>0</v>
      </c>
      <c r="H121" s="1729">
        <f>96/12</f>
        <v>8</v>
      </c>
      <c r="I121" s="1726">
        <f>E121+H121</f>
        <v>2020</v>
      </c>
      <c r="J121" s="1731"/>
      <c r="K121" s="1732"/>
      <c r="L121" s="1733">
        <v>0</v>
      </c>
      <c r="M121" s="1691">
        <f t="shared" si="57"/>
        <v>529184</v>
      </c>
      <c r="N121" s="1691">
        <f>M121/H121/12</f>
        <v>5512.333333333333</v>
      </c>
      <c r="O121" s="1691">
        <f>IF(L121&gt;0,0,IF(OR(Z121&gt;AA121,AB121&lt;AC121),0,IF(AND(AB121&gt;=AC121,AB121&lt;=AA121),N121*((AB121-AC121)*12),IF(AND(AC121&lt;=Z121,AA121&gt;=Z121),((AA121-Z121)*12)*N121,IF(AB121&gt;AA121,12*N121,0)))))</f>
        <v>66148</v>
      </c>
      <c r="P121" s="1734">
        <f t="shared" si="60"/>
        <v>27561.666666656638</v>
      </c>
      <c r="Q121" s="1734">
        <f t="shared" si="61"/>
        <v>93709.666666656645</v>
      </c>
      <c r="R121" s="1691">
        <f>IF(L121&gt;0,(F121-Y121)/2,IF(Z121&gt;=AC121,(((F121*U121)*W121)-Q121)/2,((((F121*U121)*W121)-Y121)+(((F121*U121)*W121)-Q121))/2))</f>
        <v>468548.33333334338</v>
      </c>
      <c r="S121" s="1691">
        <f t="shared" si="63"/>
        <v>0</v>
      </c>
      <c r="T121" s="1691">
        <f>IF(S121&gt;0,S121,O121)</f>
        <v>66148</v>
      </c>
      <c r="U121" s="1833">
        <v>1</v>
      </c>
      <c r="V121" s="1834">
        <f>U121*(O121+S121)</f>
        <v>66148</v>
      </c>
      <c r="W121" s="1833">
        <v>1</v>
      </c>
      <c r="X121" s="1691">
        <f t="shared" si="66"/>
        <v>27561.666666656638</v>
      </c>
      <c r="Y121" s="1691">
        <f>X121*W121</f>
        <v>27561.666666656638</v>
      </c>
      <c r="Z121" s="1735">
        <f t="shared" si="68"/>
        <v>2012.9166666666667</v>
      </c>
      <c r="AA121" s="1693">
        <f t="shared" si="69"/>
        <v>2014.3333333333333</v>
      </c>
      <c r="AB121" s="1735">
        <f t="shared" si="70"/>
        <v>2020.9166666666667</v>
      </c>
      <c r="AC121" s="1688">
        <f t="shared" si="71"/>
        <v>2013.3333333333333</v>
      </c>
      <c r="AD121" s="1688">
        <f t="shared" si="72"/>
        <v>-8.3333333333333329E-2</v>
      </c>
      <c r="AE121" s="1880">
        <f t="shared" si="73"/>
        <v>468548.33333334338</v>
      </c>
    </row>
    <row r="122" spans="1:31" s="1688" customFormat="1">
      <c r="A122" s="1848" t="s">
        <v>2359</v>
      </c>
      <c r="B122" s="1727">
        <v>143905</v>
      </c>
      <c r="C122" s="1728" t="s">
        <v>2254</v>
      </c>
      <c r="D122" s="1729">
        <v>11</v>
      </c>
      <c r="E122" s="1729">
        <v>2008</v>
      </c>
      <c r="F122" s="1730">
        <v>720</v>
      </c>
      <c r="G122" s="1741">
        <v>0</v>
      </c>
      <c r="H122" s="1729">
        <f>68/12</f>
        <v>5.666666666666667</v>
      </c>
      <c r="I122" s="1726">
        <f>E122+H122</f>
        <v>2013.6666666666667</v>
      </c>
      <c r="J122" s="1731"/>
      <c r="K122" s="1732"/>
      <c r="L122" s="1733">
        <v>0</v>
      </c>
      <c r="M122" s="1691">
        <f t="shared" si="57"/>
        <v>720</v>
      </c>
      <c r="N122" s="1691">
        <f>M122/H122/12</f>
        <v>10.588235294117647</v>
      </c>
      <c r="O122" s="1691">
        <f>IF(L122&gt;0,0,IF(OR(Z122&gt;AA122,AB122&lt;AC122),0,IF(AND(AB122&gt;=AC122,AB122&lt;=AA122),N122*((AB122-AC122)*12),IF(AND(AC122&lt;=Z122,AA122&gt;=Z122),((AA122-Z122)*12)*N122,IF(AB122&gt;AA122,12*N122,0)))))</f>
        <v>127.05882352941177</v>
      </c>
      <c r="P122" s="1734">
        <f t="shared" si="60"/>
        <v>571.76470588235293</v>
      </c>
      <c r="Q122" s="1734">
        <f t="shared" si="61"/>
        <v>698.82352941176464</v>
      </c>
      <c r="R122" s="1691">
        <f>IF(L122&gt;0,(F122-Y122)/2,IF(Z122&gt;=AC122,(((F122*U122)*W122)-Q122)/2,((((F122*U122)*W122)-Y122)+(((F122*U122)*W122)-Q122))/2))</f>
        <v>84.705882352941217</v>
      </c>
      <c r="S122" s="1691">
        <f t="shared" si="63"/>
        <v>0</v>
      </c>
      <c r="T122" s="1691">
        <f>IF(S122&gt;0,S122,O122)</f>
        <v>127.05882352941177</v>
      </c>
      <c r="U122" s="1833">
        <v>1</v>
      </c>
      <c r="V122" s="1834">
        <f>U122*(O122+S122)</f>
        <v>127.05882352941177</v>
      </c>
      <c r="W122" s="1833">
        <v>1</v>
      </c>
      <c r="X122" s="1691">
        <f t="shared" si="66"/>
        <v>571.76470588235293</v>
      </c>
      <c r="Y122" s="1691">
        <f>X122*W122</f>
        <v>571.76470588235293</v>
      </c>
      <c r="Z122" s="1735">
        <f t="shared" si="68"/>
        <v>2008.8333333333333</v>
      </c>
      <c r="AA122" s="1693">
        <f t="shared" si="69"/>
        <v>2014.3333333333333</v>
      </c>
      <c r="AB122" s="1735">
        <f t="shared" si="70"/>
        <v>2014.5</v>
      </c>
      <c r="AC122" s="1688">
        <f t="shared" si="71"/>
        <v>2013.3333333333333</v>
      </c>
      <c r="AD122" s="1688">
        <f t="shared" si="72"/>
        <v>-8.3333333333333329E-2</v>
      </c>
      <c r="AE122" s="1880">
        <f t="shared" si="73"/>
        <v>84.705882352941217</v>
      </c>
    </row>
    <row r="123" spans="1:31" s="1688" customFormat="1">
      <c r="A123" s="1848" t="s">
        <v>2359</v>
      </c>
      <c r="B123" s="1727">
        <v>143997</v>
      </c>
      <c r="C123" s="1728" t="s">
        <v>2255</v>
      </c>
      <c r="D123" s="1729">
        <v>11</v>
      </c>
      <c r="E123" s="1729">
        <v>2008</v>
      </c>
      <c r="F123" s="1730">
        <v>4000</v>
      </c>
      <c r="G123" s="1741">
        <v>0</v>
      </c>
      <c r="H123" s="1729">
        <f>98/12</f>
        <v>8.1666666666666661</v>
      </c>
      <c r="I123" s="1688">
        <f>E123+H123</f>
        <v>2016.1666666666667</v>
      </c>
      <c r="J123" s="1731"/>
      <c r="K123" s="1732"/>
      <c r="L123" s="1733">
        <v>0</v>
      </c>
      <c r="M123" s="1691">
        <f t="shared" si="57"/>
        <v>4000</v>
      </c>
      <c r="N123" s="1691">
        <f>M123/H123/12</f>
        <v>40.816326530612251</v>
      </c>
      <c r="O123" s="1691">
        <f>IF(L123&gt;0,0,IF(OR(Z123&gt;AA123,AB123&lt;AC123),0,IF(AND(AB123&gt;=AC123,AB123&lt;=AA123),N123*((AB123-AC123)*12),IF(AND(AC123&lt;=Z123,AA123&gt;=Z123),((AA123-Z123)*12)*N123,IF(AB123&gt;AA123,12*N123,0)))))</f>
        <v>489.79591836734699</v>
      </c>
      <c r="P123" s="1734">
        <f t="shared" si="60"/>
        <v>2204.0816326530617</v>
      </c>
      <c r="Q123" s="1734">
        <f t="shared" si="61"/>
        <v>2693.8775510204086</v>
      </c>
      <c r="R123" s="1691">
        <f>IF(L123&gt;0,(F123-Y123)/2,IF(Z123&gt;=AC123,(((F123*U123)*W123)-Q123)/2,((((F123*U123)*W123)-Y123)+(((F123*U123)*W123)-Q123))/2))</f>
        <v>1551.0204081632648</v>
      </c>
      <c r="S123" s="1691">
        <f t="shared" si="63"/>
        <v>0</v>
      </c>
      <c r="T123" s="1691">
        <f>IF(S123&gt;0,S123,O123)</f>
        <v>489.79591836734699</v>
      </c>
      <c r="U123" s="1833">
        <v>1</v>
      </c>
      <c r="V123" s="1834">
        <f>U123*(O123+S123)</f>
        <v>489.79591836734699</v>
      </c>
      <c r="W123" s="1833">
        <v>1</v>
      </c>
      <c r="X123" s="1691">
        <f t="shared" si="66"/>
        <v>2204.0816326530617</v>
      </c>
      <c r="Y123" s="1691">
        <f>X123*W123</f>
        <v>2204.0816326530617</v>
      </c>
      <c r="Z123" s="1735">
        <f t="shared" si="68"/>
        <v>2008.8333333333333</v>
      </c>
      <c r="AA123" s="1693">
        <f t="shared" si="69"/>
        <v>2014.3333333333333</v>
      </c>
      <c r="AB123" s="1735">
        <f t="shared" si="70"/>
        <v>2017</v>
      </c>
      <c r="AC123" s="1688">
        <f t="shared" si="71"/>
        <v>2013.3333333333333</v>
      </c>
      <c r="AD123" s="1688">
        <f t="shared" si="72"/>
        <v>-8.3333333333333329E-2</v>
      </c>
      <c r="AE123" s="1880">
        <f t="shared" si="73"/>
        <v>1551.0204081632648</v>
      </c>
    </row>
    <row r="124" spans="1:31">
      <c r="A124" s="1847"/>
      <c r="B124" s="1718"/>
      <c r="C124" s="1719"/>
      <c r="D124" s="1718"/>
      <c r="E124" s="1718"/>
      <c r="F124" s="1720"/>
      <c r="G124" s="1721"/>
      <c r="H124" s="1718"/>
      <c r="I124" s="1718"/>
      <c r="J124" s="1718"/>
      <c r="K124" s="1718"/>
      <c r="L124" s="1720"/>
      <c r="M124" s="1720"/>
      <c r="N124" s="1722"/>
      <c r="O124" s="1722"/>
      <c r="P124" s="1722"/>
      <c r="Q124" s="1722"/>
      <c r="R124" s="1722"/>
      <c r="S124" s="1723"/>
      <c r="T124" s="1723"/>
      <c r="U124" s="1724"/>
      <c r="V124" s="1839"/>
      <c r="W124" s="1724"/>
      <c r="X124" s="1724"/>
      <c r="Y124" s="1724"/>
      <c r="Z124" s="1724"/>
      <c r="AA124" s="1725"/>
      <c r="AB124" s="1724"/>
      <c r="AC124" s="1724"/>
      <c r="AD124" s="1724"/>
    </row>
    <row r="125" spans="1:31" s="1688" customFormat="1">
      <c r="B125" s="1718"/>
      <c r="C125" s="1719" t="s">
        <v>2353</v>
      </c>
      <c r="D125" s="1718"/>
      <c r="E125" s="1718"/>
      <c r="F125" s="1736">
        <f>SUM(F24:F124)</f>
        <v>19723505.179999992</v>
      </c>
      <c r="G125" s="1737"/>
      <c r="H125" s="1738"/>
      <c r="I125" s="1738"/>
      <c r="J125" s="1738"/>
      <c r="K125" s="1738"/>
      <c r="L125" s="1736">
        <f t="shared" ref="L125:R125" si="75">SUM(L24:L124)</f>
        <v>0</v>
      </c>
      <c r="M125" s="1736">
        <f t="shared" si="75"/>
        <v>19723505.179999992</v>
      </c>
      <c r="N125" s="1736">
        <f t="shared" si="75"/>
        <v>203426.09521151413</v>
      </c>
      <c r="O125" s="1742">
        <f t="shared" si="75"/>
        <v>2421387.1436492759</v>
      </c>
      <c r="P125" s="1736">
        <f t="shared" si="75"/>
        <v>6951899.1928452794</v>
      </c>
      <c r="Q125" s="1736">
        <f t="shared" si="75"/>
        <v>9373286.3364945557</v>
      </c>
      <c r="R125" s="1736">
        <f t="shared" si="75"/>
        <v>11286531.605330069</v>
      </c>
      <c r="S125" s="1736">
        <f>SUM(S124:S124)</f>
        <v>0</v>
      </c>
      <c r="T125" s="1736">
        <f>SUM(T24:T124)</f>
        <v>2421387.1436492759</v>
      </c>
      <c r="U125" s="1841"/>
      <c r="V125" s="1850">
        <f>SUM(V24:V124)</f>
        <v>2421387.1436492759</v>
      </c>
      <c r="W125" s="1841"/>
      <c r="X125" s="1736">
        <f>SUM(X24:X124)</f>
        <v>6951899.1928452794</v>
      </c>
      <c r="Y125" s="1736">
        <f>SUM(Y24:Y124)</f>
        <v>6951899.1928452794</v>
      </c>
      <c r="Z125" s="1739"/>
      <c r="AA125" s="1740"/>
      <c r="AB125" s="1739"/>
      <c r="AC125" s="1738"/>
      <c r="AD125" s="1738"/>
    </row>
    <row r="126" spans="1:31" s="1688" customFormat="1">
      <c r="B126" s="1718"/>
      <c r="C126" s="1719" t="s">
        <v>2207</v>
      </c>
      <c r="D126" s="1718"/>
      <c r="E126" s="1718"/>
      <c r="F126" s="1736"/>
      <c r="G126" s="1737"/>
      <c r="H126" s="1738"/>
      <c r="I126" s="1738"/>
      <c r="J126" s="1738"/>
      <c r="K126" s="1738"/>
      <c r="L126" s="1736"/>
      <c r="M126" s="1736"/>
      <c r="N126" s="1736"/>
      <c r="Q126" s="1736"/>
      <c r="R126" s="1736"/>
      <c r="S126" s="1736"/>
      <c r="T126" s="1736"/>
      <c r="U126" s="1841"/>
      <c r="V126" s="1851">
        <f>Proforma!D186</f>
        <v>2440334</v>
      </c>
      <c r="W126" s="1822" t="s">
        <v>2352</v>
      </c>
      <c r="X126" s="1736"/>
      <c r="Y126" s="1736"/>
      <c r="Z126" s="1739"/>
      <c r="AA126" s="1740"/>
      <c r="AB126" s="1739"/>
      <c r="AC126" s="1738"/>
      <c r="AD126" s="1738"/>
    </row>
    <row r="127" spans="1:31" s="1688" customFormat="1" ht="21.75">
      <c r="B127" s="1718"/>
      <c r="C127" s="1719"/>
      <c r="D127" s="1718"/>
      <c r="E127" s="1718"/>
      <c r="F127" s="1736"/>
      <c r="G127" s="1737"/>
      <c r="H127" s="1738"/>
      <c r="I127" s="1738"/>
      <c r="J127" s="1738"/>
      <c r="K127" s="1738"/>
      <c r="L127" s="1736"/>
      <c r="M127" s="1736"/>
      <c r="N127" s="1736"/>
      <c r="O127" s="1743"/>
      <c r="P127" s="1743"/>
      <c r="Q127" s="1736"/>
      <c r="R127" s="1736"/>
      <c r="S127" s="1844" t="s">
        <v>2209</v>
      </c>
      <c r="T127" s="1736"/>
      <c r="U127" s="1841"/>
      <c r="V127" s="1850">
        <f>V125-V126</f>
        <v>-18946.85635072412</v>
      </c>
      <c r="W127" s="1841" t="s">
        <v>2208</v>
      </c>
      <c r="X127" s="1736"/>
      <c r="Y127" s="1736"/>
      <c r="Z127" s="1739"/>
      <c r="AA127" s="1740"/>
      <c r="AB127" s="1739"/>
      <c r="AC127" s="1738"/>
      <c r="AD127" s="1738"/>
    </row>
    <row r="128" spans="1:31" s="1688" customFormat="1" ht="17.25">
      <c r="B128" s="1718"/>
      <c r="C128" s="1852" t="s">
        <v>2360</v>
      </c>
      <c r="D128" s="1829">
        <f>SUM(V26:V65)+SUM(V72:V81)+SUM(V91:V123)</f>
        <v>2229688.0969174807</v>
      </c>
      <c r="E128" s="1718"/>
      <c r="F128" s="1736"/>
      <c r="G128" s="1737"/>
      <c r="H128" s="1738"/>
      <c r="I128" s="1738"/>
      <c r="J128" s="1738"/>
      <c r="K128" s="1738"/>
      <c r="L128" s="1736"/>
      <c r="M128" s="1736"/>
      <c r="N128" s="1736"/>
      <c r="O128" s="1743"/>
      <c r="P128" s="1743"/>
      <c r="Q128" s="1736"/>
      <c r="R128" s="1736"/>
      <c r="S128" s="1736"/>
      <c r="T128" s="1736"/>
      <c r="U128" s="1841"/>
      <c r="V128" s="1850"/>
      <c r="W128" s="1841"/>
      <c r="X128" s="1736"/>
      <c r="Y128" s="1736"/>
      <c r="Z128" s="1739"/>
      <c r="AA128" s="1740"/>
      <c r="AB128" s="1739"/>
      <c r="AC128" s="1738"/>
      <c r="AD128" s="1738"/>
    </row>
    <row r="129" spans="2:30" s="1688" customFormat="1" ht="17.25">
      <c r="B129" s="1718"/>
      <c r="C129" s="1853" t="s">
        <v>2361</v>
      </c>
      <c r="D129" s="1829">
        <f>SUM(V82:V89)</f>
        <v>155902.36056513115</v>
      </c>
      <c r="E129" s="1718"/>
      <c r="F129" s="1736"/>
      <c r="G129" s="1737"/>
      <c r="H129" s="1738"/>
      <c r="I129" s="1738"/>
      <c r="J129" s="1738"/>
      <c r="K129" s="1738"/>
      <c r="L129" s="1736"/>
      <c r="M129" s="1736"/>
      <c r="N129" s="1736"/>
      <c r="O129" s="1743"/>
      <c r="P129" s="1743"/>
      <c r="S129" s="1736"/>
      <c r="T129" s="1736"/>
      <c r="U129" s="1841"/>
      <c r="V129" s="1850"/>
      <c r="W129" s="1841"/>
      <c r="X129" s="1736"/>
      <c r="Y129" s="1736"/>
      <c r="Z129" s="1739"/>
      <c r="AA129" s="1740"/>
      <c r="AB129" s="1739"/>
      <c r="AC129" s="1738"/>
      <c r="AD129" s="1738"/>
    </row>
    <row r="130" spans="2:30" s="1688" customFormat="1" ht="17.25">
      <c r="B130" s="1718"/>
      <c r="C130" s="1854" t="s">
        <v>2362</v>
      </c>
      <c r="D130" s="1830">
        <f>SUM(V24:V25)+SUM(V66:V71)+V90</f>
        <v>35796.686166664927</v>
      </c>
      <c r="E130" s="1718"/>
      <c r="F130" s="1736"/>
      <c r="G130" s="1737"/>
      <c r="H130" s="1738"/>
      <c r="I130" s="1738"/>
      <c r="J130" s="1738"/>
      <c r="K130" s="1738"/>
      <c r="L130" s="1736"/>
      <c r="M130" s="1736"/>
      <c r="N130" s="1736"/>
      <c r="O130" s="1743"/>
      <c r="P130" s="1743"/>
      <c r="S130" s="1736"/>
      <c r="T130" s="1736"/>
      <c r="U130" s="1841"/>
      <c r="V130" s="1850"/>
      <c r="W130" s="1841"/>
      <c r="X130" s="1736"/>
      <c r="Y130" s="1736"/>
      <c r="Z130" s="1739"/>
      <c r="AA130" s="1740"/>
      <c r="AB130" s="1739"/>
      <c r="AC130" s="1738"/>
      <c r="AD130" s="1738"/>
    </row>
    <row r="131" spans="2:30" s="1688" customFormat="1" ht="17.25">
      <c r="B131" s="1718"/>
      <c r="C131" s="1719"/>
      <c r="D131" s="1829">
        <f>SUM(D128:D130)</f>
        <v>2421387.1436492768</v>
      </c>
      <c r="E131" s="1718"/>
      <c r="F131" s="1736"/>
      <c r="G131" s="1737"/>
      <c r="H131" s="1738"/>
      <c r="I131" s="1738"/>
      <c r="J131" s="1738"/>
      <c r="K131" s="1738"/>
      <c r="L131" s="1736"/>
      <c r="M131" s="1736"/>
      <c r="N131" s="1736"/>
      <c r="O131" s="1743"/>
      <c r="P131" s="1743"/>
      <c r="S131" s="1736"/>
      <c r="T131" s="1736"/>
      <c r="U131" s="1841"/>
      <c r="V131" s="1850"/>
      <c r="W131" s="1841"/>
      <c r="X131" s="1736"/>
      <c r="Y131" s="1736"/>
      <c r="Z131" s="1739"/>
      <c r="AA131" s="1740"/>
      <c r="AB131" s="1739"/>
      <c r="AC131" s="1738"/>
      <c r="AD131" s="1738"/>
    </row>
    <row r="132" spans="2:30" s="1688" customFormat="1" ht="17.25">
      <c r="B132" s="1718"/>
      <c r="C132" s="1719"/>
      <c r="D132" s="1718"/>
      <c r="E132" s="1718"/>
      <c r="F132" s="1736"/>
      <c r="G132" s="1737"/>
      <c r="H132" s="1738"/>
      <c r="I132" s="1738"/>
      <c r="J132" s="1738"/>
      <c r="K132" s="1738"/>
      <c r="L132" s="1736"/>
      <c r="M132" s="1736"/>
      <c r="N132" s="1736"/>
      <c r="O132" s="1743"/>
      <c r="P132" s="1743"/>
      <c r="S132" s="1736"/>
      <c r="T132" s="1736"/>
      <c r="U132" s="1841"/>
      <c r="V132" s="1850"/>
      <c r="W132" s="1841"/>
      <c r="X132" s="1736"/>
      <c r="Y132" s="1736"/>
      <c r="Z132" s="1739"/>
      <c r="AA132" s="1740"/>
      <c r="AB132" s="1739"/>
      <c r="AC132" s="1738"/>
      <c r="AD132" s="1738"/>
    </row>
    <row r="133" spans="2:30" s="1688" customFormat="1" ht="17.25">
      <c r="B133" s="1718"/>
      <c r="C133" s="1719"/>
      <c r="D133" s="1718"/>
      <c r="E133" s="1718"/>
      <c r="F133" s="1736"/>
      <c r="G133" s="1737"/>
      <c r="H133" s="1738"/>
      <c r="I133" s="1738"/>
      <c r="J133" s="1738"/>
      <c r="K133" s="1738"/>
      <c r="L133" s="1736"/>
      <c r="M133" s="1736"/>
      <c r="N133" s="1736"/>
      <c r="O133" s="1743"/>
      <c r="P133" s="1743"/>
      <c r="Q133" s="1736"/>
      <c r="R133" s="1736"/>
      <c r="S133" s="1736"/>
      <c r="T133" s="1736"/>
      <c r="U133" s="1841"/>
      <c r="V133" s="1850"/>
      <c r="W133" s="1841"/>
      <c r="X133" s="1736"/>
      <c r="Y133" s="1736"/>
      <c r="Z133" s="1739"/>
      <c r="AA133" s="1740"/>
      <c r="AB133" s="1739"/>
      <c r="AC133" s="1738"/>
      <c r="AD133" s="1738"/>
    </row>
    <row r="134" spans="2:30" s="1688" customFormat="1" ht="17.25">
      <c r="B134" s="1718"/>
      <c r="C134" s="1719" t="s">
        <v>2343</v>
      </c>
      <c r="D134" s="1718"/>
      <c r="E134" s="1718"/>
      <c r="F134" s="1736"/>
      <c r="G134" s="1737"/>
      <c r="H134" s="1738"/>
      <c r="I134" s="1738"/>
      <c r="J134" s="1738"/>
      <c r="K134" s="1738"/>
      <c r="L134" s="1736"/>
      <c r="M134" s="1736"/>
      <c r="N134" s="1736"/>
      <c r="O134" s="1743"/>
      <c r="P134" s="1743"/>
      <c r="Q134" s="1736"/>
      <c r="R134" s="1736"/>
      <c r="S134" s="1736"/>
      <c r="T134" s="1736"/>
      <c r="U134" s="1841"/>
      <c r="V134" s="1842"/>
      <c r="W134" s="1841"/>
      <c r="X134" s="1736"/>
      <c r="Y134" s="1736"/>
      <c r="Z134" s="1739"/>
      <c r="AA134" s="1740"/>
      <c r="AB134" s="1739"/>
      <c r="AC134" s="1738"/>
      <c r="AD134" s="1738"/>
    </row>
    <row r="135" spans="2:30">
      <c r="B135" s="1727">
        <v>309082</v>
      </c>
      <c r="C135" s="1728" t="s">
        <v>2339</v>
      </c>
      <c r="D135" s="1729">
        <v>9</v>
      </c>
      <c r="E135" s="1729">
        <v>2010</v>
      </c>
      <c r="F135" s="1730">
        <v>323430</v>
      </c>
      <c r="G135" s="1855">
        <v>0</v>
      </c>
      <c r="H135" s="1729">
        <v>3.25</v>
      </c>
      <c r="I135" s="1688">
        <f>E135+H135</f>
        <v>2013.25</v>
      </c>
      <c r="J135" s="1731"/>
      <c r="K135" s="1732"/>
      <c r="L135" s="1733">
        <v>0</v>
      </c>
      <c r="M135" s="1691">
        <f>F135-F135*G135</f>
        <v>323430</v>
      </c>
      <c r="N135" s="1691">
        <f>M135/H135/12</f>
        <v>8293.0769230769238</v>
      </c>
      <c r="O135" s="1691">
        <f>IF(L135&gt;0,0,IF(OR(Z135&gt;AA135,AB135&lt;AC135),0,IF(AND(AB135&gt;=AC135,AB135&lt;=AA135),N135*((AB135-AC135)*12),IF(AND(AC135&lt;=Z135,AA135&gt;=Z135),((AA135-Z135)*12)*N135,IF(AB135&gt;AA135,12*N135,0)))))</f>
        <v>58051.538461553551</v>
      </c>
      <c r="P135" s="1734">
        <f>IF(Z135&gt;AA135,0,IF(AB135&lt;AC135,M135,IF(AND(AB135&gt;=AC135,AB135&lt;=AA135),(M135-T135),IF(AND(AC135&lt;=Z135,AA135&gt;=Z135),0,IF(AB135&gt;AA135,((AC135-Z135)*12)*N135,0)))))</f>
        <v>265378.46153844643</v>
      </c>
      <c r="Q135" s="1734">
        <f>IF(L135&gt;0,0,Y135+V135*W135)*W135</f>
        <v>323430</v>
      </c>
      <c r="R135" s="1691">
        <f>IF(L135&gt;0,(F135-Y135)/2,IF(Z135&gt;=AC135,(((F135*U135)*W135)-Q135)/2,((((F135*U135)*W135)-Y135)+(((F135*U135)*W135)-Q135))/2))</f>
        <v>29025.769230776787</v>
      </c>
      <c r="S135" s="1691">
        <f>IF(L135=0,0,IF(AND(AD135&gt;=AC135,AD135&lt;=AB135),((AD135-AC135)*12)*N135,0))</f>
        <v>0</v>
      </c>
      <c r="T135" s="1691">
        <f>IF(S135&gt;0,S135,O135)</f>
        <v>58051.538461553551</v>
      </c>
      <c r="U135" s="1833">
        <v>1</v>
      </c>
      <c r="V135" s="1834">
        <f>U135*(O135+S135)</f>
        <v>58051.538461553551</v>
      </c>
      <c r="W135" s="1833">
        <v>1</v>
      </c>
      <c r="X135" s="1691">
        <f>P135*U135</f>
        <v>265378.46153844643</v>
      </c>
      <c r="Y135" s="1691">
        <f>X135*W135</f>
        <v>265378.46153844643</v>
      </c>
      <c r="Z135" s="1735">
        <f>$E135+(($D135-1)/12)</f>
        <v>2010.6666666666667</v>
      </c>
      <c r="AA135" s="1693">
        <f>($H$5+1)-($E$5/12)</f>
        <v>2014.3333333333333</v>
      </c>
      <c r="AB135" s="1735">
        <f>$I135+(($D135-1)/12)</f>
        <v>2013.9166666666667</v>
      </c>
      <c r="AC135" s="1688">
        <f>$F$5+($G$5/12)</f>
        <v>2013.3333333333333</v>
      </c>
      <c r="AD135" s="1688">
        <f>$K135+(($J135-1)/12)</f>
        <v>-8.3333333333333329E-2</v>
      </c>
    </row>
    <row r="136" spans="2:30">
      <c r="B136" s="1727">
        <v>319399</v>
      </c>
      <c r="C136" s="1728" t="s">
        <v>2340</v>
      </c>
      <c r="D136" s="1729">
        <v>12</v>
      </c>
      <c r="E136" s="1729">
        <v>2010</v>
      </c>
      <c r="F136" s="1730">
        <v>41276</v>
      </c>
      <c r="G136" s="1855">
        <v>0</v>
      </c>
      <c r="H136" s="1729">
        <f>36/12</f>
        <v>3</v>
      </c>
      <c r="I136" s="1688">
        <f>E136+H136</f>
        <v>2013</v>
      </c>
      <c r="J136" s="1731"/>
      <c r="K136" s="1732"/>
      <c r="L136" s="1733">
        <v>0</v>
      </c>
      <c r="M136" s="1691">
        <f>F136-F136*G136</f>
        <v>41276</v>
      </c>
      <c r="N136" s="1691">
        <f>M136/H136/12</f>
        <v>1146.5555555555554</v>
      </c>
      <c r="O136" s="1691">
        <f>IF(L136&gt;0,0,IF(OR(Z136&gt;AA136,AB136&lt;AC136),0,IF(AND(AB136&gt;=AC136,AB136&lt;=AA136),N136*((AB136-AC136)*12),IF(AND(AC136&lt;=Z136,AA136&gt;=Z136),((AA136-Z136)*12)*N136,IF(AB136&gt;AA136,12*N136,0)))))</f>
        <v>8025.8888888909732</v>
      </c>
      <c r="P136" s="1734">
        <f>IF(Z136&gt;AA136,0,IF(AB136&lt;AC136,M136,IF(AND(AB136&gt;=AC136,AB136&lt;=AA136),(M136-T136),IF(AND(AC136&lt;=Z136,AA136&gt;=Z136),0,IF(AB136&gt;AA136,((AC136-Z136)*12)*N136,0)))))</f>
        <v>33250.111111109029</v>
      </c>
      <c r="Q136" s="1734">
        <f>IF(L136&gt;0,0,Y136+V136*W136)*W136</f>
        <v>41276</v>
      </c>
      <c r="R136" s="1691">
        <f>IF(L136&gt;0,(F136-Y136)/2,IF(Z136&gt;=AC136,(((F136*U136)*W136)-Q136)/2,((((F136*U136)*W136)-Y136)+(((F136*U136)*W136)-Q136))/2))</f>
        <v>4012.9444444454857</v>
      </c>
      <c r="S136" s="1691">
        <f>IF(L136=0,0,IF(AND(AD136&gt;=AC136,AD136&lt;=AB136),((AD136-AC136)*12)*N136,0))</f>
        <v>0</v>
      </c>
      <c r="T136" s="1691">
        <f>IF(S136&gt;0,S136,O136)</f>
        <v>8025.8888888909732</v>
      </c>
      <c r="U136" s="1833">
        <v>1</v>
      </c>
      <c r="V136" s="1834">
        <f>U136*(O136+S136)</f>
        <v>8025.8888888909732</v>
      </c>
      <c r="W136" s="1833">
        <v>1</v>
      </c>
      <c r="X136" s="1691">
        <f>P136*U136</f>
        <v>33250.111111109029</v>
      </c>
      <c r="Y136" s="1691">
        <f>X136*W136</f>
        <v>33250.111111109029</v>
      </c>
      <c r="Z136" s="1735">
        <f>$E136+(($D136-1)/12)</f>
        <v>2010.9166666666667</v>
      </c>
      <c r="AA136" s="1693">
        <f>($H$5+1)-($E$5/12)</f>
        <v>2014.3333333333333</v>
      </c>
      <c r="AB136" s="1735">
        <f>$I136+(($D136-1)/12)</f>
        <v>2013.9166666666667</v>
      </c>
      <c r="AC136" s="1688">
        <f>$F$5+($G$5/12)</f>
        <v>2013.3333333333333</v>
      </c>
      <c r="AD136" s="1688">
        <f>$K136+(($J136-1)/12)</f>
        <v>-8.3333333333333329E-2</v>
      </c>
    </row>
    <row r="137" spans="2:30">
      <c r="B137" s="1727">
        <v>323033</v>
      </c>
      <c r="C137" s="1728" t="s">
        <v>2341</v>
      </c>
      <c r="D137" s="1729">
        <v>7</v>
      </c>
      <c r="E137" s="1729">
        <v>2011</v>
      </c>
      <c r="F137" s="1730">
        <v>8775</v>
      </c>
      <c r="G137" s="1855">
        <v>0</v>
      </c>
      <c r="H137" s="1729">
        <f>113/12</f>
        <v>9.4166666666666661</v>
      </c>
      <c r="I137" s="1688">
        <f>E137+H137</f>
        <v>2020.4166666666667</v>
      </c>
      <c r="J137" s="1731"/>
      <c r="K137" s="1732"/>
      <c r="L137" s="1733">
        <v>0</v>
      </c>
      <c r="M137" s="1691">
        <f>F137-F137*G137</f>
        <v>8775</v>
      </c>
      <c r="N137" s="1691">
        <f>M137/H137/12</f>
        <v>77.654867256637175</v>
      </c>
      <c r="O137" s="1691">
        <f>IF(L137&gt;0,0,IF(OR(Z137&gt;AA137,AB137&lt;AC137),0,IF(AND(AB137&gt;=AC137,AB137&lt;=AA137),N137*((AB137-AC137)*12),IF(AND(AC137&lt;=Z137,AA137&gt;=Z137),((AA137-Z137)*12)*N137,IF(AB137&gt;AA137,12*N137,0)))))</f>
        <v>931.8584070796461</v>
      </c>
      <c r="P137" s="1734">
        <f>IF(Z137&gt;AA137,0,IF(AB137&lt;AC137,M137,IF(AND(AB137&gt;=AC137,AB137&lt;=AA137),(M137-T137),IF(AND(AC137&lt;=Z137,AA137&gt;=Z137),0,IF(AB137&gt;AA137,((AC137-Z137)*12)*N137,0)))))</f>
        <v>1708.4070796459473</v>
      </c>
      <c r="Q137" s="1734">
        <f>IF(L137&gt;0,0,Y137+V137*W137)*W137</f>
        <v>2640.2654867255933</v>
      </c>
      <c r="R137" s="1691">
        <f>IF(L137&gt;0,(F137-Y137)/2,IF(Z137&gt;=AC137,(((F137*U137)*W137)-Q137)/2,((((F137*U137)*W137)-Y137)+(((F137*U137)*W137)-Q137))/2))</f>
        <v>6600.6637168142297</v>
      </c>
      <c r="S137" s="1691">
        <f>IF(L137=0,0,IF(AND(AD137&gt;=AC137,AD137&lt;=AB137),((AD137-AC137)*12)*N137,0))</f>
        <v>0</v>
      </c>
      <c r="T137" s="1691">
        <f>IF(S137&gt;0,S137,O137)</f>
        <v>931.8584070796461</v>
      </c>
      <c r="U137" s="1833">
        <v>1</v>
      </c>
      <c r="V137" s="1834">
        <f>U137*(O137+S137)</f>
        <v>931.8584070796461</v>
      </c>
      <c r="W137" s="1833">
        <v>1</v>
      </c>
      <c r="X137" s="1691">
        <f>P137*U137</f>
        <v>1708.4070796459473</v>
      </c>
      <c r="Y137" s="1691">
        <f>X137*W137</f>
        <v>1708.4070796459473</v>
      </c>
      <c r="Z137" s="1735">
        <f>$E137+(($D137-1)/12)</f>
        <v>2011.5</v>
      </c>
      <c r="AA137" s="1693">
        <f>($H$5+1)-($E$5/12)</f>
        <v>2014.3333333333333</v>
      </c>
      <c r="AB137" s="1735">
        <f>$I137+(($D137-1)/12)</f>
        <v>2020.9166666666667</v>
      </c>
      <c r="AC137" s="1688">
        <f>$F$5+($G$5/12)</f>
        <v>2013.3333333333333</v>
      </c>
      <c r="AD137" s="1688">
        <f>$K137+(($J137-1)/12)</f>
        <v>-8.3333333333333329E-2</v>
      </c>
    </row>
    <row r="138" spans="2:30">
      <c r="B138" s="1727">
        <v>323035</v>
      </c>
      <c r="C138" s="1728" t="s">
        <v>2342</v>
      </c>
      <c r="D138" s="1729">
        <v>7</v>
      </c>
      <c r="E138" s="1729">
        <v>2011</v>
      </c>
      <c r="F138" s="1730">
        <v>22995</v>
      </c>
      <c r="G138" s="1855">
        <v>0</v>
      </c>
      <c r="H138" s="1729">
        <f>29/12</f>
        <v>2.4166666666666665</v>
      </c>
      <c r="I138" s="1688">
        <f>E138+H138</f>
        <v>2013.4166666666667</v>
      </c>
      <c r="J138" s="1731"/>
      <c r="K138" s="1732"/>
      <c r="L138" s="1733">
        <v>0</v>
      </c>
      <c r="M138" s="1691">
        <f>F138-F138*G138</f>
        <v>22995</v>
      </c>
      <c r="N138" s="1691">
        <f>M138/H138/12</f>
        <v>792.93103448275861</v>
      </c>
      <c r="O138" s="1691">
        <f>IF(L138&gt;0,0,IF(OR(Z138&gt;AA138,AB138&lt;AC138),0,IF(AND(AB138&gt;=AC138,AB138&lt;=AA138),N138*((AB138-AC138)*12),IF(AND(AC138&lt;=Z138,AA138&gt;=Z138),((AA138-Z138)*12)*N138,IF(AB138&gt;AA138,12*N138,0)))))</f>
        <v>5550.5172413807522</v>
      </c>
      <c r="P138" s="1734">
        <f>IF(Z138&gt;AA138,0,IF(AB138&lt;AC138,M138,IF(AND(AB138&gt;=AC138,AB138&lt;=AA138),(M138-T138),IF(AND(AC138&lt;=Z138,AA138&gt;=Z138),0,IF(AB138&gt;AA138,((AC138-Z138)*12)*N138,0)))))</f>
        <v>17444.482758619248</v>
      </c>
      <c r="Q138" s="1734">
        <f>IF(L138&gt;0,0,Y138+V138*W138)*W138</f>
        <v>22995</v>
      </c>
      <c r="R138" s="1691">
        <f>IF(L138&gt;0,(F138-Y138)/2,IF(Z138&gt;=AC138,(((F138*U138)*W138)-Q138)/2,((((F138*U138)*W138)-Y138)+(((F138*U138)*W138)-Q138))/2))</f>
        <v>2775.2586206903761</v>
      </c>
      <c r="S138" s="1691">
        <f>IF(L138=0,0,IF(AND(AD138&gt;=AC138,AD138&lt;=AB138),((AD138-AC138)*12)*N138,0))</f>
        <v>0</v>
      </c>
      <c r="T138" s="1691">
        <f>IF(S138&gt;0,S138,O138)</f>
        <v>5550.5172413807522</v>
      </c>
      <c r="U138" s="1833">
        <v>1</v>
      </c>
      <c r="V138" s="1840">
        <f>U138*(O138+S138)</f>
        <v>5550.5172413807522</v>
      </c>
      <c r="W138" s="1833">
        <v>1</v>
      </c>
      <c r="X138" s="1691">
        <f>P138*U138</f>
        <v>17444.482758619248</v>
      </c>
      <c r="Y138" s="1691">
        <f>X138*W138</f>
        <v>17444.482758619248</v>
      </c>
      <c r="Z138" s="1735">
        <f>$E138+(($D138-1)/12)</f>
        <v>2011.5</v>
      </c>
      <c r="AA138" s="1693">
        <f>($H$5+1)-($E$5/12)</f>
        <v>2014.3333333333333</v>
      </c>
      <c r="AB138" s="1735">
        <f>$I138+(($D138-1)/12)</f>
        <v>2013.9166666666667</v>
      </c>
      <c r="AC138" s="1688">
        <f>$F$5+($G$5/12)</f>
        <v>2013.3333333333333</v>
      </c>
      <c r="AD138" s="1688">
        <f>$K138+(($J138-1)/12)</f>
        <v>-8.3333333333333329E-2</v>
      </c>
    </row>
    <row r="139" spans="2:30">
      <c r="B139" s="1718"/>
      <c r="C139" s="1719"/>
      <c r="D139" s="1718"/>
      <c r="E139" s="1718"/>
      <c r="F139" s="1720"/>
      <c r="G139" s="1721"/>
      <c r="H139" s="1718"/>
      <c r="I139" s="1718"/>
      <c r="J139" s="1718"/>
      <c r="K139" s="1718"/>
      <c r="L139" s="1720"/>
      <c r="M139" s="1720"/>
      <c r="N139" s="1722"/>
      <c r="O139" s="1722"/>
      <c r="P139" s="1722"/>
      <c r="Q139" s="1722"/>
      <c r="R139" s="1722"/>
      <c r="S139" s="1723"/>
      <c r="T139" s="1723"/>
      <c r="U139" s="1724"/>
      <c r="V139" s="1839"/>
      <c r="W139" s="1724"/>
      <c r="X139" s="1724"/>
      <c r="Y139" s="1724"/>
      <c r="Z139" s="1724"/>
      <c r="AA139" s="1725"/>
      <c r="AB139" s="1724"/>
      <c r="AC139" s="1724"/>
      <c r="AD139" s="1724"/>
    </row>
    <row r="140" spans="2:30">
      <c r="B140" s="1718"/>
      <c r="C140" s="1719" t="s">
        <v>2343</v>
      </c>
      <c r="D140" s="1718"/>
      <c r="E140" s="1718"/>
      <c r="F140" s="1736">
        <f>SUM(F135:F139)</f>
        <v>396476</v>
      </c>
      <c r="G140" s="1737"/>
      <c r="H140" s="1738"/>
      <c r="I140" s="1738"/>
      <c r="J140" s="1738"/>
      <c r="K140" s="1738"/>
      <c r="L140" s="1736">
        <f t="shared" ref="L140:T140" si="76">SUM(L135:L139)</f>
        <v>0</v>
      </c>
      <c r="M140" s="1736">
        <f t="shared" si="76"/>
        <v>396476</v>
      </c>
      <c r="N140" s="1736">
        <f t="shared" si="76"/>
        <v>10310.218380371874</v>
      </c>
      <c r="O140" s="1736">
        <f t="shared" si="76"/>
        <v>72559.802998904925</v>
      </c>
      <c r="P140" s="1736">
        <f t="shared" si="76"/>
        <v>317781.46248782065</v>
      </c>
      <c r="Q140" s="1736">
        <f t="shared" si="76"/>
        <v>390341.26548672561</v>
      </c>
      <c r="R140" s="1736">
        <f t="shared" si="76"/>
        <v>42414.636012726885</v>
      </c>
      <c r="S140" s="1736">
        <f t="shared" si="76"/>
        <v>0</v>
      </c>
      <c r="T140" s="1736">
        <f t="shared" si="76"/>
        <v>72559.802998904925</v>
      </c>
      <c r="U140" s="1841"/>
      <c r="V140" s="1850">
        <f>SUM(V135:V139)</f>
        <v>72559.802998904925</v>
      </c>
      <c r="W140" s="1841"/>
      <c r="X140" s="1736">
        <f>SUM(X135:X139)</f>
        <v>317781.46248782065</v>
      </c>
      <c r="Y140" s="1736">
        <f>SUM(Y135:Y139)</f>
        <v>317781.46248782065</v>
      </c>
      <c r="Z140" s="1739"/>
      <c r="AB140" s="1739"/>
      <c r="AC140" s="1738"/>
      <c r="AD140" s="1738"/>
    </row>
    <row r="142" spans="2:30">
      <c r="C142" s="1719" t="s">
        <v>2344</v>
      </c>
    </row>
    <row r="143" spans="2:30">
      <c r="B143" s="1847">
        <v>143770</v>
      </c>
      <c r="C143" s="1847" t="s">
        <v>2345</v>
      </c>
      <c r="D143" s="1729">
        <v>11</v>
      </c>
      <c r="E143" s="1729">
        <v>2008</v>
      </c>
      <c r="F143" s="1730">
        <v>1200</v>
      </c>
      <c r="G143" s="1855">
        <v>0</v>
      </c>
      <c r="H143" s="1729">
        <f>90/12</f>
        <v>7.5</v>
      </c>
      <c r="I143" s="1688">
        <f>E143+H143</f>
        <v>2015.5</v>
      </c>
      <c r="J143" s="1731"/>
      <c r="K143" s="1732"/>
      <c r="L143" s="1733">
        <v>0</v>
      </c>
      <c r="M143" s="1691">
        <f>F143-F143*G143</f>
        <v>1200</v>
      </c>
      <c r="N143" s="1691">
        <f>M143/H143/12</f>
        <v>13.333333333333334</v>
      </c>
      <c r="O143" s="1691">
        <f>IF(L143&gt;0,0,IF(OR(Z143&gt;AA143,AB143&lt;AC143),0,IF(AND(AB143&gt;=AC143,AB143&lt;=AA143),N143*((AB143-AC143)*12),IF(AND(AC143&lt;=Z143,AA143&gt;=Z143),((AA143-Z143)*12)*N143,IF(AB143&gt;AA143,12*N143,0)))))</f>
        <v>160</v>
      </c>
      <c r="P143" s="1734">
        <f>IF(Z143&gt;AA143,0,IF(AB143&lt;AC143,M143,IF(AND(AB143&gt;=AC143,AB143&lt;=AA143),(M143-T143),IF(AND(AC143&lt;=Z143,AA143&gt;=Z143),0,IF(AB143&gt;AA143,((AC143-Z143)*12)*N143,0)))))</f>
        <v>720</v>
      </c>
      <c r="Q143" s="1734">
        <f>IF(L143&gt;0,0,Y143+V143*W143)*W143</f>
        <v>880</v>
      </c>
      <c r="R143" s="1691">
        <f>IF(L143&gt;0,(F143-Y143)/2,IF(Z143&gt;=AC143,(((F143*U143)*W143)-Q143)/2,((((F143*U143)*W143)-Y143)+(((F143*U143)*W143)-Q143))/2))</f>
        <v>400</v>
      </c>
      <c r="S143" s="1691">
        <f>IF(L143=0,0,IF(AND(AD143&gt;=AC143,AD143&lt;=AB143),((AD143-AC143)*12)*N143,0))</f>
        <v>0</v>
      </c>
      <c r="T143" s="1691">
        <f>IF(S143&gt;0,S143,O143)</f>
        <v>160</v>
      </c>
      <c r="U143" s="1833">
        <v>1</v>
      </c>
      <c r="V143" s="1834">
        <f>U143*(O143+S143)</f>
        <v>160</v>
      </c>
      <c r="W143" s="1833">
        <v>1</v>
      </c>
      <c r="X143" s="1691">
        <f>P143*U143</f>
        <v>720</v>
      </c>
      <c r="Y143" s="1691">
        <f>X143*W143</f>
        <v>720</v>
      </c>
      <c r="Z143" s="1735">
        <f>$E143+(($D143-1)/12)</f>
        <v>2008.8333333333333</v>
      </c>
      <c r="AA143" s="1693">
        <f>($H$5+1)-($E$5/12)</f>
        <v>2014.3333333333333</v>
      </c>
      <c r="AB143" s="1735">
        <f>$I143+(($D143-1)/12)</f>
        <v>2016.3333333333333</v>
      </c>
      <c r="AC143" s="1688">
        <f>$F$5+($G$5/12)</f>
        <v>2013.3333333333333</v>
      </c>
      <c r="AD143" s="1688">
        <f>$K143+(($J143-1)/12)</f>
        <v>-8.3333333333333329E-2</v>
      </c>
    </row>
    <row r="144" spans="2:30">
      <c r="B144" s="1847">
        <v>299090</v>
      </c>
      <c r="C144" s="1847" t="s">
        <v>2346</v>
      </c>
      <c r="D144" s="1729">
        <v>12</v>
      </c>
      <c r="E144" s="1729">
        <v>2009</v>
      </c>
      <c r="F144" s="1730">
        <v>49768</v>
      </c>
      <c r="G144" s="1855">
        <v>0</v>
      </c>
      <c r="H144" s="1729">
        <f>180/12</f>
        <v>15</v>
      </c>
      <c r="I144" s="1688">
        <f>E144+H144</f>
        <v>2024</v>
      </c>
      <c r="J144" s="1731"/>
      <c r="K144" s="1732"/>
      <c r="L144" s="1733">
        <v>0</v>
      </c>
      <c r="M144" s="1691">
        <f>F144-F144*G144</f>
        <v>49768</v>
      </c>
      <c r="N144" s="1691">
        <f>M144/H144/12</f>
        <v>276.48888888888888</v>
      </c>
      <c r="O144" s="1691">
        <f>IF(L144&gt;0,0,IF(OR(Z144&gt;AA144,AB144&lt;AC144),0,IF(AND(AB144&gt;=AC144,AB144&lt;=AA144),N144*((AB144-AC144)*12),IF(AND(AC144&lt;=Z144,AA144&gt;=Z144),((AA144-Z144)*12)*N144,IF(AB144&gt;AA144,12*N144,0)))))</f>
        <v>3317.8666666666668</v>
      </c>
      <c r="P144" s="1734">
        <f>IF(Z144&gt;AA144,0,IF(AB144&lt;AC144,M144,IF(AND(AB144&gt;=AC144,AB144&lt;=AA144),(M144-T144),IF(AND(AC144&lt;=Z144,AA144&gt;=Z144),0,IF(AB144&gt;AA144,((AC144-Z144)*12)*N144,0)))))</f>
        <v>11336.044444443942</v>
      </c>
      <c r="Q144" s="1734">
        <f>IF(L144&gt;0,0,Y144+V144*W144)*W144</f>
        <v>14653.911111110609</v>
      </c>
      <c r="R144" s="1691">
        <f>IF(L144&gt;0,(F144-Y144)/2,IF(Z144&gt;=AC144,(((F144*U144)*W144)-Q144)/2,((((F144*U144)*W144)-Y144)+(((F144*U144)*W144)-Q144))/2))</f>
        <v>36773.022222222724</v>
      </c>
      <c r="S144" s="1691">
        <f>IF(L144=0,0,IF(AND(AD144&gt;=AC144,AD144&lt;=AB144),((AD144-AC144)*12)*N144,0))</f>
        <v>0</v>
      </c>
      <c r="T144" s="1691">
        <f>IF(S144&gt;0,S144,O144)</f>
        <v>3317.8666666666668</v>
      </c>
      <c r="U144" s="1833">
        <v>1</v>
      </c>
      <c r="V144" s="1834">
        <f>U144*(O144+S144)</f>
        <v>3317.8666666666668</v>
      </c>
      <c r="W144" s="1833">
        <v>1</v>
      </c>
      <c r="X144" s="1691">
        <f>P144*U144</f>
        <v>11336.044444443942</v>
      </c>
      <c r="Y144" s="1691">
        <f>X144*W144</f>
        <v>11336.044444443942</v>
      </c>
      <c r="Z144" s="1735">
        <f>$E144+(($D144-1)/12)</f>
        <v>2009.9166666666667</v>
      </c>
      <c r="AA144" s="1693">
        <f>($H$5+1)-($E$5/12)</f>
        <v>2014.3333333333333</v>
      </c>
      <c r="AB144" s="1735">
        <f>$I144+(($D144-1)/12)</f>
        <v>2024.9166666666667</v>
      </c>
      <c r="AC144" s="1688">
        <f>$F$5+($G$5/12)</f>
        <v>2013.3333333333333</v>
      </c>
      <c r="AD144" s="1688">
        <f>$K144+(($J144-1)/12)</f>
        <v>-8.3333333333333329E-2</v>
      </c>
    </row>
    <row r="145" spans="2:30">
      <c r="B145" s="1847">
        <v>143591</v>
      </c>
      <c r="C145" s="1847" t="s">
        <v>2347</v>
      </c>
      <c r="D145" s="1729">
        <v>11</v>
      </c>
      <c r="E145" s="1729">
        <v>2008</v>
      </c>
      <c r="F145" s="1730">
        <v>1700</v>
      </c>
      <c r="G145" s="1855">
        <v>0</v>
      </c>
      <c r="H145" s="1729">
        <f>60/12</f>
        <v>5</v>
      </c>
      <c r="I145" s="1688">
        <f>E145+H145</f>
        <v>2013</v>
      </c>
      <c r="J145" s="1731"/>
      <c r="K145" s="1732"/>
      <c r="L145" s="1733">
        <v>0</v>
      </c>
      <c r="M145" s="1691">
        <f>F145-F145*G145</f>
        <v>1700</v>
      </c>
      <c r="N145" s="1691">
        <f>M145/H145/12</f>
        <v>28.333333333333332</v>
      </c>
      <c r="O145" s="1691">
        <f>IF(L145&gt;0,0,IF(OR(Z145&gt;AA145,AB145&lt;AC145),0,IF(AND(AB145&gt;=AC145,AB145&lt;=AA145),N145*((AB145-AC145)*12),IF(AND(AC145&lt;=Z145,AA145&gt;=Z145),((AA145-Z145)*12)*N145,IF(AB145&gt;AA145,12*N145,0)))))</f>
        <v>170</v>
      </c>
      <c r="P145" s="1734">
        <f>IF(Z145&gt;AA145,0,IF(AB145&lt;AC145,M145,IF(AND(AB145&gt;=AC145,AB145&lt;=AA145),(M145-T145),IF(AND(AC145&lt;=Z145,AA145&gt;=Z145),0,IF(AB145&gt;AA145,((AC145-Z145)*12)*N145,0)))))</f>
        <v>1530</v>
      </c>
      <c r="Q145" s="1734">
        <f>IF(L145&gt;0,0,Y145+V145*W145)*W145</f>
        <v>1700</v>
      </c>
      <c r="R145" s="1691">
        <f>IF(L145&gt;0,(F145-Y145)/2,IF(Z145&gt;=AC145,(((F145*U145)*W145)-Q145)/2,((((F145*U145)*W145)-Y145)+(((F145*U145)*W145)-Q145))/2))</f>
        <v>85</v>
      </c>
      <c r="S145" s="1691">
        <f>IF(L145=0,0,IF(AND(AD145&gt;=AC145,AD145&lt;=AB145),((AD145-AC145)*12)*N145,0))</f>
        <v>0</v>
      </c>
      <c r="T145" s="1691">
        <f>IF(S145&gt;0,S145,O145)</f>
        <v>170</v>
      </c>
      <c r="U145" s="1833">
        <v>1</v>
      </c>
      <c r="V145" s="1840">
        <f>U145*(O145+S145)</f>
        <v>170</v>
      </c>
      <c r="W145" s="1833">
        <v>1</v>
      </c>
      <c r="X145" s="1691">
        <f>P145*U145</f>
        <v>1530</v>
      </c>
      <c r="Y145" s="1691">
        <f>X145*W145</f>
        <v>1530</v>
      </c>
      <c r="Z145" s="1735">
        <f>$E145+(($D145-1)/12)</f>
        <v>2008.8333333333333</v>
      </c>
      <c r="AA145" s="1693">
        <f>($H$5+1)-($E$5/12)</f>
        <v>2014.3333333333333</v>
      </c>
      <c r="AB145" s="1735">
        <f>$I145+(($D145-1)/12)</f>
        <v>2013.8333333333333</v>
      </c>
      <c r="AC145" s="1688">
        <f>$F$5+($G$5/12)</f>
        <v>2013.3333333333333</v>
      </c>
      <c r="AD145" s="1688">
        <f>$K145+(($J145-1)/12)</f>
        <v>-8.3333333333333329E-2</v>
      </c>
    </row>
    <row r="146" spans="2:30">
      <c r="F146" s="1726"/>
    </row>
    <row r="147" spans="2:30">
      <c r="C147" s="1719" t="s">
        <v>2343</v>
      </c>
      <c r="D147" s="1718"/>
      <c r="E147" s="1718"/>
      <c r="F147" s="1736">
        <f>SUM(F143:F145)</f>
        <v>52668</v>
      </c>
      <c r="G147" s="1737"/>
      <c r="H147" s="1738"/>
      <c r="I147" s="1738"/>
      <c r="J147" s="1738"/>
      <c r="K147" s="1738"/>
      <c r="L147" s="1736">
        <f t="shared" ref="L147:T147" si="77">SUM(L143:L145)</f>
        <v>0</v>
      </c>
      <c r="M147" s="1736">
        <f t="shared" si="77"/>
        <v>52668</v>
      </c>
      <c r="N147" s="1736">
        <f t="shared" si="77"/>
        <v>318.15555555555551</v>
      </c>
      <c r="O147" s="1736">
        <f t="shared" si="77"/>
        <v>3647.8666666666668</v>
      </c>
      <c r="P147" s="1736">
        <f t="shared" si="77"/>
        <v>13586.044444443942</v>
      </c>
      <c r="Q147" s="1736">
        <f t="shared" si="77"/>
        <v>17233.91111111061</v>
      </c>
      <c r="R147" s="1736">
        <f t="shared" si="77"/>
        <v>37258.022222222724</v>
      </c>
      <c r="S147" s="1736">
        <f t="shared" si="77"/>
        <v>0</v>
      </c>
      <c r="T147" s="1736">
        <f t="shared" si="77"/>
        <v>3647.8666666666668</v>
      </c>
      <c r="U147" s="1736"/>
      <c r="V147" s="1851">
        <f>SUM(V143:V145)</f>
        <v>3647.8666666666668</v>
      </c>
      <c r="W147" s="1736"/>
      <c r="X147" s="1736">
        <f>SUM(X143:X145)</f>
        <v>13586.044444443942</v>
      </c>
      <c r="Y147" s="1736">
        <f>SUM(Y143:Y145)</f>
        <v>13586.044444443942</v>
      </c>
      <c r="Z147" s="1739"/>
      <c r="AB147" s="1739"/>
      <c r="AC147" s="1738"/>
      <c r="AD147" s="1738"/>
    </row>
    <row r="148" spans="2:30">
      <c r="V148" s="1850">
        <f>V140+V147</f>
        <v>76207.669665571593</v>
      </c>
      <c r="W148" s="1841" t="s">
        <v>2348</v>
      </c>
    </row>
    <row r="149" spans="2:30">
      <c r="P149" s="1870" t="s">
        <v>2383</v>
      </c>
      <c r="Q149" s="1870"/>
      <c r="R149" s="1870">
        <f>R140+R147</f>
        <v>79672.658234949602</v>
      </c>
      <c r="V149" s="1851">
        <f>Proforma!D190</f>
        <v>96664</v>
      </c>
      <c r="W149" s="1841" t="s">
        <v>2354</v>
      </c>
    </row>
    <row r="150" spans="2:30" ht="21">
      <c r="S150" s="1857" t="s">
        <v>2363</v>
      </c>
      <c r="V150" s="1850">
        <f>V148-V149</f>
        <v>-20456.330334428407</v>
      </c>
      <c r="W150" s="1841" t="s">
        <v>2208</v>
      </c>
    </row>
    <row r="151" spans="2:30">
      <c r="V151" s="1850"/>
      <c r="W151" s="1841"/>
    </row>
    <row r="152" spans="2:30">
      <c r="V152" s="1850"/>
      <c r="W152" s="1841"/>
    </row>
    <row r="153" spans="2:30">
      <c r="V153" s="1850"/>
      <c r="W153" s="1841"/>
    </row>
    <row r="154" spans="2:30" ht="17.25">
      <c r="B154" s="1718"/>
      <c r="C154" s="1719" t="s">
        <v>2364</v>
      </c>
      <c r="D154" s="1718"/>
      <c r="E154" s="1718"/>
      <c r="F154" s="1736"/>
      <c r="G154" s="1737"/>
      <c r="H154" s="1738"/>
      <c r="I154" s="1738"/>
      <c r="J154" s="1738"/>
      <c r="K154" s="1738"/>
      <c r="L154" s="1736"/>
      <c r="M154" s="1736"/>
      <c r="N154" s="1736"/>
      <c r="O154" s="1743"/>
      <c r="P154" s="1743"/>
      <c r="Q154" s="1736"/>
      <c r="R154" s="1736"/>
      <c r="S154" s="1736"/>
      <c r="T154" s="1736"/>
      <c r="U154" s="1841"/>
      <c r="V154" s="1842"/>
      <c r="W154" s="1841"/>
      <c r="X154" s="1736"/>
      <c r="Y154" s="1736"/>
      <c r="Z154" s="1739"/>
      <c r="AB154" s="1739"/>
      <c r="AC154" s="1738"/>
      <c r="AD154" s="1738"/>
    </row>
    <row r="155" spans="2:30">
      <c r="B155" s="1858">
        <v>143896</v>
      </c>
      <c r="C155" s="1858" t="s">
        <v>2365</v>
      </c>
      <c r="D155" s="1729">
        <v>11</v>
      </c>
      <c r="E155" s="1729">
        <v>2008</v>
      </c>
      <c r="F155" s="1730">
        <v>2500</v>
      </c>
      <c r="G155" s="1855">
        <v>0</v>
      </c>
      <c r="H155" s="1729">
        <v>2</v>
      </c>
      <c r="I155" s="1688">
        <f>E155+H155</f>
        <v>2010</v>
      </c>
      <c r="J155" s="1731"/>
      <c r="K155" s="1732"/>
      <c r="L155" s="1733">
        <v>0</v>
      </c>
      <c r="M155" s="1691">
        <f>F155-F155*G155</f>
        <v>2500</v>
      </c>
      <c r="N155" s="1691">
        <f>M155/H155/12</f>
        <v>104.16666666666667</v>
      </c>
      <c r="O155" s="1691">
        <f>IF(L155&gt;0,0,IF(OR(Z155&gt;AA155,AB155&lt;AC155),0,IF(AND(AB155&gt;=AC155,AB155&lt;=AA155),N155*((AB155-AC155)*12),IF(AND(AC155&lt;=Z155,AA155&gt;=Z155),((AA155-Z155)*12)*N155,IF(AB155&gt;AA155,12*N155,0)))))</f>
        <v>0</v>
      </c>
      <c r="P155" s="1734">
        <f>IF(Z155&gt;AA155,0,IF(AB155&lt;AC155,M155,IF(AND(AB155&gt;=AC155,AB155&lt;=AA155),(M155-T155),IF(AND(AC155&lt;=Z155,AA155&gt;=Z155),0,IF(AB155&gt;AA155,((AC155-Z155)*12)*N155,0)))))</f>
        <v>2500</v>
      </c>
      <c r="Q155" s="1734">
        <f>IF(L155&gt;0,0,Y155+V155*W155)*W155</f>
        <v>2500</v>
      </c>
      <c r="R155" s="1691">
        <f>IF(L155&gt;0,(F155-Y155)/2,IF(Z155&gt;=AC155,(((F155*U155)*W155)-Q155)/2,((((F155*U155)*W155)-Y155)+(((F155*U155)*W155)-Q155))/2))</f>
        <v>0</v>
      </c>
      <c r="S155" s="1691">
        <f>IF(L155=0,0,IF(AND(AD155&gt;=AC155,AD155&lt;=AB155),((AD155-AC155)*12)*N155,0))</f>
        <v>0</v>
      </c>
      <c r="T155" s="1691">
        <f>IF(S155&gt;0,S155,O155)</f>
        <v>0</v>
      </c>
      <c r="U155" s="1833">
        <v>1</v>
      </c>
      <c r="V155" s="1834">
        <f>U155*(O155+S155)</f>
        <v>0</v>
      </c>
      <c r="W155" s="1833">
        <v>1</v>
      </c>
      <c r="X155" s="1691">
        <f>P155*U155</f>
        <v>2500</v>
      </c>
      <c r="Y155" s="1691">
        <f>X155*W155</f>
        <v>2500</v>
      </c>
      <c r="Z155" s="1735">
        <f>$E155+(($D155-1)/12)</f>
        <v>2008.8333333333333</v>
      </c>
      <c r="AA155" s="1693">
        <f>($H$5+1)-($E$5/12)</f>
        <v>2014.3333333333333</v>
      </c>
      <c r="AB155" s="1735">
        <f>$I155+(($D155-1)/12)</f>
        <v>2010.8333333333333</v>
      </c>
      <c r="AC155" s="1688">
        <f>$F$5+($G$5/12)</f>
        <v>2013.3333333333333</v>
      </c>
      <c r="AD155" s="1688">
        <f>$K155+(($J155-1)/12)</f>
        <v>-8.3333333333333329E-2</v>
      </c>
    </row>
    <row r="156" spans="2:30">
      <c r="B156" s="1858">
        <v>314691</v>
      </c>
      <c r="C156" s="1858" t="s">
        <v>2366</v>
      </c>
      <c r="D156" s="1729">
        <v>12</v>
      </c>
      <c r="E156" s="1729">
        <v>2010</v>
      </c>
      <c r="F156" s="1730">
        <v>1153594</v>
      </c>
      <c r="G156" s="1855">
        <v>0</v>
      </c>
      <c r="H156" s="2071">
        <f>240/12</f>
        <v>20</v>
      </c>
      <c r="I156" s="1688">
        <f>E156+H156</f>
        <v>2030</v>
      </c>
      <c r="J156" s="1731"/>
      <c r="K156" s="1732"/>
      <c r="L156" s="1733">
        <v>0</v>
      </c>
      <c r="M156" s="1691">
        <f>F156-F156*G156</f>
        <v>1153594</v>
      </c>
      <c r="N156" s="1691">
        <f>M156/H156/12</f>
        <v>4806.6416666666664</v>
      </c>
      <c r="O156" s="1691">
        <f>IF(L156&gt;0,0,IF(OR(Z156&gt;AA156,AB156&lt;AC156),0,IF(AND(AB156&gt;=AC156,AB156&lt;=AA156),N156*((AB156-AC156)*12),IF(AND(AC156&lt;=Z156,AA156&gt;=Z156),((AA156-Z156)*12)*N156,IF(AB156&gt;AA156,12*N156,0)))))</f>
        <v>57679.7</v>
      </c>
      <c r="P156" s="1734">
        <f>IF(Z156&gt;AA156,0,IF(AB156&lt;AC156,M156,IF(AND(AB156&gt;=AC156,AB156&lt;=AA156),(M156-T156),IF(AND(AC156&lt;=Z156,AA156&gt;=Z156),0,IF(AB156&gt;AA156,((AC156-Z156)*12)*N156,0)))))</f>
        <v>139392.60833332458</v>
      </c>
      <c r="Q156" s="1734">
        <f>IF(L156&gt;0,0,Y156+V156*W156)*W156</f>
        <v>197072.30833332456</v>
      </c>
      <c r="R156" s="1691">
        <f>IF(L156&gt;0,(F156-Y156)/2,IF(Z156&gt;=AC156,(((F156*U156)*W156)-Q156)/2,((((F156*U156)*W156)-Y156)+(((F156*U156)*W156)-Q156))/2))</f>
        <v>985361.54166667548</v>
      </c>
      <c r="S156" s="1691">
        <f>IF(L156=0,0,IF(AND(AD156&gt;=AC156,AD156&lt;=AB156),((AD156-AC156)*12)*N156,0))</f>
        <v>0</v>
      </c>
      <c r="T156" s="1691">
        <f>IF(S156&gt;0,S156,O156)</f>
        <v>57679.7</v>
      </c>
      <c r="U156" s="1833">
        <v>1</v>
      </c>
      <c r="V156" s="1834">
        <f>U156*(O156+S156)</f>
        <v>57679.7</v>
      </c>
      <c r="W156" s="1833">
        <v>1</v>
      </c>
      <c r="X156" s="1691">
        <f>P156*U156</f>
        <v>139392.60833332458</v>
      </c>
      <c r="Y156" s="1691">
        <f>X156*W156</f>
        <v>139392.60833332458</v>
      </c>
      <c r="Z156" s="1735">
        <f>$E156+(($D156-1)/12)</f>
        <v>2010.9166666666667</v>
      </c>
      <c r="AA156" s="1693">
        <f>($H$5+1)-($E$5/12)</f>
        <v>2014.3333333333333</v>
      </c>
      <c r="AB156" s="1735">
        <f>$I156+(($D156-1)/12)</f>
        <v>2030.9166666666667</v>
      </c>
      <c r="AC156" s="1688">
        <f>$F$5+($G$5/12)</f>
        <v>2013.3333333333333</v>
      </c>
      <c r="AD156" s="1688">
        <f>$K156+(($J156-1)/12)</f>
        <v>-8.3333333333333329E-2</v>
      </c>
    </row>
    <row r="157" spans="2:30">
      <c r="B157" s="1858">
        <v>323032</v>
      </c>
      <c r="C157" s="1858" t="s">
        <v>2367</v>
      </c>
      <c r="D157" s="1729">
        <v>7</v>
      </c>
      <c r="E157" s="1729">
        <v>2011</v>
      </c>
      <c r="F157" s="1730">
        <v>114096</v>
      </c>
      <c r="G157" s="1855">
        <v>0</v>
      </c>
      <c r="H157" s="2071">
        <f>233/12</f>
        <v>19.416666666666668</v>
      </c>
      <c r="I157" s="1688">
        <f>E157+H157</f>
        <v>2030.4166666666667</v>
      </c>
      <c r="J157" s="1731"/>
      <c r="K157" s="1732"/>
      <c r="L157" s="1733">
        <v>0</v>
      </c>
      <c r="M157" s="1691">
        <f>F157-F157*G157</f>
        <v>114096</v>
      </c>
      <c r="N157" s="1691">
        <f>M157/H157/12</f>
        <v>489.68240343347634</v>
      </c>
      <c r="O157" s="1691">
        <f>IF(L157&gt;0,0,IF(OR(Z157&gt;AA157,AB157&lt;AC157),0,IF(AND(AB157&gt;=AC157,AB157&lt;=AA157),N157*((AB157-AC157)*12),IF(AND(AC157&lt;=Z157,AA157&gt;=Z157),((AA157-Z157)*12)*N157,IF(AB157&gt;AA157,12*N157,0)))))</f>
        <v>5876.1888412017161</v>
      </c>
      <c r="P157" s="1734">
        <f>IF(Z157&gt;AA157,0,IF(AB157&lt;AC157,M157,IF(AND(AB157&gt;=AC157,AB157&lt;=AA157),(M157-T157),IF(AND(AC157&lt;=Z157,AA157&gt;=Z157),0,IF(AB157&gt;AA157,((AC157-Z157)*12)*N157,0)))))</f>
        <v>10773.012875536035</v>
      </c>
      <c r="Q157" s="1734">
        <f>IF(L157&gt;0,0,Y157+V157*W157)*W157</f>
        <v>16649.201716737749</v>
      </c>
      <c r="R157" s="1691">
        <f>IF(L157&gt;0,(F157-Y157)/2,IF(Z157&gt;=AC157,(((F157*U157)*W157)-Q157)/2,((((F157*U157)*W157)-Y157)+(((F157*U157)*W157)-Q157))/2))</f>
        <v>100384.89270386311</v>
      </c>
      <c r="S157" s="1691">
        <f>IF(L157=0,0,IF(AND(AD157&gt;=AC157,AD157&lt;=AB157),((AD157-AC157)*12)*N157,0))</f>
        <v>0</v>
      </c>
      <c r="T157" s="1691">
        <f>IF(S157&gt;0,S157,O157)</f>
        <v>5876.1888412017161</v>
      </c>
      <c r="U157" s="1833">
        <v>1</v>
      </c>
      <c r="V157" s="1834">
        <f>U157*(O157+S157)</f>
        <v>5876.1888412017161</v>
      </c>
      <c r="W157" s="1833">
        <v>1</v>
      </c>
      <c r="X157" s="1691">
        <f>P157*U157</f>
        <v>10773.012875536035</v>
      </c>
      <c r="Y157" s="1691">
        <f>X157*W157</f>
        <v>10773.012875536035</v>
      </c>
      <c r="Z157" s="1735">
        <f>$E157+(($D157-1)/12)</f>
        <v>2011.5</v>
      </c>
      <c r="AA157" s="1693">
        <f>($H$5+1)-($E$5/12)</f>
        <v>2014.3333333333333</v>
      </c>
      <c r="AB157" s="1735">
        <f>$I157+(($D157-1)/12)</f>
        <v>2030.9166666666667</v>
      </c>
      <c r="AC157" s="1688">
        <f>$F$5+($G$5/12)</f>
        <v>2013.3333333333333</v>
      </c>
      <c r="AD157" s="1688">
        <f>$K157+(($J157-1)/12)</f>
        <v>-8.3333333333333329E-2</v>
      </c>
    </row>
    <row r="158" spans="2:30">
      <c r="B158" s="1858">
        <v>144123</v>
      </c>
      <c r="C158" s="1858" t="s">
        <v>2368</v>
      </c>
      <c r="D158" s="1729">
        <v>2</v>
      </c>
      <c r="E158" s="1729">
        <v>2009</v>
      </c>
      <c r="F158" s="1730">
        <v>3930</v>
      </c>
      <c r="G158" s="1855">
        <v>0</v>
      </c>
      <c r="H158" s="1729">
        <f>84/12</f>
        <v>7</v>
      </c>
      <c r="I158" s="1688">
        <f>E158+H158</f>
        <v>2016</v>
      </c>
      <c r="J158" s="1731"/>
      <c r="K158" s="1732"/>
      <c r="L158" s="1733">
        <v>0</v>
      </c>
      <c r="M158" s="1691">
        <f>F158-F158*G158</f>
        <v>3930</v>
      </c>
      <c r="N158" s="1691">
        <f>M158/H158/12</f>
        <v>46.785714285714285</v>
      </c>
      <c r="O158" s="1691">
        <f>IF(L158&gt;0,0,IF(OR(Z158&gt;AA158,AB158&lt;AC158),0,IF(AND(AB158&gt;=AC158,AB158&lt;=AA158),N158*((AB158-AC158)*12),IF(AND(AC158&lt;=Z158,AA158&gt;=Z158),((AA158-Z158)*12)*N158,IF(AB158&gt;AA158,12*N158,0)))))</f>
        <v>561.42857142857144</v>
      </c>
      <c r="P158" s="1734">
        <f>IF(Z158&gt;AA158,0,IF(AB158&lt;AC158,M158,IF(AND(AB158&gt;=AC158,AB158&lt;=AA158),(M158-T158),IF(AND(AC158&lt;=Z158,AA158&gt;=Z158),0,IF(AB158&gt;AA158,((AC158-Z158)*12)*N158,0)))))</f>
        <v>2386.0714285714284</v>
      </c>
      <c r="Q158" s="1734">
        <f>IF(L158&gt;0,0,Y158+V158*W158)*W158</f>
        <v>2947.5</v>
      </c>
      <c r="R158" s="1691">
        <f>IF(L158&gt;0,(F158-Y158)/2,IF(Z158&gt;=AC158,(((F158*U158)*W158)-Q158)/2,((((F158*U158)*W158)-Y158)+(((F158*U158)*W158)-Q158))/2))</f>
        <v>1263.2142857142858</v>
      </c>
      <c r="S158" s="1691">
        <f>IF(L158=0,0,IF(AND(AD158&gt;=AC158,AD158&lt;=AB158),((AD158-AC158)*12)*N158,0))</f>
        <v>0</v>
      </c>
      <c r="T158" s="1691">
        <f>IF(S158&gt;0,S158,O158)</f>
        <v>561.42857142857144</v>
      </c>
      <c r="U158" s="1833">
        <v>1</v>
      </c>
      <c r="V158" s="1834">
        <f>U158*(O158+S158)</f>
        <v>561.42857142857144</v>
      </c>
      <c r="W158" s="1833">
        <v>1</v>
      </c>
      <c r="X158" s="1691">
        <f>P158*U158</f>
        <v>2386.0714285714284</v>
      </c>
      <c r="Y158" s="1691">
        <f>X158*W158</f>
        <v>2386.0714285714284</v>
      </c>
      <c r="Z158" s="1735">
        <f>$E158+(($D158-1)/12)</f>
        <v>2009.0833333333333</v>
      </c>
      <c r="AA158" s="1693">
        <f>($H$5+1)-($E$5/12)</f>
        <v>2014.3333333333333</v>
      </c>
      <c r="AB158" s="1735">
        <f>$I158+(($D158-1)/12)</f>
        <v>2016.0833333333333</v>
      </c>
      <c r="AC158" s="1688">
        <f>$F$5+($G$5/12)</f>
        <v>2013.3333333333333</v>
      </c>
      <c r="AD158" s="1688">
        <f>$K158+(($J158-1)/12)</f>
        <v>-8.3333333333333329E-2</v>
      </c>
    </row>
    <row r="159" spans="2:30">
      <c r="B159" s="1858">
        <v>144127</v>
      </c>
      <c r="C159" s="1858" t="s">
        <v>2369</v>
      </c>
      <c r="D159" s="1729">
        <v>2</v>
      </c>
      <c r="E159" s="1729">
        <v>2009</v>
      </c>
      <c r="F159" s="1730">
        <v>373</v>
      </c>
      <c r="G159" s="1855">
        <v>0</v>
      </c>
      <c r="H159" s="1729">
        <v>7</v>
      </c>
      <c r="I159" s="1688">
        <f>E159+H159</f>
        <v>2016</v>
      </c>
      <c r="J159" s="1731"/>
      <c r="K159" s="1732"/>
      <c r="L159" s="1733">
        <v>0</v>
      </c>
      <c r="M159" s="1691">
        <f>F159-F159*G159</f>
        <v>373</v>
      </c>
      <c r="N159" s="1691">
        <f>M159/H159/12</f>
        <v>4.4404761904761907</v>
      </c>
      <c r="O159" s="1691">
        <f>IF(L159&gt;0,0,IF(OR(Z159&gt;AA159,AB159&lt;AC159),0,IF(AND(AB159&gt;=AC159,AB159&lt;=AA159),N159*((AB159-AC159)*12),IF(AND(AC159&lt;=Z159,AA159&gt;=Z159),((AA159-Z159)*12)*N159,IF(AB159&gt;AA159,12*N159,0)))))</f>
        <v>53.285714285714292</v>
      </c>
      <c r="P159" s="1734">
        <f>IF(Z159&gt;AA159,0,IF(AB159&lt;AC159,M159,IF(AND(AB159&gt;=AC159,AB159&lt;=AA159),(M159-T159),IF(AND(AC159&lt;=Z159,AA159&gt;=Z159),0,IF(AB159&gt;AA159,((AC159-Z159)*12)*N159,0)))))</f>
        <v>226.46428571428572</v>
      </c>
      <c r="Q159" s="1734">
        <f>IF(L159&gt;0,0,Y159+V159*W159)*W159</f>
        <v>279.75</v>
      </c>
      <c r="R159" s="1691">
        <f>IF(L159&gt;0,(F159-Y159)/2,IF(Z159&gt;=AC159,(((F159*U159)*W159)-Q159)/2,((((F159*U159)*W159)-Y159)+(((F159*U159)*W159)-Q159))/2))</f>
        <v>119.89285714285714</v>
      </c>
      <c r="S159" s="1691">
        <f>IF(L159=0,0,IF(AND(AD159&gt;=AC159,AD159&lt;=AB159),((AD159-AC159)*12)*N159,0))</f>
        <v>0</v>
      </c>
      <c r="T159" s="1691">
        <f>IF(S159&gt;0,S159,O159)</f>
        <v>53.285714285714292</v>
      </c>
      <c r="U159" s="1833">
        <v>1</v>
      </c>
      <c r="V159" s="1834">
        <f>U159*(O159+S159)</f>
        <v>53.285714285714292</v>
      </c>
      <c r="W159" s="1833">
        <v>1</v>
      </c>
      <c r="X159" s="1691">
        <f>P159*U159</f>
        <v>226.46428571428572</v>
      </c>
      <c r="Y159" s="1691">
        <f>X159*W159</f>
        <v>226.46428571428572</v>
      </c>
      <c r="Z159" s="1735">
        <f>$E159+(($D159-1)/12)</f>
        <v>2009.0833333333333</v>
      </c>
      <c r="AA159" s="1693">
        <f>($H$5+1)-($E$5/12)</f>
        <v>2014.3333333333333</v>
      </c>
      <c r="AB159" s="1735">
        <f>$I159+(($D159-1)/12)</f>
        <v>2016.0833333333333</v>
      </c>
      <c r="AC159" s="1688">
        <f>$F$5+($G$5/12)</f>
        <v>2013.3333333333333</v>
      </c>
      <c r="AD159" s="1688">
        <f>$K159+(($J159-1)/12)</f>
        <v>-8.3333333333333329E-2</v>
      </c>
    </row>
    <row r="160" spans="2:30">
      <c r="B160" s="1718"/>
      <c r="C160" s="1719"/>
      <c r="D160" s="1718"/>
      <c r="E160" s="1718"/>
      <c r="F160" s="1720"/>
      <c r="G160" s="1721"/>
      <c r="H160" s="1718"/>
      <c r="I160" s="1718"/>
      <c r="J160" s="1718"/>
      <c r="K160" s="1718"/>
      <c r="L160" s="1720"/>
      <c r="M160" s="1720"/>
      <c r="N160" s="1722"/>
      <c r="O160" s="1722"/>
      <c r="P160" s="1722"/>
      <c r="Q160" s="1722"/>
      <c r="R160" s="1722"/>
      <c r="S160" s="1723"/>
      <c r="T160" s="1723"/>
      <c r="U160" s="1724"/>
      <c r="V160" s="1839"/>
      <c r="W160" s="1724"/>
      <c r="X160" s="1724"/>
      <c r="Y160" s="1724"/>
      <c r="Z160" s="1724"/>
      <c r="AA160" s="1725"/>
      <c r="AB160" s="1724"/>
      <c r="AC160" s="1724"/>
      <c r="AD160" s="1724"/>
    </row>
    <row r="161" spans="2:30">
      <c r="B161" s="1718"/>
      <c r="C161" s="1719" t="s">
        <v>2364</v>
      </c>
      <c r="D161" s="1718"/>
      <c r="E161" s="1718"/>
      <c r="F161" s="1736">
        <f>SUM(F155:F160)</f>
        <v>1274493</v>
      </c>
      <c r="G161" s="1737"/>
      <c r="H161" s="1738"/>
      <c r="I161" s="1738"/>
      <c r="J161" s="1738"/>
      <c r="K161" s="1738"/>
      <c r="L161" s="1736">
        <f t="shared" ref="L161:T161" si="78">SUM(L155:L160)</f>
        <v>0</v>
      </c>
      <c r="M161" s="1736">
        <f t="shared" si="78"/>
        <v>1274493</v>
      </c>
      <c r="N161" s="1736">
        <f t="shared" si="78"/>
        <v>5451.7169272430001</v>
      </c>
      <c r="O161" s="1736">
        <f t="shared" si="78"/>
        <v>64170.603126916001</v>
      </c>
      <c r="P161" s="1736">
        <f t="shared" si="78"/>
        <v>155278.15692314631</v>
      </c>
      <c r="Q161" s="1736">
        <f t="shared" si="78"/>
        <v>219448.76005006232</v>
      </c>
      <c r="R161" s="1736">
        <f t="shared" si="78"/>
        <v>1087129.541513396</v>
      </c>
      <c r="S161" s="1736">
        <f t="shared" si="78"/>
        <v>0</v>
      </c>
      <c r="T161" s="1736">
        <f t="shared" si="78"/>
        <v>64170.603126916001</v>
      </c>
      <c r="U161" s="1841"/>
      <c r="V161" s="1850">
        <f>SUM(V155:V160)</f>
        <v>64170.603126916001</v>
      </c>
      <c r="W161" s="1841"/>
      <c r="X161" s="1736">
        <f>SUM(X155:X160)</f>
        <v>155278.15692314631</v>
      </c>
      <c r="Y161" s="1736">
        <f>SUM(Y155:Y160)</f>
        <v>155278.15692314631</v>
      </c>
      <c r="Z161" s="1739"/>
      <c r="AB161" s="1739"/>
      <c r="AC161" s="1738"/>
      <c r="AD161" s="1738"/>
    </row>
    <row r="162" spans="2:30">
      <c r="V162" s="1851">
        <f>Proforma!$D$188</f>
        <v>130068</v>
      </c>
      <c r="W162" s="1841" t="s">
        <v>2370</v>
      </c>
    </row>
    <row r="163" spans="2:30" ht="21">
      <c r="S163" s="1857" t="s">
        <v>2371</v>
      </c>
      <c r="V163" s="1850">
        <f>V161-V162</f>
        <v>-65897.396873083999</v>
      </c>
      <c r="W163" s="1841" t="s">
        <v>2208</v>
      </c>
    </row>
    <row r="164" spans="2:30" ht="17.25">
      <c r="B164" s="1718"/>
      <c r="C164" s="1719" t="s">
        <v>2372</v>
      </c>
      <c r="D164" s="1718"/>
      <c r="E164" s="1718"/>
      <c r="F164" s="1736"/>
      <c r="G164" s="1737"/>
      <c r="H164" s="1738"/>
      <c r="I164" s="1738"/>
      <c r="J164" s="1738"/>
      <c r="K164" s="1738"/>
      <c r="L164" s="1736"/>
      <c r="M164" s="1736"/>
      <c r="N164" s="1736"/>
      <c r="O164" s="1743"/>
      <c r="P164" s="1743"/>
      <c r="Q164" s="1736"/>
      <c r="R164" s="1736"/>
      <c r="S164" s="1736"/>
      <c r="T164" s="1736"/>
      <c r="U164" s="1841"/>
      <c r="V164" s="1842"/>
      <c r="W164" s="1841"/>
      <c r="X164" s="1736"/>
      <c r="Y164" s="1736"/>
      <c r="Z164" s="1739"/>
    </row>
    <row r="165" spans="2:30">
      <c r="B165" s="1858">
        <v>354973</v>
      </c>
      <c r="C165" s="1858" t="s">
        <v>2373</v>
      </c>
      <c r="D165" s="1729">
        <v>9</v>
      </c>
      <c r="E165" s="1729">
        <v>2013</v>
      </c>
      <c r="F165" s="1730">
        <v>10078</v>
      </c>
      <c r="G165" s="1855">
        <v>0</v>
      </c>
      <c r="H165" s="1729">
        <f>48/12</f>
        <v>4</v>
      </c>
      <c r="I165" s="1688">
        <f>E165+H165</f>
        <v>2017</v>
      </c>
      <c r="J165" s="1731"/>
      <c r="K165" s="1732"/>
      <c r="L165" s="1733">
        <v>0</v>
      </c>
      <c r="M165" s="1691">
        <f>F165-F165*G165</f>
        <v>10078</v>
      </c>
      <c r="N165" s="1691">
        <f>M165/H165/12</f>
        <v>209.95833333333334</v>
      </c>
      <c r="O165" s="1691">
        <f>IF(L165&gt;0,0,IF(OR(Z165&gt;AA165,AB165&lt;AC165),0,IF(AND(AB165&gt;=AC165,AB165&lt;=AA165),N165*((AB165-AC165)*12),IF(AND(AC165&lt;=Z165,AA165&gt;=Z165),((AA165-Z165)*12)*N165,IF(AB165&gt;AA165,12*N165,0)))))</f>
        <v>1679.6666666662848</v>
      </c>
      <c r="P165" s="1734">
        <f>IF(Z165&gt;AA165,0,IF(AB165&lt;AC165,M165,IF(AND(AB165&gt;=AC165,AB165&lt;=AA165),(M165-T165),IF(AND(AC165&lt;=Z165,AA165&gt;=Z165),0,IF(AB165&gt;AA165,((AC165-Z165)*12)*N165,0)))))</f>
        <v>0</v>
      </c>
      <c r="Q165" s="1734">
        <f>IF(L165&gt;0,0,Y165+V165*W165)*W165</f>
        <v>1679.6666666662848</v>
      </c>
      <c r="R165" s="1691">
        <f>IF(L165&gt;0,(F165-Y165)/2,IF(Z165&gt;=AC165,(((F165*U165)*W165)-Q165)/2,((((F165*U165)*W165)-Y165)+(((F165*U165)*W165)-Q165))/2))</f>
        <v>4199.166666666858</v>
      </c>
      <c r="S165" s="1691">
        <f>IF(L165=0,0,IF(AND(AD165&gt;=AC165,AD165&lt;=AB165),((AD165-AC165)*12)*N165,0))</f>
        <v>0</v>
      </c>
      <c r="T165" s="1691">
        <f>IF(S165&gt;0,S165,O165)</f>
        <v>1679.6666666662848</v>
      </c>
      <c r="U165" s="1833">
        <v>1</v>
      </c>
      <c r="V165" s="1834">
        <f>U165*(O165+S165)</f>
        <v>1679.6666666662848</v>
      </c>
      <c r="W165" s="1833">
        <v>1</v>
      </c>
      <c r="X165" s="1691">
        <f>P165*U165</f>
        <v>0</v>
      </c>
      <c r="Y165" s="1691">
        <f>X165*W165</f>
        <v>0</v>
      </c>
      <c r="Z165" s="1735">
        <f>$E165+(($D165-1)/12)</f>
        <v>2013.6666666666667</v>
      </c>
      <c r="AA165" s="1693">
        <f>($H$5+1)-($E$5/12)</f>
        <v>2014.3333333333333</v>
      </c>
      <c r="AB165" s="1735">
        <f>$I165+(($D165-1)/12)</f>
        <v>2017.6666666666667</v>
      </c>
      <c r="AC165" s="1688">
        <f>$F$5+($G$5/12)</f>
        <v>2013.3333333333333</v>
      </c>
      <c r="AD165" s="1688">
        <f>$K165+(($J165-1)/12)</f>
        <v>-8.3333333333333329E-2</v>
      </c>
    </row>
    <row r="166" spans="2:30">
      <c r="B166" s="1858">
        <v>344163</v>
      </c>
      <c r="C166" s="1858" t="s">
        <v>2374</v>
      </c>
      <c r="D166" s="1729">
        <v>2</v>
      </c>
      <c r="E166" s="1729">
        <v>2013</v>
      </c>
      <c r="F166" s="1730">
        <v>4219</v>
      </c>
      <c r="G166" s="1855">
        <v>0</v>
      </c>
      <c r="H166" s="1729">
        <f>36/12</f>
        <v>3</v>
      </c>
      <c r="I166" s="1688">
        <f>E166+H166</f>
        <v>2016</v>
      </c>
      <c r="J166" s="1731"/>
      <c r="K166" s="1732"/>
      <c r="L166" s="1733">
        <v>0</v>
      </c>
      <c r="M166" s="1691">
        <f>F166-F166*G166</f>
        <v>4219</v>
      </c>
      <c r="N166" s="1691">
        <f>M166/H166/12</f>
        <v>117.19444444444444</v>
      </c>
      <c r="O166" s="1691">
        <f>IF(L166&gt;0,0,IF(OR(Z166&gt;AA166,AB166&lt;AC166),0,IF(AND(AB166&gt;=AC166,AB166&lt;=AA166),N166*((AB166-AC166)*12),IF(AND(AC166&lt;=Z166,AA166&gt;=Z166),((AA166-Z166)*12)*N166,IF(AB166&gt;AA166,12*N166,0)))))</f>
        <v>1406.3333333333333</v>
      </c>
      <c r="P166" s="1734">
        <f>IF(Z166&gt;AA166,0,IF(AB166&lt;AC166,M166,IF(AND(AB166&gt;=AC166,AB166&lt;=AA166),(M166-T166),IF(AND(AC166&lt;=Z166,AA166&gt;=Z166),0,IF(AB166&gt;AA166,((AC166-Z166)*12)*N166,0)))))</f>
        <v>351.58333333333331</v>
      </c>
      <c r="Q166" s="1734">
        <f>IF(L166&gt;0,0,Y166+V166*W166)*W166</f>
        <v>1757.9166666666665</v>
      </c>
      <c r="R166" s="1691">
        <f>IF(L166&gt;0,(F166-Y166)/2,IF(Z166&gt;=AC166,(((F166*U166)*W166)-Q166)/2,((((F166*U166)*W166)-Y166)+(((F166*U166)*W166)-Q166))/2))</f>
        <v>3164.25</v>
      </c>
      <c r="S166" s="1691">
        <f>IF(L166=0,0,IF(AND(AD166&gt;=AC166,AD166&lt;=AB166),((AD166-AC166)*12)*N166,0))</f>
        <v>0</v>
      </c>
      <c r="T166" s="1691">
        <f>IF(S166&gt;0,S166,O166)</f>
        <v>1406.3333333333333</v>
      </c>
      <c r="U166" s="1833">
        <v>1</v>
      </c>
      <c r="V166" s="1834">
        <f>U166*(O166+S166)</f>
        <v>1406.3333333333333</v>
      </c>
      <c r="W166" s="1833">
        <v>1</v>
      </c>
      <c r="X166" s="1691">
        <f>P166*U166</f>
        <v>351.58333333333331</v>
      </c>
      <c r="Y166" s="1691">
        <f>X166*W166</f>
        <v>351.58333333333331</v>
      </c>
      <c r="Z166" s="1735">
        <f>$E166+(($D166-1)/12)</f>
        <v>2013.0833333333333</v>
      </c>
      <c r="AA166" s="1693">
        <f>($H$5+1)-($E$5/12)</f>
        <v>2014.3333333333333</v>
      </c>
      <c r="AB166" s="1735">
        <f>$I166+(($D166-1)/12)</f>
        <v>2016.0833333333333</v>
      </c>
      <c r="AC166" s="1688">
        <f>$F$5+($G$5/12)</f>
        <v>2013.3333333333333</v>
      </c>
      <c r="AD166" s="1688">
        <f>$K166+(($J166-1)/12)</f>
        <v>-8.3333333333333329E-2</v>
      </c>
    </row>
    <row r="167" spans="2:30">
      <c r="B167" s="1858">
        <v>368538</v>
      </c>
      <c r="C167" s="1858" t="s">
        <v>2373</v>
      </c>
      <c r="D167" s="1859">
        <v>8</v>
      </c>
      <c r="E167" s="1859">
        <v>2014</v>
      </c>
      <c r="F167" s="1860">
        <v>0</v>
      </c>
      <c r="G167" s="1855">
        <v>0</v>
      </c>
      <c r="H167" s="1729">
        <f>48/12</f>
        <v>4</v>
      </c>
      <c r="I167" s="1688">
        <f>E167+H167</f>
        <v>2018</v>
      </c>
      <c r="J167" s="1731"/>
      <c r="K167" s="1732"/>
      <c r="L167" s="1733">
        <v>0</v>
      </c>
      <c r="M167" s="1691">
        <f>F167-F167*G167</f>
        <v>0</v>
      </c>
      <c r="N167" s="1691">
        <f>M167/H167/12</f>
        <v>0</v>
      </c>
      <c r="O167" s="1691">
        <f>IF(L167&gt;0,0,IF(OR(Z167&gt;AA167,AB167&lt;AC167),0,IF(AND(AB167&gt;=AC167,AB167&lt;=AA167),N167*((AB167-AC167)*12),IF(AND(AC167&lt;=Z167,AA167&gt;=Z167),((AA167-Z167)*12)*N167,IF(AB167&gt;AA167,12*N167,0)))))</f>
        <v>0</v>
      </c>
      <c r="P167" s="1734">
        <f>IF(Z167&gt;AA167,0,IF(AB167&lt;AC167,M167,IF(AND(AB167&gt;=AC167,AB167&lt;=AA167),(M167-T167),IF(AND(AC167&lt;=Z167,AA167&gt;=Z167),0,IF(AB167&gt;AA167,((AC167-Z167)*12)*N167,0)))))</f>
        <v>0</v>
      </c>
      <c r="Q167" s="1734">
        <f>IF(L167&gt;0,0,Y167+V167*W167)*W167</f>
        <v>0</v>
      </c>
      <c r="R167" s="1691">
        <f>IF(L167&gt;0,(F167-Y167)/2,IF(Z167&gt;=AC167,(((F167*U167)*W167)-Q167)/2,((((F167*U167)*W167)-Y167)+(((F167*U167)*W167)-Q167))/2))</f>
        <v>0</v>
      </c>
      <c r="S167" s="1691">
        <f>IF(L167=0,0,IF(AND(AD167&gt;=AC167,AD167&lt;=AB167),((AD167-AC167)*12)*N167,0))</f>
        <v>0</v>
      </c>
      <c r="T167" s="1691">
        <f>IF(S167&gt;0,S167,O167)</f>
        <v>0</v>
      </c>
      <c r="U167" s="1833">
        <v>1</v>
      </c>
      <c r="V167" s="1834">
        <f>U167*(O167+S167)</f>
        <v>0</v>
      </c>
      <c r="W167" s="1833">
        <v>1</v>
      </c>
      <c r="X167" s="1691">
        <f>P167*U167</f>
        <v>0</v>
      </c>
      <c r="Y167" s="1691">
        <f>X167*W167</f>
        <v>0</v>
      </c>
      <c r="Z167" s="1735">
        <f>$E167+(($D167-1)/12)</f>
        <v>2014.5833333333333</v>
      </c>
      <c r="AA167" s="1693">
        <f>($H$5+1)-($E$5/12)</f>
        <v>2014.3333333333333</v>
      </c>
      <c r="AB167" s="1735">
        <f>$I167+(($D167-1)/12)</f>
        <v>2018.5833333333333</v>
      </c>
      <c r="AC167" s="1688">
        <f>$F$5+($G$5/12)</f>
        <v>2013.3333333333333</v>
      </c>
      <c r="AD167" s="1688">
        <f>$K167+(($J167-1)/12)</f>
        <v>-8.3333333333333329E-2</v>
      </c>
    </row>
    <row r="168" spans="2:30">
      <c r="B168" s="1718"/>
      <c r="C168" s="1719"/>
      <c r="D168" s="1718"/>
      <c r="E168" s="1718"/>
      <c r="F168" s="1720"/>
      <c r="G168" s="1721"/>
      <c r="H168" s="1718"/>
      <c r="I168" s="1718"/>
      <c r="J168" s="1718"/>
      <c r="K168" s="1718"/>
      <c r="L168" s="1720"/>
      <c r="M168" s="1720"/>
      <c r="N168" s="1722"/>
      <c r="O168" s="1722"/>
      <c r="P168" s="1722"/>
      <c r="Q168" s="1722"/>
      <c r="R168" s="1722"/>
      <c r="S168" s="1723"/>
      <c r="T168" s="1723"/>
      <c r="U168" s="1724"/>
      <c r="V168" s="1839"/>
      <c r="W168" s="1724"/>
      <c r="X168" s="1724"/>
      <c r="Y168" s="1724"/>
      <c r="Z168" s="1724"/>
      <c r="AA168" s="1725"/>
    </row>
    <row r="169" spans="2:30">
      <c r="B169" s="1718"/>
      <c r="C169" s="1719" t="s">
        <v>2364</v>
      </c>
      <c r="D169" s="1718"/>
      <c r="E169" s="1718"/>
      <c r="F169" s="1736">
        <f>SUM(F165:F168)</f>
        <v>14297</v>
      </c>
      <c r="G169" s="1737"/>
      <c r="H169" s="1738"/>
      <c r="I169" s="1738"/>
      <c r="J169" s="1738"/>
      <c r="K169" s="1738"/>
      <c r="L169" s="1736">
        <f t="shared" ref="L169:T169" si="79">SUM(L165:L168)</f>
        <v>0</v>
      </c>
      <c r="M169" s="1736">
        <f t="shared" si="79"/>
        <v>14297</v>
      </c>
      <c r="N169" s="1736">
        <f t="shared" si="79"/>
        <v>327.15277777777777</v>
      </c>
      <c r="O169" s="1736">
        <f t="shared" si="79"/>
        <v>3085.999999999618</v>
      </c>
      <c r="P169" s="1736">
        <f t="shared" si="79"/>
        <v>351.58333333333331</v>
      </c>
      <c r="Q169" s="1736">
        <f t="shared" si="79"/>
        <v>3437.583333332951</v>
      </c>
      <c r="R169" s="1736">
        <f t="shared" si="79"/>
        <v>7363.416666666858</v>
      </c>
      <c r="S169" s="1736">
        <f t="shared" si="79"/>
        <v>0</v>
      </c>
      <c r="T169" s="1736">
        <f t="shared" si="79"/>
        <v>3085.999999999618</v>
      </c>
      <c r="U169" s="1841"/>
      <c r="V169" s="1850">
        <f>SUM(V165:V168)</f>
        <v>3085.999999999618</v>
      </c>
      <c r="W169" s="1841"/>
      <c r="X169" s="1736">
        <f>SUM(X165:X168)</f>
        <v>351.58333333333331</v>
      </c>
      <c r="Y169" s="1736">
        <f>SUM(Y165:Y168)</f>
        <v>351.58333333333331</v>
      </c>
      <c r="Z169" s="1739"/>
    </row>
    <row r="170" spans="2:30">
      <c r="V170" s="1851">
        <f>Proforma!$D$191</f>
        <v>2874</v>
      </c>
      <c r="W170" s="1841" t="s">
        <v>2375</v>
      </c>
    </row>
    <row r="171" spans="2:30" ht="21">
      <c r="S171" s="1857" t="s">
        <v>2372</v>
      </c>
      <c r="V171" s="1850">
        <f>V169-V170</f>
        <v>211.99999999961801</v>
      </c>
      <c r="W171" s="1841" t="s">
        <v>2208</v>
      </c>
    </row>
    <row r="172" spans="2:30">
      <c r="S172" s="1726"/>
      <c r="T172" s="1726"/>
      <c r="U172" s="1726"/>
      <c r="V172" s="1861"/>
      <c r="W172" s="1726"/>
    </row>
    <row r="173" spans="2:30">
      <c r="S173" s="1726"/>
      <c r="T173" s="1726"/>
      <c r="U173" s="1726"/>
      <c r="V173" s="1861"/>
      <c r="W173" s="1726"/>
    </row>
    <row r="174" spans="2:30">
      <c r="S174" s="1726"/>
      <c r="T174" s="1726"/>
      <c r="U174" s="1726"/>
      <c r="V174" s="1861"/>
      <c r="W174" s="1726"/>
    </row>
    <row r="175" spans="2:30" ht="18.75">
      <c r="S175" s="1862" t="s">
        <v>2256</v>
      </c>
      <c r="V175" s="1863" t="s">
        <v>2258</v>
      </c>
      <c r="W175" s="1738"/>
    </row>
    <row r="176" spans="2:30">
      <c r="S176" s="1719" t="s">
        <v>2257</v>
      </c>
      <c r="V176" s="1864">
        <f>'[5]AM260 Asset Listing'!$AV$792</f>
        <v>381873.49490436824</v>
      </c>
      <c r="W176" s="1726"/>
    </row>
    <row r="177" spans="19:23">
      <c r="S177" s="1719" t="s">
        <v>2376</v>
      </c>
      <c r="V177" s="1865">
        <f>Proforma!D187</f>
        <v>385468</v>
      </c>
      <c r="W177" s="1738"/>
    </row>
    <row r="178" spans="19:23" ht="17.25">
      <c r="S178" s="1726"/>
      <c r="T178" s="1726"/>
      <c r="U178" s="1726"/>
      <c r="V178" s="1866">
        <f>V176-V177</f>
        <v>-3594.5050956317573</v>
      </c>
      <c r="W178" s="1828" t="s">
        <v>2208</v>
      </c>
    </row>
    <row r="179" spans="19:23">
      <c r="U179" s="1726"/>
    </row>
    <row r="180" spans="19:23" ht="18.75">
      <c r="S180" s="1867" t="s">
        <v>2377</v>
      </c>
    </row>
    <row r="181" spans="19:23">
      <c r="S181" s="1736" t="s">
        <v>2378</v>
      </c>
      <c r="T181" s="1726"/>
      <c r="V181" s="1842">
        <f>Proforma!$D$192</f>
        <v>395</v>
      </c>
      <c r="W181" s="1856" t="s">
        <v>2379</v>
      </c>
    </row>
    <row r="182" spans="19:23">
      <c r="S182" s="1742"/>
      <c r="T182" s="1726"/>
      <c r="U182" s="1726"/>
      <c r="V182" s="1861"/>
      <c r="W182" s="1726"/>
    </row>
    <row r="183" spans="19:23">
      <c r="T183" s="1726"/>
      <c r="U183" s="1726"/>
      <c r="V183" s="1861"/>
      <c r="W183" s="1868"/>
    </row>
    <row r="184" spans="19:23">
      <c r="S184" s="1726"/>
      <c r="T184" s="1726"/>
      <c r="U184" s="1726"/>
      <c r="V184" s="1861"/>
      <c r="W184" s="1868"/>
    </row>
    <row r="185" spans="19:23" ht="21">
      <c r="S185" s="1869" t="s">
        <v>2380</v>
      </c>
      <c r="T185" s="1870"/>
      <c r="U185" s="1871"/>
      <c r="V185" s="1872">
        <f>V19+V125+V140+V147+V161+V169+V176+V181</f>
        <v>2963813.0181130487</v>
      </c>
      <c r="W185" s="1726"/>
    </row>
    <row r="186" spans="19:23" ht="21">
      <c r="S186" s="1873" t="s">
        <v>2381</v>
      </c>
      <c r="T186" s="1870"/>
      <c r="U186" s="1871"/>
      <c r="V186" s="1874">
        <f>Proforma!$D$197</f>
        <v>3072839</v>
      </c>
      <c r="W186" s="1726"/>
    </row>
    <row r="187" spans="19:23" ht="21">
      <c r="S187" s="1869" t="s">
        <v>2382</v>
      </c>
      <c r="T187" s="1870"/>
      <c r="U187" s="1871"/>
      <c r="V187" s="1872">
        <f>V185-V186</f>
        <v>-109025.98188695125</v>
      </c>
      <c r="W187" s="1726"/>
    </row>
    <row r="188" spans="19:23" ht="21">
      <c r="S188" s="1875"/>
      <c r="T188" s="1875"/>
      <c r="U188" s="1876"/>
      <c r="V188" s="1877"/>
      <c r="W188" s="1726"/>
    </row>
    <row r="190" spans="19:23">
      <c r="T190" s="1726"/>
    </row>
  </sheetData>
  <mergeCells count="7">
    <mergeCell ref="X7:Y7"/>
    <mergeCell ref="E3:F3"/>
    <mergeCell ref="G3:H3"/>
    <mergeCell ref="D7:E7"/>
    <mergeCell ref="J7:L7"/>
    <mergeCell ref="N7:O7"/>
    <mergeCell ref="P7:Q7"/>
  </mergeCells>
  <conditionalFormatting sqref="B24:C123 B11:C17 B155:C159">
    <cfRule type="expression" dxfId="9" priority="4" stopIfTrue="1">
      <formula>RIGHT(((ROW()/2)*10),1)+1-1=0</formula>
    </cfRule>
  </conditionalFormatting>
  <conditionalFormatting sqref="B135:C138">
    <cfRule type="expression" dxfId="8" priority="3" stopIfTrue="1">
      <formula>RIGHT(((ROW()/2)*10),1)+1-1=0</formula>
    </cfRule>
  </conditionalFormatting>
  <conditionalFormatting sqref="B143:C145">
    <cfRule type="expression" dxfId="7" priority="2" stopIfTrue="1">
      <formula>RIGHT(((ROW()/2)*10),1)+1-1=0</formula>
    </cfRule>
  </conditionalFormatting>
  <conditionalFormatting sqref="B165:C167">
    <cfRule type="expression" dxfId="6" priority="1" stopIfTrue="1">
      <formula>RIGHT(((ROW()/2)*10),1)+1-1=0</formula>
    </cfRule>
  </conditionalFormatting>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pageSetUpPr autoPageBreaks="0" fitToPage="1"/>
  </sheetPr>
  <dimension ref="A1:R94"/>
  <sheetViews>
    <sheetView topLeftCell="A13" zoomScaleNormal="100" workbookViewId="0">
      <selection activeCell="O35" sqref="O35"/>
    </sheetView>
  </sheetViews>
  <sheetFormatPr defaultRowHeight="12"/>
  <cols>
    <col min="1" max="1" width="54.1640625" style="1881" customWidth="1"/>
    <col min="2" max="2" width="14.1640625" style="1881" customWidth="1"/>
    <col min="3" max="3" width="14" style="1881" customWidth="1"/>
    <col min="4" max="4" width="5.83203125" style="1881" customWidth="1"/>
    <col min="5" max="5" width="19.6640625" style="1881" customWidth="1"/>
    <col min="6" max="12" width="15.83203125" style="1881" customWidth="1"/>
    <col min="13" max="13" width="11.6640625" style="1883" bestFit="1" customWidth="1"/>
    <col min="14" max="14" width="15.83203125" style="1881" customWidth="1"/>
    <col min="15" max="16" width="16" style="1881" customWidth="1"/>
    <col min="17" max="17" width="15.33203125" style="1881" customWidth="1"/>
    <col min="18" max="16384" width="9.33203125" style="1881"/>
  </cols>
  <sheetData>
    <row r="1" spans="1:17">
      <c r="A1" s="1881" t="s">
        <v>2384</v>
      </c>
      <c r="K1" s="1882"/>
      <c r="N1" s="1884"/>
      <c r="O1" s="1884"/>
    </row>
    <row r="2" spans="1:17">
      <c r="A2" s="1881" t="s">
        <v>2385</v>
      </c>
      <c r="B2" s="1885"/>
      <c r="C2" s="1885"/>
      <c r="D2" s="1885"/>
      <c r="E2" s="1885"/>
      <c r="F2" s="1885"/>
      <c r="G2" s="1885"/>
      <c r="H2" s="1885"/>
      <c r="I2" s="1885"/>
      <c r="K2" s="1882"/>
      <c r="L2" s="1885" t="s">
        <v>2386</v>
      </c>
      <c r="M2" s="1885"/>
      <c r="N2" s="1884"/>
      <c r="O2" s="1884"/>
    </row>
    <row r="3" spans="1:17">
      <c r="B3" s="1885"/>
      <c r="C3" s="1885"/>
      <c r="D3" s="1885"/>
      <c r="E3" s="1885"/>
      <c r="F3" s="1885"/>
      <c r="G3" s="1885"/>
      <c r="H3" s="1885"/>
      <c r="I3" s="1885"/>
      <c r="K3" s="1882"/>
      <c r="L3" s="1885"/>
      <c r="M3" s="1885"/>
      <c r="N3" s="1884"/>
      <c r="O3" s="1884"/>
    </row>
    <row r="4" spans="1:17">
      <c r="B4" s="1885"/>
      <c r="C4" s="1884" t="s">
        <v>27</v>
      </c>
      <c r="D4" s="1884"/>
      <c r="E4" s="1885"/>
      <c r="F4" s="1885"/>
      <c r="G4" s="1885"/>
      <c r="H4" s="1885"/>
      <c r="I4" s="1885" t="s">
        <v>11</v>
      </c>
      <c r="K4" s="1882"/>
      <c r="L4" s="1885"/>
      <c r="M4" s="1885"/>
      <c r="N4" s="1884"/>
      <c r="O4" s="1884"/>
    </row>
    <row r="5" spans="1:17">
      <c r="B5" s="1884" t="s">
        <v>27</v>
      </c>
      <c r="C5" s="1885" t="s">
        <v>2387</v>
      </c>
      <c r="D5" s="1885"/>
      <c r="E5" s="1885" t="s">
        <v>145</v>
      </c>
      <c r="F5" s="1885"/>
      <c r="G5" s="1884" t="s">
        <v>2388</v>
      </c>
      <c r="H5" s="1884" t="s">
        <v>2388</v>
      </c>
      <c r="I5" s="1885" t="s">
        <v>11</v>
      </c>
      <c r="J5" s="1885" t="s">
        <v>2387</v>
      </c>
      <c r="K5" s="1882"/>
      <c r="L5" s="1885" t="s">
        <v>2386</v>
      </c>
      <c r="M5" s="1885" t="s">
        <v>2387</v>
      </c>
      <c r="N5" s="1885"/>
      <c r="O5" s="1884" t="s">
        <v>27</v>
      </c>
      <c r="P5" s="1884" t="s">
        <v>27</v>
      </c>
    </row>
    <row r="6" spans="1:17">
      <c r="B6" s="1886" t="s">
        <v>152</v>
      </c>
      <c r="C6" s="1886" t="s">
        <v>2389</v>
      </c>
      <c r="D6" s="1886"/>
      <c r="E6" s="1886" t="s">
        <v>168</v>
      </c>
      <c r="F6" s="1886"/>
      <c r="G6" s="1886" t="s">
        <v>11</v>
      </c>
      <c r="H6" s="1887" t="s">
        <v>2386</v>
      </c>
      <c r="I6" s="1886" t="s">
        <v>152</v>
      </c>
      <c r="J6" s="1886" t="s">
        <v>2389</v>
      </c>
      <c r="K6" s="1882"/>
      <c r="L6" s="1886" t="s">
        <v>152</v>
      </c>
      <c r="M6" s="1886" t="s">
        <v>2389</v>
      </c>
      <c r="N6" s="1885"/>
      <c r="O6" s="1886" t="s">
        <v>152</v>
      </c>
      <c r="P6" s="1886" t="s">
        <v>2389</v>
      </c>
    </row>
    <row r="7" spans="1:17">
      <c r="A7" s="1888" t="s">
        <v>2359</v>
      </c>
      <c r="B7" s="1889">
        <v>2229688.154847336</v>
      </c>
      <c r="C7" s="1890">
        <f>SUM('[6]AM260 Asset Listing'!BG982:BG1017,'[6]AM260 Asset Listing'!BG908:BG912,'[6]AM260 Asset Listing'!BG959:BG961)-C9-C10+SUM('[6]AM260 Asset Listing'!BG913:BG949,'[6]AM260 Asset Listing'!BG962:BG968)</f>
        <v>9754637.6607217304</v>
      </c>
      <c r="D7" s="1891"/>
      <c r="E7" s="1881" t="s">
        <v>10</v>
      </c>
      <c r="F7" s="1892">
        <f>1-SUM(F9:F10)</f>
        <v>0.52882837151314255</v>
      </c>
      <c r="G7" s="1893">
        <f>+([7]Summary!$D$22-[7]Summary!$D$21)/([7]Summary!$E$22-[7]Summary!$E$21)</f>
        <v>0.16193909536757423</v>
      </c>
      <c r="H7" s="1894">
        <f>1-G7</f>
        <v>0.83806090463242577</v>
      </c>
      <c r="I7" s="1891">
        <f>B7*G7</f>
        <v>361073.68274777336</v>
      </c>
      <c r="J7" s="1891">
        <f>G7*C7</f>
        <v>1579657.1984157474</v>
      </c>
      <c r="K7" s="1882"/>
      <c r="L7" s="1891">
        <f>B7*H7</f>
        <v>1868614.4720995626</v>
      </c>
      <c r="M7" s="1891">
        <f>C7*H7</f>
        <v>8174980.4623059826</v>
      </c>
      <c r="N7" s="1895"/>
      <c r="O7" s="1891">
        <f>+L7+I7</f>
        <v>2229688.154847336</v>
      </c>
      <c r="P7" s="1891">
        <f>+J7+M7</f>
        <v>9754637.6607217304</v>
      </c>
    </row>
    <row r="8" spans="1:17">
      <c r="A8" s="1888" t="s">
        <v>2390</v>
      </c>
      <c r="B8" s="1889">
        <v>155902.36056513115</v>
      </c>
      <c r="C8" s="1890">
        <f>SUM('[6]AM260 Asset Listing'!BG969:BG978)</f>
        <v>1405888.9581465696</v>
      </c>
      <c r="D8" s="1891"/>
      <c r="E8" s="1881" t="s">
        <v>10</v>
      </c>
      <c r="F8" s="1896"/>
      <c r="G8" s="1893">
        <f>+[7]Summary!$F$21</f>
        <v>2.6488569262548778E-2</v>
      </c>
      <c r="H8" s="1894">
        <f>1-G8</f>
        <v>0.97351143073745128</v>
      </c>
      <c r="I8" s="1891">
        <f>B8*G8</f>
        <v>4129.6304760243302</v>
      </c>
      <c r="J8" s="1891">
        <f>G8*C8</f>
        <v>37239.987043317946</v>
      </c>
      <c r="K8" s="1882"/>
      <c r="L8" s="1891">
        <f>B8*H8</f>
        <v>151772.73008910683</v>
      </c>
      <c r="M8" s="1891">
        <f>C8*H8</f>
        <v>1368648.9711032517</v>
      </c>
      <c r="N8" s="1895"/>
      <c r="O8" s="1891">
        <f>+L8+I8</f>
        <v>155902.36056513115</v>
      </c>
      <c r="P8" s="1891">
        <f>+J8+M8</f>
        <v>1405888.9581465696</v>
      </c>
    </row>
    <row r="9" spans="1:17">
      <c r="A9" s="1888" t="s">
        <v>2391</v>
      </c>
      <c r="B9" s="1889"/>
      <c r="C9" s="1889"/>
      <c r="D9" s="1889"/>
      <c r="E9" s="1897" t="s">
        <v>10</v>
      </c>
      <c r="F9" s="1892">
        <f>+[7]Summary!$D$19/[7]Summary!$D$22</f>
        <v>0.26161891668393106</v>
      </c>
      <c r="G9" s="1898"/>
      <c r="H9" s="1899"/>
      <c r="I9" s="1891">
        <f>B9*G9</f>
        <v>0</v>
      </c>
      <c r="J9" s="1891">
        <f>G9*C9</f>
        <v>0</v>
      </c>
      <c r="K9" s="1882"/>
      <c r="L9" s="1891">
        <f>B9*H9</f>
        <v>0</v>
      </c>
      <c r="M9" s="1891">
        <f>C9*H9</f>
        <v>0</v>
      </c>
      <c r="N9" s="1895"/>
      <c r="O9" s="1891">
        <f>+L9+I9</f>
        <v>0</v>
      </c>
      <c r="P9" s="1891">
        <f>+J9+M9</f>
        <v>0</v>
      </c>
    </row>
    <row r="10" spans="1:17">
      <c r="A10" s="1888" t="s">
        <v>2392</v>
      </c>
      <c r="B10" s="1889"/>
      <c r="C10" s="1889"/>
      <c r="D10" s="1889"/>
      <c r="E10" s="1881" t="s">
        <v>10</v>
      </c>
      <c r="F10" s="1892">
        <f>+[7]Summary!$D$18/[7]Summary!$D$22</f>
        <v>0.20955271180292639</v>
      </c>
      <c r="G10" s="1898"/>
      <c r="H10" s="1899"/>
      <c r="I10" s="1891">
        <f>B10*G10</f>
        <v>0</v>
      </c>
      <c r="J10" s="1891">
        <f>G10*C10</f>
        <v>0</v>
      </c>
      <c r="K10" s="1882"/>
      <c r="L10" s="1891">
        <f>B10*H10</f>
        <v>0</v>
      </c>
      <c r="M10" s="1891">
        <f>C10*H10</f>
        <v>0</v>
      </c>
      <c r="N10" s="1895"/>
      <c r="O10" s="1891">
        <f>+L10+I10</f>
        <v>0</v>
      </c>
      <c r="P10" s="1891">
        <f>+J10+M10</f>
        <v>0</v>
      </c>
    </row>
    <row r="11" spans="1:17">
      <c r="A11" s="1888" t="s">
        <v>2393</v>
      </c>
      <c r="B11" s="1889"/>
      <c r="C11" s="1889"/>
      <c r="D11" s="1891"/>
      <c r="E11" s="1897" t="s">
        <v>10</v>
      </c>
      <c r="F11" s="1900">
        <f>+[7]Summary!$D$20/[7]Summary!$D$22</f>
        <v>4.6325004851723577E-2</v>
      </c>
      <c r="G11" s="1901">
        <f>SUM([7]Summary!$D$5:$D$8)/SUM([7]Summary!$E$5:$E$8)</f>
        <v>0.12726662178402076</v>
      </c>
      <c r="H11" s="1894">
        <f>1-G11</f>
        <v>0.87273337821597918</v>
      </c>
      <c r="I11" s="1891">
        <f>B11*G11</f>
        <v>0</v>
      </c>
      <c r="J11" s="1891">
        <f>G11*C11</f>
        <v>0</v>
      </c>
      <c r="K11" s="1882"/>
      <c r="L11" s="1891">
        <f>B11*H11</f>
        <v>0</v>
      </c>
      <c r="M11" s="1891">
        <f>C11*H11</f>
        <v>0</v>
      </c>
      <c r="N11" s="1895"/>
      <c r="O11" s="1891">
        <f>+L11+I11</f>
        <v>0</v>
      </c>
      <c r="P11" s="1891">
        <f>+J11+M11</f>
        <v>0</v>
      </c>
    </row>
    <row r="12" spans="1:17" s="1902" customFormat="1">
      <c r="A12" s="1902" t="s">
        <v>858</v>
      </c>
      <c r="B12" s="1903">
        <f>SUM(B7:B11)</f>
        <v>2385590.5154124671</v>
      </c>
      <c r="C12" s="1903">
        <f>SUM(C7:C11)</f>
        <v>11160526.618868301</v>
      </c>
      <c r="D12" s="1904"/>
      <c r="G12" s="1905"/>
      <c r="H12" s="1905"/>
      <c r="I12" s="1906">
        <f>SUM(I7:I11)</f>
        <v>365203.31322379771</v>
      </c>
      <c r="J12" s="1906">
        <f>SUM(J7:J11)</f>
        <v>1616897.1854590653</v>
      </c>
      <c r="K12" s="1907"/>
      <c r="L12" s="1906">
        <f>SUM(L7:L11)</f>
        <v>2020387.2021886695</v>
      </c>
      <c r="M12" s="1906">
        <f>SUM(M7:M11)</f>
        <v>9543629.4334092345</v>
      </c>
      <c r="N12" s="1904"/>
      <c r="O12" s="1906">
        <f>SUM(O7:O11)</f>
        <v>2385590.5154124671</v>
      </c>
      <c r="P12" s="1906">
        <f>SUM(P7:P11)</f>
        <v>11160526.618868301</v>
      </c>
      <c r="Q12" s="1908"/>
    </row>
    <row r="13" spans="1:17">
      <c r="G13" s="1894"/>
      <c r="H13" s="1894"/>
      <c r="K13" s="1882"/>
      <c r="M13" s="1881"/>
      <c r="N13" s="1883"/>
    </row>
    <row r="14" spans="1:17">
      <c r="A14" s="1888" t="s">
        <v>2394</v>
      </c>
      <c r="B14" s="1891">
        <v>35796.654708331596</v>
      </c>
      <c r="C14" s="1909">
        <f>SUM('[6]AM260 Asset Listing'!BG979:BG981,'[6]AM260 Asset Listing'!BG906:BG907,'[6]AM260 Asset Listing'!BG950:BG958)</f>
        <v>126901.05231250351</v>
      </c>
      <c r="D14" s="1891"/>
      <c r="E14" s="1897" t="s">
        <v>10</v>
      </c>
      <c r="F14" s="1897"/>
      <c r="G14" s="1894">
        <f>+[7]Summary!$F$22</f>
        <v>0.14344888907984618</v>
      </c>
      <c r="H14" s="1894">
        <f>1-G14</f>
        <v>0.85655111092015379</v>
      </c>
      <c r="I14" s="1891">
        <f>G14*B14</f>
        <v>5134.9903506850123</v>
      </c>
      <c r="J14" s="1891">
        <f>G14*C14</f>
        <v>18203.814977292073</v>
      </c>
      <c r="K14" s="1882"/>
      <c r="L14" s="1891">
        <f>B14*H14</f>
        <v>30661.664357646583</v>
      </c>
      <c r="M14" s="1891">
        <f>C14*H14</f>
        <v>108697.23733521144</v>
      </c>
      <c r="N14" s="1895"/>
      <c r="O14" s="1891">
        <f>+L14+I14</f>
        <v>35796.654708331596</v>
      </c>
      <c r="P14" s="1891">
        <f>+J14+M14</f>
        <v>126901.05231250351</v>
      </c>
    </row>
    <row r="15" spans="1:17">
      <c r="B15" s="1891"/>
      <c r="C15" s="1891"/>
      <c r="D15" s="1891"/>
      <c r="G15" s="1894"/>
      <c r="H15" s="1894"/>
      <c r="I15" s="1891"/>
      <c r="J15" s="1891"/>
      <c r="K15" s="1882"/>
      <c r="L15" s="1889"/>
      <c r="M15" s="1881"/>
      <c r="N15" s="1883"/>
    </row>
    <row r="16" spans="1:17" s="1902" customFormat="1">
      <c r="A16" s="1902" t="s">
        <v>2395</v>
      </c>
      <c r="B16" s="1903">
        <f>+B14+B12</f>
        <v>2421387.1701207985</v>
      </c>
      <c r="C16" s="1903">
        <f>+C14+C12</f>
        <v>11287427.671180803</v>
      </c>
      <c r="D16" s="1904"/>
      <c r="E16" s="1910" t="s">
        <v>2396</v>
      </c>
      <c r="F16" s="1910"/>
      <c r="G16" s="1911">
        <f>J16/C16</f>
        <v>0.1448603745750785</v>
      </c>
      <c r="I16" s="1906">
        <f>+I14+I12</f>
        <v>370338.30357448274</v>
      </c>
      <c r="J16" s="1906">
        <f>+J14+J12</f>
        <v>1635101.0004363572</v>
      </c>
      <c r="K16" s="1907"/>
      <c r="L16" s="1906">
        <f>+L14+L12</f>
        <v>2051048.8665463161</v>
      </c>
      <c r="M16" s="1906">
        <f>+M14+M12</f>
        <v>9652326.6707444452</v>
      </c>
      <c r="N16" s="1904"/>
      <c r="O16" s="1906">
        <f>+O14+O12</f>
        <v>2421387.1701207985</v>
      </c>
      <c r="P16" s="1906">
        <f>+P14+P12</f>
        <v>11287427.671180803</v>
      </c>
    </row>
    <row r="17" spans="1:17">
      <c r="F17" s="1889"/>
      <c r="G17" s="1889"/>
      <c r="H17" s="1894"/>
      <c r="K17" s="1882"/>
      <c r="M17" s="1881"/>
      <c r="N17" s="1883"/>
      <c r="Q17" s="1912"/>
    </row>
    <row r="18" spans="1:17">
      <c r="A18" s="1888" t="s">
        <v>301</v>
      </c>
      <c r="B18" s="1889">
        <f>SUM('[6]AM260 Asset Listing'!AZ30:AZ324)</f>
        <v>80354.575352595333</v>
      </c>
      <c r="C18" s="1889">
        <f>SUM('[6]AM260 Asset Listing'!BG30:BG324)</f>
        <v>635073.56191803096</v>
      </c>
      <c r="D18" s="1889"/>
      <c r="E18" s="1897" t="s">
        <v>344</v>
      </c>
      <c r="F18" s="1897"/>
      <c r="G18" s="1901">
        <f>'[8]Cont Summ'!L29</f>
        <v>9.3471810089020765E-2</v>
      </c>
      <c r="H18" s="1894">
        <f>1-G18</f>
        <v>0.90652818991097928</v>
      </c>
      <c r="I18" s="1891">
        <f>G18*B18</f>
        <v>7510.8876071416998</v>
      </c>
      <c r="J18" s="1891">
        <f>G18*C18</f>
        <v>59361.475372160159</v>
      </c>
      <c r="K18" s="1882"/>
      <c r="L18" s="1891">
        <f>B18*H18</f>
        <v>72843.68774545363</v>
      </c>
      <c r="M18" s="1891">
        <f>C18*H18</f>
        <v>575712.08654587087</v>
      </c>
      <c r="N18" s="1895"/>
      <c r="O18" s="1891">
        <f>+L18+I18</f>
        <v>80354.575352595333</v>
      </c>
      <c r="P18" s="1891">
        <f>+J18+M18</f>
        <v>635073.56191803108</v>
      </c>
      <c r="Q18" s="1912"/>
    </row>
    <row r="19" spans="1:17">
      <c r="A19" s="1888" t="s">
        <v>486</v>
      </c>
      <c r="B19" s="1889">
        <f>SUM('[6]AM260 Asset Listing'!AZ26:AZ29,'[6]AM260 Asset Listing'!AZ325:AZ376)</f>
        <v>32213.760955954014</v>
      </c>
      <c r="C19" s="1889">
        <f>SUM('[6]AM260 Asset Listing'!BG26:BG29,'[6]AM260 Asset Listing'!BG325:BG376)</f>
        <v>239917.4288313422</v>
      </c>
      <c r="D19" s="1889"/>
      <c r="E19" s="1897" t="s">
        <v>344</v>
      </c>
      <c r="F19" s="1897"/>
      <c r="G19" s="1901">
        <f>'[8]Cont Summ'!L30</f>
        <v>8.9201877934272297E-2</v>
      </c>
      <c r="H19" s="1894">
        <f>1-G19</f>
        <v>0.91079812206572774</v>
      </c>
      <c r="I19" s="1891">
        <f>G19*B19</f>
        <v>2873.5279725968367</v>
      </c>
      <c r="J19" s="1891">
        <f>G19*C19</f>
        <v>21401.085200917849</v>
      </c>
      <c r="K19" s="1882"/>
      <c r="L19" s="1891">
        <f>B19*H19</f>
        <v>29340.232983357178</v>
      </c>
      <c r="M19" s="1891">
        <f>C19*H19</f>
        <v>218516.34363042435</v>
      </c>
      <c r="N19" s="1895"/>
      <c r="O19" s="1891">
        <f>+L19+I19</f>
        <v>32213.760955954014</v>
      </c>
      <c r="P19" s="1891">
        <f>+J19+M19</f>
        <v>239917.4288313422</v>
      </c>
      <c r="Q19" s="1912"/>
    </row>
    <row r="20" spans="1:17">
      <c r="A20" s="1888" t="s">
        <v>494</v>
      </c>
      <c r="B20" s="1889">
        <f>SUM('[6]AM260 Asset Listing'!AZ390:AZ791)</f>
        <v>267667.78859581862</v>
      </c>
      <c r="C20" s="1889">
        <f>SUM('[6]AM260 Asset Listing'!BG390:BG791)</f>
        <v>1031860.2452663856</v>
      </c>
      <c r="D20" s="1889"/>
      <c r="E20" s="1897" t="s">
        <v>344</v>
      </c>
      <c r="F20" s="1897"/>
      <c r="G20" s="1901">
        <f>'[8]Cont Summ'!L31</f>
        <v>0.15638464913903855</v>
      </c>
      <c r="H20" s="1894">
        <f>1-G20</f>
        <v>0.8436153508609614</v>
      </c>
      <c r="I20" s="1891">
        <f>G20*B20</f>
        <v>41859.133205379439</v>
      </c>
      <c r="J20" s="1891">
        <f>G20*C20</f>
        <v>161367.10241650598</v>
      </c>
      <c r="K20" s="1882"/>
      <c r="L20" s="1891">
        <f>B20*H20</f>
        <v>225808.65539043918</v>
      </c>
      <c r="M20" s="1891">
        <f>C20*H20</f>
        <v>870493.14284987957</v>
      </c>
      <c r="N20" s="1895"/>
      <c r="O20" s="1891">
        <f>+L20+I20</f>
        <v>267667.78859581862</v>
      </c>
      <c r="P20" s="1891">
        <f>+J20+M20</f>
        <v>1031860.2452663856</v>
      </c>
      <c r="Q20" s="1912"/>
    </row>
    <row r="21" spans="1:17">
      <c r="A21" s="1888" t="s">
        <v>2397</v>
      </c>
      <c r="B21" s="1889">
        <f>+SUM('[6]AM260 Asset Listing'!AZ377:AZ389)</f>
        <v>1637.3700000000001</v>
      </c>
      <c r="C21" s="1889">
        <f>+SUM('[6]AM260 Asset Listing'!BG377:BG389)</f>
        <v>818.6850000000004</v>
      </c>
      <c r="D21" s="1889"/>
      <c r="E21" s="1897" t="s">
        <v>344</v>
      </c>
      <c r="F21" s="1897"/>
      <c r="G21" s="1901">
        <f>'[8]Cont Summ'!L32</f>
        <v>0.15013072111725187</v>
      </c>
      <c r="H21" s="1894">
        <f>1-G21</f>
        <v>0.8498692788827481</v>
      </c>
      <c r="I21" s="1891">
        <f>G21*B21</f>
        <v>245.81953883575471</v>
      </c>
      <c r="J21" s="1891">
        <f>G21*C21</f>
        <v>122.90976941787741</v>
      </c>
      <c r="K21" s="1882"/>
      <c r="L21" s="1891">
        <f>B21*H21</f>
        <v>1391.5504611642455</v>
      </c>
      <c r="M21" s="1891">
        <f>C21*H21</f>
        <v>695.77523058212296</v>
      </c>
      <c r="N21" s="1895"/>
      <c r="O21" s="1891">
        <f>+L21+I21</f>
        <v>1637.3700000000001</v>
      </c>
      <c r="P21" s="1891">
        <f>+J21+M21</f>
        <v>818.6850000000004</v>
      </c>
      <c r="Q21" s="1912"/>
    </row>
    <row r="22" spans="1:17">
      <c r="B22" s="1889"/>
      <c r="C22" s="1889"/>
      <c r="D22" s="1889"/>
      <c r="G22" s="1894"/>
      <c r="H22" s="1894"/>
      <c r="J22" s="1891"/>
      <c r="K22" s="1882"/>
      <c r="M22" s="1881"/>
      <c r="N22" s="1883"/>
      <c r="Q22" s="1912"/>
    </row>
    <row r="23" spans="1:17" s="1902" customFormat="1">
      <c r="A23" s="1902" t="s">
        <v>2398</v>
      </c>
      <c r="B23" s="1903">
        <f>SUM(B18:B21)</f>
        <v>381873.49490436795</v>
      </c>
      <c r="C23" s="1903">
        <f>SUM(C18:C21)</f>
        <v>1907669.9210157588</v>
      </c>
      <c r="D23" s="1904"/>
      <c r="G23" s="1905"/>
      <c r="H23" s="1905"/>
      <c r="I23" s="1906">
        <f>SUM(I18:I21)</f>
        <v>52489.368323953735</v>
      </c>
      <c r="J23" s="1906">
        <f>SUM(J18:J21)</f>
        <v>242252.57275900184</v>
      </c>
      <c r="K23" s="1907"/>
      <c r="L23" s="1906">
        <f>SUM(L18:L21)</f>
        <v>329384.12658041425</v>
      </c>
      <c r="M23" s="1906">
        <f>SUM(M18:M21)</f>
        <v>1665417.3482567568</v>
      </c>
      <c r="N23" s="1904"/>
      <c r="O23" s="1906">
        <f>SUM(O18:O21)</f>
        <v>381873.49490436795</v>
      </c>
      <c r="P23" s="1906">
        <f>SUM(P18:P21)</f>
        <v>1907669.921015759</v>
      </c>
      <c r="Q23" s="1913"/>
    </row>
    <row r="24" spans="1:17">
      <c r="B24" s="1889"/>
      <c r="C24" s="1889"/>
      <c r="D24" s="1889"/>
      <c r="G24" s="1894"/>
      <c r="H24" s="1894"/>
      <c r="J24" s="1891"/>
      <c r="K24" s="1882"/>
      <c r="M24" s="1881"/>
      <c r="N24" s="1883"/>
    </row>
    <row r="25" spans="1:17">
      <c r="A25" s="1888" t="s">
        <v>2399</v>
      </c>
      <c r="B25" s="1889">
        <f>+'[6]AM260 Asset Listing'!AZ12+'[6]AM260 Asset Listing'!AZ25+'[6]AM260 Asset Listing'!AZ809+'[6]AM260 Asset Listing'!AZ835+'[6]AM260 Asset Listing'!AZ905</f>
        <v>147869.97534382378</v>
      </c>
      <c r="C25" s="1889">
        <f>+'[6]AM260 Asset Listing'!BG12+'[6]AM260 Asset Listing'!BG25+'[6]AM260 Asset Listing'!BG809+'[6]AM260 Asset Listing'!BG835+'[6]AM260 Asset Listing'!BG905</f>
        <v>1027113.0651881574</v>
      </c>
      <c r="D25" s="1889"/>
      <c r="E25" s="1897" t="s">
        <v>10</v>
      </c>
      <c r="F25" s="1897"/>
      <c r="G25" s="1901">
        <f>+G14</f>
        <v>0.14344888907984618</v>
      </c>
      <c r="H25" s="1894">
        <f>1-G25</f>
        <v>0.85655111092015379</v>
      </c>
      <c r="I25" s="1891">
        <f>G25*B25</f>
        <v>21211.783691335768</v>
      </c>
      <c r="J25" s="1891">
        <f>G25*C25</f>
        <v>147338.22816063682</v>
      </c>
      <c r="K25" s="1882"/>
      <c r="L25" s="1891">
        <f>B25*H25</f>
        <v>126658.19165248801</v>
      </c>
      <c r="M25" s="1891">
        <f>C25*H25</f>
        <v>879774.83702752052</v>
      </c>
      <c r="N25" s="1895"/>
      <c r="O25" s="1891">
        <f>+L25+I25</f>
        <v>147869.97534382378</v>
      </c>
      <c r="P25" s="1891">
        <f>+J25+M25</f>
        <v>1027113.0651881574</v>
      </c>
    </row>
    <row r="26" spans="1:17">
      <c r="B26" s="1889"/>
      <c r="C26" s="1889"/>
      <c r="D26" s="1889"/>
      <c r="G26" s="1914"/>
      <c r="H26" s="1894"/>
      <c r="I26" s="1891"/>
      <c r="J26" s="1889"/>
      <c r="K26" s="1882"/>
      <c r="L26" s="1891"/>
      <c r="M26" s="1891"/>
      <c r="N26" s="1895"/>
      <c r="O26" s="1891"/>
      <c r="P26" s="1891"/>
    </row>
    <row r="27" spans="1:17">
      <c r="A27" s="1888" t="s">
        <v>2400</v>
      </c>
      <c r="B27" s="1889">
        <f>+'[6]AM260 Asset Listing'!AZ839+'[6]AM260 Asset Listing'!AZ855+'[6]AM260 Asset Listing'!AZ869</f>
        <v>76207.602952387999</v>
      </c>
      <c r="C27" s="1889">
        <f>+'[6]AM260 Asset Listing'!BG839+'[6]AM260 Asset Listing'!BG855+'[6]AM260 Asset Listing'!BG869</f>
        <v>79672.266719557418</v>
      </c>
      <c r="D27" s="1889"/>
      <c r="E27" s="1897" t="s">
        <v>10</v>
      </c>
      <c r="F27" s="1897"/>
      <c r="G27" s="1901">
        <f>+G25</f>
        <v>0.14344888907984618</v>
      </c>
      <c r="H27" s="1894">
        <f>+H25</f>
        <v>0.85655111092015379</v>
      </c>
      <c r="I27" s="1891">
        <f>G27*B27</f>
        <v>10931.895982958064</v>
      </c>
      <c r="J27" s="1891">
        <f>G27*C27</f>
        <v>11428.898151393712</v>
      </c>
      <c r="K27" s="1882"/>
      <c r="L27" s="1891">
        <f>B27*H27</f>
        <v>65275.706969429935</v>
      </c>
      <c r="M27" s="1891">
        <f>C27*H27</f>
        <v>68243.3685681637</v>
      </c>
      <c r="N27" s="1895"/>
      <c r="O27" s="1891">
        <f>+L27+I27</f>
        <v>76207.602952387999</v>
      </c>
      <c r="P27" s="1891">
        <f>+J27+M27</f>
        <v>79672.266719557418</v>
      </c>
    </row>
    <row r="28" spans="1:17">
      <c r="B28" s="1915"/>
      <c r="C28" s="1915"/>
      <c r="D28" s="1889"/>
      <c r="G28" s="1897"/>
      <c r="H28" s="1897"/>
      <c r="I28" s="1916"/>
      <c r="J28" s="1915"/>
      <c r="K28" s="1917"/>
      <c r="L28" s="1915"/>
      <c r="M28" s="1918"/>
      <c r="N28" s="1918"/>
      <c r="O28" s="1918"/>
      <c r="P28" s="1918"/>
    </row>
    <row r="29" spans="1:17">
      <c r="A29" s="1919" t="s">
        <v>2401</v>
      </c>
      <c r="B29" s="1889">
        <f>SUM(B24:B28)</f>
        <v>224077.57829621178</v>
      </c>
      <c r="C29" s="1915">
        <f>SUM(C24:C28)</f>
        <v>1106785.3319077147</v>
      </c>
      <c r="D29" s="1915"/>
      <c r="E29" s="1918"/>
      <c r="F29" s="1918"/>
      <c r="G29" s="1920"/>
      <c r="H29" s="1920"/>
      <c r="I29" s="1916">
        <f>SUM(I24:I28)</f>
        <v>32143.679674293831</v>
      </c>
      <c r="J29" s="1916">
        <f>SUM(J24:J28)</f>
        <v>158767.12631203054</v>
      </c>
      <c r="K29" s="1917"/>
      <c r="L29" s="1916">
        <f>SUM(L24:L28)</f>
        <v>191933.89862191794</v>
      </c>
      <c r="M29" s="1916">
        <f>SUM(M24:M28)</f>
        <v>948018.20559568424</v>
      </c>
      <c r="N29" s="1916"/>
      <c r="O29" s="1916">
        <f>SUM(O24:O28)</f>
        <v>224077.57829621178</v>
      </c>
      <c r="P29" s="1916">
        <f>SUM(P24:P28)</f>
        <v>1106785.3319077147</v>
      </c>
      <c r="Q29" s="1913"/>
    </row>
    <row r="30" spans="1:17" s="1902" customFormat="1" ht="12.75" thickBot="1">
      <c r="A30" s="1902" t="s">
        <v>27</v>
      </c>
      <c r="B30" s="1921">
        <f>+B16+B23+B25+B27+B28</f>
        <v>3027338.2433213782</v>
      </c>
      <c r="C30" s="1922">
        <f>+C16+C23+C25+C27+C28</f>
        <v>14301882.924104277</v>
      </c>
      <c r="D30" s="1904"/>
      <c r="I30" s="1923">
        <f>+I16+I23+I25+I27+I28</f>
        <v>454971.35157273035</v>
      </c>
      <c r="J30" s="1923">
        <f>+J16+J23+J25+J27+J28</f>
        <v>2036120.6995073895</v>
      </c>
      <c r="K30" s="1907"/>
      <c r="L30" s="1924">
        <f>+L16+L23+L25+L27</f>
        <v>2572366.8917486481</v>
      </c>
      <c r="M30" s="1924">
        <f>+M16+M23+M25+M27</f>
        <v>12265762.224596886</v>
      </c>
      <c r="N30" s="1904"/>
      <c r="O30" s="1924">
        <f>+O16+O23+O25+O27</f>
        <v>3027338.2433213782</v>
      </c>
      <c r="P30" s="1924">
        <f>+P16+P23+P25+P27</f>
        <v>14301882.924104277</v>
      </c>
    </row>
    <row r="31" spans="1:17" ht="12.75" thickTop="1">
      <c r="B31" s="1925"/>
      <c r="C31" s="1925"/>
    </row>
    <row r="32" spans="1:17" ht="27" thickBot="1">
      <c r="A32" s="1926" t="s">
        <v>2402</v>
      </c>
      <c r="B32" s="1925"/>
      <c r="C32" s="1925"/>
    </row>
    <row r="33" spans="1:16">
      <c r="A33" s="1927"/>
      <c r="B33" s="1928"/>
      <c r="C33" s="1928"/>
      <c r="D33" s="1929"/>
      <c r="E33" s="1929"/>
      <c r="F33" s="1929"/>
      <c r="G33" s="1929"/>
      <c r="H33" s="1929" t="s">
        <v>145</v>
      </c>
      <c r="I33" s="1930">
        <f>E58+F58</f>
        <v>0.48250336666141902</v>
      </c>
      <c r="J33" s="1930">
        <f>G58</f>
        <v>0.26161891668393106</v>
      </c>
      <c r="K33" s="1930">
        <f>H58</f>
        <v>0.20955271180292639</v>
      </c>
      <c r="L33" s="1930">
        <f>I58</f>
        <v>4.6325004851723577E-2</v>
      </c>
      <c r="M33" s="1931"/>
    </row>
    <row r="34" spans="1:16">
      <c r="A34" s="1932"/>
      <c r="B34" s="1933"/>
      <c r="C34" s="1933"/>
      <c r="D34" s="1883"/>
      <c r="E34" s="1883"/>
      <c r="F34" s="1883"/>
      <c r="G34" s="1883"/>
      <c r="H34" s="1883" t="s">
        <v>2403</v>
      </c>
      <c r="I34" s="1934">
        <f>I33+L33</f>
        <v>0.52882837151314255</v>
      </c>
      <c r="J34" s="1934">
        <f>J33</f>
        <v>0.26161891668393106</v>
      </c>
      <c r="K34" s="1934">
        <f>K33</f>
        <v>0.20955271180292639</v>
      </c>
      <c r="L34" s="1935">
        <v>0</v>
      </c>
      <c r="M34" s="1936"/>
    </row>
    <row r="35" spans="1:16" ht="36">
      <c r="A35" s="1932"/>
      <c r="B35" s="1937" t="s">
        <v>2404</v>
      </c>
      <c r="C35" s="1937" t="s">
        <v>2383</v>
      </c>
      <c r="D35" s="1938"/>
      <c r="E35" s="1939" t="s">
        <v>2405</v>
      </c>
      <c r="F35" s="1939" t="s">
        <v>2406</v>
      </c>
      <c r="G35" s="1940" t="s">
        <v>2407</v>
      </c>
      <c r="H35" s="1940" t="s">
        <v>2408</v>
      </c>
      <c r="I35" s="1941" t="s">
        <v>18</v>
      </c>
      <c r="J35" s="1941" t="s">
        <v>15</v>
      </c>
      <c r="K35" s="1941" t="s">
        <v>16</v>
      </c>
      <c r="L35" s="1941" t="s">
        <v>2409</v>
      </c>
      <c r="M35" s="1942" t="s">
        <v>27</v>
      </c>
    </row>
    <row r="36" spans="1:16">
      <c r="A36" s="1932" t="s">
        <v>2209</v>
      </c>
      <c r="B36" s="1933">
        <f>'Staff Depreciation'!V125</f>
        <v>2421387.1436492759</v>
      </c>
      <c r="C36" s="1943">
        <f>'Staff Depreciation'!R125</f>
        <v>11286531.605330069</v>
      </c>
      <c r="D36" s="1883"/>
      <c r="E36" s="1883" t="s">
        <v>2396</v>
      </c>
      <c r="F36" s="1944">
        <f>G16</f>
        <v>0.1448603745750785</v>
      </c>
      <c r="G36" s="1933">
        <f>B36*F36</f>
        <v>350763.04862031352</v>
      </c>
      <c r="H36" s="1945">
        <f>C36*F36</f>
        <v>1634971.1960015758</v>
      </c>
      <c r="I36" s="1946">
        <f>H36*I34</f>
        <v>864619.15505240834</v>
      </c>
      <c r="J36" s="1946">
        <f>H36*J34</f>
        <v>427739.39310736337</v>
      </c>
      <c r="K36" s="1946">
        <f>H36*K34</f>
        <v>342612.64784180408</v>
      </c>
      <c r="L36" s="1946">
        <f>H36*L34</f>
        <v>0</v>
      </c>
      <c r="M36" s="1947">
        <f t="shared" ref="M36:M46" si="0">SUM(I36:L36)</f>
        <v>1634971.1960015758</v>
      </c>
      <c r="N36" s="1948"/>
    </row>
    <row r="37" spans="1:16">
      <c r="A37" s="1932" t="s">
        <v>2410</v>
      </c>
      <c r="B37" s="1933"/>
      <c r="C37" s="1949"/>
      <c r="D37" s="1883"/>
      <c r="E37" s="1883"/>
      <c r="F37" s="1944"/>
      <c r="G37" s="1933">
        <f t="shared" ref="G37:G46" si="1">B37*F37</f>
        <v>0</v>
      </c>
      <c r="H37" s="1945">
        <f t="shared" ref="H37:H46" si="2">C37*F37</f>
        <v>0</v>
      </c>
      <c r="I37" s="1950">
        <f>H37*$I$33</f>
        <v>0</v>
      </c>
      <c r="J37" s="1950">
        <f>H37*$J$33</f>
        <v>0</v>
      </c>
      <c r="K37" s="1950">
        <f>H37*$K$33</f>
        <v>0</v>
      </c>
      <c r="L37" s="1950">
        <f>H37*$L$33</f>
        <v>0</v>
      </c>
      <c r="M37" s="1951">
        <f t="shared" si="0"/>
        <v>0</v>
      </c>
      <c r="O37" s="1925"/>
      <c r="P37" s="1948"/>
    </row>
    <row r="38" spans="1:16">
      <c r="A38" s="1952" t="s">
        <v>301</v>
      </c>
      <c r="B38" s="1933">
        <f>B18</f>
        <v>80354.575352595333</v>
      </c>
      <c r="C38" s="1933">
        <f>C18</f>
        <v>635073.56191803096</v>
      </c>
      <c r="D38" s="1883"/>
      <c r="E38" s="1953" t="s">
        <v>344</v>
      </c>
      <c r="F38" s="1944">
        <f>G18</f>
        <v>9.3471810089020765E-2</v>
      </c>
      <c r="G38" s="1933">
        <f t="shared" si="1"/>
        <v>7510.8876071416998</v>
      </c>
      <c r="H38" s="1945">
        <f t="shared" si="2"/>
        <v>59361.475372160159</v>
      </c>
      <c r="I38" s="1954">
        <f>H38*$E$53</f>
        <v>48431.425938556065</v>
      </c>
      <c r="J38" s="1954"/>
      <c r="K38" s="1954"/>
      <c r="L38" s="1954">
        <f>H38*I53</f>
        <v>10930.049433604094</v>
      </c>
      <c r="M38" s="1955">
        <f t="shared" si="0"/>
        <v>59361.475372160159</v>
      </c>
      <c r="N38" s="1948"/>
      <c r="O38" s="1925"/>
      <c r="P38" s="1948"/>
    </row>
    <row r="39" spans="1:16">
      <c r="A39" s="1952" t="s">
        <v>486</v>
      </c>
      <c r="B39" s="1933">
        <f t="shared" ref="B39:C41" si="3">B19</f>
        <v>32213.760955954014</v>
      </c>
      <c r="C39" s="1933">
        <f t="shared" si="3"/>
        <v>239917.4288313422</v>
      </c>
      <c r="D39" s="1883"/>
      <c r="E39" s="1953" t="s">
        <v>344</v>
      </c>
      <c r="F39" s="1944">
        <f>G19</f>
        <v>8.9201877934272297E-2</v>
      </c>
      <c r="G39" s="1933">
        <f t="shared" si="1"/>
        <v>2873.5279725968367</v>
      </c>
      <c r="H39" s="1945">
        <f t="shared" si="2"/>
        <v>21401.085200917849</v>
      </c>
      <c r="I39" s="1956">
        <f>H39*F54</f>
        <v>21401.085200917849</v>
      </c>
      <c r="J39" s="1954"/>
      <c r="K39" s="1954"/>
      <c r="L39" s="1954"/>
      <c r="M39" s="1955">
        <f t="shared" si="0"/>
        <v>21401.085200917849</v>
      </c>
      <c r="N39" s="1948"/>
      <c r="O39" s="1925"/>
      <c r="P39" s="1948"/>
    </row>
    <row r="40" spans="1:16">
      <c r="A40" s="1952" t="s">
        <v>494</v>
      </c>
      <c r="B40" s="1933">
        <f t="shared" si="3"/>
        <v>267667.78859581862</v>
      </c>
      <c r="C40" s="1933">
        <f t="shared" si="3"/>
        <v>1031860.2452663856</v>
      </c>
      <c r="D40" s="1883"/>
      <c r="E40" s="1953" t="s">
        <v>344</v>
      </c>
      <c r="F40" s="1944">
        <f>G20</f>
        <v>0.15638464913903855</v>
      </c>
      <c r="G40" s="1933">
        <f t="shared" si="1"/>
        <v>41859.133205379439</v>
      </c>
      <c r="H40" s="1945">
        <f t="shared" si="2"/>
        <v>161367.10241650598</v>
      </c>
      <c r="I40" s="1954">
        <f>E55*H40</f>
        <v>60084.424138451548</v>
      </c>
      <c r="J40" s="1954">
        <f>H40*G55</f>
        <v>58666.05204148429</v>
      </c>
      <c r="K40" s="1954">
        <f>H40*H55</f>
        <v>40325.40977223841</v>
      </c>
      <c r="L40" s="1954">
        <f>H40*I55</f>
        <v>2291.2164643317278</v>
      </c>
      <c r="M40" s="1955">
        <f t="shared" si="0"/>
        <v>161367.10241650598</v>
      </c>
      <c r="N40" s="1948"/>
      <c r="O40" s="1925"/>
      <c r="P40" s="1948"/>
    </row>
    <row r="41" spans="1:16">
      <c r="A41" s="1952" t="s">
        <v>2397</v>
      </c>
      <c r="B41" s="1933">
        <f t="shared" si="3"/>
        <v>1637.3700000000001</v>
      </c>
      <c r="C41" s="1933">
        <f t="shared" si="3"/>
        <v>818.6850000000004</v>
      </c>
      <c r="D41" s="1883"/>
      <c r="E41" s="1953" t="s">
        <v>344</v>
      </c>
      <c r="F41" s="1944">
        <f>G21</f>
        <v>0.15013072111725187</v>
      </c>
      <c r="G41" s="1933">
        <f t="shared" si="1"/>
        <v>245.81953883575471</v>
      </c>
      <c r="H41" s="1945">
        <f t="shared" si="2"/>
        <v>122.90976941787741</v>
      </c>
      <c r="I41" s="1954"/>
      <c r="J41" s="1956">
        <f>H41*1</f>
        <v>122.90976941787741</v>
      </c>
      <c r="K41" s="1954"/>
      <c r="L41" s="1954"/>
      <c r="M41" s="1955">
        <f t="shared" si="0"/>
        <v>122.90976941787741</v>
      </c>
      <c r="N41" s="1948"/>
      <c r="O41" s="1925"/>
      <c r="P41" s="1948"/>
    </row>
    <row r="42" spans="1:16">
      <c r="A42" s="1932" t="s">
        <v>2411</v>
      </c>
      <c r="B42" s="1933">
        <f>'Staff Depreciation'!V161</f>
        <v>64170.603126916001</v>
      </c>
      <c r="C42" s="1943">
        <f>'Staff Depreciation'!R161</f>
        <v>1087129.541513396</v>
      </c>
      <c r="D42" s="1883"/>
      <c r="E42" s="1883" t="s">
        <v>10</v>
      </c>
      <c r="F42" s="1944">
        <f>Proforma!$L$3</f>
        <v>0.14344888907984618</v>
      </c>
      <c r="G42" s="1933">
        <f t="shared" si="1"/>
        <v>9205.2017301398046</v>
      </c>
      <c r="H42" s="1945">
        <f t="shared" si="2"/>
        <v>155947.52501597916</v>
      </c>
      <c r="I42" s="1957">
        <f>H42*$I$33</f>
        <v>75245.205842725802</v>
      </c>
      <c r="J42" s="1957">
        <f>H42*$J$33</f>
        <v>40798.822554220707</v>
      </c>
      <c r="K42" s="1957">
        <f>H42*$K$33</f>
        <v>32679.226766053136</v>
      </c>
      <c r="L42" s="1957">
        <f>H42*$L$33</f>
        <v>7224.2698529795189</v>
      </c>
      <c r="M42" s="1958">
        <f t="shared" si="0"/>
        <v>155947.52501597916</v>
      </c>
      <c r="N42" s="1948"/>
      <c r="O42" s="1959"/>
      <c r="P42" s="1948"/>
    </row>
    <row r="43" spans="1:16">
      <c r="A43" s="1932" t="s">
        <v>2199</v>
      </c>
      <c r="B43" s="1933">
        <f>'Staff Depreciation'!V19</f>
        <v>16693.106766917295</v>
      </c>
      <c r="C43" s="1943">
        <f>'Staff Depreciation'!R19</f>
        <v>113887.78195488949</v>
      </c>
      <c r="D43" s="1883"/>
      <c r="E43" s="1883" t="s">
        <v>10</v>
      </c>
      <c r="F43" s="1944">
        <f>Proforma!$L$3</f>
        <v>0.14344888907984618</v>
      </c>
      <c r="G43" s="1933">
        <f t="shared" si="1"/>
        <v>2394.6076210055489</v>
      </c>
      <c r="H43" s="1945">
        <f t="shared" si="2"/>
        <v>16337.07580119665</v>
      </c>
      <c r="I43" s="1957">
        <f>H43*$I$33</f>
        <v>7882.6940754801835</v>
      </c>
      <c r="J43" s="1957">
        <f>H43*$J$33</f>
        <v>4274.088072892333</v>
      </c>
      <c r="K43" s="1957">
        <f>H43*$K$33</f>
        <v>3423.4785370707245</v>
      </c>
      <c r="L43" s="1957">
        <f>H43*$L$33</f>
        <v>756.81511575341062</v>
      </c>
      <c r="M43" s="1958">
        <f t="shared" si="0"/>
        <v>16337.075801196652</v>
      </c>
      <c r="O43" s="1960"/>
      <c r="P43" s="1948"/>
    </row>
    <row r="44" spans="1:16">
      <c r="A44" s="1932" t="s">
        <v>2363</v>
      </c>
      <c r="B44" s="1933">
        <f>'Staff Depreciation'!V148</f>
        <v>76207.669665571593</v>
      </c>
      <c r="C44" s="1943">
        <f>'Staff Depreciation'!R149</f>
        <v>79672.658234949602</v>
      </c>
      <c r="D44" s="1883"/>
      <c r="E44" s="1883" t="s">
        <v>13</v>
      </c>
      <c r="F44" s="1944">
        <f>Proforma!$L$6</f>
        <v>0.12699356418875865</v>
      </c>
      <c r="G44" s="1933">
        <f t="shared" si="1"/>
        <v>9677.883589350482</v>
      </c>
      <c r="H44" s="1945">
        <f t="shared" si="2"/>
        <v>10117.914837649103</v>
      </c>
      <c r="I44" s="1957">
        <f>H44*$I$33</f>
        <v>4881.9279727592175</v>
      </c>
      <c r="J44" s="1957">
        <f>H44*$J$33</f>
        <v>2647.0379189260307</v>
      </c>
      <c r="K44" s="1957">
        <f>H44*$K$33</f>
        <v>2120.2364920204354</v>
      </c>
      <c r="L44" s="1957">
        <f>H44*$L$33</f>
        <v>468.71245394342066</v>
      </c>
      <c r="M44" s="1958">
        <f t="shared" si="0"/>
        <v>10117.914837649105</v>
      </c>
      <c r="O44" s="1960"/>
      <c r="P44" s="1948"/>
    </row>
    <row r="45" spans="1:16">
      <c r="A45" s="1932" t="s">
        <v>2372</v>
      </c>
      <c r="B45" s="1933">
        <f>'Staff Depreciation'!V169</f>
        <v>3085.999999999618</v>
      </c>
      <c r="C45" s="1943">
        <f>'Staff Depreciation'!R169</f>
        <v>7363.416666666858</v>
      </c>
      <c r="D45" s="1883"/>
      <c r="E45" s="1883" t="s">
        <v>13</v>
      </c>
      <c r="F45" s="1944">
        <f>Proforma!$L$6</f>
        <v>0.12699356418875865</v>
      </c>
      <c r="G45" s="1933">
        <f t="shared" si="1"/>
        <v>391.90213908646069</v>
      </c>
      <c r="H45" s="1945">
        <f t="shared" si="2"/>
        <v>935.10652710693284</v>
      </c>
      <c r="I45" s="1957">
        <f>H45*$I$33</f>
        <v>451.19204751616257</v>
      </c>
      <c r="J45" s="1957">
        <f>H45*$J$33</f>
        <v>244.64155660578879</v>
      </c>
      <c r="K45" s="1957">
        <f>H45*$K$33</f>
        <v>195.95410857987449</v>
      </c>
      <c r="L45" s="1957">
        <f>H45*$L$33</f>
        <v>43.318814405107048</v>
      </c>
      <c r="M45" s="1958">
        <f t="shared" si="0"/>
        <v>935.10652710693284</v>
      </c>
      <c r="O45" s="1925"/>
      <c r="P45" s="1948"/>
    </row>
    <row r="46" spans="1:16">
      <c r="A46" s="1932" t="s">
        <v>2412</v>
      </c>
      <c r="B46" s="1961">
        <f>'Staff Depreciation'!V181</f>
        <v>395</v>
      </c>
      <c r="C46" s="1962">
        <v>0</v>
      </c>
      <c r="D46" s="1883"/>
      <c r="E46" s="1883" t="s">
        <v>10</v>
      </c>
      <c r="F46" s="1944">
        <f>Proforma!$L$3</f>
        <v>0.14344888907984618</v>
      </c>
      <c r="G46" s="1961">
        <f t="shared" si="1"/>
        <v>56.662311186539242</v>
      </c>
      <c r="H46" s="1963">
        <f t="shared" si="2"/>
        <v>0</v>
      </c>
      <c r="I46" s="1964">
        <f>H46*$I$33</f>
        <v>0</v>
      </c>
      <c r="J46" s="1964">
        <f>H46*$J$33</f>
        <v>0</v>
      </c>
      <c r="K46" s="1964">
        <f>H46*$K$33</f>
        <v>0</v>
      </c>
      <c r="L46" s="1964">
        <f>H46*$L$33</f>
        <v>0</v>
      </c>
      <c r="M46" s="1965">
        <f t="shared" si="0"/>
        <v>0</v>
      </c>
      <c r="O46" s="1933"/>
      <c r="P46" s="1948"/>
    </row>
    <row r="47" spans="1:16">
      <c r="A47" s="1932"/>
      <c r="B47" s="1933">
        <f>SUM(B36:B46)</f>
        <v>2963813.0181130483</v>
      </c>
      <c r="C47" s="1933">
        <f>SUM(C36:C46)</f>
        <v>14482254.924715731</v>
      </c>
      <c r="D47" s="1883"/>
      <c r="E47" s="1883"/>
      <c r="F47" s="1883"/>
      <c r="G47" s="1933">
        <f t="shared" ref="G47:M47" si="4">SUM(G36:G46)</f>
        <v>424978.67433503602</v>
      </c>
      <c r="H47" s="1933">
        <f t="shared" si="4"/>
        <v>2060561.3909425095</v>
      </c>
      <c r="I47" s="1950">
        <f t="shared" si="4"/>
        <v>1082997.110268815</v>
      </c>
      <c r="J47" s="1950">
        <f t="shared" si="4"/>
        <v>534492.94502091035</v>
      </c>
      <c r="K47" s="1950">
        <f t="shared" si="4"/>
        <v>421356.95351776667</v>
      </c>
      <c r="L47" s="1950">
        <f t="shared" si="4"/>
        <v>21714.382135017277</v>
      </c>
      <c r="M47" s="1951">
        <f t="shared" si="4"/>
        <v>2060561.3909425095</v>
      </c>
      <c r="O47" s="1933"/>
      <c r="P47" s="1948"/>
    </row>
    <row r="48" spans="1:16" ht="12.75" thickBot="1">
      <c r="A48" s="1966"/>
      <c r="B48" s="1967"/>
      <c r="C48" s="1967"/>
      <c r="D48" s="1968"/>
      <c r="E48" s="1968"/>
      <c r="F48" s="1968"/>
      <c r="G48" s="1968"/>
      <c r="H48" s="1968"/>
      <c r="I48" s="1968"/>
      <c r="J48" s="1968"/>
      <c r="K48" s="1968"/>
      <c r="L48" s="1968"/>
      <c r="M48" s="1969"/>
      <c r="N48" s="1945"/>
      <c r="O48" s="1945"/>
      <c r="P48" s="1948"/>
    </row>
    <row r="49" spans="1:18">
      <c r="B49" s="1925"/>
      <c r="C49" s="1925"/>
      <c r="N49" s="1883"/>
      <c r="O49" s="1883"/>
    </row>
    <row r="51" spans="1:18">
      <c r="A51" s="1970"/>
      <c r="B51" s="1971"/>
      <c r="C51" s="1970"/>
      <c r="D51" s="1970"/>
      <c r="E51" s="1941" t="s">
        <v>18</v>
      </c>
      <c r="F51" s="1941" t="s">
        <v>486</v>
      </c>
      <c r="G51" s="1941" t="s">
        <v>15</v>
      </c>
      <c r="H51" s="1941" t="s">
        <v>16</v>
      </c>
      <c r="I51" s="1941" t="s">
        <v>2409</v>
      </c>
      <c r="J51" s="1972" t="s">
        <v>27</v>
      </c>
    </row>
    <row r="52" spans="1:18">
      <c r="A52" s="1970" t="s">
        <v>2413</v>
      </c>
    </row>
    <row r="53" spans="1:18">
      <c r="A53" s="1973" t="s">
        <v>2414</v>
      </c>
      <c r="E53" s="1974">
        <f>+'[8]Cont Summ'!$K$18</f>
        <v>0.81587301587301586</v>
      </c>
      <c r="F53" s="1975"/>
      <c r="G53" s="1975"/>
      <c r="H53" s="1975"/>
      <c r="I53" s="1974">
        <f>+'[8]Cont Summ'!$K$22</f>
        <v>0.18412698412698414</v>
      </c>
      <c r="J53" s="1975"/>
      <c r="K53" s="1897"/>
    </row>
    <row r="54" spans="1:18" ht="12.75" thickBot="1">
      <c r="A54" s="1973" t="s">
        <v>2415</v>
      </c>
      <c r="E54" s="1975"/>
      <c r="F54" s="1976">
        <v>1</v>
      </c>
      <c r="G54" s="1975"/>
      <c r="H54" s="1975"/>
      <c r="I54" s="1975"/>
      <c r="J54" s="1975"/>
      <c r="O54" s="1977" t="s">
        <v>2416</v>
      </c>
      <c r="P54" s="1977" t="s">
        <v>2417</v>
      </c>
      <c r="Q54" s="1977" t="s">
        <v>1756</v>
      </c>
    </row>
    <row r="55" spans="1:18">
      <c r="A55" s="1973" t="s">
        <v>2418</v>
      </c>
      <c r="E55" s="1974">
        <f>+'[8]Cont Summ'!$J$18</f>
        <v>0.37234617985125085</v>
      </c>
      <c r="F55" s="1975"/>
      <c r="G55" s="1974">
        <f>+'[8]Cont Summ'!$J$20</f>
        <v>0.36355645706558487</v>
      </c>
      <c r="H55" s="1974">
        <f>+'[8]Cont Summ'!$J$21</f>
        <v>0.24989858012170385</v>
      </c>
      <c r="I55" s="1974">
        <f>+'[8]Cont Summ'!$J$22</f>
        <v>1.4198782961460446E-2</v>
      </c>
      <c r="J55" s="1975"/>
      <c r="K55" s="1897"/>
      <c r="N55" s="1978" t="s">
        <v>2419</v>
      </c>
      <c r="O55" s="1979">
        <f>+[8]Proforma!C186</f>
        <v>2440334</v>
      </c>
      <c r="P55" s="1980">
        <f>O16</f>
        <v>2421387.1701207985</v>
      </c>
      <c r="Q55" s="1981">
        <f t="shared" ref="Q55:Q62" si="5">O55-P55</f>
        <v>18946.829879201483</v>
      </c>
      <c r="R55" s="1982">
        <f>+Q55/O55</f>
        <v>7.7640314314358127E-3</v>
      </c>
    </row>
    <row r="56" spans="1:18">
      <c r="A56" s="1973" t="s">
        <v>2420</v>
      </c>
      <c r="E56" s="1983"/>
      <c r="F56" s="1983"/>
      <c r="G56" s="1983"/>
      <c r="H56" s="1983"/>
      <c r="I56" s="1983"/>
      <c r="J56" s="1983"/>
      <c r="N56" s="1978" t="s">
        <v>2421</v>
      </c>
      <c r="O56" s="1984">
        <f>+[8]Proforma!C187</f>
        <v>385468</v>
      </c>
      <c r="P56" s="1895">
        <f>O23</f>
        <v>381873.49490436795</v>
      </c>
      <c r="Q56" s="1985">
        <f t="shared" si="5"/>
        <v>3594.5050956320483</v>
      </c>
      <c r="R56" s="1982">
        <f t="shared" ref="R56:R62" si="6">+Q56/O56</f>
        <v>9.3250414966535439E-3</v>
      </c>
    </row>
    <row r="57" spans="1:18">
      <c r="A57" s="1973"/>
      <c r="N57" s="1978" t="s">
        <v>2422</v>
      </c>
      <c r="O57" s="1984">
        <f>+[8]Proforma!C188</f>
        <v>130068</v>
      </c>
      <c r="P57" s="1895">
        <f>+'[6]AM260 Asset Listing'!AZ835</f>
        <v>128090.72833881163</v>
      </c>
      <c r="Q57" s="1985">
        <f t="shared" si="5"/>
        <v>1977.2716611883661</v>
      </c>
      <c r="R57" s="1982">
        <f t="shared" si="6"/>
        <v>1.5201830282531954E-2</v>
      </c>
    </row>
    <row r="58" spans="1:18">
      <c r="A58" s="1970" t="s">
        <v>2423</v>
      </c>
      <c r="E58" s="1986">
        <f>+[7]Summary!$D$17/[7]Summary!$D$22</f>
        <v>0.4572962963861914</v>
      </c>
      <c r="F58" s="1986">
        <f>+[7]Summary!$D$21/[7]Summary!$D$22</f>
        <v>2.5207070275227596E-2</v>
      </c>
      <c r="G58" s="1986">
        <f>+[7]Summary!$D$19/[7]Summary!$D$22</f>
        <v>0.26161891668393106</v>
      </c>
      <c r="H58" s="1986">
        <f>+[7]Summary!$D$18/[7]Summary!$D$22</f>
        <v>0.20955271180292639</v>
      </c>
      <c r="I58" s="1986">
        <f>+[7]Summary!$D$20/[7]Summary!$D$22</f>
        <v>4.6325004851723577E-2</v>
      </c>
      <c r="J58" s="1897">
        <f>SUM(E58:I58)</f>
        <v>0.99999999999999989</v>
      </c>
      <c r="N58" s="1978" t="s">
        <v>2424</v>
      </c>
      <c r="O58" s="1984">
        <f>+[8]Proforma!C189</f>
        <v>17036</v>
      </c>
      <c r="P58" s="1895">
        <f>+'[6]AM260 Asset Listing'!AZ905</f>
        <v>16693.235338345865</v>
      </c>
      <c r="Q58" s="1985">
        <f t="shared" si="5"/>
        <v>342.76466165413512</v>
      </c>
      <c r="R58" s="1982">
        <f t="shared" si="6"/>
        <v>2.0120020054833009E-2</v>
      </c>
    </row>
    <row r="59" spans="1:18">
      <c r="A59" s="1970"/>
      <c r="E59" s="1986"/>
      <c r="F59" s="1902"/>
      <c r="G59" s="1986"/>
      <c r="H59" s="1986"/>
      <c r="I59" s="1986"/>
      <c r="J59" s="1897"/>
      <c r="N59" s="1978" t="s">
        <v>2425</v>
      </c>
      <c r="O59" s="1984">
        <f>+[8]Proforma!C190</f>
        <v>96664</v>
      </c>
      <c r="P59" s="1987">
        <f>+'[6]AM260 Asset Listing'!AZ12</f>
        <v>0</v>
      </c>
      <c r="Q59" s="1985">
        <f t="shared" si="5"/>
        <v>96664</v>
      </c>
      <c r="R59" s="1982">
        <f t="shared" si="6"/>
        <v>1</v>
      </c>
    </row>
    <row r="60" spans="1:18">
      <c r="A60" s="1988" t="s">
        <v>152</v>
      </c>
      <c r="B60" s="1989"/>
      <c r="C60" s="1989"/>
      <c r="D60" s="1989"/>
      <c r="E60" s="1990" t="s">
        <v>18</v>
      </c>
      <c r="F60" s="1990" t="s">
        <v>486</v>
      </c>
      <c r="G60" s="1990" t="s">
        <v>15</v>
      </c>
      <c r="H60" s="1990" t="s">
        <v>16</v>
      </c>
      <c r="I60" s="1990" t="s">
        <v>2409</v>
      </c>
      <c r="J60" s="1991" t="s">
        <v>27</v>
      </c>
      <c r="N60" s="1978" t="s">
        <v>2426</v>
      </c>
      <c r="O60" s="1984">
        <f>+[8]Proforma!C191</f>
        <v>2874</v>
      </c>
      <c r="P60" s="1895">
        <f>+'[6]AM260 Asset Listing'!AZ809</f>
        <v>0</v>
      </c>
      <c r="Q60" s="1985">
        <f t="shared" si="5"/>
        <v>2874</v>
      </c>
      <c r="R60" s="1982">
        <f t="shared" si="6"/>
        <v>1</v>
      </c>
    </row>
    <row r="61" spans="1:18">
      <c r="A61" s="1992"/>
      <c r="B61" s="1883"/>
      <c r="C61" s="1883"/>
      <c r="D61" s="1883"/>
      <c r="E61" s="1933"/>
      <c r="F61" s="1933"/>
      <c r="G61" s="1933"/>
      <c r="H61" s="1933"/>
      <c r="I61" s="1933"/>
      <c r="J61" s="1993"/>
      <c r="N61" s="1978" t="s">
        <v>2427</v>
      </c>
      <c r="O61" s="1984">
        <v>0</v>
      </c>
      <c r="P61" s="1895">
        <f>+'[6]AM260 Asset Listing'!AZ25</f>
        <v>3086.0116666662843</v>
      </c>
      <c r="Q61" s="1985">
        <f t="shared" si="5"/>
        <v>-3086.0116666662843</v>
      </c>
      <c r="R61" s="1982" t="e">
        <f t="shared" si="6"/>
        <v>#DIV/0!</v>
      </c>
    </row>
    <row r="62" spans="1:18" ht="12.75" thickBot="1">
      <c r="A62" s="1994" t="s">
        <v>2414</v>
      </c>
      <c r="B62" s="1883"/>
      <c r="C62" s="1883"/>
      <c r="D62" s="1883"/>
      <c r="E62" s="1933">
        <f>E53*I18</f>
        <v>6127.9305239219584</v>
      </c>
      <c r="F62" s="1933"/>
      <c r="G62" s="1933"/>
      <c r="H62" s="1933"/>
      <c r="I62" s="1933">
        <f>I18*I53</f>
        <v>1382.9570832197417</v>
      </c>
      <c r="J62" s="1993">
        <f>SUM(E62:I62)</f>
        <v>7510.8876071416998</v>
      </c>
      <c r="N62" s="1978" t="s">
        <v>2428</v>
      </c>
      <c r="O62" s="1995">
        <f>+[8]Proforma!C192</f>
        <v>395</v>
      </c>
      <c r="P62" s="1968">
        <v>0</v>
      </c>
      <c r="Q62" s="1996">
        <f t="shared" si="5"/>
        <v>395</v>
      </c>
      <c r="R62" s="1982">
        <f t="shared" si="6"/>
        <v>1</v>
      </c>
    </row>
    <row r="63" spans="1:18">
      <c r="A63" s="1994" t="s">
        <v>2415</v>
      </c>
      <c r="B63" s="1883"/>
      <c r="C63" s="1883"/>
      <c r="D63" s="1883"/>
      <c r="E63" s="1933"/>
      <c r="F63" s="1933">
        <f>+I19</f>
        <v>2873.5279725968367</v>
      </c>
      <c r="G63" s="1933"/>
      <c r="H63" s="1933"/>
      <c r="I63" s="1933"/>
      <c r="J63" s="1993">
        <f>SUM(E63:I63)</f>
        <v>2873.5279725968367</v>
      </c>
      <c r="N63" s="1883"/>
      <c r="O63" s="1997">
        <f>SUM(O55:O62)</f>
        <v>3072839</v>
      </c>
      <c r="P63" s="1997">
        <f>SUM(P55:P62)</f>
        <v>2951130.6403689897</v>
      </c>
      <c r="Q63" s="1997">
        <f>SUM(Q55:Q62)</f>
        <v>121708.35963100975</v>
      </c>
    </row>
    <row r="64" spans="1:18">
      <c r="A64" s="1994" t="s">
        <v>2418</v>
      </c>
      <c r="B64" s="1883"/>
      <c r="C64" s="1895"/>
      <c r="D64" s="1895"/>
      <c r="E64" s="1933">
        <f>+I20*E55</f>
        <v>15586.08834090768</v>
      </c>
      <c r="F64" s="1933"/>
      <c r="G64" s="1933">
        <f>+I20*G55</f>
        <v>15218.158163984128</v>
      </c>
      <c r="H64" s="1933">
        <f>+I20*H55</f>
        <v>10460.537953149587</v>
      </c>
      <c r="I64" s="1933">
        <f>+I20*I55</f>
        <v>594.34874733804475</v>
      </c>
      <c r="J64" s="1993">
        <f>SUM(E64:I64)</f>
        <v>41859.133205379439</v>
      </c>
      <c r="N64" s="1883"/>
      <c r="O64" s="1883"/>
      <c r="Q64" s="1998">
        <f>+Q63/P63</f>
        <v>4.1241264607585162E-2</v>
      </c>
    </row>
    <row r="65" spans="1:14">
      <c r="A65" s="1994" t="s">
        <v>2420</v>
      </c>
      <c r="B65" s="1883"/>
      <c r="C65" s="1883"/>
      <c r="D65" s="1883"/>
      <c r="E65" s="1933"/>
      <c r="F65" s="1933"/>
      <c r="G65" s="1933">
        <f>+I21</f>
        <v>245.81953883575471</v>
      </c>
      <c r="H65" s="1933"/>
      <c r="I65" s="1933"/>
      <c r="J65" s="1993">
        <f>SUM(E65:I65)</f>
        <v>245.81953883575471</v>
      </c>
      <c r="N65" s="1999" t="s">
        <v>2429</v>
      </c>
    </row>
    <row r="66" spans="1:14" s="1902" customFormat="1">
      <c r="A66" s="2000" t="s">
        <v>35</v>
      </c>
      <c r="B66" s="1910"/>
      <c r="C66" s="1910"/>
      <c r="D66" s="1910"/>
      <c r="E66" s="2001">
        <f t="shared" ref="E66:J66" si="7">SUM(E62:E65)</f>
        <v>21714.018864829639</v>
      </c>
      <c r="F66" s="2001">
        <f t="shared" si="7"/>
        <v>2873.5279725968367</v>
      </c>
      <c r="G66" s="2001">
        <f t="shared" si="7"/>
        <v>15463.977702819882</v>
      </c>
      <c r="H66" s="2001">
        <f t="shared" si="7"/>
        <v>10460.537953149587</v>
      </c>
      <c r="I66" s="2001">
        <f t="shared" si="7"/>
        <v>1977.3058305577865</v>
      </c>
      <c r="J66" s="2002">
        <f t="shared" si="7"/>
        <v>52489.368323953735</v>
      </c>
      <c r="M66" s="1910"/>
      <c r="N66" s="2003" t="s">
        <v>2430</v>
      </c>
    </row>
    <row r="67" spans="1:14" s="1902" customFormat="1">
      <c r="A67" s="2000"/>
      <c r="B67" s="1910"/>
      <c r="C67" s="1910"/>
      <c r="D67" s="1910"/>
      <c r="E67" s="2004"/>
      <c r="F67" s="2004"/>
      <c r="G67" s="2004"/>
      <c r="H67" s="2004"/>
      <c r="I67" s="2004"/>
      <c r="J67" s="2005"/>
      <c r="M67" s="1910"/>
    </row>
    <row r="68" spans="1:14">
      <c r="A68" s="2000" t="s">
        <v>2431</v>
      </c>
      <c r="B68" s="1883"/>
      <c r="C68" s="1883"/>
      <c r="D68" s="1883"/>
      <c r="E68" s="1933"/>
      <c r="G68" s="1933"/>
      <c r="H68" s="1933"/>
      <c r="I68" s="1933"/>
      <c r="J68" s="1993"/>
      <c r="L68" s="2006"/>
    </row>
    <row r="69" spans="1:14">
      <c r="A69" s="1992" t="s">
        <v>2432</v>
      </c>
      <c r="B69" s="1883"/>
      <c r="C69" s="1883"/>
      <c r="D69" s="1883"/>
      <c r="E69" s="1933">
        <f>$I$7*$F$7+$I$11*F11</f>
        <v>190946.00764375806</v>
      </c>
      <c r="F69" s="1933">
        <f>I8</f>
        <v>4129.6304760243302</v>
      </c>
      <c r="G69" s="1933">
        <f>I7*F9</f>
        <v>94463.70572354988</v>
      </c>
      <c r="H69" s="1933">
        <f>I7*F10</f>
        <v>75663.969380465423</v>
      </c>
      <c r="I69" s="1933">
        <f>$I$11*(1-F11)</f>
        <v>0</v>
      </c>
      <c r="J69" s="1993">
        <f>SUM(E69:I69)</f>
        <v>365203.31322379771</v>
      </c>
      <c r="K69" s="1948"/>
      <c r="L69" s="2006"/>
    </row>
    <row r="70" spans="1:14">
      <c r="A70" s="1992" t="s">
        <v>2394</v>
      </c>
      <c r="B70" s="1883"/>
      <c r="C70" s="1883"/>
      <c r="D70" s="1883"/>
      <c r="E70" s="1933">
        <f>I14*E58</f>
        <v>2348.2120693470865</v>
      </c>
      <c r="F70" s="1933">
        <f>I14*F58</f>
        <v>129.4380626323327</v>
      </c>
      <c r="G70" s="1933">
        <f>I14*G58</f>
        <v>1343.4106127286523</v>
      </c>
      <c r="H70" s="1933">
        <f>I14*H58</f>
        <v>1076.0511530679044</v>
      </c>
      <c r="I70" s="1933">
        <f>I14*I58</f>
        <v>237.87845290903695</v>
      </c>
      <c r="J70" s="1993">
        <f>SUM(E70:I70)</f>
        <v>5134.9903506850133</v>
      </c>
      <c r="K70" s="1948"/>
      <c r="L70" s="2006"/>
    </row>
    <row r="71" spans="1:14">
      <c r="A71" s="1992" t="s">
        <v>28</v>
      </c>
      <c r="B71" s="1883"/>
      <c r="C71" s="1883"/>
      <c r="D71" s="1883"/>
      <c r="E71" s="1933">
        <f>I25*E58</f>
        <v>9700.0701217928618</v>
      </c>
      <c r="F71" s="1933">
        <f>I25*F58</f>
        <v>534.68692217042735</v>
      </c>
      <c r="G71" s="1933">
        <f>I25*G58</f>
        <v>5549.4038702611397</v>
      </c>
      <c r="H71" s="1933">
        <f>I25*H58</f>
        <v>4444.9867946964987</v>
      </c>
      <c r="I71" s="1933">
        <f>I25*I58</f>
        <v>982.63598241484044</v>
      </c>
      <c r="J71" s="1993">
        <f>SUM(E71:I71)</f>
        <v>21211.783691335771</v>
      </c>
      <c r="K71" s="1948"/>
    </row>
    <row r="72" spans="1:14">
      <c r="A72" s="1992" t="s">
        <v>2400</v>
      </c>
      <c r="B72" s="1933"/>
      <c r="C72" s="1883"/>
      <c r="D72" s="1883"/>
      <c r="E72" s="1933">
        <f>I27*E58</f>
        <v>4999.1155454858063</v>
      </c>
      <c r="F72" s="1933">
        <f>I27*F58</f>
        <v>275.56107028390215</v>
      </c>
      <c r="G72" s="1933">
        <f>I27*G58</f>
        <v>2859.9907843629062</v>
      </c>
      <c r="H72" s="1933">
        <f>I27*H58</f>
        <v>2290.8084483763801</v>
      </c>
      <c r="I72" s="1933">
        <f>I27*I58</f>
        <v>506.42013444906979</v>
      </c>
      <c r="J72" s="1993">
        <f>SUM(E72:I72)</f>
        <v>10931.895982958065</v>
      </c>
      <c r="K72" s="1948"/>
    </row>
    <row r="73" spans="1:14">
      <c r="A73" s="1992" t="s">
        <v>2433</v>
      </c>
      <c r="B73" s="1883"/>
      <c r="C73" s="1883"/>
      <c r="D73" s="1883"/>
      <c r="E73" s="1933">
        <f>I28*E58</f>
        <v>0</v>
      </c>
      <c r="F73" s="1933"/>
      <c r="G73" s="1933">
        <f>I28*G58</f>
        <v>0</v>
      </c>
      <c r="H73" s="1933">
        <f>I28*H58</f>
        <v>0</v>
      </c>
      <c r="I73" s="1933">
        <f>I28*I58</f>
        <v>0</v>
      </c>
      <c r="J73" s="1993">
        <f>SUM(E73:I73)</f>
        <v>0</v>
      </c>
      <c r="K73" s="1948"/>
    </row>
    <row r="74" spans="1:14" s="1902" customFormat="1">
      <c r="A74" s="2007" t="s">
        <v>27</v>
      </c>
      <c r="B74" s="2008">
        <f>+F74+E74</f>
        <v>237650.26874892131</v>
      </c>
      <c r="C74" s="2009"/>
      <c r="D74" s="2009"/>
      <c r="E74" s="2001">
        <f t="shared" ref="E74:J74" si="8">SUM(E66:E73)</f>
        <v>229707.42424521348</v>
      </c>
      <c r="F74" s="2001">
        <f t="shared" si="8"/>
        <v>7942.8445037078291</v>
      </c>
      <c r="G74" s="2001">
        <f t="shared" si="8"/>
        <v>119680.48869372247</v>
      </c>
      <c r="H74" s="2001">
        <f t="shared" si="8"/>
        <v>93936.353729755792</v>
      </c>
      <c r="I74" s="2001">
        <f t="shared" si="8"/>
        <v>3704.2404003307338</v>
      </c>
      <c r="J74" s="2010">
        <f t="shared" si="8"/>
        <v>454971.35157273029</v>
      </c>
      <c r="M74" s="1910"/>
    </row>
    <row r="75" spans="1:14" s="1902" customFormat="1">
      <c r="F75" s="2011"/>
      <c r="J75" s="2012"/>
      <c r="M75" s="1910"/>
    </row>
    <row r="76" spans="1:14" s="1902" customFormat="1">
      <c r="J76" s="2012"/>
      <c r="M76" s="1910"/>
    </row>
    <row r="77" spans="1:14">
      <c r="A77" s="1988" t="s">
        <v>2434</v>
      </c>
      <c r="B77" s="1989"/>
      <c r="C77" s="1989"/>
      <c r="D77" s="1989"/>
      <c r="E77" s="1990" t="s">
        <v>18</v>
      </c>
      <c r="F77" s="1990" t="s">
        <v>486</v>
      </c>
      <c r="G77" s="1990" t="s">
        <v>15</v>
      </c>
      <c r="H77" s="1990" t="s">
        <v>16</v>
      </c>
      <c r="I77" s="1990" t="s">
        <v>2409</v>
      </c>
      <c r="J77" s="1991" t="s">
        <v>27</v>
      </c>
    </row>
    <row r="78" spans="1:14">
      <c r="A78" s="1992"/>
      <c r="B78" s="1883"/>
      <c r="C78" s="1883"/>
      <c r="D78" s="1883"/>
      <c r="E78" s="1933"/>
      <c r="F78" s="1933"/>
      <c r="G78" s="1933"/>
      <c r="H78" s="1933"/>
      <c r="I78" s="1933"/>
      <c r="J78" s="1993"/>
    </row>
    <row r="79" spans="1:14">
      <c r="A79" s="1994" t="s">
        <v>2414</v>
      </c>
      <c r="B79" s="1883"/>
      <c r="C79" s="1883"/>
      <c r="D79" s="1883"/>
      <c r="E79" s="1933">
        <f>J18*E53</f>
        <v>48431.425938556065</v>
      </c>
      <c r="F79" s="1933"/>
      <c r="G79" s="1933"/>
      <c r="H79" s="1933"/>
      <c r="I79" s="1933">
        <f>J18*I53</f>
        <v>10930.049433604094</v>
      </c>
      <c r="J79" s="1993">
        <f>SUM(E79:I79)</f>
        <v>59361.475372160159</v>
      </c>
    </row>
    <row r="80" spans="1:14">
      <c r="A80" s="1994" t="s">
        <v>2415</v>
      </c>
      <c r="B80" s="1883"/>
      <c r="C80" s="1883"/>
      <c r="D80" s="1883"/>
      <c r="E80" s="1933"/>
      <c r="F80" s="1933">
        <f>J19</f>
        <v>21401.085200917849</v>
      </c>
      <c r="G80" s="1933"/>
      <c r="H80" s="1933"/>
      <c r="I80" s="1933"/>
      <c r="J80" s="1993">
        <f>SUM(E80:I80)</f>
        <v>21401.085200917849</v>
      </c>
    </row>
    <row r="81" spans="1:13">
      <c r="A81" s="1994" t="s">
        <v>2418</v>
      </c>
      <c r="B81" s="1883"/>
      <c r="C81" s="1883"/>
      <c r="D81" s="1883"/>
      <c r="E81" s="1933">
        <f>J20*E55</f>
        <v>60084.424138451548</v>
      </c>
      <c r="F81" s="1933"/>
      <c r="G81" s="1933">
        <f>J20*G55</f>
        <v>58666.05204148429</v>
      </c>
      <c r="H81" s="1933">
        <f>J20*H55</f>
        <v>40325.40977223841</v>
      </c>
      <c r="I81" s="1933">
        <f>J20*I55</f>
        <v>2291.2164643317278</v>
      </c>
      <c r="J81" s="1993">
        <f>SUM(E81:I81)</f>
        <v>161367.10241650598</v>
      </c>
    </row>
    <row r="82" spans="1:13">
      <c r="A82" s="1994" t="s">
        <v>2420</v>
      </c>
      <c r="B82" s="1883"/>
      <c r="C82" s="1883"/>
      <c r="D82" s="1883"/>
      <c r="E82" s="1933"/>
      <c r="F82" s="1933"/>
      <c r="G82" s="1933">
        <f>+J21</f>
        <v>122.90976941787741</v>
      </c>
      <c r="H82" s="1933"/>
      <c r="I82" s="1933"/>
      <c r="J82" s="1993">
        <f>SUM(E82:I82)</f>
        <v>122.90976941787741</v>
      </c>
    </row>
    <row r="83" spans="1:13" s="2016" customFormat="1">
      <c r="A83" s="2000" t="s">
        <v>35</v>
      </c>
      <c r="B83" s="2013"/>
      <c r="C83" s="2013"/>
      <c r="D83" s="2013"/>
      <c r="E83" s="2014">
        <f t="shared" ref="E83:J83" si="9">SUM(E79:E82)</f>
        <v>108515.85007700761</v>
      </c>
      <c r="F83" s="2014">
        <f t="shared" si="9"/>
        <v>21401.085200917849</v>
      </c>
      <c r="G83" s="2014">
        <f t="shared" si="9"/>
        <v>58788.961810902169</v>
      </c>
      <c r="H83" s="2014">
        <f t="shared" si="9"/>
        <v>40325.40977223841</v>
      </c>
      <c r="I83" s="2014">
        <f t="shared" si="9"/>
        <v>13221.265897935822</v>
      </c>
      <c r="J83" s="2015">
        <f t="shared" si="9"/>
        <v>242252.57275900184</v>
      </c>
      <c r="M83" s="2013"/>
    </row>
    <row r="84" spans="1:13" s="2019" customFormat="1">
      <c r="A84" s="1994"/>
      <c r="B84" s="2017"/>
      <c r="C84" s="2017"/>
      <c r="D84" s="2017"/>
      <c r="E84" s="1943"/>
      <c r="F84" s="1943"/>
      <c r="G84" s="1943"/>
      <c r="H84" s="1943"/>
      <c r="I84" s="1943"/>
      <c r="J84" s="2018"/>
      <c r="M84" s="2017"/>
    </row>
    <row r="85" spans="1:13">
      <c r="A85" s="2000" t="s">
        <v>2435</v>
      </c>
      <c r="B85" s="1883"/>
      <c r="C85" s="1883"/>
      <c r="D85" s="1883"/>
      <c r="E85" s="2020">
        <f>E86/$J$86</f>
        <v>0.51664852366604708</v>
      </c>
      <c r="F85" s="2020">
        <f>F86/$J$86</f>
        <v>2.3031759457695429E-2</v>
      </c>
      <c r="G85" s="2020">
        <f>G86/$J$86</f>
        <v>0.25559337272528393</v>
      </c>
      <c r="H85" s="2020">
        <f>H86/$J$86</f>
        <v>0.20472634415097363</v>
      </c>
      <c r="I85" s="2020">
        <f>I86/$J$86</f>
        <v>0</v>
      </c>
      <c r="J85" s="1993"/>
    </row>
    <row r="86" spans="1:13">
      <c r="A86" s="1992" t="s">
        <v>2432</v>
      </c>
      <c r="B86" s="1883"/>
      <c r="C86" s="1883"/>
      <c r="D86" s="1883"/>
      <c r="E86" s="1933">
        <f>$J$7*$F$7+$J$11*F11</f>
        <v>835367.54378721281</v>
      </c>
      <c r="F86" s="1933">
        <f>+J8</f>
        <v>37239.987043317946</v>
      </c>
      <c r="G86" s="1933">
        <f>+J7*F9</f>
        <v>413268.20498150139</v>
      </c>
      <c r="H86" s="1933">
        <f>+J7*F10</f>
        <v>331021.44964703324</v>
      </c>
      <c r="I86" s="1933">
        <f>$J$11*(1-F11)</f>
        <v>0</v>
      </c>
      <c r="J86" s="1993">
        <f>SUM(E86:I86)</f>
        <v>1616897.1854590653</v>
      </c>
    </row>
    <row r="87" spans="1:13">
      <c r="A87" s="1992" t="s">
        <v>2394</v>
      </c>
      <c r="B87" s="1883"/>
      <c r="C87" s="1883"/>
      <c r="D87" s="1883"/>
      <c r="E87" s="1933">
        <f>J14*E58</f>
        <v>8324.5371692151457</v>
      </c>
      <c r="F87" s="1933">
        <f>+J14*F58</f>
        <v>458.86484340984191</v>
      </c>
      <c r="G87" s="1933">
        <f>J14*G58</f>
        <v>4762.4623538738715</v>
      </c>
      <c r="H87" s="1933">
        <f>J14*H58</f>
        <v>3814.658793650281</v>
      </c>
      <c r="I87" s="1933">
        <f>J14*I58</f>
        <v>843.29181714293361</v>
      </c>
      <c r="J87" s="1993">
        <f>SUM(E87:I87)</f>
        <v>18203.814977292073</v>
      </c>
    </row>
    <row r="88" spans="1:13">
      <c r="A88" s="1992" t="s">
        <v>28</v>
      </c>
      <c r="B88" s="1883"/>
      <c r="C88" s="1883"/>
      <c r="D88" s="1883"/>
      <c r="E88" s="1933">
        <f>J25*E58</f>
        <v>67377.226053962862</v>
      </c>
      <c r="F88" s="1933">
        <f>+J25*F58</f>
        <v>3713.9650714726899</v>
      </c>
      <c r="G88" s="1933">
        <f>J25*G58</f>
        <v>38546.467637515671</v>
      </c>
      <c r="H88" s="1933">
        <f>J25*H58</f>
        <v>30875.125263299742</v>
      </c>
      <c r="I88" s="1933">
        <f>J25*I58</f>
        <v>6825.4441343858562</v>
      </c>
      <c r="J88" s="1993">
        <f>SUM(E88:I88)</f>
        <v>147338.22816063682</v>
      </c>
    </row>
    <row r="89" spans="1:13">
      <c r="A89" s="1992" t="s">
        <v>2400</v>
      </c>
      <c r="B89" s="1883"/>
      <c r="C89" s="1883"/>
      <c r="D89" s="1883"/>
      <c r="E89" s="1933">
        <f>J27*E58</f>
        <v>5226.3927964073346</v>
      </c>
      <c r="F89" s="1933">
        <f>+J27*F58</f>
        <v>288.08903887060006</v>
      </c>
      <c r="G89" s="1933">
        <f>J27*G58</f>
        <v>2990.0159532586054</v>
      </c>
      <c r="H89" s="1933">
        <f>J27*H58</f>
        <v>2394.9566005440047</v>
      </c>
      <c r="I89" s="1933">
        <f>J27*I58</f>
        <v>529.44376231316835</v>
      </c>
      <c r="J89" s="1993">
        <f>SUM(E89:I89)</f>
        <v>11428.898151393714</v>
      </c>
    </row>
    <row r="90" spans="1:13">
      <c r="A90" s="1992" t="s">
        <v>2436</v>
      </c>
      <c r="B90" s="1883"/>
      <c r="C90" s="1883"/>
      <c r="D90" s="1883"/>
      <c r="E90" s="1933">
        <f>+J28*E58</f>
        <v>0</v>
      </c>
      <c r="F90" s="1933"/>
      <c r="G90" s="1933">
        <f>+J28*G58</f>
        <v>0</v>
      </c>
      <c r="H90" s="1933">
        <f>+J28*H58</f>
        <v>0</v>
      </c>
      <c r="I90" s="1933">
        <f>+J28*I58</f>
        <v>0</v>
      </c>
      <c r="J90" s="1993">
        <f>SUM(E90:I90)</f>
        <v>0</v>
      </c>
    </row>
    <row r="91" spans="1:13" s="1902" customFormat="1">
      <c r="A91" s="2007" t="s">
        <v>27</v>
      </c>
      <c r="B91" s="2008">
        <f>+F91+E91</f>
        <v>1087914.0807620778</v>
      </c>
      <c r="C91" s="2009"/>
      <c r="D91" s="2009"/>
      <c r="E91" s="2001">
        <f t="shared" ref="E91:J91" si="10">SUM(E83:E90)</f>
        <v>1024812.0665323294</v>
      </c>
      <c r="F91" s="2001">
        <f t="shared" si="10"/>
        <v>63102.014229748384</v>
      </c>
      <c r="G91" s="2001">
        <f t="shared" si="10"/>
        <v>518356.36833042448</v>
      </c>
      <c r="H91" s="2001">
        <f t="shared" si="10"/>
        <v>408431.80480310979</v>
      </c>
      <c r="I91" s="2001">
        <f t="shared" si="10"/>
        <v>21419.445611777781</v>
      </c>
      <c r="J91" s="2010">
        <f t="shared" si="10"/>
        <v>2036120.6995073895</v>
      </c>
      <c r="M91" s="1910"/>
    </row>
    <row r="92" spans="1:13">
      <c r="F92" s="1948">
        <f>+E91+F91</f>
        <v>1087914.0807620778</v>
      </c>
    </row>
    <row r="93" spans="1:13">
      <c r="E93" s="1891"/>
      <c r="F93" s="1891"/>
      <c r="G93" s="1891"/>
      <c r="H93" s="1891"/>
      <c r="I93" s="1891"/>
    </row>
    <row r="94" spans="1:13">
      <c r="J94" s="1891"/>
    </row>
  </sheetData>
  <pageMargins left="0.45" right="0.45" top="0.75" bottom="0.75" header="0.3" footer="0.3"/>
  <pageSetup scale="50" fitToHeight="0" orientation="landscape" horizontalDpi="1200" verticalDpi="1200"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J329"/>
  <sheetViews>
    <sheetView showGridLines="0" zoomScale="80" zoomScaleNormal="80" workbookViewId="0">
      <pane xSplit="2" ySplit="9" topLeftCell="C184" activePane="bottomRight" state="frozen"/>
      <selection activeCell="L18" sqref="L18"/>
      <selection pane="topRight" activeCell="L18" sqref="L18"/>
      <selection pane="bottomLeft" activeCell="L18" sqref="L18"/>
      <selection pane="bottomRight" activeCell="J43" sqref="J43"/>
    </sheetView>
  </sheetViews>
  <sheetFormatPr defaultRowHeight="11.25"/>
  <cols>
    <col min="1" max="1" width="10.33203125" style="1108" bestFit="1" customWidth="1"/>
    <col min="2" max="2" width="54.5" style="1109" customWidth="1"/>
    <col min="3" max="7" width="18.1640625" style="44" customWidth="1"/>
    <col min="8" max="8" width="21.6640625" style="44" bestFit="1" customWidth="1"/>
    <col min="9" max="9" width="18.1640625" style="44" customWidth="1"/>
    <col min="10" max="10" width="44.83203125" bestFit="1" customWidth="1"/>
  </cols>
  <sheetData>
    <row r="1" spans="1:9">
      <c r="A1" s="1078"/>
      <c r="B1" s="1079"/>
    </row>
    <row r="2" spans="1:9">
      <c r="A2" s="1078"/>
      <c r="B2" s="1079" t="str">
        <f>Summary!$C$3</f>
        <v>Eastside</v>
      </c>
      <c r="C2" s="23"/>
      <c r="D2" s="23"/>
      <c r="E2" s="23"/>
      <c r="F2" s="23"/>
      <c r="G2" s="23"/>
      <c r="H2" s="23"/>
      <c r="I2" s="23"/>
    </row>
    <row r="3" spans="1:9">
      <c r="A3" s="1078"/>
      <c r="B3" s="1079" t="s">
        <v>120</v>
      </c>
      <c r="C3" s="23"/>
      <c r="D3" s="23"/>
      <c r="E3" s="23"/>
      <c r="F3" s="23"/>
      <c r="G3" s="23"/>
      <c r="H3" s="23"/>
      <c r="I3" s="23"/>
    </row>
    <row r="4" spans="1:9">
      <c r="A4" s="1078"/>
      <c r="B4" s="1079"/>
      <c r="C4" s="23"/>
      <c r="D4" s="23"/>
      <c r="E4" s="23"/>
      <c r="F4" s="27"/>
      <c r="G4" s="23"/>
      <c r="H4" s="23"/>
      <c r="I4" s="23"/>
    </row>
    <row r="5" spans="1:9">
      <c r="A5" s="1078"/>
      <c r="B5" s="1079" t="s">
        <v>121</v>
      </c>
      <c r="C5" s="23"/>
      <c r="D5" s="23"/>
      <c r="E5" s="23"/>
      <c r="F5" s="27"/>
      <c r="G5" s="23"/>
      <c r="H5" s="23"/>
      <c r="I5" s="27" t="s">
        <v>105</v>
      </c>
    </row>
    <row r="6" spans="1:9">
      <c r="A6" s="1078"/>
      <c r="B6" s="1079"/>
      <c r="C6" s="23"/>
      <c r="D6" s="23"/>
      <c r="E6" s="23"/>
      <c r="F6" s="27"/>
      <c r="G6" s="23"/>
      <c r="H6" s="23"/>
      <c r="I6" s="27"/>
    </row>
    <row r="7" spans="1:9">
      <c r="A7" s="1078"/>
      <c r="B7" s="1079" t="str">
        <f>TEXT(EDATE(Summary!C5,-12)+1,"mmmm d, yyyy")&amp;" thru "&amp;TEXT(Summary!C5,"mmmm d, yyyy")</f>
        <v>May 1, 2013 thru April 30, 2014</v>
      </c>
      <c r="C7" s="27" t="s">
        <v>128</v>
      </c>
      <c r="D7" s="27" t="s">
        <v>129</v>
      </c>
      <c r="E7" s="27" t="s">
        <v>130</v>
      </c>
      <c r="F7" s="27" t="s">
        <v>131</v>
      </c>
      <c r="G7" s="27" t="s">
        <v>132</v>
      </c>
      <c r="H7" s="27" t="s">
        <v>133</v>
      </c>
      <c r="I7" s="27" t="s">
        <v>134</v>
      </c>
    </row>
    <row r="8" spans="1:9">
      <c r="A8" s="1079" t="s">
        <v>139</v>
      </c>
      <c r="B8" s="1080"/>
      <c r="C8" s="577" t="s">
        <v>150</v>
      </c>
      <c r="D8" s="33" t="s">
        <v>151</v>
      </c>
      <c r="E8" s="33" t="s">
        <v>152</v>
      </c>
      <c r="F8" s="33" t="s">
        <v>153</v>
      </c>
      <c r="G8" s="33" t="s">
        <v>154</v>
      </c>
      <c r="H8" s="33" t="s">
        <v>155</v>
      </c>
      <c r="I8" s="33" t="s">
        <v>156</v>
      </c>
    </row>
    <row r="9" spans="1:9" ht="12" thickBot="1">
      <c r="A9" s="1079" t="s">
        <v>164</v>
      </c>
      <c r="B9" s="1081" t="s">
        <v>165</v>
      </c>
      <c r="C9" s="572" t="s">
        <v>170</v>
      </c>
      <c r="D9" s="572" t="s">
        <v>171</v>
      </c>
      <c r="E9" s="572" t="s">
        <v>172</v>
      </c>
      <c r="F9" s="572" t="s">
        <v>173</v>
      </c>
      <c r="G9" s="572" t="s">
        <v>174</v>
      </c>
      <c r="H9" s="27" t="s">
        <v>175</v>
      </c>
      <c r="I9" s="27" t="s">
        <v>176</v>
      </c>
    </row>
    <row r="10" spans="1:9" ht="12.75" thickBot="1">
      <c r="A10" s="1082" t="s">
        <v>180</v>
      </c>
      <c r="B10" s="1083"/>
      <c r="C10" s="574"/>
      <c r="D10" s="574"/>
      <c r="E10" s="574"/>
      <c r="F10" s="574"/>
      <c r="G10" s="574"/>
      <c r="H10" s="574"/>
      <c r="I10" s="588"/>
    </row>
    <row r="11" spans="1:9">
      <c r="A11" s="1084" t="s">
        <v>521</v>
      </c>
      <c r="B11" s="1085" t="s">
        <v>1144</v>
      </c>
      <c r="C11" s="38">
        <f>-C12</f>
        <v>-4138706.44</v>
      </c>
      <c r="D11" s="38">
        <v>0</v>
      </c>
      <c r="E11" s="38">
        <v>0</v>
      </c>
      <c r="F11" s="38">
        <v>0</v>
      </c>
      <c r="G11" s="38">
        <v>0</v>
      </c>
      <c r="H11" s="38">
        <v>0</v>
      </c>
      <c r="I11" s="589">
        <f>SUM(C11:H11)</f>
        <v>-4138706.44</v>
      </c>
    </row>
    <row r="12" spans="1:9">
      <c r="A12" s="1084" t="s">
        <v>521</v>
      </c>
      <c r="B12" s="1086" t="s">
        <v>523</v>
      </c>
      <c r="C12" s="38">
        <f>Disposal!R115</f>
        <v>4138706.44</v>
      </c>
      <c r="D12" s="38">
        <v>0</v>
      </c>
      <c r="E12" s="38">
        <v>0</v>
      </c>
      <c r="F12" s="38">
        <v>0</v>
      </c>
      <c r="G12" s="24">
        <v>0</v>
      </c>
      <c r="H12" s="38">
        <v>0</v>
      </c>
      <c r="I12" s="589">
        <f t="shared" ref="I12:I18" si="0">SUM(C12:H12)</f>
        <v>4138706.44</v>
      </c>
    </row>
    <row r="13" spans="1:9">
      <c r="A13" s="1084" t="s">
        <v>522</v>
      </c>
      <c r="B13" s="1085" t="s">
        <v>1153</v>
      </c>
      <c r="C13" s="38">
        <v>0</v>
      </c>
      <c r="D13" s="38">
        <v>0</v>
      </c>
      <c r="E13" s="38">
        <v>0</v>
      </c>
      <c r="F13" s="38">
        <v>0</v>
      </c>
      <c r="G13" s="24">
        <v>0</v>
      </c>
      <c r="H13" s="38">
        <v>0</v>
      </c>
      <c r="I13" s="589">
        <f t="shared" si="0"/>
        <v>0</v>
      </c>
    </row>
    <row r="14" spans="1:9">
      <c r="A14" s="1084" t="s">
        <v>525</v>
      </c>
      <c r="B14" s="1085" t="s">
        <v>1157</v>
      </c>
      <c r="C14" s="38">
        <v>0</v>
      </c>
      <c r="D14" s="38">
        <v>0</v>
      </c>
      <c r="E14" s="38">
        <v>0</v>
      </c>
      <c r="F14" s="38">
        <v>0</v>
      </c>
      <c r="G14" s="38">
        <v>0</v>
      </c>
      <c r="H14" s="38">
        <v>0</v>
      </c>
      <c r="I14" s="589">
        <f t="shared" si="0"/>
        <v>0</v>
      </c>
    </row>
    <row r="15" spans="1:9">
      <c r="A15" s="1084"/>
      <c r="B15" s="1086"/>
      <c r="C15" s="38"/>
      <c r="D15" s="38"/>
      <c r="E15" s="38"/>
      <c r="F15" s="38"/>
      <c r="G15" s="38"/>
      <c r="H15" s="38"/>
      <c r="I15" s="589"/>
    </row>
    <row r="16" spans="1:9">
      <c r="A16" s="1084" t="s">
        <v>679</v>
      </c>
      <c r="B16" s="1085" t="s">
        <v>1160</v>
      </c>
      <c r="C16" s="38">
        <v>0</v>
      </c>
      <c r="D16" s="38">
        <v>0</v>
      </c>
      <c r="E16" s="38">
        <v>0</v>
      </c>
      <c r="F16" s="38">
        <v>0</v>
      </c>
      <c r="G16" s="38">
        <v>0</v>
      </c>
      <c r="H16" s="38">
        <v>0</v>
      </c>
      <c r="I16" s="589">
        <f>SUM(C16:H16)</f>
        <v>0</v>
      </c>
    </row>
    <row r="17" spans="1:9">
      <c r="A17" s="1084" t="s">
        <v>526</v>
      </c>
      <c r="B17" s="1085" t="s">
        <v>1162</v>
      </c>
      <c r="C17" s="38">
        <v>0</v>
      </c>
      <c r="D17" s="38">
        <v>0</v>
      </c>
      <c r="E17" s="38">
        <v>0</v>
      </c>
      <c r="F17" s="38">
        <v>0</v>
      </c>
      <c r="G17" s="38">
        <v>0</v>
      </c>
      <c r="H17" s="38">
        <v>0</v>
      </c>
      <c r="I17" s="589">
        <f t="shared" si="0"/>
        <v>0</v>
      </c>
    </row>
    <row r="18" spans="1:9">
      <c r="A18" s="1084" t="s">
        <v>527</v>
      </c>
      <c r="B18" s="1085" t="s">
        <v>1164</v>
      </c>
      <c r="C18" s="38">
        <v>0</v>
      </c>
      <c r="D18" s="38">
        <v>0</v>
      </c>
      <c r="E18" s="38">
        <v>0</v>
      </c>
      <c r="F18" s="38">
        <v>0</v>
      </c>
      <c r="G18" s="38">
        <v>0</v>
      </c>
      <c r="H18" s="38">
        <v>0</v>
      </c>
      <c r="I18" s="589">
        <f t="shared" si="0"/>
        <v>0</v>
      </c>
    </row>
    <row r="19" spans="1:9">
      <c r="A19" s="1077"/>
      <c r="B19" s="1087"/>
      <c r="I19" s="56"/>
    </row>
    <row r="20" spans="1:9" ht="12">
      <c r="A20" s="1084"/>
      <c r="B20" s="1088" t="s">
        <v>190</v>
      </c>
      <c r="C20" s="576">
        <f>SUM(C11:C19)</f>
        <v>0</v>
      </c>
      <c r="D20" s="576">
        <f t="shared" ref="D20:I20" si="1">SUM(D11:D19)</f>
        <v>0</v>
      </c>
      <c r="E20" s="576">
        <f t="shared" si="1"/>
        <v>0</v>
      </c>
      <c r="F20" s="576">
        <f t="shared" si="1"/>
        <v>0</v>
      </c>
      <c r="G20" s="576">
        <f t="shared" si="1"/>
        <v>0</v>
      </c>
      <c r="H20" s="576">
        <f t="shared" si="1"/>
        <v>0</v>
      </c>
      <c r="I20" s="590">
        <f t="shared" si="1"/>
        <v>0</v>
      </c>
    </row>
    <row r="21" spans="1:9">
      <c r="A21" s="1084"/>
      <c r="B21" s="1089"/>
      <c r="C21" s="38"/>
      <c r="D21" s="38"/>
      <c r="E21" s="38"/>
      <c r="F21" s="75"/>
      <c r="G21" s="38"/>
      <c r="H21" s="38"/>
      <c r="I21" s="589"/>
    </row>
    <row r="22" spans="1:9">
      <c r="A22" s="1077" t="s">
        <v>530</v>
      </c>
      <c r="B22" s="1085" t="s">
        <v>1167</v>
      </c>
      <c r="C22" s="38">
        <v>0</v>
      </c>
      <c r="D22" s="38">
        <f>-D23</f>
        <v>0</v>
      </c>
      <c r="E22" s="38">
        <v>0</v>
      </c>
      <c r="F22" s="75">
        <v>0</v>
      </c>
      <c r="G22" s="38">
        <v>0</v>
      </c>
      <c r="H22" s="38">
        <f>-H26-H28-H27</f>
        <v>5797860</v>
      </c>
      <c r="I22" s="589">
        <f>SUM(C22:H22)</f>
        <v>5797860</v>
      </c>
    </row>
    <row r="23" spans="1:9">
      <c r="A23" s="1077" t="s">
        <v>531</v>
      </c>
      <c r="B23" s="1085" t="s">
        <v>1354</v>
      </c>
      <c r="C23" s="38">
        <v>0</v>
      </c>
      <c r="D23" s="38">
        <f>-Proforma!D23</f>
        <v>0</v>
      </c>
      <c r="E23" s="38">
        <v>0</v>
      </c>
      <c r="F23" s="75">
        <v>0</v>
      </c>
      <c r="G23" s="38">
        <v>0</v>
      </c>
      <c r="H23" s="38">
        <v>0</v>
      </c>
      <c r="I23" s="589">
        <f>SUM(C23:H23)</f>
        <v>0</v>
      </c>
    </row>
    <row r="24" spans="1:9" ht="12">
      <c r="A24" s="1084"/>
      <c r="B24" s="1088" t="s">
        <v>193</v>
      </c>
      <c r="C24" s="576">
        <f>SUM(C22:C23)</f>
        <v>0</v>
      </c>
      <c r="D24" s="576">
        <f t="shared" ref="D24:I24" si="2">SUM(D22:D23)</f>
        <v>0</v>
      </c>
      <c r="E24" s="576">
        <f t="shared" si="2"/>
        <v>0</v>
      </c>
      <c r="F24" s="576">
        <f t="shared" si="2"/>
        <v>0</v>
      </c>
      <c r="G24" s="576">
        <f t="shared" si="2"/>
        <v>0</v>
      </c>
      <c r="H24" s="576">
        <f t="shared" si="2"/>
        <v>5797860</v>
      </c>
      <c r="I24" s="590">
        <f t="shared" si="2"/>
        <v>5797860</v>
      </c>
    </row>
    <row r="25" spans="1:9">
      <c r="A25" s="1090"/>
      <c r="B25" s="1091"/>
      <c r="C25" s="38"/>
      <c r="D25" s="38"/>
      <c r="E25" s="38"/>
      <c r="F25" s="75"/>
      <c r="G25" s="38"/>
      <c r="H25" s="38"/>
      <c r="I25" s="589"/>
    </row>
    <row r="26" spans="1:9">
      <c r="A26" s="1084">
        <v>402000</v>
      </c>
      <c r="B26" s="1085" t="e">
        <f>VLOOKUP(A26,'Income Statement'!$A$6:$B$254,2,FALSE)</f>
        <v>#N/A</v>
      </c>
      <c r="C26" s="38">
        <v>0</v>
      </c>
      <c r="D26" s="38">
        <v>0</v>
      </c>
      <c r="E26" s="38">
        <v>0</v>
      </c>
      <c r="F26" s="75">
        <v>0</v>
      </c>
      <c r="G26" s="38">
        <v>0</v>
      </c>
      <c r="H26" s="38">
        <f>-Proforma!D26</f>
        <v>0</v>
      </c>
      <c r="I26" s="589">
        <f>SUM(C26:H26)</f>
        <v>0</v>
      </c>
    </row>
    <row r="27" spans="1:9">
      <c r="A27" s="1084">
        <v>402008</v>
      </c>
      <c r="B27" s="1092" t="str">
        <f>VLOOKUP(A27,'Income Statement'!$A$6:$B$254,2,FALSE)</f>
        <v>COGS REC Other O/S</v>
      </c>
      <c r="C27" s="38">
        <v>0</v>
      </c>
      <c r="D27" s="38">
        <v>0</v>
      </c>
      <c r="E27" s="38">
        <v>0</v>
      </c>
      <c r="F27" s="75">
        <v>0</v>
      </c>
      <c r="G27" s="38">
        <v>0</v>
      </c>
      <c r="H27" s="38">
        <f>-Proforma!D27</f>
        <v>-1315776</v>
      </c>
      <c r="I27" s="589">
        <f>SUM(C27:H27)</f>
        <v>-1315776</v>
      </c>
    </row>
    <row r="28" spans="1:9">
      <c r="A28" s="1084">
        <v>412000</v>
      </c>
      <c r="B28" s="1085" t="str">
        <f>VLOOKUP(A28,'Income Statement'!$A$6:$B$254,2,FALSE)</f>
        <v>COGS REC SOM I/C</v>
      </c>
      <c r="C28" s="38">
        <v>0</v>
      </c>
      <c r="D28" s="38">
        <v>0</v>
      </c>
      <c r="E28" s="38">
        <v>0</v>
      </c>
      <c r="F28" s="75">
        <v>0</v>
      </c>
      <c r="G28" s="38">
        <v>0</v>
      </c>
      <c r="H28" s="38">
        <f>-Proforma!D28</f>
        <v>-4482084</v>
      </c>
      <c r="I28" s="589">
        <f>SUM(C28:H28)</f>
        <v>-4482084</v>
      </c>
    </row>
    <row r="29" spans="1:9">
      <c r="A29" s="1077">
        <v>406100</v>
      </c>
      <c r="B29" s="1085" t="str">
        <f>VLOOKUP(A29,'Income Statement'!$A$6:$B$254,2,FALSE)</f>
        <v>Franchise Fees O/S</v>
      </c>
      <c r="C29" s="38">
        <v>0</v>
      </c>
      <c r="D29" s="38">
        <v>0</v>
      </c>
      <c r="E29" s="38">
        <v>0</v>
      </c>
      <c r="F29" s="75">
        <v>0</v>
      </c>
      <c r="G29" s="38">
        <v>0</v>
      </c>
      <c r="H29" s="38">
        <v>0</v>
      </c>
      <c r="I29" s="589">
        <f>SUM(C29:H29)</f>
        <v>0</v>
      </c>
    </row>
    <row r="30" spans="1:9">
      <c r="A30" s="1077"/>
      <c r="B30" s="1093"/>
      <c r="C30" s="38"/>
      <c r="D30" s="38"/>
      <c r="E30" s="38"/>
      <c r="F30" s="75"/>
      <c r="G30" s="38"/>
      <c r="H30" s="38"/>
      <c r="I30" s="589"/>
    </row>
    <row r="31" spans="1:9">
      <c r="A31" s="1077"/>
      <c r="B31" s="1094"/>
      <c r="C31" s="38"/>
      <c r="D31" s="38"/>
      <c r="E31" s="38"/>
      <c r="F31" s="75"/>
      <c r="G31" s="38"/>
      <c r="H31" s="38"/>
      <c r="I31" s="589"/>
    </row>
    <row r="32" spans="1:9" ht="12">
      <c r="A32" s="1077"/>
      <c r="B32" s="1088" t="s">
        <v>532</v>
      </c>
      <c r="C32" s="576">
        <f>SUM(C26:C31)</f>
        <v>0</v>
      </c>
      <c r="D32" s="576">
        <f>SUM(D26:D31)</f>
        <v>0</v>
      </c>
      <c r="E32" s="576">
        <f>SUM(E26:E31)</f>
        <v>0</v>
      </c>
      <c r="F32" s="576">
        <f>SUM(F26:F31)</f>
        <v>0</v>
      </c>
      <c r="G32" s="576">
        <f>SUM(G26:G31)</f>
        <v>0</v>
      </c>
      <c r="H32" s="576">
        <f>SUM(H24:H31)</f>
        <v>0</v>
      </c>
      <c r="I32" s="590">
        <f>SUM(I24:I31)</f>
        <v>0</v>
      </c>
    </row>
    <row r="33" spans="1:9">
      <c r="A33" s="1077"/>
      <c r="B33" s="1095"/>
      <c r="C33" s="38"/>
      <c r="D33" s="38"/>
      <c r="E33" s="38"/>
      <c r="F33" s="75"/>
      <c r="G33" s="38"/>
      <c r="H33" s="38"/>
      <c r="I33" s="589"/>
    </row>
    <row r="34" spans="1:9" ht="12">
      <c r="A34" s="1077"/>
      <c r="B34" s="1088" t="s">
        <v>533</v>
      </c>
      <c r="C34" s="576">
        <f>+C20-C32</f>
        <v>0</v>
      </c>
      <c r="D34" s="576">
        <f t="shared" ref="D34:I34" si="3">+D20-D32</f>
        <v>0</v>
      </c>
      <c r="E34" s="576">
        <f t="shared" si="3"/>
        <v>0</v>
      </c>
      <c r="F34" s="576">
        <f t="shared" si="3"/>
        <v>0</v>
      </c>
      <c r="G34" s="576">
        <f t="shared" si="3"/>
        <v>0</v>
      </c>
      <c r="H34" s="576">
        <f>+H20-H32</f>
        <v>0</v>
      </c>
      <c r="I34" s="590">
        <f t="shared" si="3"/>
        <v>0</v>
      </c>
    </row>
    <row r="35" spans="1:9">
      <c r="A35" s="1077"/>
      <c r="B35" s="1096"/>
      <c r="C35" s="38"/>
      <c r="D35" s="38"/>
      <c r="E35" s="38"/>
      <c r="F35" s="75"/>
      <c r="G35" s="38"/>
      <c r="H35" s="38"/>
      <c r="I35" s="589"/>
    </row>
    <row r="36" spans="1:9" ht="12" thickBot="1">
      <c r="A36" s="1090"/>
      <c r="B36" s="1097"/>
      <c r="C36" s="38"/>
      <c r="D36" s="38"/>
      <c r="E36" s="38"/>
      <c r="F36" s="75"/>
      <c r="G36" s="38"/>
      <c r="H36" s="38"/>
      <c r="I36" s="589"/>
    </row>
    <row r="37" spans="1:9" ht="12.75" thickBot="1">
      <c r="A37" s="1098" t="s">
        <v>553</v>
      </c>
      <c r="B37" s="1099"/>
      <c r="C37" s="574"/>
      <c r="D37" s="574"/>
      <c r="E37" s="574"/>
      <c r="F37" s="575"/>
      <c r="G37" s="574"/>
      <c r="H37" s="574"/>
      <c r="I37" s="588"/>
    </row>
    <row r="38" spans="1:9" ht="12">
      <c r="A38" s="1100"/>
      <c r="B38" s="1101"/>
      <c r="C38" s="38">
        <v>0</v>
      </c>
      <c r="D38" s="38">
        <v>0</v>
      </c>
      <c r="E38" s="38">
        <v>0</v>
      </c>
      <c r="F38" s="75">
        <v>0</v>
      </c>
      <c r="G38" s="38">
        <v>0</v>
      </c>
      <c r="H38" s="38">
        <v>0</v>
      </c>
      <c r="I38" s="589">
        <f t="shared" ref="I38:I52" si="4">SUM(C38:H38)</f>
        <v>0</v>
      </c>
    </row>
    <row r="39" spans="1:9">
      <c r="A39" s="1077">
        <v>500010</v>
      </c>
      <c r="B39" s="1102" t="str">
        <f>VLOOKUP(A39,'Income Statement'!$A$6:$B$254,2,FALSE)</f>
        <v>Drivers</v>
      </c>
      <c r="C39" s="38">
        <v>0</v>
      </c>
      <c r="D39" s="38">
        <v>0</v>
      </c>
      <c r="E39" s="38">
        <v>0</v>
      </c>
      <c r="F39" s="75">
        <v>0</v>
      </c>
      <c r="G39" s="38">
        <v>0</v>
      </c>
      <c r="H39" s="38">
        <v>0</v>
      </c>
      <c r="I39" s="589">
        <f t="shared" si="4"/>
        <v>0</v>
      </c>
    </row>
    <row r="40" spans="1:9">
      <c r="A40" s="1077">
        <v>500040</v>
      </c>
      <c r="B40" s="1102" t="str">
        <f>VLOOKUP(A40,'Income Statement'!$A$6:$B$254,2,FALSE)</f>
        <v>Secondary</v>
      </c>
      <c r="C40" s="38"/>
      <c r="D40" s="38"/>
      <c r="E40" s="38"/>
      <c r="F40" s="75"/>
      <c r="G40" s="38"/>
      <c r="H40" s="38"/>
      <c r="I40" s="589">
        <f t="shared" si="4"/>
        <v>0</v>
      </c>
    </row>
    <row r="41" spans="1:9">
      <c r="A41" s="1077">
        <v>500050</v>
      </c>
      <c r="B41" s="1102" t="str">
        <f>VLOOKUP(A41,'Income Statement'!$A$6:$B$254,2,FALSE)</f>
        <v>Container Delivery</v>
      </c>
      <c r="C41" s="38">
        <v>0</v>
      </c>
      <c r="D41" s="38">
        <v>0</v>
      </c>
      <c r="E41" s="38">
        <v>0</v>
      </c>
      <c r="F41" s="75">
        <v>0</v>
      </c>
      <c r="G41" s="38">
        <v>0</v>
      </c>
      <c r="H41" s="38">
        <v>0</v>
      </c>
      <c r="I41" s="589">
        <f t="shared" si="4"/>
        <v>0</v>
      </c>
    </row>
    <row r="42" spans="1:9">
      <c r="A42" s="1077">
        <v>500055</v>
      </c>
      <c r="B42" s="1102" t="e">
        <f>VLOOKUP(A42,'Income Statement'!$A$6:$B$254,2,FALSE)</f>
        <v>#N/A</v>
      </c>
      <c r="C42" s="38">
        <v>0</v>
      </c>
      <c r="D42" s="38">
        <v>0</v>
      </c>
      <c r="E42" s="38">
        <v>0</v>
      </c>
      <c r="F42" s="75">
        <v>0</v>
      </c>
      <c r="G42" s="38">
        <v>0</v>
      </c>
      <c r="H42" s="38">
        <v>0</v>
      </c>
      <c r="I42" s="589">
        <f t="shared" si="4"/>
        <v>0</v>
      </c>
    </row>
    <row r="43" spans="1:9">
      <c r="A43" s="1077">
        <v>500060</v>
      </c>
      <c r="B43" s="1102" t="e">
        <f>VLOOKUP(A43,'Income Statement'!$A$6:$B$254,2,FALSE)</f>
        <v>#N/A</v>
      </c>
      <c r="C43" s="38">
        <v>0</v>
      </c>
      <c r="D43" s="38">
        <f>-Proforma!D43</f>
        <v>0</v>
      </c>
      <c r="E43" s="38">
        <v>0</v>
      </c>
      <c r="F43" s="75">
        <v>0</v>
      </c>
      <c r="G43" s="38">
        <v>0</v>
      </c>
      <c r="H43" s="38">
        <v>0</v>
      </c>
      <c r="I43" s="589">
        <f t="shared" si="4"/>
        <v>0</v>
      </c>
    </row>
    <row r="44" spans="1:9">
      <c r="A44" s="1077">
        <v>500170</v>
      </c>
      <c r="B44" s="1102" t="str">
        <f>VLOOKUP(A44,'Income Statement'!$A$6:$B$254,2,FALSE)</f>
        <v>Payroll Taxes - Oper Labor</v>
      </c>
      <c r="C44" s="38">
        <v>0</v>
      </c>
      <c r="D44" s="38">
        <v>0</v>
      </c>
      <c r="E44" s="38">
        <v>0</v>
      </c>
      <c r="F44" s="75">
        <v>0</v>
      </c>
      <c r="G44" s="38">
        <v>0</v>
      </c>
      <c r="H44" s="38">
        <v>0</v>
      </c>
      <c r="I44" s="589">
        <f t="shared" si="4"/>
        <v>0</v>
      </c>
    </row>
    <row r="45" spans="1:9">
      <c r="A45" s="1077">
        <v>500172</v>
      </c>
      <c r="B45" s="1102" t="str">
        <f>VLOOKUP(A45,'Income Statement'!$A$6:$B$254,2,FALSE)</f>
        <v>Personal Time - Oper Labor</v>
      </c>
      <c r="C45" s="38">
        <v>0</v>
      </c>
      <c r="D45" s="38">
        <v>0</v>
      </c>
      <c r="E45" s="38">
        <v>0</v>
      </c>
      <c r="F45" s="75">
        <v>0</v>
      </c>
      <c r="G45" s="38">
        <v>0</v>
      </c>
      <c r="H45" s="38">
        <v>0</v>
      </c>
      <c r="I45" s="589">
        <f t="shared" si="4"/>
        <v>0</v>
      </c>
    </row>
    <row r="46" spans="1:9">
      <c r="A46" s="1077">
        <v>500173</v>
      </c>
      <c r="B46" s="1102" t="str">
        <f>VLOOKUP(A46,'Income Statement'!$A$6:$B$254,2,FALSE)</f>
        <v>Holiday Pay - Oper Labor</v>
      </c>
      <c r="C46" s="38">
        <v>0</v>
      </c>
      <c r="D46" s="38">
        <v>0</v>
      </c>
      <c r="E46" s="38">
        <v>0</v>
      </c>
      <c r="F46" s="75">
        <v>0</v>
      </c>
      <c r="G46" s="38">
        <v>0</v>
      </c>
      <c r="H46" s="38">
        <v>0</v>
      </c>
      <c r="I46" s="589">
        <f t="shared" si="4"/>
        <v>0</v>
      </c>
    </row>
    <row r="47" spans="1:9">
      <c r="A47" s="1077">
        <v>500174</v>
      </c>
      <c r="B47" s="1102" t="str">
        <f>VLOOKUP(A47,'Income Statement'!$A$6:$B$254,2,FALSE)</f>
        <v>Vacation/Sick - Oper Labor</v>
      </c>
      <c r="C47" s="38">
        <v>0</v>
      </c>
      <c r="D47" s="38">
        <v>0</v>
      </c>
      <c r="E47" s="38">
        <v>0</v>
      </c>
      <c r="F47" s="75">
        <v>0</v>
      </c>
      <c r="G47" s="38">
        <v>0</v>
      </c>
      <c r="H47" s="38">
        <v>0</v>
      </c>
      <c r="I47" s="589">
        <f t="shared" si="4"/>
        <v>0</v>
      </c>
    </row>
    <row r="48" spans="1:9">
      <c r="A48" s="1077">
        <v>500175</v>
      </c>
      <c r="B48" s="1102" t="str">
        <f>VLOOKUP(A48,'Income Statement'!$A$6:$B$254,2,FALSE)</f>
        <v>Benefits Non-Corp - Oper Labor</v>
      </c>
      <c r="C48" s="38">
        <v>0</v>
      </c>
      <c r="D48" s="38">
        <v>0</v>
      </c>
      <c r="E48" s="38">
        <v>0</v>
      </c>
      <c r="F48" s="38">
        <v>0</v>
      </c>
      <c r="G48" s="38">
        <v>0</v>
      </c>
      <c r="H48" s="38">
        <v>0</v>
      </c>
      <c r="I48" s="589">
        <f t="shared" si="4"/>
        <v>0</v>
      </c>
    </row>
    <row r="49" spans="1:9">
      <c r="A49" s="1077">
        <v>500176</v>
      </c>
      <c r="B49" s="1102" t="str">
        <f>VLOOKUP(A49,'Income Statement'!$A$6:$B$254,2,FALSE)</f>
        <v>Benefits Corp - Oper Labor</v>
      </c>
      <c r="C49" s="38"/>
      <c r="D49" s="38"/>
      <c r="E49" s="38"/>
      <c r="F49" s="38"/>
      <c r="G49" s="38"/>
      <c r="H49" s="38"/>
      <c r="I49" s="589">
        <f t="shared" si="4"/>
        <v>0</v>
      </c>
    </row>
    <row r="50" spans="1:9">
      <c r="A50" s="1077">
        <v>500177</v>
      </c>
      <c r="B50" s="1102" t="e">
        <f>VLOOKUP(A50,'Income Statement'!$A$6:$B$254,2,FALSE)</f>
        <v>#N/A</v>
      </c>
      <c r="C50" s="38">
        <v>0</v>
      </c>
      <c r="D50" s="38">
        <v>0</v>
      </c>
      <c r="E50" s="38">
        <v>0</v>
      </c>
      <c r="F50" s="38">
        <v>0</v>
      </c>
      <c r="G50" s="38">
        <v>0</v>
      </c>
      <c r="H50" s="38">
        <v>0</v>
      </c>
      <c r="I50" s="589">
        <f t="shared" si="4"/>
        <v>0</v>
      </c>
    </row>
    <row r="51" spans="1:9">
      <c r="A51" s="1077">
        <v>500188</v>
      </c>
      <c r="B51" s="1102" t="str">
        <f>VLOOKUP(A51,'Income Statement'!$A$6:$B$254,2,FALSE)</f>
        <v>Uniforms &amp; Safety - Oper Labor</v>
      </c>
      <c r="C51" s="38">
        <v>0</v>
      </c>
      <c r="D51" s="38">
        <v>0</v>
      </c>
      <c r="E51" s="38">
        <v>0</v>
      </c>
      <c r="F51" s="38">
        <v>0</v>
      </c>
      <c r="G51" s="38">
        <v>0</v>
      </c>
      <c r="H51" s="38">
        <v>0</v>
      </c>
      <c r="I51" s="589">
        <f t="shared" si="4"/>
        <v>0</v>
      </c>
    </row>
    <row r="52" spans="1:9">
      <c r="A52" s="1077">
        <v>500998</v>
      </c>
      <c r="B52" s="1102" t="s">
        <v>838</v>
      </c>
      <c r="C52" s="38">
        <v>0</v>
      </c>
      <c r="D52" s="38">
        <v>0</v>
      </c>
      <c r="E52" s="38">
        <v>0</v>
      </c>
      <c r="F52" s="38">
        <v>0</v>
      </c>
      <c r="G52" s="38">
        <v>0</v>
      </c>
      <c r="H52" s="38">
        <v>0</v>
      </c>
      <c r="I52" s="589">
        <f t="shared" si="4"/>
        <v>0</v>
      </c>
    </row>
    <row r="53" spans="1:9" ht="12">
      <c r="A53" s="1084"/>
      <c r="B53" s="1088" t="s">
        <v>191</v>
      </c>
      <c r="C53" s="576">
        <f t="shared" ref="C53:H53" si="5">SUM(C38:C52)</f>
        <v>0</v>
      </c>
      <c r="D53" s="576">
        <f t="shared" si="5"/>
        <v>0</v>
      </c>
      <c r="E53" s="576">
        <f t="shared" si="5"/>
        <v>0</v>
      </c>
      <c r="F53" s="576">
        <f t="shared" si="5"/>
        <v>0</v>
      </c>
      <c r="G53" s="576">
        <f t="shared" si="5"/>
        <v>0</v>
      </c>
      <c r="H53" s="576">
        <f t="shared" si="5"/>
        <v>0</v>
      </c>
      <c r="I53" s="590">
        <f>SUM(C53:H53)</f>
        <v>0</v>
      </c>
    </row>
    <row r="54" spans="1:9">
      <c r="A54" s="1090"/>
      <c r="B54" s="1097"/>
      <c r="C54" s="38"/>
      <c r="D54" s="38"/>
      <c r="E54" s="38"/>
      <c r="F54" s="38"/>
      <c r="G54" s="38"/>
      <c r="H54" s="38"/>
      <c r="I54" s="589"/>
    </row>
    <row r="55" spans="1:9">
      <c r="A55" s="1077">
        <v>510010</v>
      </c>
      <c r="B55" s="1102" t="str">
        <f>VLOOKUP(A55,'Income Statement'!$A$6:$B$254,2,FALSE)</f>
        <v>Mgr/Supervision</v>
      </c>
      <c r="C55" s="38">
        <v>0</v>
      </c>
      <c r="D55" s="38">
        <v>0</v>
      </c>
      <c r="E55" s="38">
        <v>0</v>
      </c>
      <c r="F55" s="38">
        <v>0</v>
      </c>
      <c r="G55" s="38">
        <v>0</v>
      </c>
      <c r="H55" s="38">
        <v>0</v>
      </c>
      <c r="I55" s="589">
        <f t="shared" ref="I55:I69" si="6">SUM(C55:H55)</f>
        <v>0</v>
      </c>
    </row>
    <row r="56" spans="1:9">
      <c r="A56" s="1077">
        <v>510020</v>
      </c>
      <c r="B56" s="1102" t="str">
        <f>VLOOKUP(A56,'Income Statement'!$A$6:$B$254,2,FALSE)</f>
        <v>Ops Support</v>
      </c>
      <c r="C56" s="38">
        <v>0</v>
      </c>
      <c r="D56" s="38">
        <v>0</v>
      </c>
      <c r="E56" s="38">
        <v>0</v>
      </c>
      <c r="F56" s="38">
        <v>0</v>
      </c>
      <c r="G56" s="38">
        <v>0</v>
      </c>
      <c r="H56" s="38">
        <v>0</v>
      </c>
      <c r="I56" s="589">
        <f t="shared" si="6"/>
        <v>0</v>
      </c>
    </row>
    <row r="57" spans="1:9">
      <c r="A57" s="1077">
        <v>510055</v>
      </c>
      <c r="B57" s="1102" t="e">
        <f>VLOOKUP(A57,'Income Statement'!$A$6:$B$254,2,FALSE)</f>
        <v>#N/A</v>
      </c>
      <c r="C57" s="38">
        <v>0</v>
      </c>
      <c r="D57" s="38">
        <v>0</v>
      </c>
      <c r="E57" s="38">
        <v>0</v>
      </c>
      <c r="F57" s="38">
        <v>0</v>
      </c>
      <c r="G57" s="38">
        <v>0</v>
      </c>
      <c r="H57" s="38">
        <v>0</v>
      </c>
      <c r="I57" s="589">
        <f t="shared" si="6"/>
        <v>0</v>
      </c>
    </row>
    <row r="58" spans="1:9">
      <c r="A58" s="1077">
        <v>510060</v>
      </c>
      <c r="B58" s="1102" t="e">
        <f>VLOOKUP(A58,'Income Statement'!$A$6:$B$254,2,FALSE)</f>
        <v>#N/A</v>
      </c>
      <c r="C58" s="38">
        <v>0</v>
      </c>
      <c r="D58" s="38">
        <f>-Proforma!D58</f>
        <v>0</v>
      </c>
      <c r="E58" s="38">
        <v>0</v>
      </c>
      <c r="F58" s="38">
        <v>0</v>
      </c>
      <c r="G58" s="38">
        <v>0</v>
      </c>
      <c r="H58" s="38">
        <v>0</v>
      </c>
      <c r="I58" s="589">
        <f t="shared" si="6"/>
        <v>0</v>
      </c>
    </row>
    <row r="59" spans="1:9">
      <c r="A59" s="1077">
        <v>510061</v>
      </c>
      <c r="B59" s="1102" t="str">
        <f>VLOOKUP(A59,'Income Statement'!$A$6:$B$254,2,FALSE)</f>
        <v>Bonus Pay Corp - Sup Labor</v>
      </c>
      <c r="C59" s="38">
        <v>0</v>
      </c>
      <c r="D59" s="38">
        <f>-Proforma!D59</f>
        <v>-20137</v>
      </c>
      <c r="E59" s="38">
        <v>0</v>
      </c>
      <c r="F59" s="38">
        <v>0</v>
      </c>
      <c r="G59" s="38">
        <v>0</v>
      </c>
      <c r="H59" s="38">
        <v>0</v>
      </c>
      <c r="I59" s="589">
        <f t="shared" si="6"/>
        <v>-20137</v>
      </c>
    </row>
    <row r="60" spans="1:9">
      <c r="A60" s="1077">
        <v>510170</v>
      </c>
      <c r="B60" s="1102" t="str">
        <f>VLOOKUP(A60,'Income Statement'!$A$6:$B$254,2,FALSE)</f>
        <v>Payroll Taxes - Sup Labor</v>
      </c>
      <c r="C60" s="38">
        <v>0</v>
      </c>
      <c r="D60" s="38">
        <v>0</v>
      </c>
      <c r="E60" s="38">
        <v>0</v>
      </c>
      <c r="F60" s="38">
        <v>0</v>
      </c>
      <c r="G60" s="38">
        <v>0</v>
      </c>
      <c r="H60" s="38">
        <v>0</v>
      </c>
      <c r="I60" s="589">
        <f t="shared" si="6"/>
        <v>0</v>
      </c>
    </row>
    <row r="61" spans="1:9">
      <c r="A61" s="1077">
        <v>510172</v>
      </c>
      <c r="B61" s="1102" t="str">
        <f>VLOOKUP(A61,'Income Statement'!$A$6:$B$254,2,FALSE)</f>
        <v>Personal Time - Sup Labor</v>
      </c>
      <c r="C61" s="38"/>
      <c r="D61" s="38"/>
      <c r="E61" s="38"/>
      <c r="F61" s="38"/>
      <c r="G61" s="38"/>
      <c r="H61" s="38"/>
      <c r="I61" s="589">
        <f t="shared" si="6"/>
        <v>0</v>
      </c>
    </row>
    <row r="62" spans="1:9">
      <c r="A62" s="1077">
        <v>510173</v>
      </c>
      <c r="B62" s="1102" t="str">
        <f>VLOOKUP(A62,'Income Statement'!$A$6:$B$254,2,FALSE)</f>
        <v>Holiday Pay - Sup Labor</v>
      </c>
      <c r="C62" s="38">
        <v>0</v>
      </c>
      <c r="D62" s="38">
        <v>0</v>
      </c>
      <c r="E62" s="38">
        <v>0</v>
      </c>
      <c r="F62" s="38">
        <v>0</v>
      </c>
      <c r="G62" s="38">
        <v>0</v>
      </c>
      <c r="H62" s="38">
        <v>0</v>
      </c>
      <c r="I62" s="589">
        <f t="shared" si="6"/>
        <v>0</v>
      </c>
    </row>
    <row r="63" spans="1:9">
      <c r="A63" s="1077">
        <v>510174</v>
      </c>
      <c r="B63" s="1102" t="str">
        <f>VLOOKUP(A63,'Income Statement'!$A$6:$B$254,2,FALSE)</f>
        <v>Vacation/Sick - Sup Labor</v>
      </c>
      <c r="C63" s="38">
        <v>0</v>
      </c>
      <c r="D63" s="38">
        <v>0</v>
      </c>
      <c r="E63" s="38">
        <v>0</v>
      </c>
      <c r="F63" s="38">
        <v>0</v>
      </c>
      <c r="G63" s="38">
        <v>0</v>
      </c>
      <c r="H63" s="38">
        <v>0</v>
      </c>
      <c r="I63" s="589">
        <f t="shared" si="6"/>
        <v>0</v>
      </c>
    </row>
    <row r="64" spans="1:9">
      <c r="A64" s="1077">
        <v>510175</v>
      </c>
      <c r="B64" s="1102" t="str">
        <f>VLOOKUP(A64,'Income Statement'!$A$6:$B$254,2,FALSE)</f>
        <v>Benefits Non-Corp - Sup Labor</v>
      </c>
      <c r="C64" s="38"/>
      <c r="D64" s="38"/>
      <c r="E64" s="38"/>
      <c r="F64" s="38"/>
      <c r="G64" s="38"/>
      <c r="H64" s="38"/>
      <c r="I64" s="589">
        <f t="shared" si="6"/>
        <v>0</v>
      </c>
    </row>
    <row r="65" spans="1:9">
      <c r="A65" s="1077">
        <v>510176</v>
      </c>
      <c r="B65" s="1102" t="str">
        <f>VLOOKUP(A65,'Income Statement'!$A$6:$B$254,2,FALSE)</f>
        <v>Benefits Corp - Sup Labor</v>
      </c>
      <c r="C65" s="38">
        <v>0</v>
      </c>
      <c r="D65" s="38">
        <v>0</v>
      </c>
      <c r="E65" s="38">
        <v>0</v>
      </c>
      <c r="F65" s="38">
        <v>0</v>
      </c>
      <c r="G65" s="38">
        <v>0</v>
      </c>
      <c r="H65" s="38">
        <v>0</v>
      </c>
      <c r="I65" s="589">
        <f t="shared" si="6"/>
        <v>0</v>
      </c>
    </row>
    <row r="66" spans="1:9">
      <c r="A66" s="1077">
        <v>510177</v>
      </c>
      <c r="B66" s="1102" t="str">
        <f>VLOOKUP(A66,'Income Statement'!$A$6:$B$254,2,FALSE)</f>
        <v>Employer 401k - Sup Labor</v>
      </c>
      <c r="C66" s="38">
        <v>0</v>
      </c>
      <c r="D66" s="38">
        <v>0</v>
      </c>
      <c r="E66" s="38">
        <v>0</v>
      </c>
      <c r="F66" s="38">
        <v>0</v>
      </c>
      <c r="G66" s="38">
        <v>0</v>
      </c>
      <c r="H66" s="38">
        <v>0</v>
      </c>
      <c r="I66" s="589">
        <f t="shared" si="6"/>
        <v>0</v>
      </c>
    </row>
    <row r="67" spans="1:9">
      <c r="A67" s="1077">
        <v>510188</v>
      </c>
      <c r="B67" s="1102" t="str">
        <f>VLOOKUP(A67,'Income Statement'!$A$6:$B$254,2,FALSE)</f>
        <v>Uniforms &amp; Safety - Sup Labor</v>
      </c>
      <c r="C67" s="38"/>
      <c r="D67" s="38"/>
      <c r="E67" s="38"/>
      <c r="F67" s="38"/>
      <c r="G67" s="38"/>
      <c r="H67" s="38"/>
      <c r="I67" s="589">
        <f t="shared" si="6"/>
        <v>0</v>
      </c>
    </row>
    <row r="68" spans="1:9">
      <c r="A68" s="1077">
        <v>510998</v>
      </c>
      <c r="B68" s="1102" t="str">
        <f>VLOOKUP(A68,'Income Statement'!$A$6:$B$254,2,FALSE)</f>
        <v>Ops Supv Alloc-In</v>
      </c>
      <c r="C68" s="38">
        <v>0</v>
      </c>
      <c r="D68" s="38">
        <v>0</v>
      </c>
      <c r="E68" s="38">
        <v>0</v>
      </c>
      <c r="F68" s="38">
        <v>0</v>
      </c>
      <c r="G68" s="38">
        <v>0</v>
      </c>
      <c r="H68" s="38">
        <v>0</v>
      </c>
      <c r="I68" s="589">
        <f t="shared" si="6"/>
        <v>0</v>
      </c>
    </row>
    <row r="69" spans="1:9">
      <c r="A69" s="1077">
        <v>510999</v>
      </c>
      <c r="B69" s="1102" t="str">
        <f>VLOOKUP(A69,'Income Statement'!$A$6:$B$254,2,FALSE)</f>
        <v>Ops Supv Alloc-Out</v>
      </c>
      <c r="C69" s="38">
        <v>0</v>
      </c>
      <c r="D69" s="38">
        <v>0</v>
      </c>
      <c r="E69" s="38">
        <v>0</v>
      </c>
      <c r="F69" s="38">
        <v>0</v>
      </c>
      <c r="G69" s="38">
        <v>0</v>
      </c>
      <c r="H69" s="38">
        <v>0</v>
      </c>
      <c r="I69" s="589">
        <f t="shared" si="6"/>
        <v>0</v>
      </c>
    </row>
    <row r="70" spans="1:9" ht="12">
      <c r="A70" s="1084"/>
      <c r="B70" s="1088" t="s">
        <v>534</v>
      </c>
      <c r="C70" s="576">
        <f t="shared" ref="C70:H70" si="7">SUM(C55:C69)</f>
        <v>0</v>
      </c>
      <c r="D70" s="576">
        <f t="shared" si="7"/>
        <v>-20137</v>
      </c>
      <c r="E70" s="576">
        <f t="shared" si="7"/>
        <v>0</v>
      </c>
      <c r="F70" s="576">
        <f t="shared" si="7"/>
        <v>0</v>
      </c>
      <c r="G70" s="576">
        <f t="shared" si="7"/>
        <v>0</v>
      </c>
      <c r="H70" s="576">
        <f t="shared" si="7"/>
        <v>0</v>
      </c>
      <c r="I70" s="590">
        <f>SUM(C70:H70)</f>
        <v>-20137</v>
      </c>
    </row>
    <row r="71" spans="1:9">
      <c r="A71" s="1084"/>
      <c r="B71" s="1103"/>
      <c r="C71" s="38"/>
      <c r="D71" s="38"/>
      <c r="E71" s="38"/>
      <c r="F71" s="38"/>
      <c r="G71" s="38"/>
      <c r="H71" s="38"/>
      <c r="I71" s="589"/>
    </row>
    <row r="72" spans="1:9" ht="12">
      <c r="A72" s="1084"/>
      <c r="B72" s="1088" t="s">
        <v>535</v>
      </c>
      <c r="C72" s="576">
        <f t="shared" ref="C72:H72" si="8">C53+C70</f>
        <v>0</v>
      </c>
      <c r="D72" s="576">
        <f t="shared" si="8"/>
        <v>-20137</v>
      </c>
      <c r="E72" s="576">
        <f t="shared" si="8"/>
        <v>0</v>
      </c>
      <c r="F72" s="576">
        <f t="shared" si="8"/>
        <v>0</v>
      </c>
      <c r="G72" s="576">
        <f t="shared" si="8"/>
        <v>0</v>
      </c>
      <c r="H72" s="576">
        <f t="shared" si="8"/>
        <v>0</v>
      </c>
      <c r="I72" s="590">
        <f>SUM(C72:H72)</f>
        <v>-20137</v>
      </c>
    </row>
    <row r="73" spans="1:9">
      <c r="A73" s="1084"/>
      <c r="B73" s="1102"/>
      <c r="C73" s="38"/>
      <c r="D73" s="38"/>
      <c r="E73" s="38"/>
      <c r="F73" s="75"/>
      <c r="G73" s="38"/>
      <c r="H73" s="38"/>
      <c r="I73" s="589"/>
    </row>
    <row r="74" spans="1:9">
      <c r="A74" s="1077">
        <v>520010</v>
      </c>
      <c r="B74" s="1102" t="str">
        <f>VLOOKUP(A74,'Income Statement'!$A$6:$B$254,2,FALSE)</f>
        <v>TShop Mgr/Supv</v>
      </c>
      <c r="C74" s="38">
        <v>0</v>
      </c>
      <c r="D74" s="38">
        <v>0</v>
      </c>
      <c r="E74" s="38">
        <v>0</v>
      </c>
      <c r="F74" s="38">
        <v>0</v>
      </c>
      <c r="G74" s="38">
        <v>0</v>
      </c>
      <c r="H74" s="38">
        <v>0</v>
      </c>
      <c r="I74" s="589">
        <f>SUM(C74:H74)</f>
        <v>0</v>
      </c>
    </row>
    <row r="75" spans="1:9">
      <c r="A75" s="1077">
        <v>520020</v>
      </c>
      <c r="B75" s="1102" t="str">
        <f>VLOOKUP(A75,'Income Statement'!$A$6:$B$254,2,FALSE)</f>
        <v>TShop Mech/Welder</v>
      </c>
      <c r="C75" s="38">
        <v>0</v>
      </c>
      <c r="D75" s="38">
        <v>0</v>
      </c>
      <c r="E75" s="38">
        <v>0</v>
      </c>
      <c r="F75" s="38">
        <v>0</v>
      </c>
      <c r="G75" s="38">
        <v>0</v>
      </c>
      <c r="H75" s="38">
        <v>0</v>
      </c>
      <c r="I75" s="589">
        <f>SUM(C75:H75)</f>
        <v>0</v>
      </c>
    </row>
    <row r="76" spans="1:9">
      <c r="A76" s="1077">
        <v>520030</v>
      </c>
      <c r="B76" s="1102" t="str">
        <f>VLOOKUP(A76,'Income Statement'!$A$6:$B$254,2,FALSE)</f>
        <v>TShop Support</v>
      </c>
      <c r="C76" s="38">
        <v>0</v>
      </c>
      <c r="D76" s="38">
        <v>0</v>
      </c>
      <c r="E76" s="38">
        <v>0</v>
      </c>
      <c r="F76" s="38">
        <v>0</v>
      </c>
      <c r="G76" s="38">
        <v>0</v>
      </c>
      <c r="H76" s="38">
        <v>0</v>
      </c>
      <c r="I76" s="589">
        <f>SUM(C76:H76)</f>
        <v>0</v>
      </c>
    </row>
    <row r="77" spans="1:9">
      <c r="A77" s="1077">
        <v>520055</v>
      </c>
      <c r="B77" s="1102" t="e">
        <f>VLOOKUP(A77,'Income Statement'!$A$6:$B$254,2,FALSE)</f>
        <v>#N/A</v>
      </c>
      <c r="C77" s="38">
        <v>0</v>
      </c>
      <c r="D77" s="38">
        <v>0</v>
      </c>
      <c r="E77" s="38">
        <v>0</v>
      </c>
      <c r="F77" s="38">
        <v>0</v>
      </c>
      <c r="G77" s="38">
        <v>0</v>
      </c>
      <c r="H77" s="38">
        <v>0</v>
      </c>
      <c r="I77" s="589">
        <f t="shared" ref="I77:I87" si="9">SUM(C77:H77)</f>
        <v>0</v>
      </c>
    </row>
    <row r="78" spans="1:9">
      <c r="A78" s="1077">
        <v>520060</v>
      </c>
      <c r="B78" s="1102" t="str">
        <f>VLOOKUP(A78,'Income Statement'!$A$6:$B$254,2,FALSE)</f>
        <v>TShop Bonus Non-Corp</v>
      </c>
      <c r="C78" s="38"/>
      <c r="D78" s="38"/>
      <c r="E78" s="38"/>
      <c r="F78" s="38"/>
      <c r="G78" s="38"/>
      <c r="H78" s="38"/>
      <c r="I78" s="589">
        <f t="shared" si="9"/>
        <v>0</v>
      </c>
    </row>
    <row r="79" spans="1:9">
      <c r="A79" s="1077">
        <v>520061</v>
      </c>
      <c r="B79" s="1102" t="str">
        <f>VLOOKUP(A79,'Income Statement'!$A$6:$B$254,2,FALSE)</f>
        <v>TShop Bonus Pay Corp</v>
      </c>
      <c r="C79" s="38">
        <v>0</v>
      </c>
      <c r="D79" s="38">
        <f>-Proforma!D79</f>
        <v>-17238</v>
      </c>
      <c r="E79" s="38">
        <v>0</v>
      </c>
      <c r="F79" s="38">
        <v>0</v>
      </c>
      <c r="G79" s="38">
        <v>0</v>
      </c>
      <c r="H79" s="38">
        <v>0</v>
      </c>
      <c r="I79" s="589">
        <f t="shared" si="9"/>
        <v>-17238</v>
      </c>
    </row>
    <row r="80" spans="1:9">
      <c r="A80" s="1077">
        <v>520170</v>
      </c>
      <c r="B80" s="1102" t="str">
        <f>VLOOKUP(A80,'Income Statement'!$A$6:$B$254,2,FALSE)</f>
        <v>TShop Payroll Tax</v>
      </c>
      <c r="C80" s="38">
        <v>0</v>
      </c>
      <c r="D80" s="38">
        <v>0</v>
      </c>
      <c r="E80" s="38">
        <v>0</v>
      </c>
      <c r="F80" s="38">
        <v>0</v>
      </c>
      <c r="G80" s="38">
        <v>0</v>
      </c>
      <c r="H80" s="38">
        <v>0</v>
      </c>
      <c r="I80" s="589">
        <f t="shared" si="9"/>
        <v>0</v>
      </c>
    </row>
    <row r="81" spans="1:9">
      <c r="A81" s="1077">
        <v>520172</v>
      </c>
      <c r="B81" s="1102" t="str">
        <f>VLOOKUP(A81,'Income Statement'!$A$6:$B$254,2,FALSE)</f>
        <v>TShop Personal Time</v>
      </c>
      <c r="C81" s="38">
        <v>0</v>
      </c>
      <c r="D81" s="38">
        <v>0</v>
      </c>
      <c r="E81" s="38">
        <v>0</v>
      </c>
      <c r="F81" s="38">
        <v>0</v>
      </c>
      <c r="G81" s="38">
        <v>0</v>
      </c>
      <c r="H81" s="38">
        <v>0</v>
      </c>
      <c r="I81" s="589">
        <f t="shared" si="9"/>
        <v>0</v>
      </c>
    </row>
    <row r="82" spans="1:9">
      <c r="A82" s="1077">
        <v>520173</v>
      </c>
      <c r="B82" s="1102" t="str">
        <f>VLOOKUP(A82,'Income Statement'!$A$6:$B$254,2,FALSE)</f>
        <v>TShop Holiday Pay</v>
      </c>
      <c r="C82" s="38">
        <v>0</v>
      </c>
      <c r="D82" s="38">
        <v>0</v>
      </c>
      <c r="E82" s="38">
        <v>0</v>
      </c>
      <c r="F82" s="38">
        <v>0</v>
      </c>
      <c r="G82" s="38">
        <v>0</v>
      </c>
      <c r="H82" s="38">
        <v>0</v>
      </c>
      <c r="I82" s="589">
        <f t="shared" si="9"/>
        <v>0</v>
      </c>
    </row>
    <row r="83" spans="1:9">
      <c r="A83" s="1077">
        <v>520174</v>
      </c>
      <c r="B83" s="1102" t="str">
        <f>VLOOKUP(A83,'Income Statement'!$A$6:$B$254,2,FALSE)</f>
        <v>TShop Vacation/Sick</v>
      </c>
      <c r="C83" s="38">
        <v>0</v>
      </c>
      <c r="D83" s="38">
        <v>0</v>
      </c>
      <c r="E83" s="38">
        <v>0</v>
      </c>
      <c r="F83" s="38">
        <v>0</v>
      </c>
      <c r="G83" s="38">
        <v>0</v>
      </c>
      <c r="H83" s="38">
        <v>0</v>
      </c>
      <c r="I83" s="589">
        <f t="shared" si="9"/>
        <v>0</v>
      </c>
    </row>
    <row r="84" spans="1:9">
      <c r="A84" s="1077">
        <v>520175</v>
      </c>
      <c r="B84" s="1102" t="str">
        <f>VLOOKUP(A84,'Income Statement'!$A$6:$B$254,2,FALSE)</f>
        <v>TShop Benefits Non-Corp</v>
      </c>
      <c r="C84" s="38">
        <v>0</v>
      </c>
      <c r="D84" s="38">
        <v>0</v>
      </c>
      <c r="E84" s="38">
        <v>0</v>
      </c>
      <c r="F84" s="38">
        <v>0</v>
      </c>
      <c r="G84" s="38">
        <v>0</v>
      </c>
      <c r="H84" s="38">
        <v>0</v>
      </c>
      <c r="I84" s="589">
        <f t="shared" si="9"/>
        <v>0</v>
      </c>
    </row>
    <row r="85" spans="1:9">
      <c r="A85" s="1077">
        <v>520176</v>
      </c>
      <c r="B85" s="1102" t="str">
        <f>VLOOKUP(A85,'Income Statement'!$A$6:$B$254,2,FALSE)</f>
        <v>TShop Benefits Corp</v>
      </c>
      <c r="C85" s="38">
        <v>0</v>
      </c>
      <c r="D85" s="38">
        <v>0</v>
      </c>
      <c r="E85" s="38">
        <v>0</v>
      </c>
      <c r="F85" s="38">
        <v>0</v>
      </c>
      <c r="G85" s="38">
        <v>0</v>
      </c>
      <c r="H85" s="38">
        <v>0</v>
      </c>
      <c r="I85" s="589">
        <f t="shared" si="9"/>
        <v>0</v>
      </c>
    </row>
    <row r="86" spans="1:9">
      <c r="A86" s="1077">
        <v>520188</v>
      </c>
      <c r="B86" s="1102" t="str">
        <f>VLOOKUP(A86,'Income Statement'!$A$6:$B$254,2,FALSE)</f>
        <v>TShop Uniforms &amp; Safety</v>
      </c>
      <c r="C86" s="38">
        <v>0</v>
      </c>
      <c r="D86" s="38">
        <v>0</v>
      </c>
      <c r="E86" s="38">
        <v>0</v>
      </c>
      <c r="F86" s="38">
        <v>0</v>
      </c>
      <c r="G86" s="38">
        <v>0</v>
      </c>
      <c r="H86" s="38">
        <v>0</v>
      </c>
      <c r="I86" s="589">
        <f t="shared" si="9"/>
        <v>0</v>
      </c>
    </row>
    <row r="87" spans="1:9">
      <c r="A87" s="1077">
        <v>520999</v>
      </c>
      <c r="B87" s="1102" t="str">
        <f>VLOOKUP(A87,'Income Statement'!$A$6:$B$254,2,FALSE)</f>
        <v>TShop Labor Alloc-Out</v>
      </c>
      <c r="C87" s="38">
        <v>0</v>
      </c>
      <c r="D87" s="38">
        <f>-D79</f>
        <v>17238</v>
      </c>
      <c r="E87" s="38">
        <v>0</v>
      </c>
      <c r="F87" s="38">
        <v>0</v>
      </c>
      <c r="G87" s="38">
        <v>0</v>
      </c>
      <c r="H87" s="38">
        <v>0</v>
      </c>
      <c r="I87" s="589">
        <f t="shared" si="9"/>
        <v>17238</v>
      </c>
    </row>
    <row r="88" spans="1:9">
      <c r="A88" s="1084"/>
      <c r="B88" s="1102"/>
      <c r="C88" s="38"/>
      <c r="D88" s="38"/>
      <c r="E88" s="38"/>
      <c r="F88" s="38"/>
      <c r="G88" s="38"/>
      <c r="H88" s="38"/>
      <c r="I88" s="589"/>
    </row>
    <row r="89" spans="1:9">
      <c r="A89" s="1077">
        <v>525020</v>
      </c>
      <c r="B89" s="1102" t="e">
        <f>VLOOKUP(A89,'Income Statement'!$A$6:$B$254,2,FALSE)</f>
        <v>#N/A</v>
      </c>
      <c r="C89" s="38">
        <v>0</v>
      </c>
      <c r="D89" s="38">
        <v>0</v>
      </c>
      <c r="E89" s="38">
        <v>0</v>
      </c>
      <c r="F89" s="38">
        <v>0</v>
      </c>
      <c r="G89" s="38">
        <v>0</v>
      </c>
      <c r="H89" s="38">
        <v>0</v>
      </c>
      <c r="I89" s="589">
        <f>SUM(C89:H89)</f>
        <v>0</v>
      </c>
    </row>
    <row r="90" spans="1:9">
      <c r="A90" s="1084">
        <v>525030</v>
      </c>
      <c r="B90" s="1102" t="str">
        <f>VLOOKUP(A90,'Income Statement'!$A$6:$B$254,2,FALSE)</f>
        <v>CShop Support</v>
      </c>
      <c r="C90" s="38">
        <v>0</v>
      </c>
      <c r="D90" s="38">
        <v>0</v>
      </c>
      <c r="E90" s="38">
        <v>0</v>
      </c>
      <c r="F90" s="38">
        <v>0</v>
      </c>
      <c r="G90" s="38">
        <v>0</v>
      </c>
      <c r="H90" s="38">
        <v>0</v>
      </c>
      <c r="I90" s="589">
        <f t="shared" ref="I90:I98" si="10">SUM(C90:H90)</f>
        <v>0</v>
      </c>
    </row>
    <row r="91" spans="1:9">
      <c r="A91" s="1084">
        <v>525055</v>
      </c>
      <c r="B91" s="1102" t="e">
        <f>VLOOKUP(A91,'Income Statement'!$A$6:$B$254,2,FALSE)</f>
        <v>#N/A</v>
      </c>
      <c r="C91" s="38">
        <v>0</v>
      </c>
      <c r="D91" s="38">
        <v>0</v>
      </c>
      <c r="E91" s="38">
        <v>0</v>
      </c>
      <c r="F91" s="38">
        <v>0</v>
      </c>
      <c r="G91" s="38">
        <v>0</v>
      </c>
      <c r="H91" s="38">
        <v>0</v>
      </c>
      <c r="I91" s="589">
        <f t="shared" si="10"/>
        <v>0</v>
      </c>
    </row>
    <row r="92" spans="1:9">
      <c r="A92" s="1077">
        <v>525170</v>
      </c>
      <c r="B92" s="1102" t="str">
        <f>VLOOKUP(A92,'Income Statement'!$A$6:$B$254,2,FALSE)</f>
        <v>CShop Payroll Tax</v>
      </c>
      <c r="C92" s="38">
        <v>0</v>
      </c>
      <c r="D92" s="38">
        <v>0</v>
      </c>
      <c r="E92" s="38">
        <v>0</v>
      </c>
      <c r="F92" s="38">
        <v>0</v>
      </c>
      <c r="G92" s="38">
        <v>0</v>
      </c>
      <c r="H92" s="38">
        <v>0</v>
      </c>
      <c r="I92" s="589">
        <f t="shared" si="10"/>
        <v>0</v>
      </c>
    </row>
    <row r="93" spans="1:9">
      <c r="A93" s="1077">
        <v>525173</v>
      </c>
      <c r="B93" s="1102" t="str">
        <f>VLOOKUP(A93,'Income Statement'!$A$6:$B$254,2,FALSE)</f>
        <v>CShop Holiday Pay</v>
      </c>
      <c r="C93" s="38">
        <v>0</v>
      </c>
      <c r="D93" s="38">
        <v>0</v>
      </c>
      <c r="E93" s="38">
        <v>0</v>
      </c>
      <c r="F93" s="38">
        <v>0</v>
      </c>
      <c r="G93" s="38">
        <v>0</v>
      </c>
      <c r="H93" s="38">
        <v>0</v>
      </c>
      <c r="I93" s="589">
        <f t="shared" si="10"/>
        <v>0</v>
      </c>
    </row>
    <row r="94" spans="1:9">
      <c r="A94" s="1077">
        <v>525174</v>
      </c>
      <c r="B94" s="1102" t="str">
        <f>VLOOKUP(A94,'Income Statement'!$A$6:$B$254,2,FALSE)</f>
        <v>CShop Vacation/Sick</v>
      </c>
      <c r="C94" s="38">
        <v>0</v>
      </c>
      <c r="D94" s="38">
        <v>0</v>
      </c>
      <c r="E94" s="38">
        <v>0</v>
      </c>
      <c r="F94" s="38">
        <v>0</v>
      </c>
      <c r="G94" s="38">
        <v>0</v>
      </c>
      <c r="H94" s="38">
        <v>0</v>
      </c>
      <c r="I94" s="589">
        <f>SUM(C94:H94)</f>
        <v>0</v>
      </c>
    </row>
    <row r="95" spans="1:9">
      <c r="A95" s="1077">
        <v>525175</v>
      </c>
      <c r="B95" s="1102" t="str">
        <f>VLOOKUP(A95,'Income Statement'!$A$6:$B$254,2,FALSE)</f>
        <v>CShop Benefits Non-Corp</v>
      </c>
      <c r="C95" s="38"/>
      <c r="D95" s="38"/>
      <c r="E95" s="38"/>
      <c r="F95" s="38"/>
      <c r="G95" s="38"/>
      <c r="H95" s="38"/>
      <c r="I95" s="589">
        <f>SUM(C95:H95)</f>
        <v>0</v>
      </c>
    </row>
    <row r="96" spans="1:9">
      <c r="A96" s="1077">
        <v>525176</v>
      </c>
      <c r="B96" s="1102" t="e">
        <f>VLOOKUP(A96,'Income Statement'!$A$6:$B$254,2,FALSE)</f>
        <v>#N/A</v>
      </c>
      <c r="C96" s="38">
        <v>0</v>
      </c>
      <c r="D96" s="38">
        <v>0</v>
      </c>
      <c r="E96" s="38">
        <v>0</v>
      </c>
      <c r="F96" s="38">
        <v>0</v>
      </c>
      <c r="G96" s="38">
        <v>0</v>
      </c>
      <c r="H96" s="38">
        <v>0</v>
      </c>
      <c r="I96" s="589">
        <f>SUM(C96:H96)</f>
        <v>0</v>
      </c>
    </row>
    <row r="97" spans="1:9">
      <c r="A97" s="1077">
        <v>525998</v>
      </c>
      <c r="B97" s="1102" t="e">
        <f>VLOOKUP(A97,'Income Statement'!$A$6:$B$254,2,FALSE)</f>
        <v>#N/A</v>
      </c>
      <c r="C97" s="38">
        <v>0</v>
      </c>
      <c r="D97" s="38">
        <v>0</v>
      </c>
      <c r="E97" s="38">
        <v>0</v>
      </c>
      <c r="F97" s="38">
        <v>0</v>
      </c>
      <c r="G97" s="38">
        <v>0</v>
      </c>
      <c r="H97" s="38">
        <v>0</v>
      </c>
      <c r="I97" s="589">
        <f t="shared" si="10"/>
        <v>0</v>
      </c>
    </row>
    <row r="98" spans="1:9">
      <c r="A98" s="1084">
        <v>525999</v>
      </c>
      <c r="B98" s="1102" t="str">
        <f>VLOOKUP(A98,'Income Statement'!$A$6:$B$254,2,FALSE)</f>
        <v>CShop Labor Alloc-Out</v>
      </c>
      <c r="C98" s="38">
        <v>0</v>
      </c>
      <c r="D98" s="38">
        <v>0</v>
      </c>
      <c r="E98" s="38">
        <v>0</v>
      </c>
      <c r="F98" s="38">
        <v>0</v>
      </c>
      <c r="G98" s="38">
        <v>0</v>
      </c>
      <c r="H98" s="38">
        <v>0</v>
      </c>
      <c r="I98" s="589">
        <f t="shared" si="10"/>
        <v>0</v>
      </c>
    </row>
    <row r="99" spans="1:9">
      <c r="A99" s="1077"/>
      <c r="B99" s="1102"/>
      <c r="C99" s="38"/>
      <c r="D99" s="38"/>
      <c r="E99" s="38"/>
      <c r="F99" s="38"/>
      <c r="G99" s="38"/>
      <c r="H99" s="38"/>
      <c r="I99" s="589"/>
    </row>
    <row r="100" spans="1:9">
      <c r="A100" s="1077">
        <v>530010</v>
      </c>
      <c r="B100" s="1102" t="str">
        <f>VLOOKUP(A100,'Income Statement'!$A$6:$B$254,2,FALSE)</f>
        <v>Fuel</v>
      </c>
      <c r="C100" s="38">
        <v>0</v>
      </c>
      <c r="D100" s="38">
        <v>0</v>
      </c>
      <c r="E100" s="38">
        <v>0</v>
      </c>
      <c r="F100" s="38">
        <v>0</v>
      </c>
      <c r="G100" s="38">
        <v>0</v>
      </c>
      <c r="H100" s="38">
        <v>0</v>
      </c>
      <c r="I100" s="589">
        <f t="shared" ref="I100:I113" si="11">SUM(C100:H100)</f>
        <v>0</v>
      </c>
    </row>
    <row r="101" spans="1:9">
      <c r="A101" s="1077">
        <v>530015</v>
      </c>
      <c r="B101" s="1102" t="str">
        <f>VLOOKUP(A101,'Income Statement'!$A$6:$B$254,2,FALSE)</f>
        <v>Oil/Lubricants</v>
      </c>
      <c r="C101" s="38">
        <v>0</v>
      </c>
      <c r="D101" s="38">
        <v>0</v>
      </c>
      <c r="E101" s="38">
        <v>0</v>
      </c>
      <c r="F101" s="38">
        <v>0</v>
      </c>
      <c r="G101" s="38">
        <v>0</v>
      </c>
      <c r="H101" s="38">
        <v>0</v>
      </c>
      <c r="I101" s="589">
        <f t="shared" si="11"/>
        <v>0</v>
      </c>
    </row>
    <row r="102" spans="1:9">
      <c r="A102" s="1077">
        <v>530030</v>
      </c>
      <c r="B102" s="1102" t="str">
        <f>VLOOKUP(A102,'Income Statement'!$A$6:$B$254,2,FALSE)</f>
        <v>Truck/Equip Licenses</v>
      </c>
      <c r="C102" s="38">
        <v>0</v>
      </c>
      <c r="D102" s="38">
        <v>0</v>
      </c>
      <c r="E102" s="38">
        <v>0</v>
      </c>
      <c r="F102" s="38">
        <v>0</v>
      </c>
      <c r="G102" s="38">
        <v>0</v>
      </c>
      <c r="H102" s="38">
        <v>0</v>
      </c>
      <c r="I102" s="589">
        <f t="shared" si="11"/>
        <v>0</v>
      </c>
    </row>
    <row r="103" spans="1:9">
      <c r="A103" s="1077">
        <v>530050</v>
      </c>
      <c r="B103" s="1102" t="str">
        <f>VLOOKUP(A103,'Income Statement'!$A$6:$B$254,2,FALSE)</f>
        <v>Tolls</v>
      </c>
      <c r="C103" s="38"/>
      <c r="D103" s="38"/>
      <c r="E103" s="38"/>
      <c r="F103" s="38"/>
      <c r="G103" s="38"/>
      <c r="H103" s="38"/>
      <c r="I103" s="589">
        <f t="shared" si="11"/>
        <v>0</v>
      </c>
    </row>
    <row r="104" spans="1:9">
      <c r="A104" s="1077">
        <v>530060</v>
      </c>
      <c r="B104" s="1102" t="str">
        <f>VLOOKUP(A104,'Income Statement'!$A$6:$B$254,2,FALSE)</f>
        <v>Equip Rental-3rd Party</v>
      </c>
      <c r="C104" s="38">
        <v>0</v>
      </c>
      <c r="D104" s="38">
        <v>0</v>
      </c>
      <c r="E104" s="38">
        <v>0</v>
      </c>
      <c r="F104" s="38">
        <v>0</v>
      </c>
      <c r="G104" s="38">
        <v>0</v>
      </c>
      <c r="H104" s="38">
        <v>0</v>
      </c>
      <c r="I104" s="589">
        <f t="shared" si="11"/>
        <v>0</v>
      </c>
    </row>
    <row r="105" spans="1:9">
      <c r="A105" s="1077">
        <v>530064</v>
      </c>
      <c r="B105" s="1102" t="str">
        <f>VLOOKUP(A105,'Income Statement'!$A$6:$B$254,2,FALSE)</f>
        <v>Truck/Equip Rental</v>
      </c>
      <c r="C105" s="38"/>
      <c r="D105" s="38"/>
      <c r="E105" s="38"/>
      <c r="F105" s="38"/>
      <c r="G105" s="38"/>
      <c r="H105" s="38"/>
      <c r="I105" s="589">
        <f t="shared" si="11"/>
        <v>0</v>
      </c>
    </row>
    <row r="106" spans="1:9">
      <c r="A106" s="1077">
        <v>530065</v>
      </c>
      <c r="B106" s="1102" t="str">
        <f>VLOOKUP(A106,'Income Statement'!$A$6:$B$254,2,FALSE)</f>
        <v>HENS Lease Expense</v>
      </c>
      <c r="C106" s="38">
        <v>0</v>
      </c>
      <c r="D106" s="38">
        <v>0</v>
      </c>
      <c r="E106" s="38">
        <v>0</v>
      </c>
      <c r="F106" s="38">
        <v>0</v>
      </c>
      <c r="G106" s="38">
        <v>0</v>
      </c>
      <c r="H106" s="38">
        <v>0</v>
      </c>
      <c r="I106" s="589">
        <f t="shared" si="11"/>
        <v>0</v>
      </c>
    </row>
    <row r="107" spans="1:9">
      <c r="A107" s="1077">
        <v>530067</v>
      </c>
      <c r="B107" s="1102" t="str">
        <f>VLOOKUP(A107,'Income Statement'!$A$6:$B$254,2,FALSE)</f>
        <v>Lease Sales Tax Expense</v>
      </c>
      <c r="C107" s="38">
        <v>0</v>
      </c>
      <c r="D107" s="38">
        <v>0</v>
      </c>
      <c r="E107" s="38">
        <v>0</v>
      </c>
      <c r="F107" s="38">
        <v>0</v>
      </c>
      <c r="G107" s="38">
        <v>0</v>
      </c>
      <c r="H107" s="38">
        <v>0</v>
      </c>
      <c r="I107" s="589">
        <f t="shared" si="11"/>
        <v>0</v>
      </c>
    </row>
    <row r="108" spans="1:9">
      <c r="A108" s="1077">
        <v>530068</v>
      </c>
      <c r="B108" s="1102" t="str">
        <f>VLOOKUP(A108,'Income Statement'!$A$6:$B$254,2,FALSE)</f>
        <v>Lease Allocation</v>
      </c>
      <c r="C108" s="38">
        <v>0</v>
      </c>
      <c r="D108" s="38">
        <v>0</v>
      </c>
      <c r="E108" s="38">
        <v>0</v>
      </c>
      <c r="F108" s="38">
        <v>0</v>
      </c>
      <c r="G108" s="38">
        <v>0</v>
      </c>
      <c r="H108" s="38">
        <v>0</v>
      </c>
      <c r="I108" s="589">
        <f t="shared" si="11"/>
        <v>0</v>
      </c>
    </row>
    <row r="109" spans="1:9">
      <c r="A109" s="1077">
        <v>530070</v>
      </c>
      <c r="B109" s="1102" t="str">
        <f>VLOOKUP(A109,'Income Statement'!$A$6:$B$254,2,FALSE)</f>
        <v>Operating Taxes</v>
      </c>
      <c r="C109" s="38">
        <v>0</v>
      </c>
      <c r="D109" s="38">
        <v>0</v>
      </c>
      <c r="E109" s="38">
        <v>0</v>
      </c>
      <c r="F109" s="38">
        <v>0</v>
      </c>
      <c r="G109" s="38">
        <v>0</v>
      </c>
      <c r="H109" s="38">
        <v>0</v>
      </c>
      <c r="I109" s="589">
        <f t="shared" si="11"/>
        <v>0</v>
      </c>
    </row>
    <row r="110" spans="1:9" s="541" customFormat="1">
      <c r="A110" s="1077">
        <v>530095</v>
      </c>
      <c r="B110" s="1102" t="e">
        <f>VLOOKUP(A110,'Income Statement'!$A$6:$B$254,2,FALSE)</f>
        <v>#N/A</v>
      </c>
      <c r="C110" s="38">
        <v>0</v>
      </c>
      <c r="D110" s="38">
        <v>0</v>
      </c>
      <c r="E110" s="38">
        <v>0</v>
      </c>
      <c r="F110" s="38">
        <v>0</v>
      </c>
      <c r="G110" s="38">
        <v>0</v>
      </c>
      <c r="H110" s="38">
        <v>0</v>
      </c>
      <c r="I110" s="589">
        <f t="shared" si="11"/>
        <v>0</v>
      </c>
    </row>
    <row r="111" spans="1:9">
      <c r="A111" s="1084">
        <v>530998</v>
      </c>
      <c r="B111" s="1102" t="str">
        <f>VLOOKUP(A111,'Income Statement'!$A$6:$B$254,2,FALSE)</f>
        <v>Operating Alloc-In</v>
      </c>
      <c r="C111" s="38">
        <v>0</v>
      </c>
      <c r="D111" s="38">
        <v>0</v>
      </c>
      <c r="E111" s="38">
        <v>0</v>
      </c>
      <c r="F111" s="38">
        <v>0</v>
      </c>
      <c r="G111" s="38">
        <v>0</v>
      </c>
      <c r="H111" s="38">
        <v>0</v>
      </c>
      <c r="I111" s="589">
        <f t="shared" si="11"/>
        <v>0</v>
      </c>
    </row>
    <row r="112" spans="1:9">
      <c r="A112" s="1077">
        <v>530999</v>
      </c>
      <c r="B112" s="1102" t="str">
        <f>VLOOKUP(A112,'Income Statement'!$A$6:$B$254,2,FALSE)</f>
        <v>Operating Alloc-Out</v>
      </c>
      <c r="C112" s="38">
        <v>0</v>
      </c>
      <c r="D112" s="38">
        <v>0</v>
      </c>
      <c r="E112" s="38">
        <v>0</v>
      </c>
      <c r="F112" s="38">
        <v>0</v>
      </c>
      <c r="G112" s="38">
        <v>0</v>
      </c>
      <c r="H112" s="38">
        <v>0</v>
      </c>
      <c r="I112" s="589">
        <f t="shared" si="11"/>
        <v>0</v>
      </c>
    </row>
    <row r="113" spans="1:9" ht="12">
      <c r="A113" s="1084"/>
      <c r="B113" s="1088" t="s">
        <v>536</v>
      </c>
      <c r="C113" s="576">
        <f t="shared" ref="C113:H113" si="12">SUM(C100:C112)</f>
        <v>0</v>
      </c>
      <c r="D113" s="576">
        <f t="shared" si="12"/>
        <v>0</v>
      </c>
      <c r="E113" s="576">
        <f t="shared" si="12"/>
        <v>0</v>
      </c>
      <c r="F113" s="576">
        <f t="shared" si="12"/>
        <v>0</v>
      </c>
      <c r="G113" s="576">
        <f t="shared" si="12"/>
        <v>0</v>
      </c>
      <c r="H113" s="576">
        <f t="shared" si="12"/>
        <v>0</v>
      </c>
      <c r="I113" s="590">
        <f t="shared" si="11"/>
        <v>0</v>
      </c>
    </row>
    <row r="114" spans="1:9">
      <c r="A114" s="1090"/>
      <c r="B114" s="1091"/>
      <c r="C114" s="38"/>
      <c r="D114" s="38"/>
      <c r="E114" s="38"/>
      <c r="F114" s="38"/>
      <c r="G114" s="38"/>
      <c r="H114" s="38"/>
      <c r="I114" s="589"/>
    </row>
    <row r="115" spans="1:9">
      <c r="A115" s="1077">
        <v>540010</v>
      </c>
      <c r="B115" s="1102" t="str">
        <f>VLOOKUP(A115,'Income Statement'!$A$6:$B$254,2,FALSE)</f>
        <v>Parts &amp; Matls</v>
      </c>
      <c r="C115" s="38">
        <v>0</v>
      </c>
      <c r="D115" s="38">
        <v>0</v>
      </c>
      <c r="E115" s="38">
        <v>0</v>
      </c>
      <c r="F115" s="38">
        <v>0</v>
      </c>
      <c r="G115" s="38">
        <v>0</v>
      </c>
      <c r="H115" s="38">
        <v>0</v>
      </c>
      <c r="I115" s="589">
        <f t="shared" ref="I115:I128" si="13">SUM(C115:H115)</f>
        <v>0</v>
      </c>
    </row>
    <row r="116" spans="1:9">
      <c r="A116" s="1077">
        <v>540014</v>
      </c>
      <c r="B116" s="1102" t="e">
        <f>VLOOKUP(A116,'Income Statement'!$A$6:$B$254,2,FALSE)</f>
        <v>#N/A</v>
      </c>
      <c r="C116" s="38"/>
      <c r="D116" s="38"/>
      <c r="E116" s="38"/>
      <c r="F116" s="38"/>
      <c r="G116" s="38"/>
      <c r="H116" s="38"/>
      <c r="I116" s="589">
        <f t="shared" si="13"/>
        <v>0</v>
      </c>
    </row>
    <row r="117" spans="1:9">
      <c r="A117" s="1077">
        <v>545015</v>
      </c>
      <c r="B117" s="1102" t="e">
        <f>VLOOKUP(A117,'Income Statement'!$A$6:$B$254,2,FALSE)</f>
        <v>#N/A</v>
      </c>
      <c r="C117" s="38">
        <v>0</v>
      </c>
      <c r="D117" s="38">
        <v>0</v>
      </c>
      <c r="E117" s="38">
        <v>0</v>
      </c>
      <c r="F117" s="38">
        <v>0</v>
      </c>
      <c r="G117" s="38">
        <v>0</v>
      </c>
      <c r="H117" s="38">
        <v>0</v>
      </c>
      <c r="I117" s="589">
        <f t="shared" si="13"/>
        <v>0</v>
      </c>
    </row>
    <row r="118" spans="1:9">
      <c r="A118" s="1077">
        <v>540020</v>
      </c>
      <c r="B118" s="1102" t="str">
        <f>VLOOKUP(A118,'Income Statement'!$A$6:$B$254,2,FALSE)</f>
        <v>Truck/Equip Supplies</v>
      </c>
      <c r="C118" s="38">
        <v>0</v>
      </c>
      <c r="D118" s="38">
        <v>0</v>
      </c>
      <c r="E118" s="38">
        <v>0</v>
      </c>
      <c r="F118" s="38">
        <v>0</v>
      </c>
      <c r="G118" s="38">
        <v>0</v>
      </c>
      <c r="H118" s="38">
        <v>0</v>
      </c>
      <c r="I118" s="589">
        <f t="shared" si="13"/>
        <v>0</v>
      </c>
    </row>
    <row r="119" spans="1:9">
      <c r="A119" s="1077">
        <v>540030</v>
      </c>
      <c r="B119" s="1102" t="str">
        <f>VLOOKUP(A119,'Income Statement'!$A$6:$B$254,2,FALSE)</f>
        <v>New Tire Expense</v>
      </c>
      <c r="C119" s="38">
        <v>0</v>
      </c>
      <c r="D119" s="38">
        <v>0</v>
      </c>
      <c r="E119" s="38">
        <v>0</v>
      </c>
      <c r="F119" s="38">
        <v>0</v>
      </c>
      <c r="G119" s="38">
        <v>0</v>
      </c>
      <c r="H119" s="38">
        <v>0</v>
      </c>
      <c r="I119" s="589">
        <f t="shared" si="13"/>
        <v>0</v>
      </c>
    </row>
    <row r="120" spans="1:9">
      <c r="A120" s="1077">
        <v>540031</v>
      </c>
      <c r="B120" s="1102" t="str">
        <f>VLOOKUP(A120,'Income Statement'!$A$6:$B$254,2,FALSE)</f>
        <v>Tire Repair</v>
      </c>
      <c r="C120" s="38">
        <v>0</v>
      </c>
      <c r="D120" s="38">
        <v>0</v>
      </c>
      <c r="E120" s="38">
        <v>0</v>
      </c>
      <c r="F120" s="38">
        <v>0</v>
      </c>
      <c r="G120" s="38">
        <v>0</v>
      </c>
      <c r="H120" s="38">
        <v>0</v>
      </c>
      <c r="I120" s="589">
        <f t="shared" si="13"/>
        <v>0</v>
      </c>
    </row>
    <row r="121" spans="1:9">
      <c r="A121" s="1077">
        <v>540040</v>
      </c>
      <c r="B121" s="1102" t="str">
        <f>VLOOKUP(A121,'Income Statement'!$A$6:$B$254,2,FALSE)</f>
        <v>O/S Repair-Coll Equip</v>
      </c>
      <c r="C121" s="38"/>
      <c r="D121" s="38"/>
      <c r="E121" s="38"/>
      <c r="F121" s="38"/>
      <c r="G121" s="38"/>
      <c r="H121" s="38"/>
      <c r="I121" s="589">
        <f t="shared" si="13"/>
        <v>0</v>
      </c>
    </row>
    <row r="122" spans="1:9">
      <c r="A122" s="1077">
        <v>540050</v>
      </c>
      <c r="B122" s="1102" t="str">
        <f>VLOOKUP(A122,'Income Statement'!$A$6:$B$254,2,FALSE)</f>
        <v>Towing</v>
      </c>
      <c r="C122" s="38">
        <v>0</v>
      </c>
      <c r="D122" s="38">
        <v>0</v>
      </c>
      <c r="E122" s="38">
        <v>0</v>
      </c>
      <c r="F122" s="38">
        <v>0</v>
      </c>
      <c r="G122" s="38">
        <v>0</v>
      </c>
      <c r="H122" s="38">
        <v>0</v>
      </c>
      <c r="I122" s="589">
        <f t="shared" si="13"/>
        <v>0</v>
      </c>
    </row>
    <row r="123" spans="1:9">
      <c r="A123" s="1077">
        <v>540090</v>
      </c>
      <c r="B123" s="1102" t="str">
        <f>VLOOKUP(A123,'Income Statement'!$A$6:$B$254,2,FALSE)</f>
        <v>Truck &amp; Equip Washing</v>
      </c>
      <c r="C123" s="38">
        <v>0</v>
      </c>
      <c r="D123" s="38">
        <v>0</v>
      </c>
      <c r="E123" s="38">
        <v>0</v>
      </c>
      <c r="F123" s="38">
        <v>0</v>
      </c>
      <c r="G123" s="38">
        <v>0</v>
      </c>
      <c r="H123" s="38">
        <v>0</v>
      </c>
      <c r="I123" s="589">
        <f t="shared" si="13"/>
        <v>0</v>
      </c>
    </row>
    <row r="124" spans="1:9">
      <c r="A124" s="1077">
        <v>540095</v>
      </c>
      <c r="B124" s="1102" t="str">
        <f>VLOOKUP(A124,'Income Statement'!$A$6:$B$254,2,FALSE)</f>
        <v>Other Repairs &amp; Maint</v>
      </c>
      <c r="C124" s="38">
        <v>0</v>
      </c>
      <c r="D124" s="38">
        <v>0</v>
      </c>
      <c r="E124" s="38">
        <v>0</v>
      </c>
      <c r="F124" s="38">
        <v>0</v>
      </c>
      <c r="G124" s="38">
        <v>0</v>
      </c>
      <c r="H124" s="38">
        <v>0</v>
      </c>
      <c r="I124" s="589">
        <f t="shared" si="13"/>
        <v>0</v>
      </c>
    </row>
    <row r="125" spans="1:9">
      <c r="A125" s="1077">
        <v>540991</v>
      </c>
      <c r="B125" s="1102" t="str">
        <f>VLOOKUP(A125,'Income Statement'!$A$6:$B$254,2,FALSE)</f>
        <v>T/E Damage-Acc/A&amp;M Contra</v>
      </c>
      <c r="C125" s="38">
        <v>0</v>
      </c>
      <c r="D125" s="38">
        <v>0</v>
      </c>
      <c r="E125" s="38">
        <v>0</v>
      </c>
      <c r="F125" s="38">
        <v>0</v>
      </c>
      <c r="G125" s="38">
        <v>0</v>
      </c>
      <c r="H125" s="38">
        <v>0</v>
      </c>
      <c r="I125" s="589">
        <f t="shared" si="13"/>
        <v>0</v>
      </c>
    </row>
    <row r="126" spans="1:9">
      <c r="A126" s="1077">
        <v>540997</v>
      </c>
      <c r="B126" s="1102" t="str">
        <f>VLOOKUP(A126,'Income Statement'!$A$6:$B$254,2,FALSE)</f>
        <v>TShop Labor Alloc-In.</v>
      </c>
      <c r="C126" s="38">
        <v>0</v>
      </c>
      <c r="D126" s="38">
        <v>0</v>
      </c>
      <c r="E126" s="38">
        <v>0</v>
      </c>
      <c r="F126" s="38">
        <v>0</v>
      </c>
      <c r="G126" s="38">
        <v>0</v>
      </c>
      <c r="H126" s="38">
        <v>0</v>
      </c>
      <c r="I126" s="589">
        <f t="shared" si="13"/>
        <v>0</v>
      </c>
    </row>
    <row r="127" spans="1:9">
      <c r="A127" s="1077">
        <v>540998</v>
      </c>
      <c r="B127" s="1102" t="str">
        <f>VLOOKUP(A127,'Income Statement'!$A$6:$B$254,2,FALSE)</f>
        <v>Trk/Equip Expense Alloc-In</v>
      </c>
      <c r="C127" s="38">
        <v>0</v>
      </c>
      <c r="D127" s="38">
        <v>0</v>
      </c>
      <c r="E127" s="38">
        <v>0</v>
      </c>
      <c r="F127" s="38">
        <v>0</v>
      </c>
      <c r="G127" s="38">
        <v>0</v>
      </c>
      <c r="H127" s="38">
        <v>0</v>
      </c>
      <c r="I127" s="589">
        <f t="shared" si="13"/>
        <v>0</v>
      </c>
    </row>
    <row r="128" spans="1:9">
      <c r="A128" s="1077">
        <v>540999</v>
      </c>
      <c r="B128" s="1102" t="str">
        <f>VLOOKUP(A128,'Income Statement'!$A$6:$B$254,2,FALSE)</f>
        <v>Trk/Equip Expense Alloc-Out</v>
      </c>
      <c r="C128" s="38">
        <v>0</v>
      </c>
      <c r="D128" s="38">
        <v>0</v>
      </c>
      <c r="E128" s="38">
        <v>0</v>
      </c>
      <c r="F128" s="38">
        <v>0</v>
      </c>
      <c r="G128" s="38">
        <v>0</v>
      </c>
      <c r="H128" s="38">
        <v>0</v>
      </c>
      <c r="I128" s="589">
        <f t="shared" si="13"/>
        <v>0</v>
      </c>
    </row>
    <row r="129" spans="1:9" ht="12">
      <c r="A129" s="1084"/>
      <c r="B129" s="1088" t="s">
        <v>537</v>
      </c>
      <c r="C129" s="576">
        <f t="shared" ref="C129:H129" si="14">SUM(C115:C128)</f>
        <v>0</v>
      </c>
      <c r="D129" s="576">
        <f t="shared" si="14"/>
        <v>0</v>
      </c>
      <c r="E129" s="576">
        <f t="shared" si="14"/>
        <v>0</v>
      </c>
      <c r="F129" s="576">
        <f t="shared" si="14"/>
        <v>0</v>
      </c>
      <c r="G129" s="576">
        <f t="shared" si="14"/>
        <v>0</v>
      </c>
      <c r="H129" s="576">
        <f t="shared" si="14"/>
        <v>0</v>
      </c>
      <c r="I129" s="590">
        <f>SUM(C129:H129)</f>
        <v>0</v>
      </c>
    </row>
    <row r="130" spans="1:9">
      <c r="A130" s="1090"/>
      <c r="B130" s="1097"/>
      <c r="C130" s="38"/>
      <c r="D130" s="38"/>
      <c r="E130" s="38"/>
      <c r="F130" s="38"/>
      <c r="G130" s="38"/>
      <c r="H130" s="38"/>
      <c r="I130" s="589"/>
    </row>
    <row r="131" spans="1:9">
      <c r="A131" s="1077">
        <v>545010</v>
      </c>
      <c r="B131" s="1102" t="str">
        <f>VLOOKUP(A131,'Income Statement'!$A$6:$B$254,2,FALSE)</f>
        <v>Cont/Comp Parts &amp; Matls</v>
      </c>
      <c r="C131" s="38">
        <v>0</v>
      </c>
      <c r="D131" s="38">
        <v>0</v>
      </c>
      <c r="E131" s="38">
        <v>0</v>
      </c>
      <c r="F131" s="38">
        <v>0</v>
      </c>
      <c r="G131" s="38">
        <v>0</v>
      </c>
      <c r="H131" s="38">
        <v>0</v>
      </c>
      <c r="I131" s="589">
        <f t="shared" ref="I131:I140" si="15">SUM(C131:H131)</f>
        <v>0</v>
      </c>
    </row>
    <row r="132" spans="1:9">
      <c r="A132" s="1077">
        <v>545015</v>
      </c>
      <c r="B132" s="1102" t="e">
        <f>VLOOKUP(A132,'Income Statement'!$A$6:$B$254,2,FALSE)</f>
        <v>#N/A</v>
      </c>
      <c r="C132" s="38">
        <v>0</v>
      </c>
      <c r="D132" s="38">
        <v>0</v>
      </c>
      <c r="E132" s="38">
        <v>0</v>
      </c>
      <c r="F132" s="38">
        <v>0</v>
      </c>
      <c r="G132" s="38">
        <v>0</v>
      </c>
      <c r="H132" s="38">
        <v>0</v>
      </c>
      <c r="I132" s="589">
        <f t="shared" si="15"/>
        <v>0</v>
      </c>
    </row>
    <row r="133" spans="1:9">
      <c r="A133" s="1077">
        <v>545020</v>
      </c>
      <c r="B133" s="1102" t="e">
        <f>VLOOKUP(A133,'Income Statement'!$A$6:$B$254,2,FALSE)</f>
        <v>#N/A</v>
      </c>
      <c r="C133" s="38">
        <v>0</v>
      </c>
      <c r="D133" s="38">
        <v>0</v>
      </c>
      <c r="E133" s="38">
        <v>0</v>
      </c>
      <c r="F133" s="38">
        <v>0</v>
      </c>
      <c r="G133" s="38">
        <v>0</v>
      </c>
      <c r="H133" s="38">
        <v>0</v>
      </c>
      <c r="I133" s="589">
        <f>SUM(C133:H133)</f>
        <v>0</v>
      </c>
    </row>
    <row r="134" spans="1:9">
      <c r="A134" s="1077">
        <v>545025</v>
      </c>
      <c r="B134" s="1102" t="e">
        <f>VLOOKUP(A134,'Income Statement'!$A$6:$B$254,2,FALSE)</f>
        <v>#N/A</v>
      </c>
      <c r="C134" s="38">
        <v>0</v>
      </c>
      <c r="D134" s="38">
        <v>0</v>
      </c>
      <c r="E134" s="38">
        <v>0</v>
      </c>
      <c r="F134" s="38">
        <v>0</v>
      </c>
      <c r="G134" s="38">
        <v>0</v>
      </c>
      <c r="H134" s="38">
        <v>0</v>
      </c>
      <c r="I134" s="589">
        <f t="shared" si="15"/>
        <v>0</v>
      </c>
    </row>
    <row r="135" spans="1:9">
      <c r="A135" s="1077">
        <v>545030</v>
      </c>
      <c r="B135" s="1102" t="e">
        <f>VLOOKUP(A135,'Income Statement'!$A$6:$B$254,2,FALSE)</f>
        <v>#N/A</v>
      </c>
      <c r="C135" s="38">
        <v>0</v>
      </c>
      <c r="D135" s="38">
        <v>0</v>
      </c>
      <c r="E135" s="38">
        <v>0</v>
      </c>
      <c r="F135" s="38">
        <v>0</v>
      </c>
      <c r="G135" s="38">
        <v>0</v>
      </c>
      <c r="H135" s="38">
        <v>0</v>
      </c>
      <c r="I135" s="589">
        <f t="shared" si="15"/>
        <v>0</v>
      </c>
    </row>
    <row r="136" spans="1:9">
      <c r="A136" s="1077">
        <v>545035</v>
      </c>
      <c r="B136" s="1102" t="str">
        <f>VLOOKUP(A136,'Income Statement'!$A$6:$B$254,2,FALSE)</f>
        <v>Cont/Comp Supplies</v>
      </c>
      <c r="C136" s="38">
        <v>0</v>
      </c>
      <c r="D136" s="38">
        <v>0</v>
      </c>
      <c r="E136" s="38">
        <v>0</v>
      </c>
      <c r="F136" s="38">
        <v>0</v>
      </c>
      <c r="G136" s="38">
        <v>0</v>
      </c>
      <c r="H136" s="38">
        <v>0</v>
      </c>
      <c r="I136" s="589">
        <f>SUM(C136:H136)</f>
        <v>0</v>
      </c>
    </row>
    <row r="137" spans="1:9">
      <c r="A137" s="1077">
        <v>545040</v>
      </c>
      <c r="B137" s="1102" t="str">
        <f>VLOOKUP(A137,'Income Statement'!$A$6:$B$254,2,FALSE)</f>
        <v>Cont/Comp O/S Repairs</v>
      </c>
      <c r="C137" s="38">
        <v>0</v>
      </c>
      <c r="D137" s="38">
        <v>0</v>
      </c>
      <c r="E137" s="38">
        <v>0</v>
      </c>
      <c r="F137" s="38">
        <v>0</v>
      </c>
      <c r="G137" s="38">
        <v>0</v>
      </c>
      <c r="H137" s="38">
        <v>0</v>
      </c>
      <c r="I137" s="589">
        <f>SUM(C137:H137)</f>
        <v>0</v>
      </c>
    </row>
    <row r="138" spans="1:9">
      <c r="A138" s="1077">
        <v>545090</v>
      </c>
      <c r="B138" s="1102" t="str">
        <f>VLOOKUP(A138,'Income Statement'!$A$6:$B$254,2,FALSE)</f>
        <v>Cont/Comp Equip Wash</v>
      </c>
      <c r="C138" s="38">
        <v>0</v>
      </c>
      <c r="D138" s="38">
        <v>0</v>
      </c>
      <c r="E138" s="38">
        <v>0</v>
      </c>
      <c r="F138" s="38">
        <v>0</v>
      </c>
      <c r="G138" s="38">
        <v>0</v>
      </c>
      <c r="H138" s="38">
        <v>0</v>
      </c>
      <c r="I138" s="589">
        <f t="shared" si="15"/>
        <v>0</v>
      </c>
    </row>
    <row r="139" spans="1:9">
      <c r="A139" s="1077">
        <v>545095</v>
      </c>
      <c r="B139" s="1102" t="str">
        <f>VLOOKUP(A139,'Income Statement'!$A$6:$B$254,2,FALSE)</f>
        <v>Cont/Comp Other Maint</v>
      </c>
      <c r="C139" s="38">
        <v>0</v>
      </c>
      <c r="D139" s="38">
        <v>0</v>
      </c>
      <c r="E139" s="38">
        <v>0</v>
      </c>
      <c r="F139" s="38">
        <v>0</v>
      </c>
      <c r="G139" s="38">
        <v>0</v>
      </c>
      <c r="H139" s="38">
        <v>0</v>
      </c>
      <c r="I139" s="589">
        <f t="shared" si="15"/>
        <v>0</v>
      </c>
    </row>
    <row r="140" spans="1:9">
      <c r="A140" s="1077">
        <v>545997</v>
      </c>
      <c r="B140" s="1102" t="str">
        <f>VLOOKUP(A140,'Income Statement'!$A$6:$B$254,2,FALSE)</f>
        <v>CShop Labor  Alloc-In</v>
      </c>
      <c r="C140" s="38">
        <v>0</v>
      </c>
      <c r="D140" s="38">
        <v>0</v>
      </c>
      <c r="E140" s="38">
        <v>0</v>
      </c>
      <c r="F140" s="38">
        <v>0</v>
      </c>
      <c r="G140" s="38">
        <v>0</v>
      </c>
      <c r="H140" s="38">
        <v>0</v>
      </c>
      <c r="I140" s="589">
        <f t="shared" si="15"/>
        <v>0</v>
      </c>
    </row>
    <row r="141" spans="1:9">
      <c r="A141" s="1077">
        <v>545998</v>
      </c>
      <c r="B141" s="1102" t="str">
        <f>VLOOKUP(A141,'Income Statement'!$A$6:$B$254,2,FALSE)</f>
        <v>Cont/Comp Expense Alloc-In</v>
      </c>
      <c r="C141" s="38">
        <v>0</v>
      </c>
      <c r="D141" s="38">
        <v>0</v>
      </c>
      <c r="E141" s="38">
        <v>0</v>
      </c>
      <c r="F141" s="38">
        <v>0</v>
      </c>
      <c r="G141" s="38">
        <v>0</v>
      </c>
      <c r="H141" s="38">
        <v>0</v>
      </c>
      <c r="I141" s="589">
        <f>SUM(D141:H141)</f>
        <v>0</v>
      </c>
    </row>
    <row r="142" spans="1:9">
      <c r="A142" s="1077">
        <v>545999</v>
      </c>
      <c r="B142" s="1102" t="str">
        <f>VLOOKUP(A142,'Income Statement'!$A$6:$B$254,2,FALSE)</f>
        <v>Cont/Comp Expense Alloc-Out</v>
      </c>
      <c r="C142" s="38">
        <v>0</v>
      </c>
      <c r="D142" s="38">
        <v>0</v>
      </c>
      <c r="E142" s="38">
        <v>0</v>
      </c>
      <c r="F142" s="38">
        <v>0</v>
      </c>
      <c r="G142" s="38">
        <v>0</v>
      </c>
      <c r="H142" s="38">
        <v>0</v>
      </c>
      <c r="I142" s="589">
        <f t="shared" ref="I142:I155" si="16">SUM(C142:H142)</f>
        <v>0</v>
      </c>
    </row>
    <row r="143" spans="1:9" ht="12">
      <c r="A143" s="1084"/>
      <c r="B143" s="1088" t="s">
        <v>554</v>
      </c>
      <c r="C143" s="576">
        <f t="shared" ref="C143:H143" si="17">SUM(C131:C142)</f>
        <v>0</v>
      </c>
      <c r="D143" s="576">
        <f t="shared" si="17"/>
        <v>0</v>
      </c>
      <c r="E143" s="576">
        <f t="shared" si="17"/>
        <v>0</v>
      </c>
      <c r="F143" s="576">
        <f t="shared" si="17"/>
        <v>0</v>
      </c>
      <c r="G143" s="576">
        <f t="shared" si="17"/>
        <v>0</v>
      </c>
      <c r="H143" s="576">
        <f t="shared" si="17"/>
        <v>0</v>
      </c>
      <c r="I143" s="590">
        <f>SUM(C143:H143)</f>
        <v>0</v>
      </c>
    </row>
    <row r="144" spans="1:9">
      <c r="A144" s="1090"/>
      <c r="B144" s="1097"/>
      <c r="C144" s="38"/>
      <c r="D144" s="38"/>
      <c r="E144" s="38"/>
      <c r="F144" s="38"/>
      <c r="G144" s="38"/>
      <c r="H144" s="24"/>
      <c r="I144" s="589"/>
    </row>
    <row r="145" spans="1:9">
      <c r="A145" s="1077">
        <v>565002</v>
      </c>
      <c r="B145" s="1102" t="str">
        <f>VLOOKUP(A145,'Income Statement'!$A$6:$B$254,2,FALSE)</f>
        <v>Corp Ins-Fixed AL/GL</v>
      </c>
      <c r="C145" s="38">
        <v>0</v>
      </c>
      <c r="D145" s="38">
        <v>0</v>
      </c>
      <c r="E145" s="38">
        <v>0</v>
      </c>
      <c r="F145" s="38">
        <v>0</v>
      </c>
      <c r="G145" s="38">
        <v>0</v>
      </c>
      <c r="H145" s="38">
        <v>0</v>
      </c>
      <c r="I145" s="589">
        <f t="shared" si="16"/>
        <v>0</v>
      </c>
    </row>
    <row r="146" spans="1:9">
      <c r="A146" s="1077">
        <v>565006</v>
      </c>
      <c r="B146" s="1102" t="str">
        <f>VLOOKUP(A146,'Income Statement'!$A$6:$B$254,2,FALSE)</f>
        <v>AW Self Ins WC/Premium Exp</v>
      </c>
      <c r="C146" s="38">
        <v>0</v>
      </c>
      <c r="D146" s="38">
        <v>0</v>
      </c>
      <c r="E146" s="38">
        <v>0</v>
      </c>
      <c r="F146" s="38">
        <v>0</v>
      </c>
      <c r="G146" s="38">
        <v>0</v>
      </c>
      <c r="H146" s="38">
        <v>0</v>
      </c>
      <c r="I146" s="589">
        <f t="shared" si="16"/>
        <v>0</v>
      </c>
    </row>
    <row r="147" spans="1:9">
      <c r="A147" s="1077">
        <v>565008</v>
      </c>
      <c r="B147" s="1102" t="str">
        <f>VLOOKUP(A147,'Income Statement'!$A$6:$B$254,2,FALSE)</f>
        <v>Corp Ins-Fixed Other</v>
      </c>
      <c r="C147" s="38">
        <v>0</v>
      </c>
      <c r="D147" s="38">
        <v>0</v>
      </c>
      <c r="E147" s="38">
        <v>0</v>
      </c>
      <c r="F147" s="38">
        <v>0</v>
      </c>
      <c r="G147" s="38">
        <v>0</v>
      </c>
      <c r="H147" s="38">
        <v>0</v>
      </c>
      <c r="I147" s="589">
        <f t="shared" si="16"/>
        <v>0</v>
      </c>
    </row>
    <row r="148" spans="1:9">
      <c r="A148" s="1077">
        <v>565012</v>
      </c>
      <c r="B148" s="1102" t="str">
        <f>VLOOKUP(A148,'Income Statement'!$A$6:$B$254,2,FALSE)</f>
        <v>Corp Ins-Occur AL/GL</v>
      </c>
      <c r="C148" s="38">
        <v>0</v>
      </c>
      <c r="D148" s="38">
        <v>0</v>
      </c>
      <c r="E148" s="38">
        <v>0</v>
      </c>
      <c r="F148" s="38">
        <v>0</v>
      </c>
      <c r="G148" s="38">
        <v>0</v>
      </c>
      <c r="H148" s="38">
        <v>0</v>
      </c>
      <c r="I148" s="589">
        <f t="shared" si="16"/>
        <v>0</v>
      </c>
    </row>
    <row r="149" spans="1:9">
      <c r="A149" s="1077">
        <v>565030</v>
      </c>
      <c r="B149" s="1102" t="str">
        <f>VLOOKUP(A149,'Income Statement'!$A$6:$B$254,2,FALSE)</f>
        <v>Non-Corp Ins-W/C</v>
      </c>
      <c r="C149" s="38">
        <v>0</v>
      </c>
      <c r="D149" s="38">
        <v>0</v>
      </c>
      <c r="E149" s="38">
        <v>0</v>
      </c>
      <c r="F149" s="38">
        <f>(21497.81+28663.98+124210.28)+(3137.61+4183.52+18128.52)+(1921.71+2562.3+11103.26)</f>
        <v>215408.99</v>
      </c>
      <c r="G149" s="38">
        <v>0</v>
      </c>
      <c r="H149" s="38">
        <v>0</v>
      </c>
      <c r="I149" s="589">
        <f t="shared" si="16"/>
        <v>215408.99</v>
      </c>
    </row>
    <row r="150" spans="1:9">
      <c r="A150" s="1077">
        <v>565040</v>
      </c>
      <c r="B150" s="1102" t="str">
        <f>VLOOKUP(A150,'Income Statement'!$A$6:$B$254,2,FALSE)</f>
        <v>Damage-RSG Prop Non-AM</v>
      </c>
      <c r="C150" s="38">
        <v>0</v>
      </c>
      <c r="D150" s="38">
        <v>0</v>
      </c>
      <c r="E150" s="38">
        <v>0</v>
      </c>
      <c r="F150" s="38">
        <v>0</v>
      </c>
      <c r="G150" s="38">
        <v>0</v>
      </c>
      <c r="H150" s="38">
        <v>0</v>
      </c>
      <c r="I150" s="589">
        <f t="shared" si="16"/>
        <v>0</v>
      </c>
    </row>
    <row r="151" spans="1:9">
      <c r="A151" s="1077">
        <v>565045</v>
      </c>
      <c r="B151" s="1102" t="str">
        <f>VLOOKUP(A151,'Income Statement'!$A$6:$B$254,2,FALSE)</f>
        <v>Surety Cost</v>
      </c>
      <c r="C151" s="38">
        <v>0</v>
      </c>
      <c r="D151" s="38">
        <v>0</v>
      </c>
      <c r="E151" s="38">
        <v>0</v>
      </c>
      <c r="F151" s="38">
        <v>0</v>
      </c>
      <c r="G151" s="38">
        <v>0</v>
      </c>
      <c r="H151" s="38">
        <v>0</v>
      </c>
      <c r="I151" s="589">
        <f t="shared" si="16"/>
        <v>0</v>
      </c>
    </row>
    <row r="152" spans="1:9">
      <c r="A152" s="1077">
        <v>565080</v>
      </c>
      <c r="B152" s="1102" t="str">
        <f>VLOOKUP(A152,'Income Statement'!$A$6:$B$254,2,FALSE)</f>
        <v>Hiring, Training &amp; Safety</v>
      </c>
      <c r="C152" s="38">
        <v>0</v>
      </c>
      <c r="D152" s="38">
        <v>0</v>
      </c>
      <c r="E152" s="38">
        <v>0</v>
      </c>
      <c r="F152" s="38">
        <v>0</v>
      </c>
      <c r="G152" s="38">
        <v>0</v>
      </c>
      <c r="H152" s="38">
        <v>0</v>
      </c>
      <c r="I152" s="589">
        <f t="shared" si="16"/>
        <v>0</v>
      </c>
    </row>
    <row r="153" spans="1:9">
      <c r="A153" s="1077">
        <v>565081</v>
      </c>
      <c r="B153" s="1102" t="str">
        <f>VLOOKUP(A153,'Income Statement'!$A$6:$B$254,2,FALSE)</f>
        <v>Safety Equipment</v>
      </c>
      <c r="C153" s="38">
        <v>0</v>
      </c>
      <c r="D153" s="38">
        <v>0</v>
      </c>
      <c r="E153" s="38">
        <v>0</v>
      </c>
      <c r="F153" s="38">
        <v>0</v>
      </c>
      <c r="G153" s="38">
        <v>0</v>
      </c>
      <c r="H153" s="38">
        <v>0</v>
      </c>
      <c r="I153" s="589">
        <f t="shared" si="16"/>
        <v>0</v>
      </c>
    </row>
    <row r="154" spans="1:9">
      <c r="A154" s="1077">
        <v>565082</v>
      </c>
      <c r="B154" s="1102" t="str">
        <f>VLOOKUP(A154,'Income Statement'!$A$6:$B$254,2,FALSE)</f>
        <v>Safety Incentive Program</v>
      </c>
      <c r="C154" s="38">
        <v>0</v>
      </c>
      <c r="D154" s="38">
        <v>0</v>
      </c>
      <c r="E154" s="38">
        <v>0</v>
      </c>
      <c r="F154" s="38">
        <v>0</v>
      </c>
      <c r="G154" s="38">
        <v>0</v>
      </c>
      <c r="H154" s="38">
        <v>0</v>
      </c>
      <c r="I154" s="589">
        <f t="shared" si="16"/>
        <v>0</v>
      </c>
    </row>
    <row r="155" spans="1:9">
      <c r="A155" s="1084">
        <v>565083</v>
      </c>
      <c r="B155" s="1102" t="str">
        <f>VLOOKUP(A155,'Income Statement'!$A$6:$B$254,2,FALSE)</f>
        <v>Medical/Physicals</v>
      </c>
      <c r="C155" s="38">
        <v>0</v>
      </c>
      <c r="D155" s="38">
        <v>0</v>
      </c>
      <c r="E155" s="38">
        <v>0</v>
      </c>
      <c r="F155" s="38">
        <v>0</v>
      </c>
      <c r="G155" s="38">
        <v>0</v>
      </c>
      <c r="H155" s="38">
        <v>0</v>
      </c>
      <c r="I155" s="589">
        <f t="shared" si="16"/>
        <v>0</v>
      </c>
    </row>
    <row r="156" spans="1:9">
      <c r="A156" s="1077">
        <v>565998</v>
      </c>
      <c r="B156" s="1102" t="str">
        <f>VLOOKUP(A156,'Income Statement'!$A$6:$B$254,2,FALSE)</f>
        <v>Insurance Alloc-In</v>
      </c>
      <c r="C156" s="38">
        <v>0</v>
      </c>
      <c r="D156" s="38">
        <v>0</v>
      </c>
      <c r="E156" s="38">
        <v>0</v>
      </c>
      <c r="F156" s="38">
        <v>0</v>
      </c>
      <c r="G156" s="38">
        <v>0</v>
      </c>
      <c r="H156" s="38">
        <v>0</v>
      </c>
      <c r="I156" s="589">
        <f>SUM(C156:H156)</f>
        <v>0</v>
      </c>
    </row>
    <row r="157" spans="1:9">
      <c r="A157" s="1077">
        <v>565999</v>
      </c>
      <c r="B157" s="1102" t="str">
        <f>VLOOKUP(A157,'Income Statement'!$A$6:$B$254,2,FALSE)</f>
        <v>Insurance Alloc-Out</v>
      </c>
      <c r="C157" s="38">
        <v>0</v>
      </c>
      <c r="D157" s="38">
        <v>0</v>
      </c>
      <c r="E157" s="38">
        <v>0</v>
      </c>
      <c r="F157" s="38">
        <v>0</v>
      </c>
      <c r="G157" s="38">
        <v>0</v>
      </c>
      <c r="H157" s="38">
        <v>0</v>
      </c>
      <c r="I157" s="589">
        <f>SUM(C157:H157)</f>
        <v>0</v>
      </c>
    </row>
    <row r="158" spans="1:9" ht="12">
      <c r="A158" s="1084"/>
      <c r="B158" s="1088" t="s">
        <v>538</v>
      </c>
      <c r="C158" s="576">
        <f t="shared" ref="C158:H158" si="18">SUM(C145:C157)</f>
        <v>0</v>
      </c>
      <c r="D158" s="576">
        <f t="shared" si="18"/>
        <v>0</v>
      </c>
      <c r="E158" s="576">
        <f t="shared" si="18"/>
        <v>0</v>
      </c>
      <c r="F158" s="576">
        <f t="shared" si="18"/>
        <v>215408.99</v>
      </c>
      <c r="G158" s="576">
        <f t="shared" si="18"/>
        <v>0</v>
      </c>
      <c r="H158" s="576">
        <f t="shared" si="18"/>
        <v>0</v>
      </c>
      <c r="I158" s="590">
        <f>SUM(C158:H158)</f>
        <v>215408.99</v>
      </c>
    </row>
    <row r="159" spans="1:9">
      <c r="A159" s="1090"/>
      <c r="B159" s="1097"/>
      <c r="C159" s="38"/>
      <c r="D159" s="38"/>
      <c r="E159" s="38"/>
      <c r="F159" s="38"/>
      <c r="G159" s="38"/>
      <c r="H159" s="38"/>
      <c r="I159" s="589"/>
    </row>
    <row r="160" spans="1:9">
      <c r="A160" s="1077">
        <v>570000</v>
      </c>
      <c r="B160" s="1102" t="str">
        <f>VLOOKUP(A160,'Income Statement'!$A$6:$B$254,2,FALSE)</f>
        <v>Fac Maint-Parts &amp; Supplies</v>
      </c>
      <c r="C160" s="38">
        <v>0</v>
      </c>
      <c r="D160" s="38">
        <v>0</v>
      </c>
      <c r="E160" s="38">
        <v>0</v>
      </c>
      <c r="F160" s="38">
        <v>0</v>
      </c>
      <c r="G160" s="38">
        <v>0</v>
      </c>
      <c r="H160" s="38">
        <v>0</v>
      </c>
      <c r="I160" s="589">
        <f t="shared" ref="I160:I169" si="19">SUM(C160:H160)</f>
        <v>0</v>
      </c>
    </row>
    <row r="161" spans="1:9">
      <c r="A161" s="1077">
        <v>570005</v>
      </c>
      <c r="B161" s="1102" t="str">
        <f>VLOOKUP(A161,'Income Statement'!$A$6:$B$254,2,FALSE)</f>
        <v>Fac Maint-O/S Repair</v>
      </c>
      <c r="C161" s="38">
        <v>0</v>
      </c>
      <c r="D161" s="38">
        <v>0</v>
      </c>
      <c r="E161" s="38">
        <v>0</v>
      </c>
      <c r="F161" s="38">
        <v>0</v>
      </c>
      <c r="G161" s="38">
        <v>0</v>
      </c>
      <c r="H161" s="38">
        <v>0</v>
      </c>
      <c r="I161" s="589">
        <f t="shared" si="19"/>
        <v>0</v>
      </c>
    </row>
    <row r="162" spans="1:9">
      <c r="A162" s="1077">
        <v>570010</v>
      </c>
      <c r="B162" s="1102" t="str">
        <f>VLOOKUP(A162,'Income Statement'!$A$6:$B$254,2,FALSE)</f>
        <v>Security</v>
      </c>
      <c r="C162" s="38">
        <v>0</v>
      </c>
      <c r="D162" s="38">
        <v>0</v>
      </c>
      <c r="E162" s="38">
        <v>0</v>
      </c>
      <c r="F162" s="38">
        <v>0</v>
      </c>
      <c r="G162" s="38">
        <v>0</v>
      </c>
      <c r="H162" s="38">
        <v>0</v>
      </c>
      <c r="I162" s="589">
        <f t="shared" si="19"/>
        <v>0</v>
      </c>
    </row>
    <row r="163" spans="1:9">
      <c r="A163" s="1077">
        <v>570020</v>
      </c>
      <c r="B163" s="1102" t="str">
        <f>VLOOKUP(A163,'Income Statement'!$A$6:$B$254,2,FALSE)</f>
        <v>Lease/Rent</v>
      </c>
      <c r="C163" s="38">
        <v>0</v>
      </c>
      <c r="D163" s="38">
        <v>0</v>
      </c>
      <c r="E163" s="38">
        <v>0</v>
      </c>
      <c r="F163" s="38">
        <v>0</v>
      </c>
      <c r="G163" s="38">
        <v>0</v>
      </c>
      <c r="H163" s="38">
        <v>0</v>
      </c>
      <c r="I163" s="589">
        <f t="shared" si="19"/>
        <v>0</v>
      </c>
    </row>
    <row r="164" spans="1:9">
      <c r="A164" s="1077">
        <v>570030</v>
      </c>
      <c r="B164" s="1102" t="str">
        <f>VLOOKUP(A164,'Income Statement'!$A$6:$B$254,2,FALSE)</f>
        <v>Utilities</v>
      </c>
      <c r="C164" s="38">
        <v>0</v>
      </c>
      <c r="D164" s="38">
        <v>0</v>
      </c>
      <c r="E164" s="38">
        <v>0</v>
      </c>
      <c r="F164" s="38">
        <v>0</v>
      </c>
      <c r="G164" s="38">
        <v>0</v>
      </c>
      <c r="H164" s="38">
        <v>0</v>
      </c>
      <c r="I164" s="589">
        <f t="shared" si="19"/>
        <v>0</v>
      </c>
    </row>
    <row r="165" spans="1:9">
      <c r="A165" s="1077">
        <v>570040</v>
      </c>
      <c r="B165" s="1102" t="str">
        <f>VLOOKUP(A165,'Income Statement'!$A$6:$B$254,2,FALSE)</f>
        <v>Property Taxes</v>
      </c>
      <c r="C165" s="38">
        <v>0</v>
      </c>
      <c r="D165" s="38">
        <v>0</v>
      </c>
      <c r="E165" s="38">
        <v>0</v>
      </c>
      <c r="F165" s="38">
        <v>0</v>
      </c>
      <c r="G165" s="38">
        <v>0</v>
      </c>
      <c r="H165" s="38">
        <v>0</v>
      </c>
      <c r="I165" s="589">
        <f>SUM(C165:H165)</f>
        <v>0</v>
      </c>
    </row>
    <row r="166" spans="1:9">
      <c r="A166" s="1077">
        <v>570090</v>
      </c>
      <c r="B166" s="1102" t="e">
        <f>VLOOKUP(A166,'Income Statement'!$A$6:$B$254,2,FALSE)</f>
        <v>#N/A</v>
      </c>
      <c r="C166" s="38">
        <v>0</v>
      </c>
      <c r="D166" s="38">
        <v>0</v>
      </c>
      <c r="E166" s="38">
        <v>0</v>
      </c>
      <c r="F166" s="38">
        <v>0</v>
      </c>
      <c r="G166" s="38">
        <v>0</v>
      </c>
      <c r="H166" s="38">
        <v>0</v>
      </c>
      <c r="I166" s="589">
        <f t="shared" si="19"/>
        <v>0</v>
      </c>
    </row>
    <row r="167" spans="1:9">
      <c r="A167" s="1077">
        <v>570998</v>
      </c>
      <c r="B167" s="1102" t="str">
        <f>VLOOKUP(A167,'Income Statement'!$A$6:$B$254,2,FALSE)</f>
        <v>Facility Alloc-In</v>
      </c>
      <c r="C167" s="38">
        <v>0</v>
      </c>
      <c r="D167" s="38">
        <v>0</v>
      </c>
      <c r="E167" s="38">
        <v>0</v>
      </c>
      <c r="F167" s="38">
        <v>0</v>
      </c>
      <c r="G167" s="38">
        <v>0</v>
      </c>
      <c r="H167" s="38">
        <v>0</v>
      </c>
      <c r="I167" s="589">
        <f t="shared" si="19"/>
        <v>0</v>
      </c>
    </row>
    <row r="168" spans="1:9">
      <c r="A168" s="1077">
        <v>570999</v>
      </c>
      <c r="B168" s="1102" t="str">
        <f>VLOOKUP(A168,'Income Statement'!$A$6:$B$254,2,FALSE)</f>
        <v>Facility Alloc-Out</v>
      </c>
      <c r="C168" s="38">
        <v>0</v>
      </c>
      <c r="D168" s="38">
        <v>0</v>
      </c>
      <c r="E168" s="38">
        <v>0</v>
      </c>
      <c r="F168" s="38">
        <v>0</v>
      </c>
      <c r="G168" s="38">
        <v>0</v>
      </c>
      <c r="H168" s="38">
        <v>0</v>
      </c>
      <c r="I168" s="589">
        <f t="shared" si="19"/>
        <v>0</v>
      </c>
    </row>
    <row r="169" spans="1:9" ht="12">
      <c r="A169" s="1084"/>
      <c r="B169" s="1088" t="s">
        <v>539</v>
      </c>
      <c r="C169" s="576">
        <f t="shared" ref="C169:H169" si="20">SUM(C160:C168)</f>
        <v>0</v>
      </c>
      <c r="D169" s="576">
        <f t="shared" si="20"/>
        <v>0</v>
      </c>
      <c r="E169" s="576">
        <f t="shared" si="20"/>
        <v>0</v>
      </c>
      <c r="F169" s="576">
        <f t="shared" si="20"/>
        <v>0</v>
      </c>
      <c r="G169" s="576">
        <f t="shared" si="20"/>
        <v>0</v>
      </c>
      <c r="H169" s="576">
        <f t="shared" si="20"/>
        <v>0</v>
      </c>
      <c r="I169" s="590">
        <f t="shared" si="19"/>
        <v>0</v>
      </c>
    </row>
    <row r="170" spans="1:9">
      <c r="A170" s="1090"/>
      <c r="B170" s="1097"/>
      <c r="C170" s="38"/>
      <c r="D170" s="38"/>
      <c r="E170" s="38"/>
      <c r="F170" s="38"/>
      <c r="G170" s="38"/>
      <c r="H170" s="38"/>
      <c r="I170" s="589"/>
    </row>
    <row r="171" spans="1:9">
      <c r="A171" s="1077">
        <v>595010</v>
      </c>
      <c r="B171" s="1102" t="str">
        <f>VLOOKUP(A171,'Income Statement'!$A$6:$B$254,2,FALSE)</f>
        <v>Permit Fees</v>
      </c>
      <c r="C171" s="38">
        <v>0</v>
      </c>
      <c r="D171" s="38">
        <v>0</v>
      </c>
      <c r="E171" s="38">
        <v>0</v>
      </c>
      <c r="F171" s="38">
        <v>0</v>
      </c>
      <c r="G171" s="38">
        <v>0</v>
      </c>
      <c r="H171" s="38">
        <v>0</v>
      </c>
      <c r="I171" s="589">
        <f>SUM(C171:H171)</f>
        <v>0</v>
      </c>
    </row>
    <row r="172" spans="1:9">
      <c r="A172" s="1077">
        <v>595015</v>
      </c>
      <c r="B172" s="1102" t="e">
        <f>VLOOKUP(A172,'Income Statement'!$A$6:$B$254,2,FALSE)</f>
        <v>#N/A</v>
      </c>
      <c r="C172" s="38">
        <v>0</v>
      </c>
      <c r="D172" s="38">
        <v>0</v>
      </c>
      <c r="E172" s="38">
        <v>0</v>
      </c>
      <c r="F172" s="38">
        <v>0</v>
      </c>
      <c r="G172" s="38">
        <v>0</v>
      </c>
      <c r="H172" s="38">
        <v>0</v>
      </c>
      <c r="I172" s="589">
        <f>SUM(C172:H172)</f>
        <v>0</v>
      </c>
    </row>
    <row r="173" spans="1:9">
      <c r="A173" s="1077">
        <v>595020</v>
      </c>
      <c r="B173" s="1102" t="str">
        <f>VLOOKUP(A173,'Income Statement'!$A$6:$B$254,2,FALSE)</f>
        <v>Operations Communications Cost</v>
      </c>
      <c r="C173" s="38">
        <v>0</v>
      </c>
      <c r="D173" s="38">
        <v>0</v>
      </c>
      <c r="E173" s="38">
        <v>0</v>
      </c>
      <c r="F173" s="38">
        <v>0</v>
      </c>
      <c r="G173" s="38">
        <v>0</v>
      </c>
      <c r="H173" s="38">
        <v>0</v>
      </c>
      <c r="I173" s="589">
        <f t="shared" ref="I173:I181" si="21">SUM(C173:H173)</f>
        <v>0</v>
      </c>
    </row>
    <row r="174" spans="1:9">
      <c r="A174" s="1077">
        <v>595030</v>
      </c>
      <c r="B174" s="1102" t="str">
        <f>VLOOKUP(A174,'Income Statement'!$A$6:$B$254,2,FALSE)</f>
        <v>Container Property Taxes</v>
      </c>
      <c r="C174" s="38">
        <v>0</v>
      </c>
      <c r="D174" s="38">
        <v>0</v>
      </c>
      <c r="E174" s="38">
        <v>0</v>
      </c>
      <c r="F174" s="38">
        <v>0</v>
      </c>
      <c r="G174" s="38">
        <v>0</v>
      </c>
      <c r="H174" s="38">
        <v>0</v>
      </c>
      <c r="I174" s="589">
        <f t="shared" si="21"/>
        <v>0</v>
      </c>
    </row>
    <row r="175" spans="1:9">
      <c r="A175" s="1084">
        <v>595080</v>
      </c>
      <c r="B175" s="1102" t="str">
        <f>VLOOKUP(A175,'Income Statement'!$A$6:$B$254,2,FALSE)</f>
        <v>Towing Non-Maintenance</v>
      </c>
      <c r="C175" s="38">
        <v>0</v>
      </c>
      <c r="D175" s="38">
        <v>0</v>
      </c>
      <c r="E175" s="38">
        <v>0</v>
      </c>
      <c r="F175" s="38">
        <v>0</v>
      </c>
      <c r="G175" s="38">
        <v>0</v>
      </c>
      <c r="H175" s="38">
        <v>0</v>
      </c>
      <c r="I175" s="589">
        <f t="shared" si="21"/>
        <v>0</v>
      </c>
    </row>
    <row r="176" spans="1:9">
      <c r="A176" s="1077">
        <v>595090</v>
      </c>
      <c r="B176" s="1102" t="str">
        <f>VLOOKUP(A176,'Income Statement'!$A$6:$B$254,2,FALSE)</f>
        <v>Other Operating Misc</v>
      </c>
      <c r="C176" s="38">
        <v>0</v>
      </c>
      <c r="D176" s="38">
        <v>0</v>
      </c>
      <c r="E176" s="38">
        <v>0</v>
      </c>
      <c r="F176" s="1121"/>
      <c r="G176" s="38">
        <v>0</v>
      </c>
      <c r="H176" s="38">
        <v>0</v>
      </c>
      <c r="I176" s="589">
        <f t="shared" si="21"/>
        <v>0</v>
      </c>
    </row>
    <row r="177" spans="1:9">
      <c r="A177" s="1077">
        <v>595105</v>
      </c>
      <c r="B177" s="1102" t="str">
        <f>VLOOKUP(A177,'Income Statement'!$A$6:$B$254,2,FALSE)</f>
        <v>GOE Vehicle Mileage</v>
      </c>
      <c r="C177" s="38"/>
      <c r="D177" s="38"/>
      <c r="E177" s="38"/>
      <c r="F177" s="38"/>
      <c r="G177" s="38"/>
      <c r="H177" s="38"/>
      <c r="I177" s="589">
        <f t="shared" si="21"/>
        <v>0</v>
      </c>
    </row>
    <row r="178" spans="1:9">
      <c r="A178" s="1077">
        <v>595106</v>
      </c>
      <c r="B178" s="1102" t="str">
        <f>VLOOKUP(A178,'Income Statement'!$A$6:$B$254,2,FALSE)</f>
        <v>GOE Travel Expenses</v>
      </c>
      <c r="C178" s="38">
        <v>0</v>
      </c>
      <c r="D178" s="38">
        <v>0</v>
      </c>
      <c r="E178" s="38">
        <v>0</v>
      </c>
      <c r="F178" s="38">
        <v>0</v>
      </c>
      <c r="G178" s="38">
        <v>0</v>
      </c>
      <c r="H178" s="38">
        <v>0</v>
      </c>
      <c r="I178" s="589">
        <f t="shared" si="21"/>
        <v>0</v>
      </c>
    </row>
    <row r="179" spans="1:9">
      <c r="A179" s="1077">
        <v>595109</v>
      </c>
      <c r="B179" s="1102" t="str">
        <f>VLOOKUP(A179,'Income Statement'!$A$6:$B$254,2,FALSE)</f>
        <v>GOE Meals &amp; Entertainment(50%)</v>
      </c>
      <c r="C179" s="38">
        <v>0</v>
      </c>
      <c r="D179" s="38">
        <v>0</v>
      </c>
      <c r="E179" s="38">
        <v>0</v>
      </c>
      <c r="F179" s="38">
        <v>0</v>
      </c>
      <c r="G179" s="38">
        <v>0</v>
      </c>
      <c r="H179" s="38">
        <v>0</v>
      </c>
      <c r="I179" s="589">
        <f t="shared" si="21"/>
        <v>0</v>
      </c>
    </row>
    <row r="180" spans="1:9">
      <c r="A180" s="1077">
        <v>595998</v>
      </c>
      <c r="B180" s="1102" t="str">
        <f>VLOOKUP(A180,'Income Statement'!$A$6:$B$254,2,FALSE)</f>
        <v>Other Operating Alloc-In</v>
      </c>
      <c r="C180" s="38">
        <v>0</v>
      </c>
      <c r="D180" s="38">
        <v>0</v>
      </c>
      <c r="E180" s="38">
        <v>0</v>
      </c>
      <c r="F180" s="38">
        <v>0</v>
      </c>
      <c r="G180" s="38">
        <v>0</v>
      </c>
      <c r="H180" s="38">
        <v>0</v>
      </c>
      <c r="I180" s="589">
        <f t="shared" si="21"/>
        <v>0</v>
      </c>
    </row>
    <row r="181" spans="1:9">
      <c r="A181" s="1077">
        <v>595999</v>
      </c>
      <c r="B181" s="1102" t="str">
        <f>VLOOKUP(A181,'Income Statement'!$A$6:$B$254,2,FALSE)</f>
        <v>Other Operating Alloc-Out</v>
      </c>
      <c r="C181" s="38">
        <v>0</v>
      </c>
      <c r="D181" s="38">
        <v>0</v>
      </c>
      <c r="E181" s="38">
        <v>0</v>
      </c>
      <c r="F181" s="38">
        <v>0</v>
      </c>
      <c r="G181" s="38">
        <v>0</v>
      </c>
      <c r="H181" s="38">
        <v>0</v>
      </c>
      <c r="I181" s="589">
        <f t="shared" si="21"/>
        <v>0</v>
      </c>
    </row>
    <row r="182" spans="1:9" ht="12">
      <c r="A182" s="1084"/>
      <c r="B182" s="1088" t="s">
        <v>540</v>
      </c>
      <c r="C182" s="576">
        <f t="shared" ref="C182:H182" si="22">SUM(C171:C181)</f>
        <v>0</v>
      </c>
      <c r="D182" s="576">
        <f t="shared" si="22"/>
        <v>0</v>
      </c>
      <c r="E182" s="576">
        <f t="shared" si="22"/>
        <v>0</v>
      </c>
      <c r="F182" s="576">
        <f t="shared" si="22"/>
        <v>0</v>
      </c>
      <c r="G182" s="576">
        <f t="shared" si="22"/>
        <v>0</v>
      </c>
      <c r="H182" s="576">
        <f t="shared" si="22"/>
        <v>0</v>
      </c>
      <c r="I182" s="590">
        <f>SUM(C182:H182)</f>
        <v>0</v>
      </c>
    </row>
    <row r="183" spans="1:9">
      <c r="A183" s="1090"/>
      <c r="B183" s="1097"/>
      <c r="C183" s="38"/>
      <c r="D183" s="38"/>
      <c r="E183" s="38"/>
      <c r="F183" s="38"/>
      <c r="G183" s="38"/>
      <c r="H183" s="38"/>
      <c r="I183" s="589"/>
    </row>
    <row r="184" spans="1:9" ht="12">
      <c r="A184" s="1090"/>
      <c r="B184" s="1088" t="s">
        <v>541</v>
      </c>
      <c r="C184" s="576">
        <f t="shared" ref="C184:H184" si="23">C72+C113+C129+C143+C158+C169+C182</f>
        <v>0</v>
      </c>
      <c r="D184" s="576">
        <f t="shared" si="23"/>
        <v>-20137</v>
      </c>
      <c r="E184" s="576">
        <f t="shared" si="23"/>
        <v>0</v>
      </c>
      <c r="F184" s="576">
        <f t="shared" si="23"/>
        <v>215408.99</v>
      </c>
      <c r="G184" s="576">
        <f t="shared" si="23"/>
        <v>0</v>
      </c>
      <c r="H184" s="576">
        <f t="shared" si="23"/>
        <v>0</v>
      </c>
      <c r="I184" s="590">
        <f>SUM(C184:H184)</f>
        <v>195271.99</v>
      </c>
    </row>
    <row r="185" spans="1:9">
      <c r="A185" s="1090"/>
      <c r="B185" s="1097"/>
      <c r="C185" s="38"/>
      <c r="D185" s="38"/>
      <c r="E185" s="38"/>
      <c r="F185" s="38"/>
      <c r="G185" s="38"/>
      <c r="H185" s="38"/>
      <c r="I185" s="589"/>
    </row>
    <row r="186" spans="1:9">
      <c r="A186" s="1077">
        <v>600010</v>
      </c>
      <c r="B186" s="1102" t="str">
        <f>VLOOKUP(A186,'Income Statement'!$A$6:$B$254,2,FALSE)</f>
        <v>Depr-Vehicles</v>
      </c>
      <c r="C186" s="38">
        <v>0</v>
      </c>
      <c r="D186" s="38">
        <v>0</v>
      </c>
      <c r="E186" s="38">
        <v>0</v>
      </c>
      <c r="F186" s="38">
        <v>0</v>
      </c>
      <c r="G186" s="38">
        <v>0</v>
      </c>
      <c r="H186" s="38">
        <v>0</v>
      </c>
      <c r="I186" s="589">
        <f t="shared" ref="I186:I193" si="24">SUM(C186:H186)</f>
        <v>0</v>
      </c>
    </row>
    <row r="187" spans="1:9">
      <c r="A187" s="1077">
        <v>600020</v>
      </c>
      <c r="B187" s="1102" t="str">
        <f>VLOOKUP(A187,'Income Statement'!$A$6:$B$254,2,FALSE)</f>
        <v>Depr-Cont/Comp</v>
      </c>
      <c r="C187" s="38">
        <v>0</v>
      </c>
      <c r="D187" s="38">
        <v>0</v>
      </c>
      <c r="E187" s="38">
        <v>0</v>
      </c>
      <c r="F187" s="38">
        <v>0</v>
      </c>
      <c r="G187" s="38">
        <v>0</v>
      </c>
      <c r="H187" s="38">
        <v>0</v>
      </c>
      <c r="I187" s="589">
        <f t="shared" si="24"/>
        <v>0</v>
      </c>
    </row>
    <row r="188" spans="1:9">
      <c r="A188" s="1077">
        <v>600030</v>
      </c>
      <c r="B188" s="1102" t="str">
        <f>VLOOKUP(A188,'Income Statement'!$A$6:$B$254,2,FALSE)</f>
        <v>Depr-Heavy Mach &amp; Equip</v>
      </c>
      <c r="C188" s="38">
        <v>0</v>
      </c>
      <c r="D188" s="38">
        <v>0</v>
      </c>
      <c r="E188" s="38">
        <v>0</v>
      </c>
      <c r="F188" s="38">
        <v>0</v>
      </c>
      <c r="G188" s="38">
        <v>0</v>
      </c>
      <c r="H188" s="38">
        <v>0</v>
      </c>
      <c r="I188" s="589">
        <f t="shared" si="24"/>
        <v>0</v>
      </c>
    </row>
    <row r="189" spans="1:9">
      <c r="A189" s="1077">
        <v>600040</v>
      </c>
      <c r="B189" s="1102" t="str">
        <f>VLOOKUP(A189,'Income Statement'!$A$6:$B$254,2,FALSE)</f>
        <v>Depr-Shop Equip</v>
      </c>
      <c r="C189" s="38"/>
      <c r="D189" s="38"/>
      <c r="E189" s="38"/>
      <c r="F189" s="38"/>
      <c r="G189" s="38"/>
      <c r="H189" s="38"/>
      <c r="I189" s="589">
        <f t="shared" si="24"/>
        <v>0</v>
      </c>
    </row>
    <row r="190" spans="1:9">
      <c r="A190" s="1077">
        <v>600070</v>
      </c>
      <c r="B190" s="1102" t="str">
        <f>VLOOKUP(A190,'Income Statement'!$A$6:$B$254,2,FALSE)</f>
        <v>Depr-Bldg &amp; Imp</v>
      </c>
      <c r="C190" s="38">
        <v>0</v>
      </c>
      <c r="D190" s="38">
        <v>0</v>
      </c>
      <c r="E190" s="38">
        <v>0</v>
      </c>
      <c r="F190" s="38">
        <v>0</v>
      </c>
      <c r="G190" s="38">
        <v>0</v>
      </c>
      <c r="H190" s="38">
        <v>0</v>
      </c>
      <c r="I190" s="589">
        <f t="shared" si="24"/>
        <v>0</v>
      </c>
    </row>
    <row r="191" spans="1:9">
      <c r="A191" s="1077">
        <v>600090</v>
      </c>
      <c r="B191" s="1102" t="str">
        <f>VLOOKUP(A191,'Income Statement'!$A$6:$B$254,2,FALSE)</f>
        <v>Depr-Computer Equip</v>
      </c>
      <c r="C191" s="38">
        <v>0</v>
      </c>
      <c r="D191" s="38">
        <v>0</v>
      </c>
      <c r="E191" s="38">
        <v>0</v>
      </c>
      <c r="F191" s="38">
        <v>0</v>
      </c>
      <c r="G191" s="38">
        <v>0</v>
      </c>
      <c r="H191" s="38">
        <v>0</v>
      </c>
      <c r="I191" s="589">
        <f t="shared" si="24"/>
        <v>0</v>
      </c>
    </row>
    <row r="192" spans="1:9">
      <c r="A192" s="1077">
        <v>600200</v>
      </c>
      <c r="B192" s="1102" t="str">
        <f>VLOOKUP(A192,'Income Statement'!$A$6:$B$254,2,FALSE)</f>
        <v>Depr-HENS</v>
      </c>
      <c r="C192" s="38">
        <v>0</v>
      </c>
      <c r="D192" s="38">
        <v>0</v>
      </c>
      <c r="E192" s="38">
        <v>0</v>
      </c>
      <c r="F192" s="38">
        <v>0</v>
      </c>
      <c r="G192" s="38">
        <v>0</v>
      </c>
      <c r="H192" s="38">
        <v>0</v>
      </c>
      <c r="I192" s="589">
        <f t="shared" si="24"/>
        <v>0</v>
      </c>
    </row>
    <row r="193" spans="1:9">
      <c r="A193" s="1077">
        <v>600998</v>
      </c>
      <c r="B193" s="1102" t="str">
        <f>VLOOKUP(A193,'Income Statement'!$A$6:$B$254,2,FALSE)</f>
        <v>Depr Alloc-In</v>
      </c>
      <c r="C193" s="38">
        <v>0</v>
      </c>
      <c r="D193" s="38">
        <v>0</v>
      </c>
      <c r="E193" s="38">
        <v>0</v>
      </c>
      <c r="F193" s="38">
        <v>0</v>
      </c>
      <c r="G193" s="38">
        <v>0</v>
      </c>
      <c r="H193" s="38">
        <v>0</v>
      </c>
      <c r="I193" s="589">
        <f t="shared" si="24"/>
        <v>0</v>
      </c>
    </row>
    <row r="194" spans="1:9">
      <c r="A194" s="1077">
        <v>600999</v>
      </c>
      <c r="B194" s="1102" t="str">
        <f>VLOOKUP(A194,'Income Statement'!$A$6:$B$254,2,FALSE)</f>
        <v>Depr Alloc-Out</v>
      </c>
      <c r="C194" s="38">
        <v>0</v>
      </c>
      <c r="D194" s="38">
        <v>0</v>
      </c>
      <c r="E194" s="38">
        <v>0</v>
      </c>
      <c r="F194" s="38">
        <v>0</v>
      </c>
      <c r="G194" s="38">
        <v>0</v>
      </c>
      <c r="H194" s="38">
        <v>0</v>
      </c>
      <c r="I194" s="589">
        <f>SUM(C194:H194)</f>
        <v>0</v>
      </c>
    </row>
    <row r="195" spans="1:9" ht="12">
      <c r="A195" s="1084"/>
      <c r="B195" s="1104" t="s">
        <v>542</v>
      </c>
      <c r="C195" s="578">
        <f t="shared" ref="C195:H195" si="25">SUM(C186:C194)</f>
        <v>0</v>
      </c>
      <c r="D195" s="578">
        <f t="shared" si="25"/>
        <v>0</v>
      </c>
      <c r="E195" s="578">
        <f t="shared" si="25"/>
        <v>0</v>
      </c>
      <c r="F195" s="578">
        <f t="shared" si="25"/>
        <v>0</v>
      </c>
      <c r="G195" s="578">
        <f t="shared" si="25"/>
        <v>0</v>
      </c>
      <c r="H195" s="578">
        <f t="shared" si="25"/>
        <v>0</v>
      </c>
      <c r="I195" s="592">
        <f>SUM(C194:H195)</f>
        <v>0</v>
      </c>
    </row>
    <row r="196" spans="1:9">
      <c r="A196" s="1084"/>
      <c r="B196" s="1102"/>
    </row>
    <row r="197" spans="1:9" ht="12">
      <c r="A197" s="1084"/>
      <c r="B197" s="1088" t="s">
        <v>549</v>
      </c>
      <c r="C197" s="576">
        <f t="shared" ref="C197:H197" si="26">+C195</f>
        <v>0</v>
      </c>
      <c r="D197" s="576">
        <f t="shared" si="26"/>
        <v>0</v>
      </c>
      <c r="E197" s="576">
        <f t="shared" si="26"/>
        <v>0</v>
      </c>
      <c r="F197" s="576">
        <f t="shared" si="26"/>
        <v>0</v>
      </c>
      <c r="G197" s="576">
        <f t="shared" si="26"/>
        <v>0</v>
      </c>
      <c r="H197" s="576">
        <f t="shared" si="26"/>
        <v>0</v>
      </c>
      <c r="I197" s="590">
        <f>SUM(C197:H197)</f>
        <v>0</v>
      </c>
    </row>
    <row r="198" spans="1:9">
      <c r="A198" s="1084"/>
      <c r="B198" s="1095"/>
      <c r="C198" s="38"/>
      <c r="D198" s="38"/>
      <c r="E198" s="38"/>
      <c r="F198" s="38"/>
      <c r="G198" s="38"/>
      <c r="H198" s="38"/>
      <c r="I198" s="589"/>
    </row>
    <row r="199" spans="1:9" ht="12">
      <c r="A199" s="1084"/>
      <c r="B199" s="1088" t="s">
        <v>544</v>
      </c>
      <c r="C199" s="576">
        <f t="shared" ref="C199:H199" si="27">+C184+C197</f>
        <v>0</v>
      </c>
      <c r="D199" s="576">
        <f t="shared" si="27"/>
        <v>-20137</v>
      </c>
      <c r="E199" s="576">
        <f t="shared" si="27"/>
        <v>0</v>
      </c>
      <c r="F199" s="576">
        <f t="shared" si="27"/>
        <v>215408.99</v>
      </c>
      <c r="G199" s="576">
        <f t="shared" si="27"/>
        <v>0</v>
      </c>
      <c r="H199" s="576">
        <f t="shared" si="27"/>
        <v>0</v>
      </c>
      <c r="I199" s="590">
        <f>SUM(C199:H199)</f>
        <v>195271.99</v>
      </c>
    </row>
    <row r="200" spans="1:9">
      <c r="A200" s="1084"/>
      <c r="B200" s="1095"/>
      <c r="C200" s="38"/>
      <c r="D200" s="38"/>
      <c r="E200" s="38"/>
      <c r="F200" s="38"/>
      <c r="G200" s="38"/>
      <c r="H200" s="38"/>
      <c r="I200" s="589"/>
    </row>
    <row r="201" spans="1:9" ht="12">
      <c r="A201" s="1084"/>
      <c r="B201" s="1088" t="s">
        <v>545</v>
      </c>
      <c r="C201" s="576">
        <f t="shared" ref="C201:H201" si="28">C34-C199</f>
        <v>0</v>
      </c>
      <c r="D201" s="576">
        <f t="shared" si="28"/>
        <v>20137</v>
      </c>
      <c r="E201" s="576">
        <f t="shared" si="28"/>
        <v>0</v>
      </c>
      <c r="F201" s="576">
        <f t="shared" si="28"/>
        <v>-215408.99</v>
      </c>
      <c r="G201" s="576">
        <f t="shared" si="28"/>
        <v>0</v>
      </c>
      <c r="H201" s="576">
        <f t="shared" si="28"/>
        <v>0</v>
      </c>
      <c r="I201" s="590">
        <f>SUM(C201:H201)</f>
        <v>-195271.99</v>
      </c>
    </row>
    <row r="202" spans="1:9">
      <c r="A202" s="1084"/>
      <c r="B202" s="1102"/>
      <c r="C202" s="38"/>
      <c r="D202" s="38"/>
      <c r="E202" s="38"/>
      <c r="F202" s="38"/>
      <c r="G202" s="38"/>
      <c r="H202" s="38"/>
      <c r="I202" s="589"/>
    </row>
    <row r="203" spans="1:9">
      <c r="A203" s="1077">
        <v>710000</v>
      </c>
      <c r="B203" s="1102" t="str">
        <f>VLOOKUP(A203,'Income Statement'!$A$6:$B$254,2,FALSE)</f>
        <v>Sales Mgr/Supv</v>
      </c>
      <c r="C203" s="38">
        <v>0</v>
      </c>
      <c r="D203" s="38">
        <f>-Proforma!D203</f>
        <v>-26730</v>
      </c>
      <c r="E203" s="38">
        <v>0</v>
      </c>
      <c r="F203" s="38">
        <v>0</v>
      </c>
      <c r="G203" s="38">
        <v>0</v>
      </c>
      <c r="H203" s="38">
        <v>0</v>
      </c>
      <c r="I203" s="589">
        <f t="shared" ref="I203:I211" si="29">SUM(C203:H203)</f>
        <v>-26730</v>
      </c>
    </row>
    <row r="204" spans="1:9">
      <c r="A204" s="1077">
        <v>710005</v>
      </c>
      <c r="B204" s="1102" t="str">
        <f>VLOOKUP(A204,'Income Statement'!$A$6:$B$254,2,FALSE)</f>
        <v>Sales Rep 710005</v>
      </c>
      <c r="C204" s="38">
        <v>0</v>
      </c>
      <c r="D204" s="38">
        <f>-Proforma!D204</f>
        <v>-57777</v>
      </c>
      <c r="E204" s="38">
        <v>0</v>
      </c>
      <c r="F204" s="38">
        <v>0</v>
      </c>
      <c r="G204" s="38">
        <v>0</v>
      </c>
      <c r="H204" s="38">
        <v>0</v>
      </c>
      <c r="I204" s="589">
        <f t="shared" si="29"/>
        <v>-57777</v>
      </c>
    </row>
    <row r="205" spans="1:9">
      <c r="A205" s="1077">
        <v>710020</v>
      </c>
      <c r="B205" s="1102" t="str">
        <f>VLOOKUP(A205,'Income Statement'!$A$6:$B$254,2,FALSE)</f>
        <v>Marketing Staff</v>
      </c>
      <c r="C205" s="38">
        <v>0</v>
      </c>
      <c r="D205" s="38">
        <f>-Proforma!D205</f>
        <v>-80093</v>
      </c>
      <c r="E205" s="38">
        <v>0</v>
      </c>
      <c r="F205" s="38">
        <v>0</v>
      </c>
      <c r="G205" s="38">
        <v>0</v>
      </c>
      <c r="H205" s="38">
        <v>0</v>
      </c>
      <c r="I205" s="589">
        <f t="shared" si="29"/>
        <v>-80093</v>
      </c>
    </row>
    <row r="206" spans="1:9">
      <c r="A206" s="1077">
        <v>710030</v>
      </c>
      <c r="B206" s="1102" t="str">
        <f>VLOOKUP(A206,'Income Statement'!$A$6:$B$254,2,FALSE)</f>
        <v>Cust Service</v>
      </c>
      <c r="C206" s="38">
        <v>0</v>
      </c>
      <c r="D206" s="38">
        <v>0</v>
      </c>
      <c r="E206" s="38">
        <v>0</v>
      </c>
      <c r="F206" s="38">
        <v>0</v>
      </c>
      <c r="G206" s="38">
        <v>0</v>
      </c>
      <c r="H206" s="38">
        <v>0</v>
      </c>
      <c r="I206" s="589">
        <f t="shared" si="29"/>
        <v>0</v>
      </c>
    </row>
    <row r="207" spans="1:9">
      <c r="A207" s="1084">
        <v>710055</v>
      </c>
      <c r="B207" s="1102" t="str">
        <f>VLOOKUP(A207,'Income Statement'!$A$6:$B$254,2,FALSE)</f>
        <v>Temporary Labor - Sales</v>
      </c>
      <c r="C207" s="38">
        <v>0</v>
      </c>
      <c r="D207" s="38">
        <v>0</v>
      </c>
      <c r="E207" s="38">
        <v>0</v>
      </c>
      <c r="F207" s="38">
        <v>0</v>
      </c>
      <c r="G207" s="38">
        <v>0</v>
      </c>
      <c r="H207" s="38">
        <v>0</v>
      </c>
      <c r="I207" s="589">
        <f t="shared" si="29"/>
        <v>0</v>
      </c>
    </row>
    <row r="208" spans="1:9">
      <c r="A208" s="1077">
        <v>710060</v>
      </c>
      <c r="B208" s="1102" t="e">
        <f>VLOOKUP(A208,'Income Statement'!$A$6:$B$254,2,FALSE)</f>
        <v>#N/A</v>
      </c>
      <c r="C208" s="38">
        <v>0</v>
      </c>
      <c r="D208" s="38">
        <f>-Proforma!D208</f>
        <v>0</v>
      </c>
      <c r="E208" s="38">
        <v>0</v>
      </c>
      <c r="F208" s="38">
        <v>0</v>
      </c>
      <c r="G208" s="38">
        <v>0</v>
      </c>
      <c r="H208" s="38">
        <v>0</v>
      </c>
      <c r="I208" s="589">
        <f t="shared" si="29"/>
        <v>0</v>
      </c>
    </row>
    <row r="209" spans="1:10">
      <c r="A209" s="1077">
        <v>710061</v>
      </c>
      <c r="B209" s="1102" t="str">
        <f>VLOOKUP(A209,'Income Statement'!$A$6:$B$254,2,FALSE)</f>
        <v>Bonus Pay Corp-Sales</v>
      </c>
      <c r="C209" s="38">
        <v>0</v>
      </c>
      <c r="D209" s="38">
        <f>-Proforma!D209</f>
        <v>-23108</v>
      </c>
      <c r="E209" s="38">
        <v>0</v>
      </c>
      <c r="F209" s="38">
        <v>0</v>
      </c>
      <c r="G209" s="38">
        <v>0</v>
      </c>
      <c r="H209" s="38">
        <v>0</v>
      </c>
      <c r="I209" s="589">
        <f t="shared" si="29"/>
        <v>-23108</v>
      </c>
    </row>
    <row r="210" spans="1:10">
      <c r="A210" s="1077">
        <v>710062</v>
      </c>
      <c r="B210" s="1102" t="str">
        <f>VLOOKUP(A210,'Income Statement'!$A$6:$B$254,2,FALSE)</f>
        <v>Commission</v>
      </c>
      <c r="C210" s="38">
        <v>0</v>
      </c>
      <c r="D210" s="38">
        <f>-Proforma!D210</f>
        <v>-36465</v>
      </c>
      <c r="E210" s="38">
        <v>0</v>
      </c>
      <c r="F210" s="38">
        <v>0</v>
      </c>
      <c r="G210" s="38">
        <v>0</v>
      </c>
      <c r="H210" s="38">
        <v>0</v>
      </c>
      <c r="I210" s="589">
        <f t="shared" si="29"/>
        <v>-36465</v>
      </c>
    </row>
    <row r="211" spans="1:10">
      <c r="A211" s="1077">
        <v>710170</v>
      </c>
      <c r="B211" s="1102" t="str">
        <f>VLOOKUP(A211,'Income Statement'!$A$6:$B$254,2,FALSE)</f>
        <v>Payroll Taxes - Sales</v>
      </c>
      <c r="C211" s="38">
        <v>0</v>
      </c>
      <c r="D211" s="38">
        <f>-Proforma!D211*(1-Proforma!$D$206/SUM(Proforma!$D$203:$D$206))</f>
        <v>-20213.454424060928</v>
      </c>
      <c r="E211" s="38">
        <v>0</v>
      </c>
      <c r="F211" s="38">
        <v>0</v>
      </c>
      <c r="G211" s="38">
        <v>0</v>
      </c>
      <c r="H211" s="38">
        <v>0</v>
      </c>
      <c r="I211" s="589">
        <f t="shared" si="29"/>
        <v>-20213.454424060928</v>
      </c>
      <c r="J211" s="1033" t="s">
        <v>1580</v>
      </c>
    </row>
    <row r="212" spans="1:10">
      <c r="A212" s="1077">
        <v>710172</v>
      </c>
      <c r="B212" s="1102" t="str">
        <f>VLOOKUP(A212,'Income Statement'!$A$6:$B$254,2,FALSE)</f>
        <v>Personal Time - Sales</v>
      </c>
      <c r="C212" s="38"/>
      <c r="D212" s="38"/>
      <c r="E212" s="38"/>
      <c r="F212" s="38"/>
      <c r="G212" s="38"/>
      <c r="H212" s="38"/>
      <c r="I212" s="589">
        <f t="shared" ref="I212:I227" si="30">SUM(C212:H212)</f>
        <v>0</v>
      </c>
      <c r="J212" s="1033"/>
    </row>
    <row r="213" spans="1:10">
      <c r="A213" s="1077">
        <v>710173</v>
      </c>
      <c r="B213" s="1102" t="str">
        <f>VLOOKUP(A213,'Income Statement'!$A$6:$B$254,2,FALSE)</f>
        <v>Holiday Pay - Sales</v>
      </c>
      <c r="C213" s="38">
        <v>0</v>
      </c>
      <c r="D213" s="38">
        <f>-Proforma!D213*(1-Proforma!$D$206/SUM(Proforma!$D$203:$D$206))</f>
        <v>-4224.6325402697603</v>
      </c>
      <c r="E213" s="38">
        <v>0</v>
      </c>
      <c r="F213" s="38">
        <v>0</v>
      </c>
      <c r="G213" s="38">
        <v>0</v>
      </c>
      <c r="H213" s="38">
        <v>0</v>
      </c>
      <c r="I213" s="589">
        <f t="shared" si="30"/>
        <v>-4224.6325402697603</v>
      </c>
      <c r="J213" s="1033" t="s">
        <v>1580</v>
      </c>
    </row>
    <row r="214" spans="1:10">
      <c r="A214" s="1077">
        <v>710174</v>
      </c>
      <c r="B214" s="1102" t="str">
        <f>VLOOKUP(A214,'Income Statement'!$A$6:$B$254,2,FALSE)</f>
        <v>Vacation/Sick - Sales</v>
      </c>
      <c r="C214" s="38">
        <v>0</v>
      </c>
      <c r="D214" s="38">
        <f>-Proforma!D214*(1-Proforma!$D$206/SUM(Proforma!$D$203:$D$206))</f>
        <v>-6996.4953448918768</v>
      </c>
      <c r="E214" s="38">
        <v>0</v>
      </c>
      <c r="F214" s="38">
        <v>0</v>
      </c>
      <c r="G214" s="38">
        <v>0</v>
      </c>
      <c r="H214" s="38">
        <v>0</v>
      </c>
      <c r="I214" s="589">
        <f t="shared" si="30"/>
        <v>-6996.4953448918768</v>
      </c>
      <c r="J214" s="1033" t="s">
        <v>1580</v>
      </c>
    </row>
    <row r="215" spans="1:10">
      <c r="A215" s="1077">
        <v>710176</v>
      </c>
      <c r="B215" s="1102" t="str">
        <f>VLOOKUP(A215,'Income Statement'!$A$6:$B$254,2,FALSE)</f>
        <v>Benefits Corp-Sales</v>
      </c>
      <c r="C215" s="38">
        <v>0</v>
      </c>
      <c r="D215" s="38">
        <f>-Proforma!D215*(1-Proforma!$D$206/SUM(Proforma!$D$203:$D$206))</f>
        <v>-34995.008911959994</v>
      </c>
      <c r="E215" s="38">
        <v>0</v>
      </c>
      <c r="F215" s="38">
        <v>0</v>
      </c>
      <c r="G215" s="38">
        <v>0</v>
      </c>
      <c r="H215" s="38">
        <v>0</v>
      </c>
      <c r="I215" s="589">
        <f t="shared" si="30"/>
        <v>-34995.008911959994</v>
      </c>
      <c r="J215" s="1033" t="s">
        <v>1580</v>
      </c>
    </row>
    <row r="216" spans="1:10">
      <c r="A216" s="1077">
        <v>710177</v>
      </c>
      <c r="B216" s="1102" t="str">
        <f>VLOOKUP(A216,'Income Statement'!$A$6:$B$254,2,FALSE)</f>
        <v>Employer 401k - Sales</v>
      </c>
      <c r="C216" s="38">
        <v>0</v>
      </c>
      <c r="D216" s="38">
        <f>-Proforma!D216</f>
        <v>-8382</v>
      </c>
      <c r="E216" s="38">
        <v>0</v>
      </c>
      <c r="F216" s="38">
        <v>0</v>
      </c>
      <c r="G216" s="38">
        <v>0</v>
      </c>
      <c r="H216" s="38">
        <v>0</v>
      </c>
      <c r="I216" s="589">
        <f t="shared" si="30"/>
        <v>-8382</v>
      </c>
      <c r="J216" s="1033"/>
    </row>
    <row r="217" spans="1:10" ht="12">
      <c r="A217" s="1077"/>
      <c r="B217" s="1104" t="s">
        <v>546</v>
      </c>
      <c r="C217" s="579">
        <f t="shared" ref="C217:H217" si="31">SUM(C203:C216)</f>
        <v>0</v>
      </c>
      <c r="D217" s="579">
        <f t="shared" si="31"/>
        <v>-298984.59122118255</v>
      </c>
      <c r="E217" s="579">
        <f t="shared" si="31"/>
        <v>0</v>
      </c>
      <c r="F217" s="579">
        <f t="shared" si="31"/>
        <v>0</v>
      </c>
      <c r="G217" s="579">
        <f t="shared" si="31"/>
        <v>0</v>
      </c>
      <c r="H217" s="579">
        <f t="shared" si="31"/>
        <v>0</v>
      </c>
      <c r="I217" s="589">
        <f t="shared" si="30"/>
        <v>-298984.59122118255</v>
      </c>
      <c r="J217" s="1033"/>
    </row>
    <row r="218" spans="1:10">
      <c r="A218" s="1077"/>
      <c r="B218" s="1102"/>
      <c r="C218" s="38"/>
      <c r="D218" s="38"/>
      <c r="E218" s="38"/>
      <c r="F218" s="38"/>
      <c r="G218" s="38"/>
      <c r="H218" s="38"/>
      <c r="I218" s="589">
        <f t="shared" si="30"/>
        <v>0</v>
      </c>
      <c r="J218" s="1033"/>
    </row>
    <row r="219" spans="1:10">
      <c r="A219" s="1077">
        <v>711002</v>
      </c>
      <c r="B219" s="1102" t="e">
        <f>VLOOKUP(A219,'Income Statement'!$A$6:$B$254,2,FALSE)</f>
        <v>#N/A</v>
      </c>
      <c r="C219" s="38">
        <v>0</v>
      </c>
      <c r="D219" s="38">
        <f>-Proforma!D219</f>
        <v>0</v>
      </c>
      <c r="E219" s="38">
        <v>0</v>
      </c>
      <c r="F219" s="38">
        <v>0</v>
      </c>
      <c r="G219" s="38">
        <v>0</v>
      </c>
      <c r="H219" s="38">
        <v>0</v>
      </c>
      <c r="I219" s="589">
        <f t="shared" si="30"/>
        <v>0</v>
      </c>
      <c r="J219" s="1033"/>
    </row>
    <row r="220" spans="1:10">
      <c r="A220" s="1077">
        <v>711004</v>
      </c>
      <c r="B220" s="1102" t="e">
        <f>VLOOKUP(A220,'Income Statement'!$A$6:$B$254,2,FALSE)</f>
        <v>#N/A</v>
      </c>
      <c r="C220" s="38">
        <v>0</v>
      </c>
      <c r="D220" s="38">
        <f>-Proforma!D220</f>
        <v>0</v>
      </c>
      <c r="E220" s="38">
        <v>0</v>
      </c>
      <c r="F220" s="38">
        <v>0</v>
      </c>
      <c r="G220" s="38">
        <v>0</v>
      </c>
      <c r="H220" s="38">
        <v>0</v>
      </c>
      <c r="I220" s="589">
        <f t="shared" si="30"/>
        <v>0</v>
      </c>
      <c r="J220" s="1033"/>
    </row>
    <row r="221" spans="1:10">
      <c r="A221" s="1077">
        <v>711005</v>
      </c>
      <c r="B221" s="1102" t="str">
        <f>VLOOKUP(A221,'Income Statement'!$A$6:$B$254,2,FALSE)</f>
        <v>Vehicle Mileage - Sales</v>
      </c>
      <c r="C221" s="38">
        <v>0</v>
      </c>
      <c r="D221" s="38">
        <f>-Proforma!D221</f>
        <v>-4612</v>
      </c>
      <c r="E221" s="38">
        <v>0</v>
      </c>
      <c r="F221" s="38">
        <v>0</v>
      </c>
      <c r="G221" s="38">
        <v>0</v>
      </c>
      <c r="H221" s="38">
        <v>0</v>
      </c>
      <c r="I221" s="589">
        <f t="shared" si="30"/>
        <v>-4612</v>
      </c>
      <c r="J221" s="1033"/>
    </row>
    <row r="222" spans="1:10">
      <c r="A222" s="1077">
        <v>711006</v>
      </c>
      <c r="B222" s="1102" t="str">
        <f>VLOOKUP(A222,'Income Statement'!$A$6:$B$254,2,FALSE)</f>
        <v>Travel - Sales</v>
      </c>
      <c r="C222" s="38">
        <v>0</v>
      </c>
      <c r="D222" s="38">
        <f>-Proforma!D222</f>
        <v>-4051</v>
      </c>
      <c r="E222" s="38">
        <v>0</v>
      </c>
      <c r="F222" s="38">
        <v>0</v>
      </c>
      <c r="G222" s="38">
        <v>0</v>
      </c>
      <c r="H222" s="38">
        <v>0</v>
      </c>
      <c r="I222" s="589">
        <f t="shared" si="30"/>
        <v>-4051</v>
      </c>
      <c r="J222" s="1033"/>
    </row>
    <row r="223" spans="1:10">
      <c r="A223" s="1077">
        <v>711009</v>
      </c>
      <c r="B223" s="1102" t="str">
        <f>VLOOKUP(A223,'Income Statement'!$A$6:$B$254,2,FALSE)</f>
        <v>Meals &amp; Entert (50%)-Sales</v>
      </c>
      <c r="C223" s="38">
        <v>0</v>
      </c>
      <c r="D223" s="38">
        <v>-2979</v>
      </c>
      <c r="E223" s="38">
        <v>0</v>
      </c>
      <c r="F223" s="38">
        <v>0</v>
      </c>
      <c r="G223" s="38">
        <v>0</v>
      </c>
      <c r="H223" s="38">
        <v>0</v>
      </c>
      <c r="I223" s="589">
        <f t="shared" si="30"/>
        <v>-2979</v>
      </c>
      <c r="J223" s="1033" t="s">
        <v>1580</v>
      </c>
    </row>
    <row r="224" spans="1:10">
      <c r="A224" s="1077">
        <v>711010</v>
      </c>
      <c r="B224" s="1102" t="str">
        <f>VLOOKUP(A224,'Income Statement'!$A$6:$B$254,2,FALSE)</f>
        <v>Office Supplies - Sales</v>
      </c>
      <c r="C224" s="38">
        <v>0</v>
      </c>
      <c r="D224" s="38">
        <f>-Proforma!D224*(1-Proforma!$D$206/SUM(Proforma!$D$203:$D$206))</f>
        <v>-368.25350963331147</v>
      </c>
      <c r="E224" s="38">
        <v>0</v>
      </c>
      <c r="F224" s="38">
        <v>0</v>
      </c>
      <c r="G224" s="38">
        <v>0</v>
      </c>
      <c r="H224" s="38">
        <v>0</v>
      </c>
      <c r="I224" s="589">
        <f t="shared" si="30"/>
        <v>-368.25350963331147</v>
      </c>
      <c r="J224" s="1033" t="s">
        <v>1580</v>
      </c>
    </row>
    <row r="225" spans="1:10">
      <c r="A225" s="1077">
        <v>711014</v>
      </c>
      <c r="B225" s="1102" t="str">
        <f>VLOOKUP(A225,'Income Statement'!$A$6:$B$254,2,FALSE)</f>
        <v>Dues &amp; Subscriptions - Sales</v>
      </c>
      <c r="C225" s="38">
        <v>0</v>
      </c>
      <c r="D225" s="38">
        <f>-Proforma!D225*(1-Proforma!$D$206/SUM(Proforma!$D$203:$D$206))</f>
        <v>-2761.2586459677532</v>
      </c>
      <c r="E225" s="38">
        <v>0</v>
      </c>
      <c r="F225" s="38">
        <v>0</v>
      </c>
      <c r="G225" s="38">
        <v>0</v>
      </c>
      <c r="H225" s="38">
        <v>0</v>
      </c>
      <c r="I225" s="589">
        <f t="shared" si="30"/>
        <v>-2761.2586459677532</v>
      </c>
      <c r="J225" s="1033" t="s">
        <v>1580</v>
      </c>
    </row>
    <row r="226" spans="1:10">
      <c r="A226" s="1077">
        <v>711016</v>
      </c>
      <c r="B226" s="1102" t="str">
        <f>VLOOKUP(A226,'Income Statement'!$A$6:$B$254,2,FALSE)</f>
        <v>Telephone - Sales</v>
      </c>
      <c r="C226" s="38"/>
      <c r="D226" s="38"/>
      <c r="E226" s="38"/>
      <c r="F226" s="38"/>
      <c r="G226" s="38"/>
      <c r="H226" s="38"/>
      <c r="I226" s="589">
        <f>SUM(C226:H226)</f>
        <v>0</v>
      </c>
      <c r="J226" s="1033"/>
    </row>
    <row r="227" spans="1:10">
      <c r="A227" s="1077">
        <v>711028</v>
      </c>
      <c r="B227" s="1102" t="str">
        <f>VLOOKUP(A227,'Income Statement'!$A$6:$B$254,2,FALSE)</f>
        <v>Advertising - Sales</v>
      </c>
      <c r="C227" s="38">
        <v>0</v>
      </c>
      <c r="D227" s="38">
        <f>-Proforma!D227*(1-Proforma!$D$206/SUM(Proforma!$D$203:$D$206))</f>
        <v>-59067.091733644658</v>
      </c>
      <c r="E227" s="38">
        <v>0</v>
      </c>
      <c r="F227" s="38">
        <v>0</v>
      </c>
      <c r="G227" s="38">
        <v>0</v>
      </c>
      <c r="H227" s="38">
        <v>0</v>
      </c>
      <c r="I227" s="589">
        <f t="shared" si="30"/>
        <v>-59067.091733644658</v>
      </c>
      <c r="J227" s="1033" t="s">
        <v>1580</v>
      </c>
    </row>
    <row r="228" spans="1:10">
      <c r="A228" s="1077">
        <v>711095</v>
      </c>
      <c r="B228" s="1102" t="str">
        <f>VLOOKUP(A228,'Income Statement'!$A$6:$B$254,2,FALSE)</f>
        <v>Sales &amp; Mkting Misc</v>
      </c>
      <c r="C228" s="38">
        <v>0</v>
      </c>
      <c r="D228" s="38">
        <f>-Proforma!D228*(1-Proforma!$D$206/SUM(Proforma!$D$203:$D$206))</f>
        <v>-857.00882215710442</v>
      </c>
      <c r="E228" s="38">
        <v>0</v>
      </c>
      <c r="F228" s="38">
        <v>0</v>
      </c>
      <c r="G228" s="38">
        <v>0</v>
      </c>
      <c r="H228" s="38">
        <v>0</v>
      </c>
      <c r="I228" s="589">
        <f>SUM(C228:H228)</f>
        <v>-857.00882215710442</v>
      </c>
      <c r="J228" s="1033" t="s">
        <v>1580</v>
      </c>
    </row>
    <row r="229" spans="1:10" ht="12">
      <c r="A229" s="1084"/>
      <c r="B229" s="1104" t="s">
        <v>547</v>
      </c>
      <c r="C229" s="579">
        <f t="shared" ref="C229:H229" si="32">SUM(C219:C228)</f>
        <v>0</v>
      </c>
      <c r="D229" s="579">
        <f t="shared" si="32"/>
        <v>-74695.612711402835</v>
      </c>
      <c r="E229" s="579">
        <f t="shared" si="32"/>
        <v>0</v>
      </c>
      <c r="F229" s="579">
        <f t="shared" si="32"/>
        <v>0</v>
      </c>
      <c r="G229" s="579">
        <f t="shared" si="32"/>
        <v>0</v>
      </c>
      <c r="H229" s="579">
        <f t="shared" si="32"/>
        <v>0</v>
      </c>
      <c r="I229" s="593">
        <f>SUM(C229:H229)</f>
        <v>-74695.612711402835</v>
      </c>
    </row>
    <row r="230" spans="1:10">
      <c r="A230" s="1084"/>
      <c r="B230" s="1102"/>
      <c r="C230" s="38"/>
      <c r="D230" s="38"/>
      <c r="E230" s="38"/>
      <c r="F230" s="38"/>
      <c r="G230" s="38"/>
      <c r="H230" s="38"/>
      <c r="I230" s="589"/>
    </row>
    <row r="231" spans="1:10" ht="12">
      <c r="A231" s="1084"/>
      <c r="B231" s="1088" t="s">
        <v>548</v>
      </c>
      <c r="C231" s="576">
        <f t="shared" ref="C231:H231" si="33">C217+C229</f>
        <v>0</v>
      </c>
      <c r="D231" s="576">
        <f t="shared" si="33"/>
        <v>-373680.20393258537</v>
      </c>
      <c r="E231" s="576">
        <f t="shared" si="33"/>
        <v>0</v>
      </c>
      <c r="F231" s="576">
        <f t="shared" si="33"/>
        <v>0</v>
      </c>
      <c r="G231" s="576">
        <f t="shared" si="33"/>
        <v>0</v>
      </c>
      <c r="H231" s="576">
        <f t="shared" si="33"/>
        <v>0</v>
      </c>
      <c r="I231" s="590">
        <f>SUM(C231:H231)</f>
        <v>-373680.20393258537</v>
      </c>
    </row>
    <row r="232" spans="1:10">
      <c r="A232" s="1090"/>
      <c r="B232" s="1097"/>
      <c r="C232" s="38"/>
      <c r="D232" s="38"/>
      <c r="E232" s="38"/>
      <c r="F232" s="38"/>
      <c r="G232" s="38"/>
      <c r="H232" s="38"/>
      <c r="I232" s="589"/>
    </row>
    <row r="233" spans="1:10">
      <c r="A233" s="1090">
        <v>750000</v>
      </c>
      <c r="B233" s="1102" t="str">
        <f>VLOOKUP(A233,'Income Statement'!$A$6:$B$254,2,FALSE)</f>
        <v>G&amp;A Mgrs &amp; Supv</v>
      </c>
      <c r="C233" s="38">
        <v>0</v>
      </c>
      <c r="D233" s="38">
        <v>0</v>
      </c>
      <c r="E233" s="38">
        <v>0</v>
      </c>
      <c r="F233" s="38">
        <v>0</v>
      </c>
      <c r="G233" s="38">
        <v>0</v>
      </c>
      <c r="H233" s="38">
        <v>0</v>
      </c>
      <c r="I233" s="589">
        <f t="shared" ref="I233:I244" si="34">SUM(C233:H233)</f>
        <v>0</v>
      </c>
    </row>
    <row r="234" spans="1:10">
      <c r="A234" s="1077">
        <v>750005</v>
      </c>
      <c r="B234" s="1102" t="str">
        <f>VLOOKUP(A234,'Income Statement'!$A$6:$B$254,2,FALSE)</f>
        <v>G&amp;A Support Labor</v>
      </c>
      <c r="C234" s="59">
        <v>0</v>
      </c>
      <c r="D234" s="59">
        <v>0</v>
      </c>
      <c r="E234" s="59">
        <v>0</v>
      </c>
      <c r="F234" s="59">
        <v>0</v>
      </c>
      <c r="G234" s="59">
        <v>0</v>
      </c>
      <c r="H234" s="59">
        <v>0</v>
      </c>
      <c r="I234" s="589">
        <f t="shared" si="34"/>
        <v>0</v>
      </c>
    </row>
    <row r="235" spans="1:10">
      <c r="A235" s="1077">
        <v>750055</v>
      </c>
      <c r="B235" s="1102" t="str">
        <f>VLOOKUP(A235,'Income Statement'!$A$6:$B$254,2,FALSE)</f>
        <v>Temporary Labor-G&amp;A</v>
      </c>
      <c r="C235" s="59">
        <v>0</v>
      </c>
      <c r="D235" s="59">
        <v>0</v>
      </c>
      <c r="E235" s="59">
        <v>0</v>
      </c>
      <c r="F235" s="59">
        <v>0</v>
      </c>
      <c r="G235" s="59">
        <v>0</v>
      </c>
      <c r="H235" s="59">
        <v>0</v>
      </c>
      <c r="I235" s="589">
        <f t="shared" si="34"/>
        <v>0</v>
      </c>
    </row>
    <row r="236" spans="1:10">
      <c r="A236" s="1077">
        <v>750060</v>
      </c>
      <c r="B236" s="1102" t="str">
        <f>VLOOKUP(A236,'Income Statement'!$A$6:$B$254,2,FALSE)</f>
        <v>Bonus Pay Non-Corp-G&amp;A</v>
      </c>
      <c r="C236" s="59"/>
      <c r="D236" s="59"/>
      <c r="E236" s="59"/>
      <c r="F236" s="59"/>
      <c r="G236" s="59"/>
      <c r="H236" s="59"/>
      <c r="I236" s="589">
        <f t="shared" si="34"/>
        <v>0</v>
      </c>
    </row>
    <row r="237" spans="1:10">
      <c r="A237" s="1077">
        <v>750061</v>
      </c>
      <c r="B237" s="1102" t="str">
        <f>VLOOKUP(A237,'Income Statement'!$A$6:$B$254,2,FALSE)</f>
        <v>Bonus Pay Corp-G&amp;A</v>
      </c>
      <c r="C237" s="59"/>
      <c r="D237" s="59"/>
      <c r="E237" s="59"/>
      <c r="F237" s="59">
        <f>-Proforma!D237</f>
        <v>-104297</v>
      </c>
      <c r="G237" s="59"/>
      <c r="H237" s="59"/>
      <c r="I237" s="589">
        <f t="shared" si="34"/>
        <v>-104297</v>
      </c>
    </row>
    <row r="238" spans="1:10">
      <c r="A238" s="1077">
        <v>750170</v>
      </c>
      <c r="B238" s="1102" t="str">
        <f>VLOOKUP(A238,'Income Statement'!$A$6:$B$254,2,FALSE)</f>
        <v>Payroll Taxes - G&amp;A</v>
      </c>
      <c r="C238" s="59">
        <v>0</v>
      </c>
      <c r="D238" s="59">
        <v>0</v>
      </c>
      <c r="E238" s="59">
        <v>0</v>
      </c>
      <c r="F238" s="59">
        <v>0</v>
      </c>
      <c r="G238" s="59">
        <v>0</v>
      </c>
      <c r="H238" s="59">
        <v>0</v>
      </c>
      <c r="I238" s="589">
        <f t="shared" si="34"/>
        <v>0</v>
      </c>
    </row>
    <row r="239" spans="1:10">
      <c r="A239" s="1077">
        <v>750173</v>
      </c>
      <c r="B239" s="1102" t="str">
        <f>VLOOKUP(A239,'Income Statement'!$A$6:$B$254,2,FALSE)</f>
        <v>Holiday Pay - G&amp;A</v>
      </c>
      <c r="C239" s="59">
        <v>0</v>
      </c>
      <c r="D239" s="59">
        <v>0</v>
      </c>
      <c r="E239" s="59">
        <v>0</v>
      </c>
      <c r="F239" s="59">
        <v>0</v>
      </c>
      <c r="G239" s="59">
        <v>0</v>
      </c>
      <c r="H239" s="59">
        <v>0</v>
      </c>
      <c r="I239" s="589">
        <f t="shared" si="34"/>
        <v>0</v>
      </c>
    </row>
    <row r="240" spans="1:10">
      <c r="A240" s="1077">
        <v>750174</v>
      </c>
      <c r="B240" s="1102" t="str">
        <f>VLOOKUP(A240,'Income Statement'!$A$6:$B$254,2,FALSE)</f>
        <v>Vacation/Sick - G&amp;A</v>
      </c>
      <c r="C240" s="59">
        <v>0</v>
      </c>
      <c r="D240" s="59">
        <v>0</v>
      </c>
      <c r="E240" s="59">
        <v>0</v>
      </c>
      <c r="F240" s="59">
        <v>0</v>
      </c>
      <c r="G240" s="59">
        <v>0</v>
      </c>
      <c r="H240" s="59">
        <v>0</v>
      </c>
      <c r="I240" s="589">
        <f t="shared" si="34"/>
        <v>0</v>
      </c>
    </row>
    <row r="241" spans="1:9">
      <c r="A241" s="1077">
        <v>750176</v>
      </c>
      <c r="B241" s="1102" t="str">
        <f>VLOOKUP(A241,'Income Statement'!$A$6:$B$254,2,FALSE)</f>
        <v>Benefits Corp-G&amp;A</v>
      </c>
      <c r="C241" s="59">
        <v>0</v>
      </c>
      <c r="D241" s="59">
        <v>0</v>
      </c>
      <c r="E241" s="59">
        <v>0</v>
      </c>
      <c r="F241" s="59">
        <v>0</v>
      </c>
      <c r="G241" s="59">
        <v>0</v>
      </c>
      <c r="H241" s="59">
        <v>0</v>
      </c>
      <c r="I241" s="589">
        <f t="shared" si="34"/>
        <v>0</v>
      </c>
    </row>
    <row r="242" spans="1:9">
      <c r="A242" s="1077">
        <v>750177</v>
      </c>
      <c r="B242" s="1102" t="str">
        <f>VLOOKUP(A242,'Income Statement'!$A$6:$B$254,2,FALSE)</f>
        <v>Employer 401K-G&amp;A</v>
      </c>
      <c r="C242" s="59">
        <v>0</v>
      </c>
      <c r="D242" s="59">
        <v>0</v>
      </c>
      <c r="E242" s="59">
        <v>0</v>
      </c>
      <c r="F242" s="59">
        <v>0</v>
      </c>
      <c r="G242" s="59">
        <v>0</v>
      </c>
      <c r="H242" s="59">
        <v>0</v>
      </c>
      <c r="I242" s="589">
        <f t="shared" si="34"/>
        <v>0</v>
      </c>
    </row>
    <row r="243" spans="1:9" ht="12">
      <c r="A243" s="1084"/>
      <c r="B243" s="1104" t="s">
        <v>550</v>
      </c>
      <c r="C243" s="59">
        <v>0</v>
      </c>
      <c r="D243" s="59">
        <v>0</v>
      </c>
      <c r="E243" s="59">
        <v>0</v>
      </c>
      <c r="F243" s="59">
        <v>0</v>
      </c>
      <c r="G243" s="59">
        <v>0</v>
      </c>
      <c r="H243" s="59">
        <v>0</v>
      </c>
      <c r="I243" s="589">
        <f t="shared" si="34"/>
        <v>0</v>
      </c>
    </row>
    <row r="244" spans="1:9" ht="12">
      <c r="A244" s="1084"/>
      <c r="B244" s="1102"/>
      <c r="C244" s="579">
        <f t="shared" ref="C244:H244" si="35">SUM(C234:C243)</f>
        <v>0</v>
      </c>
      <c r="D244" s="579">
        <f t="shared" si="35"/>
        <v>0</v>
      </c>
      <c r="E244" s="579">
        <f t="shared" si="35"/>
        <v>0</v>
      </c>
      <c r="F244" s="579">
        <f t="shared" si="35"/>
        <v>-104297</v>
      </c>
      <c r="G244" s="579">
        <f t="shared" si="35"/>
        <v>0</v>
      </c>
      <c r="H244" s="579">
        <f t="shared" si="35"/>
        <v>0</v>
      </c>
      <c r="I244" s="593">
        <f t="shared" si="34"/>
        <v>-104297</v>
      </c>
    </row>
    <row r="245" spans="1:9">
      <c r="A245" s="1077">
        <v>751102</v>
      </c>
      <c r="B245" s="1102" t="str">
        <f>VLOOKUP(A245,'Income Statement'!$A$6:$B$254,2,FALSE)</f>
        <v>Recruiting - G&amp;A</v>
      </c>
      <c r="C245" s="59"/>
      <c r="D245" s="59"/>
      <c r="E245" s="59"/>
      <c r="F245" s="59"/>
      <c r="G245" s="59"/>
      <c r="H245" s="59"/>
      <c r="I245" s="589"/>
    </row>
    <row r="246" spans="1:9">
      <c r="A246" s="1077">
        <v>751104</v>
      </c>
      <c r="B246" s="1102" t="str">
        <f>VLOOKUP(A246,'Income Statement'!$A$6:$B$254,2,FALSE)</f>
        <v>Employee Activities - G&amp;A</v>
      </c>
      <c r="C246" s="59">
        <v>0</v>
      </c>
      <c r="D246" s="59">
        <v>0</v>
      </c>
      <c r="E246" s="59">
        <v>0</v>
      </c>
      <c r="F246" s="59">
        <v>0</v>
      </c>
      <c r="G246" s="59">
        <v>0</v>
      </c>
      <c r="H246" s="59">
        <v>0</v>
      </c>
      <c r="I246" s="589">
        <f t="shared" ref="I246:I286" si="36">SUM(C246:H246)</f>
        <v>0</v>
      </c>
    </row>
    <row r="247" spans="1:9">
      <c r="A247" s="1077">
        <v>751105</v>
      </c>
      <c r="B247" s="1102" t="str">
        <f>VLOOKUP(A247,'Income Statement'!$A$6:$B$254,2,FALSE)</f>
        <v>Vehicle Mileage - G&amp;A</v>
      </c>
      <c r="C247" s="59">
        <v>0</v>
      </c>
      <c r="D247" s="59">
        <v>0</v>
      </c>
      <c r="E247" s="59">
        <v>0</v>
      </c>
      <c r="F247" s="59">
        <v>0</v>
      </c>
      <c r="G247" s="59">
        <v>0</v>
      </c>
      <c r="H247" s="59">
        <v>0</v>
      </c>
      <c r="I247" s="589">
        <f>SUM(C247:H247)</f>
        <v>0</v>
      </c>
    </row>
    <row r="248" spans="1:9">
      <c r="A248" s="1077">
        <v>751106</v>
      </c>
      <c r="B248" s="1102" t="str">
        <f>VLOOKUP(A248,'Income Statement'!$A$6:$B$254,2,FALSE)</f>
        <v>Travel - G&amp;A</v>
      </c>
      <c r="C248" s="59">
        <v>0</v>
      </c>
      <c r="D248" s="59">
        <v>0</v>
      </c>
      <c r="E248" s="59">
        <v>0</v>
      </c>
      <c r="F248" s="59">
        <v>0</v>
      </c>
      <c r="G248" s="59">
        <v>0</v>
      </c>
      <c r="H248" s="59">
        <v>0</v>
      </c>
      <c r="I248" s="589">
        <f>SUM(C248:H248)</f>
        <v>0</v>
      </c>
    </row>
    <row r="249" spans="1:9">
      <c r="A249" s="1077">
        <v>751108</v>
      </c>
      <c r="B249" s="1102" t="e">
        <f>VLOOKUP(A249,'Income Statement'!$A$6:$B$254,2,FALSE)</f>
        <v>#N/A</v>
      </c>
      <c r="C249" s="59">
        <v>0</v>
      </c>
      <c r="D249" s="59">
        <v>0</v>
      </c>
      <c r="E249" s="59">
        <v>0</v>
      </c>
      <c r="F249" s="59">
        <v>0</v>
      </c>
      <c r="G249" s="59">
        <v>0</v>
      </c>
      <c r="H249" s="59">
        <v>0</v>
      </c>
      <c r="I249" s="589">
        <f t="shared" si="36"/>
        <v>0</v>
      </c>
    </row>
    <row r="250" spans="1:9">
      <c r="A250" s="1077">
        <v>751109</v>
      </c>
      <c r="B250" s="1102" t="str">
        <f>VLOOKUP(A250,'Income Statement'!$A$6:$B$254,2,FALSE)</f>
        <v>Meals &amp; Entert (50%)-G&amp;A</v>
      </c>
      <c r="C250" s="59">
        <v>0</v>
      </c>
      <c r="D250" s="59">
        <v>0</v>
      </c>
      <c r="E250" s="59">
        <v>0</v>
      </c>
      <c r="F250" s="59">
        <v>0</v>
      </c>
      <c r="G250" s="59">
        <v>0</v>
      </c>
      <c r="H250" s="59">
        <v>0</v>
      </c>
      <c r="I250" s="589">
        <f>SUM(C250:H250)</f>
        <v>0</v>
      </c>
    </row>
    <row r="251" spans="1:9">
      <c r="A251" s="1077">
        <v>751110</v>
      </c>
      <c r="B251" s="1102" t="str">
        <f>VLOOKUP(A251,'Income Statement'!$A$6:$B$254,2,FALSE)</f>
        <v>Office Supplies - G&amp;A</v>
      </c>
      <c r="C251" s="59">
        <v>0</v>
      </c>
      <c r="D251" s="59">
        <v>0</v>
      </c>
      <c r="E251" s="59">
        <v>0</v>
      </c>
      <c r="F251" s="59">
        <v>0</v>
      </c>
      <c r="G251" s="59">
        <v>0</v>
      </c>
      <c r="H251" s="59">
        <v>0</v>
      </c>
      <c r="I251" s="589">
        <f t="shared" si="36"/>
        <v>0</v>
      </c>
    </row>
    <row r="252" spans="1:9">
      <c r="A252" s="1077">
        <v>751111</v>
      </c>
      <c r="B252" s="1102" t="str">
        <f>VLOOKUP(A252,'Income Statement'!$A$6:$B$254,2,FALSE)</f>
        <v>Food/Coffee services-G&amp;A</v>
      </c>
      <c r="C252" s="59">
        <v>0</v>
      </c>
      <c r="D252" s="59">
        <v>0</v>
      </c>
      <c r="E252" s="59">
        <v>0</v>
      </c>
      <c r="F252" s="59">
        <v>0</v>
      </c>
      <c r="G252" s="59">
        <v>0</v>
      </c>
      <c r="H252" s="59">
        <v>0</v>
      </c>
      <c r="I252" s="589">
        <f t="shared" si="36"/>
        <v>0</v>
      </c>
    </row>
    <row r="253" spans="1:9">
      <c r="A253" s="1077">
        <v>751112</v>
      </c>
      <c r="B253" s="1102" t="str">
        <f>VLOOKUP(A253,'Income Statement'!$A$6:$B$254,2,FALSE)</f>
        <v>Postage/Courier Exp G&amp;A</v>
      </c>
      <c r="C253" s="59">
        <v>0</v>
      </c>
      <c r="D253" s="59">
        <v>0</v>
      </c>
      <c r="E253" s="59">
        <v>0</v>
      </c>
      <c r="F253" s="59">
        <v>0</v>
      </c>
      <c r="G253" s="59">
        <v>0</v>
      </c>
      <c r="H253" s="59">
        <v>0</v>
      </c>
      <c r="I253" s="589">
        <f t="shared" si="36"/>
        <v>0</v>
      </c>
    </row>
    <row r="254" spans="1:9">
      <c r="A254" s="1077">
        <v>751114</v>
      </c>
      <c r="B254" s="1102" t="str">
        <f>VLOOKUP(A254,'Income Statement'!$A$6:$B$254,2,FALSE)</f>
        <v>Dues &amp; Subscriptions - G&amp;A</v>
      </c>
      <c r="C254" s="59">
        <v>0</v>
      </c>
      <c r="D254" s="59">
        <v>0</v>
      </c>
      <c r="E254" s="59">
        <v>0</v>
      </c>
      <c r="F254" s="59">
        <v>0</v>
      </c>
      <c r="G254" s="59">
        <v>0</v>
      </c>
      <c r="H254" s="59">
        <v>0</v>
      </c>
      <c r="I254" s="589">
        <f t="shared" si="36"/>
        <v>0</v>
      </c>
    </row>
    <row r="255" spans="1:9">
      <c r="A255" s="1077">
        <v>751116</v>
      </c>
      <c r="B255" s="1102" t="str">
        <f>VLOOKUP(A255,'Income Statement'!$A$6:$B$254,2,FALSE)</f>
        <v>Telephone - G&amp;A</v>
      </c>
      <c r="C255" s="59">
        <v>0</v>
      </c>
      <c r="D255" s="59">
        <v>0</v>
      </c>
      <c r="E255" s="59">
        <v>0</v>
      </c>
      <c r="F255" s="59">
        <v>0</v>
      </c>
      <c r="G255" s="59">
        <v>0</v>
      </c>
      <c r="H255" s="59">
        <v>0</v>
      </c>
      <c r="I255" s="589">
        <f t="shared" si="36"/>
        <v>0</v>
      </c>
    </row>
    <row r="256" spans="1:9">
      <c r="A256" s="1077">
        <v>751117</v>
      </c>
      <c r="B256" s="1102" t="str">
        <f>VLOOKUP(A256,'Income Statement'!$A$6:$B$254,2,FALSE)</f>
        <v>Data Communications - G&amp;A</v>
      </c>
      <c r="C256" s="59"/>
      <c r="D256" s="59"/>
      <c r="E256" s="59"/>
      <c r="F256" s="59"/>
      <c r="G256" s="59"/>
      <c r="H256" s="59"/>
      <c r="I256" s="589">
        <f t="shared" si="36"/>
        <v>0</v>
      </c>
    </row>
    <row r="257" spans="1:9">
      <c r="A257" s="1077">
        <v>751118</v>
      </c>
      <c r="B257" s="1102" t="str">
        <f>VLOOKUP(A257,'Income Statement'!$A$6:$B$254,2,FALSE)</f>
        <v>Utilities - G&amp;A</v>
      </c>
      <c r="C257" s="59"/>
      <c r="D257" s="59"/>
      <c r="E257" s="59"/>
      <c r="F257" s="59"/>
      <c r="G257" s="59"/>
      <c r="H257" s="59"/>
      <c r="I257" s="589">
        <f t="shared" si="36"/>
        <v>0</v>
      </c>
    </row>
    <row r="258" spans="1:9">
      <c r="A258" s="1077">
        <v>751120</v>
      </c>
      <c r="B258" s="1102" t="str">
        <f>VLOOKUP(A258,'Income Statement'!$A$6:$B$254,2,FALSE)</f>
        <v>Facility Maintenance - G&amp;A</v>
      </c>
      <c r="C258" s="59">
        <v>0</v>
      </c>
      <c r="D258" s="59">
        <v>0</v>
      </c>
      <c r="E258" s="59">
        <v>0</v>
      </c>
      <c r="F258" s="59">
        <v>0</v>
      </c>
      <c r="G258" s="59">
        <v>0</v>
      </c>
      <c r="H258" s="59">
        <v>0</v>
      </c>
      <c r="I258" s="589">
        <f t="shared" si="36"/>
        <v>0</v>
      </c>
    </row>
    <row r="259" spans="1:9">
      <c r="A259" s="1077">
        <v>751121</v>
      </c>
      <c r="B259" s="1102" t="str">
        <f>VLOOKUP(A259,'Income Statement'!$A$6:$B$254,2,FALSE)</f>
        <v>Storage Expenses-G&amp;A</v>
      </c>
      <c r="C259" s="59">
        <v>0</v>
      </c>
      <c r="D259" s="59">
        <v>0</v>
      </c>
      <c r="E259" s="59">
        <v>0</v>
      </c>
      <c r="F259" s="59">
        <v>0</v>
      </c>
      <c r="G259" s="59">
        <v>0</v>
      </c>
      <c r="H259" s="59">
        <v>0</v>
      </c>
      <c r="I259" s="589">
        <f t="shared" si="36"/>
        <v>0</v>
      </c>
    </row>
    <row r="260" spans="1:9">
      <c r="A260" s="1077">
        <v>751122</v>
      </c>
      <c r="B260" s="1102" t="str">
        <f>VLOOKUP(A260,'Income Statement'!$A$6:$B$254,2,FALSE)</f>
        <v>Rent - G&amp;A</v>
      </c>
      <c r="C260" s="59">
        <v>0</v>
      </c>
      <c r="D260" s="59">
        <v>0</v>
      </c>
      <c r="E260" s="59">
        <v>0</v>
      </c>
      <c r="F260" s="59">
        <v>0</v>
      </c>
      <c r="G260" s="59">
        <v>0</v>
      </c>
      <c r="H260" s="59">
        <v>0</v>
      </c>
      <c r="I260" s="589">
        <f t="shared" si="36"/>
        <v>0</v>
      </c>
    </row>
    <row r="261" spans="1:9">
      <c r="A261" s="1077">
        <v>751126</v>
      </c>
      <c r="B261" s="1102" t="str">
        <f>VLOOKUP(A261,'Income Statement'!$A$6:$B$254,2,FALSE)</f>
        <v>Equip Rental - G&amp;A</v>
      </c>
      <c r="C261" s="59"/>
      <c r="D261" s="59"/>
      <c r="E261" s="59"/>
      <c r="F261" s="59"/>
      <c r="G261" s="59"/>
      <c r="H261" s="59"/>
      <c r="I261" s="589">
        <f t="shared" si="36"/>
        <v>0</v>
      </c>
    </row>
    <row r="262" spans="1:9">
      <c r="A262" s="1077">
        <v>751128</v>
      </c>
      <c r="B262" s="1102" t="str">
        <f>VLOOKUP(A262,'Income Statement'!$A$6:$B$254,2,FALSE)</f>
        <v>Advertising - G&amp;A</v>
      </c>
      <c r="C262" s="59"/>
      <c r="D262" s="59"/>
      <c r="E262" s="59"/>
      <c r="F262" s="59"/>
      <c r="G262" s="59"/>
      <c r="H262" s="59"/>
      <c r="I262" s="589">
        <f t="shared" si="36"/>
        <v>0</v>
      </c>
    </row>
    <row r="263" spans="1:9">
      <c r="A263" s="1077">
        <v>751130</v>
      </c>
      <c r="B263" s="1102" t="str">
        <f>VLOOKUP(A263,'Income Statement'!$A$6:$B$254,2,FALSE)</f>
        <v>Printing/Reproduction</v>
      </c>
      <c r="C263" s="59">
        <v>0</v>
      </c>
      <c r="D263" s="59">
        <v>0</v>
      </c>
      <c r="E263" s="59">
        <v>0</v>
      </c>
      <c r="F263" s="59">
        <v>0</v>
      </c>
      <c r="G263" s="59">
        <v>0</v>
      </c>
      <c r="H263" s="59">
        <v>0</v>
      </c>
      <c r="I263" s="589">
        <f t="shared" si="36"/>
        <v>0</v>
      </c>
    </row>
    <row r="264" spans="1:9">
      <c r="A264" s="1077">
        <v>751134</v>
      </c>
      <c r="B264" s="1102" t="str">
        <f>VLOOKUP(A264,'Income Statement'!$A$6:$B$254,2,FALSE)</f>
        <v>Meetings &amp; Events</v>
      </c>
      <c r="C264" s="59">
        <v>0</v>
      </c>
      <c r="D264" s="59">
        <v>0</v>
      </c>
      <c r="E264" s="59">
        <v>0</v>
      </c>
      <c r="F264" s="59">
        <v>0</v>
      </c>
      <c r="G264" s="59">
        <v>0</v>
      </c>
      <c r="H264" s="59">
        <v>0</v>
      </c>
      <c r="I264" s="589">
        <f t="shared" si="36"/>
        <v>0</v>
      </c>
    </row>
    <row r="265" spans="1:9">
      <c r="A265" s="1077">
        <v>751138</v>
      </c>
      <c r="B265" s="1102" t="str">
        <f>VLOOKUP(A265,'Income Statement'!$A$6:$B$254,2,FALSE)</f>
        <v>Outside Training - G&amp;A</v>
      </c>
      <c r="C265" s="59"/>
      <c r="D265" s="59"/>
      <c r="E265" s="59"/>
      <c r="F265" s="59"/>
      <c r="G265" s="59"/>
      <c r="H265" s="59"/>
      <c r="I265" s="589">
        <f t="shared" si="36"/>
        <v>0</v>
      </c>
    </row>
    <row r="266" spans="1:9">
      <c r="A266" s="1077">
        <v>751140</v>
      </c>
      <c r="B266" s="1102" t="str">
        <f>VLOOKUP(A266,'Income Statement'!$A$6:$B$254,2,FALSE)</f>
        <v>Bank Fees</v>
      </c>
      <c r="C266" s="59">
        <v>0</v>
      </c>
      <c r="D266" s="59">
        <v>0</v>
      </c>
      <c r="E266" s="59">
        <v>0</v>
      </c>
      <c r="F266" s="59">
        <v>0</v>
      </c>
      <c r="G266" s="59">
        <v>0</v>
      </c>
      <c r="H266" s="59">
        <v>0</v>
      </c>
      <c r="I266" s="589">
        <f t="shared" si="36"/>
        <v>0</v>
      </c>
    </row>
    <row r="267" spans="1:9">
      <c r="A267" s="1077">
        <v>751144</v>
      </c>
      <c r="B267" s="1102" t="str">
        <f>VLOOKUP(A267,'Income Statement'!$A$6:$B$254,2,FALSE)</f>
        <v>Legal Fees</v>
      </c>
      <c r="C267" s="59">
        <v>0</v>
      </c>
      <c r="D267" s="59">
        <v>0</v>
      </c>
      <c r="E267" s="59">
        <v>0</v>
      </c>
      <c r="F267" s="59">
        <v>0</v>
      </c>
      <c r="G267" s="59">
        <v>0</v>
      </c>
      <c r="H267" s="59">
        <v>0</v>
      </c>
      <c r="I267" s="589">
        <f t="shared" si="36"/>
        <v>0</v>
      </c>
    </row>
    <row r="268" spans="1:9">
      <c r="A268" s="1077">
        <v>751145</v>
      </c>
      <c r="B268" s="1102" t="str">
        <f>VLOOKUP(A268,'Income Statement'!$A$6:$B$254,2,FALSE)</f>
        <v>Legal Settlements</v>
      </c>
      <c r="C268" s="59"/>
      <c r="D268" s="59"/>
      <c r="E268" s="59"/>
      <c r="F268" s="59"/>
      <c r="G268" s="59"/>
      <c r="H268" s="59"/>
      <c r="I268" s="589">
        <f t="shared" si="36"/>
        <v>0</v>
      </c>
    </row>
    <row r="269" spans="1:9">
      <c r="A269" s="1077">
        <v>751150</v>
      </c>
      <c r="B269" s="1102" t="e">
        <f>VLOOKUP(A269,'Income Statement'!$A$6:$B$254,2,FALSE)</f>
        <v>#N/A</v>
      </c>
      <c r="C269" s="59">
        <v>0</v>
      </c>
      <c r="D269" s="38">
        <v>0</v>
      </c>
      <c r="E269" s="59">
        <v>0</v>
      </c>
      <c r="F269" s="59">
        <v>0</v>
      </c>
      <c r="G269" s="59">
        <v>0</v>
      </c>
      <c r="H269" s="59">
        <v>0</v>
      </c>
      <c r="I269" s="589">
        <f t="shared" si="36"/>
        <v>0</v>
      </c>
    </row>
    <row r="270" spans="1:9">
      <c r="A270" s="1077">
        <v>751152</v>
      </c>
      <c r="B270" s="1102" t="str">
        <f>VLOOKUP(A270,'Income Statement'!$A$6:$B$254,2,FALSE)</f>
        <v>Lobbyist Fees</v>
      </c>
      <c r="C270" s="59"/>
      <c r="D270" s="38"/>
      <c r="E270" s="59"/>
      <c r="F270" s="59"/>
      <c r="G270" s="59"/>
      <c r="H270" s="59"/>
      <c r="I270" s="589">
        <f t="shared" si="36"/>
        <v>0</v>
      </c>
    </row>
    <row r="271" spans="1:9">
      <c r="A271" s="1077">
        <v>751153</v>
      </c>
      <c r="B271" s="1102" t="str">
        <f>VLOOKUP(A271,'Income Statement'!$A$6:$B$254,2,FALSE)</f>
        <v>Payroll Processing Fees</v>
      </c>
      <c r="C271" s="59">
        <v>0</v>
      </c>
      <c r="D271" s="38">
        <v>0</v>
      </c>
      <c r="E271" s="59">
        <v>0</v>
      </c>
      <c r="F271" s="59">
        <v>0</v>
      </c>
      <c r="G271" s="59">
        <v>0</v>
      </c>
      <c r="H271" s="59">
        <v>0</v>
      </c>
      <c r="I271" s="589">
        <f t="shared" si="36"/>
        <v>0</v>
      </c>
    </row>
    <row r="272" spans="1:9">
      <c r="A272" s="1077">
        <v>751156</v>
      </c>
      <c r="B272" s="1102" t="str">
        <f>VLOOKUP(A272,'Income Statement'!$A$6:$B$254,2,FALSE)</f>
        <v>Outside Credit &amp; Collections</v>
      </c>
      <c r="C272" s="59">
        <v>0</v>
      </c>
      <c r="D272" s="59">
        <v>0</v>
      </c>
      <c r="E272" s="59">
        <v>0</v>
      </c>
      <c r="F272" s="59">
        <v>0</v>
      </c>
      <c r="G272" s="59">
        <v>0</v>
      </c>
      <c r="H272" s="59">
        <v>0</v>
      </c>
      <c r="I272" s="589">
        <f t="shared" si="36"/>
        <v>0</v>
      </c>
    </row>
    <row r="273" spans="1:9">
      <c r="A273" s="1077">
        <v>751158</v>
      </c>
      <c r="B273" s="1102" t="str">
        <f>VLOOKUP(A273,'Income Statement'!$A$6:$B$254,2,FALSE)</f>
        <v>Other Consulting/Prof Fees</v>
      </c>
      <c r="C273" s="59">
        <v>0</v>
      </c>
      <c r="D273" s="59">
        <v>0</v>
      </c>
      <c r="E273" s="59">
        <v>0</v>
      </c>
      <c r="F273" s="59">
        <v>0</v>
      </c>
      <c r="G273" s="59">
        <v>0</v>
      </c>
      <c r="H273" s="59">
        <v>0</v>
      </c>
      <c r="I273" s="589">
        <f t="shared" si="36"/>
        <v>0</v>
      </c>
    </row>
    <row r="274" spans="1:9">
      <c r="A274" s="1077">
        <v>751160</v>
      </c>
      <c r="B274" s="1102" t="e">
        <f>VLOOKUP(A274,'Income Statement'!$A$6:$B$254,2,FALSE)</f>
        <v>#N/A</v>
      </c>
      <c r="C274" s="59">
        <v>0</v>
      </c>
      <c r="D274" s="59">
        <v>0</v>
      </c>
      <c r="E274" s="59">
        <v>0</v>
      </c>
      <c r="F274" s="59">
        <v>0</v>
      </c>
      <c r="G274" s="59">
        <v>0</v>
      </c>
      <c r="H274" s="59">
        <v>0</v>
      </c>
      <c r="I274" s="589">
        <f t="shared" si="36"/>
        <v>0</v>
      </c>
    </row>
    <row r="275" spans="1:9">
      <c r="A275" s="1077">
        <v>751164</v>
      </c>
      <c r="B275" s="1102" t="str">
        <f>VLOOKUP(A275,'Income Statement'!$A$6:$B$254,2,FALSE)</f>
        <v>Software Maintenance &amp; Licenses</v>
      </c>
      <c r="C275" s="59">
        <v>0</v>
      </c>
      <c r="D275" s="59">
        <v>0</v>
      </c>
      <c r="E275" s="59">
        <v>0</v>
      </c>
      <c r="F275" s="59">
        <v>0</v>
      </c>
      <c r="G275" s="59">
        <v>0</v>
      </c>
      <c r="H275" s="59">
        <v>0</v>
      </c>
      <c r="I275" s="589">
        <f t="shared" si="36"/>
        <v>0</v>
      </c>
    </row>
    <row r="276" spans="1:9">
      <c r="A276" s="1077">
        <v>751166</v>
      </c>
      <c r="B276" s="1102" t="str">
        <f>VLOOKUP(A276,'Income Statement'!$A$6:$B$254,2,FALSE)</f>
        <v>Hardware Maintenance</v>
      </c>
      <c r="C276" s="59"/>
      <c r="D276" s="59"/>
      <c r="E276" s="59"/>
      <c r="F276" s="59"/>
      <c r="G276" s="59"/>
      <c r="H276" s="59"/>
      <c r="I276" s="589">
        <f t="shared" si="36"/>
        <v>0</v>
      </c>
    </row>
    <row r="277" spans="1:9">
      <c r="A277" s="1077">
        <v>751168</v>
      </c>
      <c r="B277" s="1102" t="str">
        <f>VLOOKUP(A277,'Income Statement'!$A$6:$B$254,2,FALSE)</f>
        <v>Computer Equipment Expense</v>
      </c>
      <c r="C277" s="59">
        <v>0</v>
      </c>
      <c r="D277" s="59">
        <v>0</v>
      </c>
      <c r="E277" s="59">
        <v>0</v>
      </c>
      <c r="F277" s="59">
        <v>0</v>
      </c>
      <c r="G277" s="59">
        <v>0</v>
      </c>
      <c r="H277" s="59">
        <v>0</v>
      </c>
      <c r="I277" s="589">
        <f t="shared" si="36"/>
        <v>0</v>
      </c>
    </row>
    <row r="278" spans="1:9">
      <c r="A278" s="1077">
        <v>751170</v>
      </c>
      <c r="B278" s="1102" t="str">
        <f>VLOOKUP(A278,'Income Statement'!$A$6:$B$254,2,FALSE)</f>
        <v>Contributions Deductible</v>
      </c>
      <c r="C278" s="59"/>
      <c r="D278" s="59"/>
      <c r="E278" s="59"/>
      <c r="F278" s="59"/>
      <c r="G278" s="59"/>
      <c r="H278" s="59"/>
      <c r="I278" s="589">
        <f t="shared" si="36"/>
        <v>0</v>
      </c>
    </row>
    <row r="279" spans="1:9">
      <c r="A279" s="1077">
        <v>751172</v>
      </c>
      <c r="B279" s="1102" t="str">
        <f>VLOOKUP(A279,'Income Statement'!$A$6:$B$254,2,FALSE)</f>
        <v>Contributions Non-Deductible</v>
      </c>
      <c r="C279" s="59"/>
      <c r="D279" s="59"/>
      <c r="E279" s="59"/>
      <c r="F279" s="59"/>
      <c r="G279" s="59"/>
      <c r="H279" s="59"/>
      <c r="I279" s="589">
        <f t="shared" si="36"/>
        <v>0</v>
      </c>
    </row>
    <row r="280" spans="1:9">
      <c r="A280" s="1077">
        <v>751194</v>
      </c>
      <c r="B280" s="1102" t="str">
        <f>VLOOKUP(A280,'Income Statement'!$A$6:$B$254,2,FALSE)</f>
        <v>Purchase Discounts-G&amp;A</v>
      </c>
      <c r="C280" s="59">
        <v>0</v>
      </c>
      <c r="D280" s="59">
        <v>0</v>
      </c>
      <c r="E280" s="59">
        <v>0</v>
      </c>
      <c r="F280" s="59">
        <v>0</v>
      </c>
      <c r="G280" s="59">
        <v>0</v>
      </c>
      <c r="H280" s="59">
        <v>0</v>
      </c>
      <c r="I280" s="589">
        <f t="shared" si="36"/>
        <v>0</v>
      </c>
    </row>
    <row r="281" spans="1:9">
      <c r="A281" s="1077">
        <v>751195</v>
      </c>
      <c r="B281" s="1102" t="str">
        <f>VLOOKUP(A281,'Income Statement'!$A$6:$B$254,2,FALSE)</f>
        <v>Miscellaneous</v>
      </c>
      <c r="C281" s="59">
        <v>0</v>
      </c>
      <c r="D281" s="59">
        <v>0</v>
      </c>
      <c r="E281" s="59">
        <v>0</v>
      </c>
      <c r="F281" s="59">
        <v>0</v>
      </c>
      <c r="G281" s="59">
        <v>0</v>
      </c>
      <c r="H281" s="59">
        <v>0</v>
      </c>
      <c r="I281" s="589">
        <f t="shared" si="36"/>
        <v>0</v>
      </c>
    </row>
    <row r="282" spans="1:9">
      <c r="A282" s="1084">
        <v>755000</v>
      </c>
      <c r="B282" s="1102" t="str">
        <f>VLOOKUP(A282,'Income Statement'!$A$6:$B$254,2,FALSE)</f>
        <v>Bad Debt Exp</v>
      </c>
      <c r="C282" s="59">
        <v>0</v>
      </c>
      <c r="D282" s="59">
        <v>0</v>
      </c>
      <c r="E282" s="59">
        <v>0</v>
      </c>
      <c r="F282" s="59">
        <v>0</v>
      </c>
      <c r="G282" s="59">
        <v>0</v>
      </c>
      <c r="H282" s="59">
        <v>0</v>
      </c>
      <c r="I282" s="589">
        <f t="shared" si="36"/>
        <v>0</v>
      </c>
    </row>
    <row r="283" spans="1:9">
      <c r="A283" s="1084">
        <v>755992</v>
      </c>
      <c r="B283" s="1102" t="str">
        <f>VLOOKUP(A283,'Income Statement'!$A$6:$B$254,2,FALSE)</f>
        <v>Accrued P-Card Clearing</v>
      </c>
      <c r="C283" s="59"/>
      <c r="D283" s="59"/>
      <c r="E283" s="59"/>
      <c r="F283" s="59"/>
      <c r="G283" s="59"/>
      <c r="H283" s="59"/>
      <c r="I283" s="589">
        <f t="shared" si="36"/>
        <v>0</v>
      </c>
    </row>
    <row r="284" spans="1:9">
      <c r="A284" s="1077">
        <v>755995</v>
      </c>
      <c r="B284" s="1102" t="str">
        <f>VLOOKUP(A284,'Income Statement'!$A$6:$B$254,2,FALSE)</f>
        <v>Management Fee</v>
      </c>
      <c r="C284" s="59">
        <v>0</v>
      </c>
      <c r="D284" s="59">
        <v>0</v>
      </c>
      <c r="E284" s="59">
        <v>0</v>
      </c>
      <c r="F284" s="59">
        <f>-[9]MgtFee!$L$34</f>
        <v>-124680.18694336538</v>
      </c>
      <c r="G284" s="59">
        <v>0</v>
      </c>
      <c r="H284" s="59">
        <v>0</v>
      </c>
      <c r="I284" s="589">
        <f t="shared" si="36"/>
        <v>-124680.18694336538</v>
      </c>
    </row>
    <row r="285" spans="1:9">
      <c r="A285" s="1077">
        <v>755998</v>
      </c>
      <c r="B285" s="1102" t="e">
        <f>VLOOKUP(A285,'Income Statement'!$A$6:$B$254,2,FALSE)</f>
        <v>#N/A</v>
      </c>
      <c r="C285" s="59">
        <v>0</v>
      </c>
      <c r="D285" s="59">
        <v>0</v>
      </c>
      <c r="E285" s="59">
        <v>0</v>
      </c>
      <c r="F285" s="59">
        <v>0</v>
      </c>
      <c r="G285" s="59">
        <v>0</v>
      </c>
      <c r="H285" s="59">
        <v>0</v>
      </c>
      <c r="I285" s="589">
        <f t="shared" si="36"/>
        <v>0</v>
      </c>
    </row>
    <row r="286" spans="1:9" ht="12">
      <c r="A286" s="1084"/>
      <c r="B286" s="1104" t="s">
        <v>551</v>
      </c>
      <c r="C286" s="579">
        <f t="shared" ref="C286:H286" si="37">SUM(C246:C285)</f>
        <v>0</v>
      </c>
      <c r="D286" s="579">
        <f t="shared" si="37"/>
        <v>0</v>
      </c>
      <c r="E286" s="579">
        <f t="shared" si="37"/>
        <v>0</v>
      </c>
      <c r="F286" s="579">
        <f t="shared" si="37"/>
        <v>-124680.18694336538</v>
      </c>
      <c r="G286" s="579">
        <f t="shared" si="37"/>
        <v>0</v>
      </c>
      <c r="H286" s="579">
        <f t="shared" si="37"/>
        <v>0</v>
      </c>
      <c r="I286" s="593">
        <f t="shared" si="36"/>
        <v>-124680.18694336538</v>
      </c>
    </row>
    <row r="287" spans="1:9">
      <c r="A287" s="1077"/>
      <c r="B287" s="1102"/>
      <c r="C287" s="59"/>
      <c r="D287" s="59"/>
      <c r="E287" s="59"/>
      <c r="F287" s="59"/>
      <c r="G287" s="59"/>
      <c r="H287" s="59"/>
      <c r="I287" s="589"/>
    </row>
    <row r="288" spans="1:9" ht="12">
      <c r="A288" s="1084"/>
      <c r="B288" s="1088" t="s">
        <v>552</v>
      </c>
      <c r="C288" s="576">
        <f t="shared" ref="C288:H288" si="38">+C244+C286</f>
        <v>0</v>
      </c>
      <c r="D288" s="576">
        <f t="shared" si="38"/>
        <v>0</v>
      </c>
      <c r="E288" s="576">
        <f t="shared" si="38"/>
        <v>0</v>
      </c>
      <c r="F288" s="576">
        <f t="shared" si="38"/>
        <v>-228977.18694336538</v>
      </c>
      <c r="G288" s="576">
        <f t="shared" si="38"/>
        <v>0</v>
      </c>
      <c r="H288" s="576">
        <f t="shared" si="38"/>
        <v>0</v>
      </c>
      <c r="I288" s="590">
        <f>SUM(C288:H288)</f>
        <v>-228977.18694336538</v>
      </c>
    </row>
    <row r="289" spans="1:9">
      <c r="A289" s="1084"/>
      <c r="B289" s="1102"/>
      <c r="C289" s="59"/>
      <c r="D289" s="59"/>
      <c r="E289" s="59"/>
      <c r="F289" s="59"/>
      <c r="G289" s="59"/>
      <c r="H289" s="59"/>
      <c r="I289" s="589"/>
    </row>
    <row r="290" spans="1:9" ht="12">
      <c r="A290" s="1084"/>
      <c r="B290" s="1088" t="s">
        <v>194</v>
      </c>
      <c r="C290" s="576">
        <f t="shared" ref="C290:H290" si="39">+C231+C288</f>
        <v>0</v>
      </c>
      <c r="D290" s="576">
        <f t="shared" si="39"/>
        <v>-373680.20393258537</v>
      </c>
      <c r="E290" s="576">
        <f t="shared" si="39"/>
        <v>0</v>
      </c>
      <c r="F290" s="576">
        <f t="shared" si="39"/>
        <v>-228977.18694336538</v>
      </c>
      <c r="G290" s="576">
        <f t="shared" si="39"/>
        <v>0</v>
      </c>
      <c r="H290" s="576">
        <f t="shared" si="39"/>
        <v>0</v>
      </c>
      <c r="I290" s="590">
        <f>SUM(C290:H290)</f>
        <v>-602657.39087595069</v>
      </c>
    </row>
    <row r="291" spans="1:9">
      <c r="A291" s="1077"/>
      <c r="B291" s="1102" t="s">
        <v>21</v>
      </c>
      <c r="C291" s="59"/>
      <c r="D291" s="59"/>
      <c r="E291" s="59"/>
      <c r="F291" s="59"/>
      <c r="G291" s="59"/>
      <c r="H291" s="59"/>
      <c r="I291" s="589"/>
    </row>
    <row r="292" spans="1:9">
      <c r="A292" s="1084"/>
      <c r="B292" s="1086"/>
      <c r="C292" s="59"/>
      <c r="D292" s="59"/>
      <c r="E292" s="59"/>
      <c r="F292" s="59"/>
      <c r="G292" s="59"/>
      <c r="H292" s="59"/>
      <c r="I292" s="589"/>
    </row>
    <row r="293" spans="1:9" ht="12">
      <c r="A293" s="1084"/>
      <c r="B293" s="1088" t="s">
        <v>195</v>
      </c>
      <c r="C293" s="576">
        <f t="shared" ref="C293:H293" si="40">+C199+C290</f>
        <v>0</v>
      </c>
      <c r="D293" s="576">
        <f t="shared" si="40"/>
        <v>-393817.20393258537</v>
      </c>
      <c r="E293" s="576">
        <f t="shared" si="40"/>
        <v>0</v>
      </c>
      <c r="F293" s="576">
        <f t="shared" si="40"/>
        <v>-13568.196943365387</v>
      </c>
      <c r="G293" s="576">
        <f t="shared" si="40"/>
        <v>0</v>
      </c>
      <c r="H293" s="576">
        <f t="shared" si="40"/>
        <v>0</v>
      </c>
      <c r="I293" s="590">
        <f>SUM(C293:H293)</f>
        <v>-407385.40087595076</v>
      </c>
    </row>
    <row r="294" spans="1:9">
      <c r="A294" s="1084"/>
      <c r="B294" s="1102"/>
      <c r="C294" s="48"/>
      <c r="D294" s="48"/>
      <c r="E294" s="48"/>
      <c r="F294" s="48"/>
      <c r="G294" s="48"/>
      <c r="H294" s="48"/>
      <c r="I294" s="58"/>
    </row>
    <row r="295" spans="1:9" ht="12" thickBot="1">
      <c r="A295" s="1084"/>
      <c r="B295" s="1105"/>
      <c r="C295" s="59"/>
      <c r="D295" s="59"/>
      <c r="E295" s="59"/>
      <c r="F295" s="59"/>
      <c r="G295" s="59"/>
      <c r="H295" s="59"/>
      <c r="I295" s="59"/>
    </row>
    <row r="296" spans="1:9" ht="13.5" thickTop="1" thickBot="1">
      <c r="A296" s="1106"/>
      <c r="B296" s="1107" t="s">
        <v>197</v>
      </c>
      <c r="C296" s="783"/>
      <c r="D296" s="783"/>
      <c r="E296" s="783"/>
      <c r="F296" s="783"/>
      <c r="G296" s="783"/>
      <c r="H296" s="783"/>
      <c r="I296" s="782"/>
    </row>
    <row r="297" spans="1:9" ht="12" thickTop="1">
      <c r="B297" s="1109" t="s">
        <v>198</v>
      </c>
      <c r="C297" s="59"/>
      <c r="D297" s="59"/>
      <c r="E297" s="59"/>
      <c r="F297" s="59"/>
      <c r="G297" s="59"/>
      <c r="H297" s="59"/>
      <c r="I297" s="59"/>
    </row>
    <row r="298" spans="1:9">
      <c r="B298" s="1109" t="s">
        <v>199</v>
      </c>
      <c r="C298" s="59"/>
      <c r="D298" s="59"/>
      <c r="E298" s="59"/>
      <c r="F298" s="59"/>
      <c r="G298" s="59"/>
      <c r="H298" s="59"/>
      <c r="I298" s="59"/>
    </row>
    <row r="299" spans="1:9">
      <c r="B299" s="1108"/>
      <c r="C299" s="59"/>
      <c r="D299" s="59"/>
      <c r="E299" s="59"/>
      <c r="F299" s="59"/>
      <c r="G299" s="59"/>
      <c r="H299" s="59"/>
      <c r="I299" s="59"/>
    </row>
    <row r="300" spans="1:9">
      <c r="B300" s="1108"/>
      <c r="C300" s="59"/>
      <c r="D300" s="59"/>
      <c r="E300" s="59"/>
      <c r="F300" s="59"/>
      <c r="G300" s="59"/>
      <c r="H300" s="59"/>
      <c r="I300" s="59"/>
    </row>
    <row r="301" spans="1:9">
      <c r="C301" s="59"/>
      <c r="D301" s="59"/>
      <c r="E301" s="59"/>
      <c r="F301" s="59"/>
      <c r="G301" s="59"/>
      <c r="H301" s="59"/>
      <c r="I301" s="59"/>
    </row>
    <row r="302" spans="1:9">
      <c r="C302" s="59"/>
      <c r="D302" s="59"/>
      <c r="E302" s="59"/>
      <c r="F302" s="59"/>
      <c r="G302" s="59"/>
      <c r="H302" s="59"/>
      <c r="I302" s="59"/>
    </row>
    <row r="303" spans="1:9">
      <c r="C303" s="59"/>
      <c r="D303" s="59"/>
      <c r="E303" s="59"/>
      <c r="F303" s="59"/>
      <c r="G303" s="59"/>
      <c r="H303" s="59"/>
      <c r="I303" s="59"/>
    </row>
    <row r="304" spans="1:9">
      <c r="C304" s="59"/>
      <c r="D304" s="59"/>
      <c r="E304" s="59"/>
      <c r="F304" s="59"/>
      <c r="G304" s="59"/>
      <c r="H304" s="59"/>
      <c r="I304" s="59"/>
    </row>
    <row r="305" spans="2:9">
      <c r="C305" s="59"/>
      <c r="D305" s="59"/>
      <c r="E305" s="59"/>
      <c r="F305" s="59"/>
      <c r="G305" s="59"/>
      <c r="H305" s="59"/>
      <c r="I305" s="59"/>
    </row>
    <row r="306" spans="2:9">
      <c r="B306" s="1110"/>
      <c r="C306" s="59"/>
      <c r="D306" s="59"/>
      <c r="E306" s="59"/>
      <c r="F306" s="59"/>
      <c r="G306" s="59"/>
      <c r="H306" s="59"/>
      <c r="I306" s="59"/>
    </row>
    <row r="307" spans="2:9">
      <c r="C307" s="59"/>
      <c r="D307" s="59"/>
      <c r="E307" s="59"/>
      <c r="F307" s="59"/>
      <c r="G307" s="59"/>
      <c r="H307" s="59"/>
      <c r="I307" s="59"/>
    </row>
    <row r="308" spans="2:9">
      <c r="C308" s="59"/>
      <c r="D308" s="59"/>
      <c r="E308" s="59"/>
      <c r="F308" s="59"/>
      <c r="G308" s="59"/>
      <c r="H308" s="59"/>
      <c r="I308" s="59"/>
    </row>
    <row r="309" spans="2:9">
      <c r="C309" s="59"/>
      <c r="D309" s="59"/>
      <c r="E309" s="59"/>
      <c r="F309" s="59"/>
      <c r="G309" s="59"/>
      <c r="H309" s="59"/>
      <c r="I309" s="59"/>
    </row>
    <row r="310" spans="2:9">
      <c r="C310" s="59"/>
      <c r="D310" s="59"/>
      <c r="E310" s="59"/>
      <c r="F310" s="59"/>
      <c r="G310" s="59"/>
      <c r="H310" s="59"/>
      <c r="I310" s="59"/>
    </row>
    <row r="311" spans="2:9">
      <c r="C311" s="59"/>
      <c r="D311" s="59"/>
      <c r="E311" s="59"/>
      <c r="F311" s="59"/>
      <c r="G311" s="59"/>
      <c r="H311" s="59"/>
      <c r="I311" s="59"/>
    </row>
    <row r="312" spans="2:9">
      <c r="C312" s="59"/>
      <c r="D312" s="59"/>
      <c r="E312" s="59"/>
      <c r="F312" s="59"/>
      <c r="G312" s="59"/>
      <c r="H312" s="59"/>
      <c r="I312" s="59"/>
    </row>
    <row r="313" spans="2:9">
      <c r="C313" s="59"/>
      <c r="D313" s="59"/>
      <c r="E313" s="59"/>
      <c r="F313" s="59"/>
      <c r="G313" s="59"/>
      <c r="H313" s="59"/>
      <c r="I313" s="59"/>
    </row>
    <row r="314" spans="2:9">
      <c r="C314" s="59"/>
      <c r="D314" s="59"/>
      <c r="E314" s="59"/>
      <c r="F314" s="59"/>
      <c r="G314" s="59"/>
      <c r="H314" s="59"/>
      <c r="I314" s="59"/>
    </row>
    <row r="315" spans="2:9">
      <c r="C315" s="59"/>
      <c r="D315" s="59"/>
      <c r="E315" s="59"/>
      <c r="F315" s="59"/>
      <c r="G315" s="59"/>
      <c r="H315" s="59"/>
      <c r="I315" s="59"/>
    </row>
    <row r="316" spans="2:9">
      <c r="B316" s="1110"/>
      <c r="C316" s="59"/>
      <c r="D316" s="59"/>
      <c r="E316" s="59"/>
      <c r="F316" s="59"/>
      <c r="G316" s="59"/>
      <c r="H316" s="59"/>
      <c r="I316" s="59"/>
    </row>
    <row r="317" spans="2:9">
      <c r="C317" s="59"/>
      <c r="D317" s="59"/>
      <c r="E317" s="59"/>
      <c r="F317" s="59"/>
      <c r="G317" s="59"/>
      <c r="H317" s="59"/>
      <c r="I317" s="59"/>
    </row>
    <row r="318" spans="2:9">
      <c r="C318" s="59"/>
      <c r="D318" s="59"/>
      <c r="E318" s="59"/>
      <c r="F318" s="59"/>
      <c r="G318" s="59"/>
      <c r="H318" s="59"/>
      <c r="I318" s="59"/>
    </row>
    <row r="319" spans="2:9">
      <c r="C319" s="59"/>
      <c r="D319" s="59"/>
      <c r="E319" s="59"/>
      <c r="F319" s="59"/>
      <c r="G319" s="59"/>
      <c r="H319" s="59"/>
      <c r="I319" s="59"/>
    </row>
    <row r="320" spans="2:9">
      <c r="C320" s="59"/>
      <c r="D320" s="59"/>
      <c r="E320" s="59"/>
      <c r="F320" s="59"/>
      <c r="G320" s="59"/>
      <c r="H320" s="59"/>
      <c r="I320" s="59"/>
    </row>
    <row r="321" spans="1:9">
      <c r="B321" s="1110"/>
      <c r="C321" s="59"/>
      <c r="D321" s="59"/>
      <c r="E321" s="59"/>
      <c r="F321" s="59"/>
      <c r="G321" s="59"/>
      <c r="H321" s="59"/>
      <c r="I321" s="59"/>
    </row>
    <row r="322" spans="1:9">
      <c r="B322" s="1111"/>
      <c r="C322" s="59"/>
      <c r="D322" s="59"/>
      <c r="E322" s="59"/>
      <c r="F322" s="59"/>
      <c r="G322" s="59"/>
      <c r="H322" s="59"/>
      <c r="I322" s="59"/>
    </row>
    <row r="323" spans="1:9">
      <c r="A323" s="1112"/>
      <c r="B323" s="1111"/>
      <c r="C323" s="59"/>
      <c r="D323" s="59"/>
      <c r="E323" s="59"/>
      <c r="F323" s="59"/>
      <c r="G323" s="59"/>
      <c r="H323" s="59"/>
      <c r="I323" s="59"/>
    </row>
    <row r="324" spans="1:9">
      <c r="B324" s="1110"/>
      <c r="C324" s="59"/>
      <c r="D324" s="59"/>
      <c r="E324" s="59"/>
      <c r="F324" s="59"/>
      <c r="G324" s="59"/>
      <c r="H324" s="59"/>
      <c r="I324" s="59"/>
    </row>
    <row r="325" spans="1:9">
      <c r="C325" s="59"/>
      <c r="D325" s="59"/>
      <c r="E325" s="59"/>
      <c r="F325" s="59"/>
      <c r="G325" s="59"/>
      <c r="H325" s="59"/>
      <c r="I325" s="59"/>
    </row>
    <row r="326" spans="1:9">
      <c r="C326" s="59"/>
      <c r="D326" s="59"/>
      <c r="E326" s="59"/>
      <c r="F326" s="59"/>
      <c r="G326" s="59"/>
      <c r="H326" s="59"/>
      <c r="I326" s="59"/>
    </row>
    <row r="327" spans="1:9">
      <c r="C327" s="59"/>
      <c r="D327" s="59"/>
      <c r="E327" s="59"/>
      <c r="F327" s="59"/>
      <c r="G327" s="59"/>
      <c r="H327" s="59"/>
      <c r="I327" s="59"/>
    </row>
    <row r="328" spans="1:9">
      <c r="B328" s="1110"/>
    </row>
    <row r="329" spans="1:9">
      <c r="B329" s="1111"/>
    </row>
  </sheetData>
  <customSheetViews>
    <customSheetView guid="{3B54C4DD-9207-4EC3-9D58-6DDE29113D77}" showPageBreaks="1" showGridLines="0" fitToPage="1" showRuler="0">
      <pane xSplit="2" ySplit="9" topLeftCell="C274" activePane="bottomRight" state="frozen"/>
      <selection pane="bottomRight" activeCell="E280" sqref="E280:F280"/>
      <pageMargins left="0.75" right="0.75" top="0.75" bottom="0.5" header="0.5" footer="0.5"/>
      <pageSetup scale="57" fitToHeight="0" orientation="portrait" r:id="rId1"/>
      <headerFooter alignWithMargins="0">
        <oddHeader>&amp;L&amp;12Restating Adjustments</oddHeader>
      </headerFooter>
    </customSheetView>
    <customSheetView guid="{F69ABAD1-EF76-489D-B027-1BD1F4CFE8A6}" showGridLines="0" fitToPage="1">
      <pane xSplit="2" ySplit="9" topLeftCell="C274" activePane="bottomRight" state="frozen"/>
      <selection pane="bottomRight" activeCell="E280" sqref="E280:F280"/>
      <pageMargins left="0.75" right="0.75" top="0.75" bottom="0.5" header="0.5" footer="0.5"/>
      <pageSetup scale="57" fitToHeight="0" orientation="portrait" r:id="rId2"/>
      <headerFooter alignWithMargins="0">
        <oddHeader>&amp;L&amp;12Restating Adjustments</oddHeader>
      </headerFooter>
    </customSheetView>
  </customSheetViews>
  <phoneticPr fontId="0" type="noConversion"/>
  <pageMargins left="0.2" right="0.75" top="0.32" bottom="0.27" header="0.17" footer="0.17"/>
  <pageSetup scale="48" fitToHeight="0" orientation="landscape" r:id="rId3"/>
  <headerFooter alignWithMargins="0"/>
  <drawing r:id="rId4"/>
  <legacyDrawing r:id="rId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2:S297"/>
  <sheetViews>
    <sheetView showGridLines="0" zoomScale="85" zoomScaleNormal="85" workbookViewId="0">
      <pane ySplit="10" topLeftCell="A263" activePane="bottomLeft" state="frozenSplit"/>
      <selection activeCell="L18" sqref="L18"/>
      <selection pane="bottomLeft" activeCell="L226" sqref="L226"/>
    </sheetView>
  </sheetViews>
  <sheetFormatPr defaultRowHeight="11.25"/>
  <cols>
    <col min="1" max="1" width="10.33203125" style="1108" bestFit="1" customWidth="1"/>
    <col min="2" max="2" width="45.6640625" style="1109" bestFit="1" customWidth="1"/>
    <col min="3" max="11" width="15.83203125" style="44" customWidth="1"/>
    <col min="12" max="12" width="18.1640625" style="44" customWidth="1"/>
    <col min="14" max="14" width="10.5" bestFit="1" customWidth="1"/>
    <col min="16" max="16" width="11.5" bestFit="1" customWidth="1"/>
  </cols>
  <sheetData>
    <row r="2" spans="1:12">
      <c r="A2" s="1078"/>
      <c r="B2" s="1079"/>
      <c r="C2" s="23"/>
      <c r="D2" s="23"/>
      <c r="E2" s="23"/>
      <c r="F2" s="23"/>
      <c r="G2" s="23"/>
      <c r="H2" s="23"/>
      <c r="I2" s="23"/>
      <c r="J2" s="23"/>
      <c r="K2" s="23"/>
      <c r="L2" s="23"/>
    </row>
    <row r="3" spans="1:12">
      <c r="A3" s="1078"/>
      <c r="B3" s="1079" t="str">
        <f>Summary!$C$3</f>
        <v>Eastside</v>
      </c>
      <c r="C3" s="23"/>
      <c r="D3" s="23"/>
      <c r="E3" s="23"/>
      <c r="F3" s="23"/>
      <c r="G3" s="23"/>
      <c r="H3" s="23"/>
      <c r="I3" s="23"/>
      <c r="J3" s="23"/>
      <c r="K3" s="23"/>
      <c r="L3" s="23"/>
    </row>
    <row r="4" spans="1:12">
      <c r="A4" s="1078"/>
      <c r="B4" s="1079" t="s">
        <v>120</v>
      </c>
      <c r="C4" s="23"/>
      <c r="D4" s="23"/>
      <c r="E4" s="23"/>
      <c r="F4" s="23"/>
      <c r="G4" s="23"/>
      <c r="H4" s="23"/>
      <c r="I4" s="23"/>
      <c r="J4" s="23"/>
      <c r="K4" s="23"/>
      <c r="L4" s="23"/>
    </row>
    <row r="5" spans="1:12">
      <c r="A5" s="1078"/>
      <c r="B5" s="1079" t="s">
        <v>273</v>
      </c>
    </row>
    <row r="6" spans="1:12">
      <c r="A6" s="1078"/>
      <c r="B6" s="1079" t="str">
        <f>TEXT(EDATE(Summary!C5,-12)+1,"mmmm d, yyyy")&amp;" thru "&amp;TEXT(Summary!C5,"mmmm d, yyyy")</f>
        <v>May 1, 2013 thru April 30, 2014</v>
      </c>
      <c r="C6" s="32" t="s">
        <v>135</v>
      </c>
      <c r="D6" s="27" t="s">
        <v>130</v>
      </c>
      <c r="E6" s="27" t="s">
        <v>136</v>
      </c>
      <c r="F6" s="27" t="s">
        <v>137</v>
      </c>
      <c r="G6" s="27" t="s">
        <v>138</v>
      </c>
      <c r="H6" s="23"/>
      <c r="I6" s="27"/>
      <c r="J6" s="27"/>
      <c r="K6" s="23"/>
      <c r="L6" s="27" t="s">
        <v>105</v>
      </c>
    </row>
    <row r="7" spans="1:12">
      <c r="A7" s="1079" t="s">
        <v>139</v>
      </c>
      <c r="B7" s="1080"/>
      <c r="C7" s="32" t="s">
        <v>157</v>
      </c>
      <c r="D7" s="27" t="s">
        <v>158</v>
      </c>
      <c r="E7" s="27" t="s">
        <v>159</v>
      </c>
      <c r="F7" s="27" t="s">
        <v>145</v>
      </c>
      <c r="G7" s="27" t="s">
        <v>160</v>
      </c>
      <c r="H7" s="27" t="s">
        <v>161</v>
      </c>
      <c r="I7" s="27" t="s">
        <v>43</v>
      </c>
      <c r="J7" s="32" t="s">
        <v>162</v>
      </c>
      <c r="K7" s="23" t="s">
        <v>163</v>
      </c>
      <c r="L7" s="572" t="s">
        <v>140</v>
      </c>
    </row>
    <row r="8" spans="1:12">
      <c r="A8" s="1079"/>
      <c r="B8" s="1080"/>
      <c r="C8" s="581" t="s">
        <v>177</v>
      </c>
      <c r="D8" s="33" t="s">
        <v>151</v>
      </c>
      <c r="E8" s="33" t="s">
        <v>178</v>
      </c>
      <c r="F8" s="33" t="s">
        <v>178</v>
      </c>
      <c r="G8" s="33" t="s">
        <v>179</v>
      </c>
      <c r="H8" s="33" t="s">
        <v>50</v>
      </c>
      <c r="I8" s="33" t="s">
        <v>50</v>
      </c>
      <c r="J8" s="156" t="s">
        <v>178</v>
      </c>
      <c r="K8" s="23"/>
      <c r="L8" s="33" t="s">
        <v>156</v>
      </c>
    </row>
    <row r="9" spans="1:12" ht="12" thickBot="1">
      <c r="A9" s="1079" t="s">
        <v>164</v>
      </c>
      <c r="B9" s="1081" t="s">
        <v>165</v>
      </c>
      <c r="C9" s="39" t="s">
        <v>181</v>
      </c>
      <c r="D9" s="40" t="s">
        <v>182</v>
      </c>
      <c r="E9" s="40" t="s">
        <v>183</v>
      </c>
      <c r="F9" s="40" t="s">
        <v>184</v>
      </c>
      <c r="G9" s="40" t="s">
        <v>185</v>
      </c>
      <c r="H9" s="40" t="s">
        <v>186</v>
      </c>
      <c r="I9" s="40" t="s">
        <v>187</v>
      </c>
      <c r="J9" s="49" t="s">
        <v>188</v>
      </c>
      <c r="K9" s="48"/>
      <c r="L9" s="580" t="s">
        <v>189</v>
      </c>
    </row>
    <row r="10" spans="1:12" ht="12.75" thickBot="1">
      <c r="A10" s="1082" t="s">
        <v>180</v>
      </c>
      <c r="B10" s="1083"/>
      <c r="C10" s="573"/>
      <c r="D10" s="574"/>
      <c r="E10" s="574"/>
      <c r="F10" s="574"/>
      <c r="G10" s="574"/>
      <c r="H10" s="574"/>
      <c r="I10" s="574"/>
      <c r="J10" s="574"/>
      <c r="K10" s="574"/>
      <c r="L10" s="588"/>
    </row>
    <row r="11" spans="1:12">
      <c r="A11" s="1084" t="s">
        <v>521</v>
      </c>
      <c r="B11" s="1085" t="s">
        <v>1144</v>
      </c>
      <c r="C11" s="38">
        <v>0</v>
      </c>
      <c r="D11" s="38">
        <v>0</v>
      </c>
      <c r="E11" s="38">
        <v>0</v>
      </c>
      <c r="F11" s="38">
        <v>0</v>
      </c>
      <c r="G11" s="38">
        <v>0</v>
      </c>
      <c r="H11" s="38">
        <v>0</v>
      </c>
      <c r="I11" s="38">
        <v>0</v>
      </c>
      <c r="J11" s="38">
        <v>0</v>
      </c>
      <c r="K11" s="38">
        <v>0</v>
      </c>
      <c r="L11" s="589">
        <f>SUM(C11:K11)</f>
        <v>0</v>
      </c>
    </row>
    <row r="12" spans="1:12">
      <c r="A12" s="1084" t="s">
        <v>521</v>
      </c>
      <c r="B12" s="1086" t="s">
        <v>523</v>
      </c>
      <c r="C12" s="38">
        <v>0</v>
      </c>
      <c r="D12" s="38">
        <v>0</v>
      </c>
      <c r="E12" s="38">
        <v>0</v>
      </c>
      <c r="F12" s="38">
        <v>0</v>
      </c>
      <c r="G12" s="38">
        <v>0</v>
      </c>
      <c r="H12" s="38">
        <v>0</v>
      </c>
      <c r="I12" s="24">
        <v>0</v>
      </c>
      <c r="J12" s="38">
        <v>0</v>
      </c>
      <c r="K12" s="38">
        <v>0</v>
      </c>
      <c r="L12" s="589">
        <f>SUM(C12:K12)</f>
        <v>0</v>
      </c>
    </row>
    <row r="13" spans="1:12">
      <c r="A13" s="1084" t="s">
        <v>522</v>
      </c>
      <c r="B13" s="1085" t="s">
        <v>1153</v>
      </c>
      <c r="C13" s="38">
        <v>0</v>
      </c>
      <c r="D13" s="38">
        <v>0</v>
      </c>
      <c r="E13" s="38">
        <v>0</v>
      </c>
      <c r="F13" s="38">
        <v>0</v>
      </c>
      <c r="G13" s="38">
        <v>0</v>
      </c>
      <c r="H13" s="38">
        <v>0</v>
      </c>
      <c r="I13" s="24">
        <v>0</v>
      </c>
      <c r="J13" s="38">
        <v>0</v>
      </c>
      <c r="K13" s="38">
        <v>0</v>
      </c>
      <c r="L13" s="589">
        <f>SUM(C13:K13)</f>
        <v>0</v>
      </c>
    </row>
    <row r="14" spans="1:12">
      <c r="A14" s="1084" t="s">
        <v>525</v>
      </c>
      <c r="B14" s="1085" t="s">
        <v>1157</v>
      </c>
      <c r="C14" s="38">
        <v>0</v>
      </c>
      <c r="D14" s="38">
        <v>0</v>
      </c>
      <c r="E14" s="38">
        <v>0</v>
      </c>
      <c r="F14" s="38">
        <v>0</v>
      </c>
      <c r="G14" s="38">
        <v>0</v>
      </c>
      <c r="H14" s="38">
        <v>0</v>
      </c>
      <c r="I14" s="38">
        <v>0</v>
      </c>
      <c r="J14" s="38">
        <v>0</v>
      </c>
      <c r="K14" s="38">
        <v>0</v>
      </c>
      <c r="L14" s="589">
        <f>SUM(C14:K14)</f>
        <v>0</v>
      </c>
    </row>
    <row r="15" spans="1:12">
      <c r="A15" s="1084"/>
      <c r="B15" s="1086"/>
      <c r="C15" s="38"/>
      <c r="D15" s="38"/>
      <c r="E15" s="38"/>
      <c r="F15" s="38"/>
      <c r="G15" s="38"/>
      <c r="H15" s="38"/>
      <c r="I15" s="38"/>
      <c r="J15" s="38"/>
      <c r="K15" s="38"/>
      <c r="L15" s="589"/>
    </row>
    <row r="16" spans="1:12">
      <c r="A16" s="1084" t="s">
        <v>679</v>
      </c>
      <c r="B16" s="1085" t="s">
        <v>1160</v>
      </c>
      <c r="C16" s="38">
        <v>0</v>
      </c>
      <c r="D16" s="38">
        <v>0</v>
      </c>
      <c r="E16" s="38">
        <v>0</v>
      </c>
      <c r="F16" s="38">
        <v>0</v>
      </c>
      <c r="G16" s="38">
        <v>0</v>
      </c>
      <c r="H16" s="38">
        <v>0</v>
      </c>
      <c r="I16" s="38">
        <v>0</v>
      </c>
      <c r="J16" s="38">
        <v>0</v>
      </c>
      <c r="K16" s="38"/>
      <c r="L16" s="589"/>
    </row>
    <row r="17" spans="1:12">
      <c r="A17" s="1084" t="s">
        <v>526</v>
      </c>
      <c r="B17" s="1085" t="s">
        <v>1162</v>
      </c>
      <c r="C17" s="38">
        <v>0</v>
      </c>
      <c r="D17" s="38">
        <v>0</v>
      </c>
      <c r="E17" s="38">
        <v>0</v>
      </c>
      <c r="F17" s="38">
        <v>0</v>
      </c>
      <c r="G17" s="38">
        <v>0</v>
      </c>
      <c r="H17" s="38">
        <v>0</v>
      </c>
      <c r="I17" s="38">
        <v>0</v>
      </c>
      <c r="J17" s="38">
        <v>0</v>
      </c>
      <c r="K17" s="38">
        <v>0</v>
      </c>
      <c r="L17" s="589">
        <f>SUM(C17:K17)</f>
        <v>0</v>
      </c>
    </row>
    <row r="18" spans="1:12">
      <c r="A18" s="1084" t="s">
        <v>527</v>
      </c>
      <c r="B18" s="1085" t="s">
        <v>1164</v>
      </c>
      <c r="C18" s="38">
        <v>0</v>
      </c>
      <c r="D18" s="38">
        <v>0</v>
      </c>
      <c r="E18" s="38">
        <v>0</v>
      </c>
      <c r="F18" s="38">
        <v>0</v>
      </c>
      <c r="G18" s="38">
        <v>0</v>
      </c>
      <c r="H18" s="38">
        <v>0</v>
      </c>
      <c r="I18" s="38">
        <v>0</v>
      </c>
      <c r="J18" s="38">
        <v>0</v>
      </c>
      <c r="K18" s="38">
        <v>0</v>
      </c>
      <c r="L18" s="589">
        <f>SUM(C18:K18)</f>
        <v>0</v>
      </c>
    </row>
    <row r="19" spans="1:12">
      <c r="A19" s="1077"/>
      <c r="B19" s="1087"/>
      <c r="L19" s="56"/>
    </row>
    <row r="20" spans="1:12" ht="12">
      <c r="A20" s="1084"/>
      <c r="B20" s="1088" t="s">
        <v>190</v>
      </c>
      <c r="C20" s="576">
        <f>SUM(C11:C19)</f>
        <v>0</v>
      </c>
      <c r="D20" s="576">
        <f t="shared" ref="D20:J20" si="0">SUM(D11:D19)</f>
        <v>0</v>
      </c>
      <c r="E20" s="576">
        <f>SUM(E11:E19)</f>
        <v>0</v>
      </c>
      <c r="F20" s="576">
        <f>SUM(F11:F19)</f>
        <v>0</v>
      </c>
      <c r="G20" s="576">
        <f t="shared" si="0"/>
        <v>0</v>
      </c>
      <c r="H20" s="576">
        <f t="shared" si="0"/>
        <v>0</v>
      </c>
      <c r="I20" s="576">
        <f t="shared" si="0"/>
        <v>0</v>
      </c>
      <c r="J20" s="576">
        <f t="shared" si="0"/>
        <v>0</v>
      </c>
      <c r="K20" s="576">
        <f>SUM(K11:K19)</f>
        <v>0</v>
      </c>
      <c r="L20" s="590">
        <f>SUM(C20:K20)</f>
        <v>0</v>
      </c>
    </row>
    <row r="21" spans="1:12">
      <c r="A21" s="1084"/>
      <c r="B21" s="1089"/>
      <c r="C21" s="38"/>
      <c r="D21" s="38"/>
      <c r="E21" s="38"/>
      <c r="F21" s="75"/>
      <c r="G21" s="38"/>
      <c r="H21" s="75"/>
      <c r="I21" s="38"/>
      <c r="J21" s="38"/>
      <c r="K21" s="38"/>
      <c r="L21" s="589"/>
    </row>
    <row r="22" spans="1:12">
      <c r="A22" s="1077" t="s">
        <v>530</v>
      </c>
      <c r="B22" s="1085" t="s">
        <v>1167</v>
      </c>
      <c r="C22" s="38">
        <v>0</v>
      </c>
      <c r="D22" s="38">
        <v>0</v>
      </c>
      <c r="E22" s="38">
        <v>0</v>
      </c>
      <c r="F22" s="75">
        <v>0</v>
      </c>
      <c r="G22" s="38">
        <v>0</v>
      </c>
      <c r="H22" s="75">
        <v>0</v>
      </c>
      <c r="I22" s="38">
        <v>0</v>
      </c>
      <c r="J22" s="38">
        <v>0</v>
      </c>
      <c r="K22" s="38">
        <v>0</v>
      </c>
      <c r="L22" s="589">
        <f>SUM(C22:K22)</f>
        <v>0</v>
      </c>
    </row>
    <row r="23" spans="1:12">
      <c r="A23" s="1077" t="s">
        <v>531</v>
      </c>
      <c r="B23" s="1085" t="s">
        <v>1354</v>
      </c>
      <c r="C23" s="38">
        <v>0</v>
      </c>
      <c r="D23" s="38">
        <v>0</v>
      </c>
      <c r="E23" s="38">
        <v>0</v>
      </c>
      <c r="F23" s="75">
        <v>0</v>
      </c>
      <c r="G23" s="38">
        <v>0</v>
      </c>
      <c r="H23" s="75">
        <v>0</v>
      </c>
      <c r="I23" s="38">
        <v>0</v>
      </c>
      <c r="J23" s="38">
        <v>0</v>
      </c>
      <c r="K23" s="38">
        <v>0</v>
      </c>
      <c r="L23" s="589">
        <f>SUM(C23:K23)</f>
        <v>0</v>
      </c>
    </row>
    <row r="24" spans="1:12" ht="12">
      <c r="A24" s="1084"/>
      <c r="B24" s="1088" t="s">
        <v>193</v>
      </c>
      <c r="C24" s="576">
        <f>SUM(C22:C23)</f>
        <v>0</v>
      </c>
      <c r="D24" s="576">
        <f t="shared" ref="D24:J24" si="1">SUM(D22:D23)</f>
        <v>0</v>
      </c>
      <c r="E24" s="576">
        <f>SUM(E22:E23)</f>
        <v>0</v>
      </c>
      <c r="F24" s="576">
        <f>SUM(F22:F23)</f>
        <v>0</v>
      </c>
      <c r="G24" s="576">
        <f t="shared" si="1"/>
        <v>0</v>
      </c>
      <c r="H24" s="576">
        <f t="shared" si="1"/>
        <v>0</v>
      </c>
      <c r="I24" s="576">
        <f t="shared" si="1"/>
        <v>0</v>
      </c>
      <c r="J24" s="576">
        <f t="shared" si="1"/>
        <v>0</v>
      </c>
      <c r="K24" s="576">
        <f>SUM(K22:K23)</f>
        <v>0</v>
      </c>
      <c r="L24" s="590">
        <f>SUM(C24:K24)</f>
        <v>0</v>
      </c>
    </row>
    <row r="25" spans="1:12">
      <c r="A25" s="1090"/>
      <c r="B25" s="1091"/>
      <c r="C25" s="38"/>
      <c r="D25" s="38"/>
      <c r="E25" s="38"/>
      <c r="F25" s="75"/>
      <c r="G25" s="38"/>
      <c r="H25" s="75"/>
      <c r="I25" s="38"/>
      <c r="J25" s="38"/>
      <c r="K25" s="38"/>
      <c r="L25" s="589"/>
    </row>
    <row r="26" spans="1:12">
      <c r="A26" s="1084">
        <v>402000</v>
      </c>
      <c r="B26" s="1085" t="e">
        <f>VLOOKUP(A26,'Income Statement'!$A$6:$B$254,2,FALSE)</f>
        <v>#N/A</v>
      </c>
      <c r="C26" s="38">
        <v>0</v>
      </c>
      <c r="D26" s="38">
        <v>0</v>
      </c>
      <c r="E26" s="38">
        <v>0</v>
      </c>
      <c r="F26" s="75">
        <v>0</v>
      </c>
      <c r="G26" s="38">
        <v>0</v>
      </c>
      <c r="H26" s="75">
        <v>0</v>
      </c>
      <c r="I26" s="24">
        <f>SUM('Yardwaste Analysis'!B7:G7)*(5.54/2)</f>
        <v>67598.996899999998</v>
      </c>
      <c r="J26" s="38">
        <v>0</v>
      </c>
      <c r="K26" s="38">
        <v>0</v>
      </c>
      <c r="L26" s="589">
        <f t="shared" ref="L26:L32" si="2">SUM(C26:K26)</f>
        <v>67598.996899999998</v>
      </c>
    </row>
    <row r="27" spans="1:12">
      <c r="A27" s="1084">
        <v>402008</v>
      </c>
      <c r="B27" s="1092" t="str">
        <f>VLOOKUP(A27,'Income Statement'!$A$6:$B$254,2,FALSE)</f>
        <v>COGS REC Other O/S</v>
      </c>
      <c r="C27" s="38">
        <v>0</v>
      </c>
      <c r="D27" s="38">
        <v>0</v>
      </c>
      <c r="E27" s="38">
        <v>0</v>
      </c>
      <c r="F27" s="75">
        <v>0</v>
      </c>
      <c r="G27" s="38">
        <v>0</v>
      </c>
      <c r="H27" s="75">
        <v>0</v>
      </c>
      <c r="I27" s="75">
        <v>0</v>
      </c>
      <c r="J27" s="38">
        <v>0</v>
      </c>
      <c r="K27" s="38">
        <v>0</v>
      </c>
      <c r="L27" s="589">
        <f>SUM(C27:K27)</f>
        <v>0</v>
      </c>
    </row>
    <row r="28" spans="1:12">
      <c r="A28" s="1084">
        <v>412000</v>
      </c>
      <c r="B28" s="1085" t="str">
        <f>VLOOKUP(A28,'Income Statement'!$A$6:$B$254,2,FALSE)</f>
        <v>COGS REC SOM I/C</v>
      </c>
      <c r="C28" s="38">
        <v>0</v>
      </c>
      <c r="D28" s="38">
        <v>0</v>
      </c>
      <c r="E28" s="38">
        <v>0</v>
      </c>
      <c r="F28" s="75">
        <v>0</v>
      </c>
      <c r="G28" s="38">
        <v>0</v>
      </c>
      <c r="H28" s="75">
        <v>0</v>
      </c>
      <c r="I28" s="38">
        <v>0</v>
      </c>
      <c r="J28" s="38">
        <v>0</v>
      </c>
      <c r="K28" s="38">
        <v>0</v>
      </c>
      <c r="L28" s="589">
        <f t="shared" si="2"/>
        <v>0</v>
      </c>
    </row>
    <row r="29" spans="1:12">
      <c r="A29" s="1077">
        <v>406100</v>
      </c>
      <c r="B29" s="1085" t="str">
        <f>VLOOKUP(A29,'Income Statement'!$A$6:$B$254,2,FALSE)</f>
        <v>Franchise Fees O/S</v>
      </c>
      <c r="C29" s="38">
        <v>0</v>
      </c>
      <c r="D29" s="38">
        <v>0</v>
      </c>
      <c r="E29" s="38">
        <v>0</v>
      </c>
      <c r="F29" s="75">
        <v>0</v>
      </c>
      <c r="G29" s="38">
        <v>0</v>
      </c>
      <c r="H29" s="75">
        <v>0</v>
      </c>
      <c r="I29" s="38">
        <v>0</v>
      </c>
      <c r="J29" s="38">
        <v>0</v>
      </c>
      <c r="K29" s="38">
        <v>0</v>
      </c>
      <c r="L29" s="589">
        <f t="shared" si="2"/>
        <v>0</v>
      </c>
    </row>
    <row r="30" spans="1:12">
      <c r="A30" s="1077"/>
      <c r="B30" s="1093"/>
      <c r="C30" s="38"/>
      <c r="D30" s="38"/>
      <c r="E30" s="38"/>
      <c r="F30" s="75"/>
      <c r="G30" s="38"/>
      <c r="H30" s="75"/>
      <c r="I30" s="38"/>
      <c r="J30" s="38"/>
      <c r="K30" s="38">
        <v>0</v>
      </c>
      <c r="L30" s="589">
        <f t="shared" si="2"/>
        <v>0</v>
      </c>
    </row>
    <row r="31" spans="1:12">
      <c r="A31" s="1077"/>
      <c r="B31" s="1094"/>
      <c r="C31" s="38"/>
      <c r="D31" s="38"/>
      <c r="E31" s="38"/>
      <c r="F31" s="75"/>
      <c r="G31" s="38"/>
      <c r="H31" s="75"/>
      <c r="I31" s="38"/>
      <c r="J31" s="38"/>
      <c r="K31" s="38">
        <v>0</v>
      </c>
      <c r="L31" s="589">
        <f t="shared" si="2"/>
        <v>0</v>
      </c>
    </row>
    <row r="32" spans="1:12" ht="12">
      <c r="A32" s="1077"/>
      <c r="B32" s="1088" t="s">
        <v>532</v>
      </c>
      <c r="C32" s="576">
        <f t="shared" ref="C32:I32" si="3">SUM(C26:C31)</f>
        <v>0</v>
      </c>
      <c r="D32" s="576">
        <f t="shared" si="3"/>
        <v>0</v>
      </c>
      <c r="E32" s="576">
        <f t="shared" si="3"/>
        <v>0</v>
      </c>
      <c r="F32" s="576">
        <f t="shared" si="3"/>
        <v>0</v>
      </c>
      <c r="G32" s="576">
        <f t="shared" si="3"/>
        <v>0</v>
      </c>
      <c r="H32" s="576">
        <f t="shared" si="3"/>
        <v>0</v>
      </c>
      <c r="I32" s="576">
        <f t="shared" si="3"/>
        <v>67598.996899999998</v>
      </c>
      <c r="J32" s="576">
        <f>SUM(J24:J31)</f>
        <v>0</v>
      </c>
      <c r="K32" s="576">
        <f>SUM(K26:K31)</f>
        <v>0</v>
      </c>
      <c r="L32" s="590">
        <f t="shared" si="2"/>
        <v>67598.996899999998</v>
      </c>
    </row>
    <row r="33" spans="1:12">
      <c r="A33" s="1077"/>
      <c r="B33" s="1095"/>
      <c r="C33" s="38"/>
      <c r="D33" s="38"/>
      <c r="E33" s="38"/>
      <c r="F33" s="75"/>
      <c r="G33" s="38"/>
      <c r="H33" s="75"/>
      <c r="I33" s="38"/>
      <c r="J33" s="38"/>
      <c r="K33" s="38"/>
      <c r="L33" s="589"/>
    </row>
    <row r="34" spans="1:12" ht="12">
      <c r="A34" s="1077"/>
      <c r="B34" s="1088" t="s">
        <v>533</v>
      </c>
      <c r="C34" s="576">
        <f>+C20-C32</f>
        <v>0</v>
      </c>
      <c r="D34" s="576">
        <f t="shared" ref="D34:I34" si="4">+D20-D32</f>
        <v>0</v>
      </c>
      <c r="E34" s="576">
        <f>+E20-E32</f>
        <v>0</v>
      </c>
      <c r="F34" s="576">
        <f>+F20-F32</f>
        <v>0</v>
      </c>
      <c r="G34" s="576">
        <f t="shared" si="4"/>
        <v>0</v>
      </c>
      <c r="H34" s="576">
        <f t="shared" si="4"/>
        <v>0</v>
      </c>
      <c r="I34" s="576">
        <f t="shared" si="4"/>
        <v>-67598.996899999998</v>
      </c>
      <c r="J34" s="576">
        <f>+J20-J32</f>
        <v>0</v>
      </c>
      <c r="K34" s="576">
        <f>+K20-K32</f>
        <v>0</v>
      </c>
      <c r="L34" s="590">
        <f>SUM(C34:K34)</f>
        <v>-67598.996899999998</v>
      </c>
    </row>
    <row r="35" spans="1:12">
      <c r="A35" s="1077"/>
      <c r="B35" s="1096"/>
      <c r="C35" s="38"/>
      <c r="D35" s="38"/>
      <c r="E35" s="38"/>
      <c r="F35" s="75"/>
      <c r="G35" s="38"/>
      <c r="H35" s="75"/>
      <c r="I35" s="38"/>
      <c r="J35" s="38"/>
      <c r="K35" s="38"/>
      <c r="L35" s="589"/>
    </row>
    <row r="36" spans="1:12" ht="12" thickBot="1">
      <c r="A36" s="1090"/>
      <c r="B36" s="1097"/>
      <c r="C36" s="38"/>
      <c r="D36" s="38"/>
      <c r="E36" s="38"/>
      <c r="F36" s="75"/>
      <c r="G36" s="38"/>
      <c r="H36" s="75"/>
      <c r="I36" s="38"/>
      <c r="J36" s="38"/>
      <c r="K36" s="38"/>
      <c r="L36" s="589"/>
    </row>
    <row r="37" spans="1:12" ht="12.75" thickBot="1">
      <c r="A37" s="1098" t="s">
        <v>553</v>
      </c>
      <c r="B37" s="1099"/>
      <c r="C37" s="574"/>
      <c r="D37" s="574"/>
      <c r="E37" s="574"/>
      <c r="F37" s="575"/>
      <c r="G37" s="574"/>
      <c r="H37" s="575"/>
      <c r="I37" s="574"/>
      <c r="J37" s="574"/>
      <c r="K37" s="574"/>
      <c r="L37" s="588"/>
    </row>
    <row r="38" spans="1:12" ht="12">
      <c r="A38" s="1100"/>
      <c r="B38" s="1101"/>
      <c r="C38" s="38">
        <v>0</v>
      </c>
      <c r="D38" s="38">
        <v>0</v>
      </c>
      <c r="E38" s="38">
        <v>0</v>
      </c>
      <c r="F38" s="75">
        <v>0</v>
      </c>
      <c r="G38" s="38">
        <v>0</v>
      </c>
      <c r="H38" s="75">
        <v>0</v>
      </c>
      <c r="I38" s="38">
        <v>0</v>
      </c>
      <c r="J38" s="38">
        <v>0</v>
      </c>
      <c r="K38" s="38">
        <v>0</v>
      </c>
      <c r="L38" s="784">
        <f>SUM(C38:K38)</f>
        <v>0</v>
      </c>
    </row>
    <row r="39" spans="1:12">
      <c r="A39" s="1077">
        <v>500010</v>
      </c>
      <c r="B39" s="1102" t="str">
        <f>VLOOKUP(A39,'Income Statement'!$A$6:$B$254,2,FALSE)</f>
        <v>Drivers</v>
      </c>
      <c r="C39" s="38">
        <v>0</v>
      </c>
      <c r="D39" s="38">
        <v>0</v>
      </c>
      <c r="E39" s="38">
        <f>+'[10]Recon &amp; PF Adj'!$C$23</f>
        <v>139736.16505097217</v>
      </c>
      <c r="F39" s="75">
        <v>0</v>
      </c>
      <c r="G39" s="38">
        <v>0</v>
      </c>
      <c r="H39" s="75">
        <v>0</v>
      </c>
      <c r="I39" s="38">
        <v>0</v>
      </c>
      <c r="J39" s="38">
        <v>0</v>
      </c>
      <c r="K39" s="38">
        <v>0</v>
      </c>
      <c r="L39" s="589">
        <f>SUM(C39:K39)</f>
        <v>139736.16505097217</v>
      </c>
    </row>
    <row r="40" spans="1:12">
      <c r="A40" s="1077">
        <v>500040</v>
      </c>
      <c r="B40" s="1102" t="str">
        <f>VLOOKUP(A40,'Income Statement'!$A$6:$B$254,2,FALSE)</f>
        <v>Secondary</v>
      </c>
      <c r="C40" s="38"/>
      <c r="D40" s="38"/>
      <c r="E40" s="38"/>
      <c r="F40" s="75"/>
      <c r="G40" s="38"/>
      <c r="H40" s="75"/>
      <c r="I40" s="38"/>
      <c r="J40" s="38"/>
      <c r="K40" s="38"/>
      <c r="L40" s="589">
        <f t="shared" ref="L40:L52" si="5">SUM(C40:K40)</f>
        <v>0</v>
      </c>
    </row>
    <row r="41" spans="1:12">
      <c r="A41" s="1077">
        <v>500050</v>
      </c>
      <c r="B41" s="1102" t="str">
        <f>VLOOKUP(A41,'Income Statement'!$A$6:$B$254,2,FALSE)</f>
        <v>Container Delivery</v>
      </c>
      <c r="C41" s="38">
        <v>0</v>
      </c>
      <c r="D41" s="38">
        <v>0</v>
      </c>
      <c r="E41" s="38">
        <v>0</v>
      </c>
      <c r="F41" s="75">
        <v>0</v>
      </c>
      <c r="G41" s="38">
        <v>0</v>
      </c>
      <c r="H41" s="75">
        <v>0</v>
      </c>
      <c r="I41" s="38">
        <v>0</v>
      </c>
      <c r="J41" s="38">
        <v>0</v>
      </c>
      <c r="K41" s="38">
        <v>0</v>
      </c>
      <c r="L41" s="589">
        <f t="shared" si="5"/>
        <v>0</v>
      </c>
    </row>
    <row r="42" spans="1:12">
      <c r="A42" s="1077">
        <v>500055</v>
      </c>
      <c r="B42" s="1102" t="e">
        <f>VLOOKUP(A42,'Income Statement'!$A$6:$B$254,2,FALSE)</f>
        <v>#N/A</v>
      </c>
      <c r="C42" s="38">
        <v>0</v>
      </c>
      <c r="D42" s="38">
        <v>0</v>
      </c>
      <c r="E42" s="38">
        <v>0</v>
      </c>
      <c r="F42" s="75">
        <v>0</v>
      </c>
      <c r="G42" s="38">
        <v>0</v>
      </c>
      <c r="H42" s="75">
        <v>0</v>
      </c>
      <c r="I42" s="38">
        <v>0</v>
      </c>
      <c r="J42" s="38">
        <v>0</v>
      </c>
      <c r="K42" s="38">
        <v>0</v>
      </c>
      <c r="L42" s="589">
        <f t="shared" si="5"/>
        <v>0</v>
      </c>
    </row>
    <row r="43" spans="1:12">
      <c r="A43" s="1077">
        <v>500060</v>
      </c>
      <c r="B43" s="1102" t="e">
        <f>VLOOKUP(A43,'Income Statement'!$A$6:$B$254,2,FALSE)</f>
        <v>#N/A</v>
      </c>
      <c r="C43" s="38">
        <v>0</v>
      </c>
      <c r="D43" s="59">
        <v>0</v>
      </c>
      <c r="E43" s="38">
        <v>0</v>
      </c>
      <c r="F43" s="75">
        <v>0</v>
      </c>
      <c r="G43" s="38">
        <v>0</v>
      </c>
      <c r="H43" s="75">
        <v>0</v>
      </c>
      <c r="I43" s="38">
        <v>0</v>
      </c>
      <c r="J43" s="38">
        <v>0</v>
      </c>
      <c r="K43" s="38">
        <v>0</v>
      </c>
      <c r="L43" s="589">
        <f t="shared" si="5"/>
        <v>0</v>
      </c>
    </row>
    <row r="44" spans="1:12">
      <c r="A44" s="1077">
        <v>500170</v>
      </c>
      <c r="B44" s="1102" t="str">
        <f>VLOOKUP(A44,'Income Statement'!$A$6:$B$254,2,FALSE)</f>
        <v>Payroll Taxes - Oper Labor</v>
      </c>
      <c r="C44" s="38">
        <v>0</v>
      </c>
      <c r="D44" s="59">
        <v>0</v>
      </c>
      <c r="E44" s="38">
        <f>'[10]Recon &amp; PF Adj'!$D$23</f>
        <v>11714.265131372476</v>
      </c>
      <c r="F44" s="75">
        <v>0</v>
      </c>
      <c r="G44" s="38">
        <v>0</v>
      </c>
      <c r="H44" s="75">
        <v>0</v>
      </c>
      <c r="I44" s="38">
        <v>0</v>
      </c>
      <c r="J44" s="38">
        <v>0</v>
      </c>
      <c r="K44" s="38">
        <v>0</v>
      </c>
      <c r="L44" s="589">
        <f t="shared" si="5"/>
        <v>11714.265131372476</v>
      </c>
    </row>
    <row r="45" spans="1:12">
      <c r="A45" s="1077">
        <v>500172</v>
      </c>
      <c r="B45" s="1102" t="str">
        <f>VLOOKUP(A45,'Income Statement'!$A$6:$B$254,2,FALSE)</f>
        <v>Personal Time - Oper Labor</v>
      </c>
      <c r="C45" s="38">
        <v>0</v>
      </c>
      <c r="D45" s="59">
        <v>0</v>
      </c>
      <c r="E45" s="38">
        <v>0</v>
      </c>
      <c r="F45" s="75">
        <v>0</v>
      </c>
      <c r="G45" s="38">
        <v>0</v>
      </c>
      <c r="H45" s="75">
        <v>0</v>
      </c>
      <c r="I45" s="38">
        <v>0</v>
      </c>
      <c r="J45" s="38">
        <v>0</v>
      </c>
      <c r="K45" s="38">
        <v>0</v>
      </c>
      <c r="L45" s="589">
        <f t="shared" si="5"/>
        <v>0</v>
      </c>
    </row>
    <row r="46" spans="1:12">
      <c r="A46" s="1077">
        <v>500173</v>
      </c>
      <c r="B46" s="1102" t="str">
        <f>VLOOKUP(A46,'Income Statement'!$A$6:$B$254,2,FALSE)</f>
        <v>Holiday Pay - Oper Labor</v>
      </c>
      <c r="C46" s="38">
        <v>0</v>
      </c>
      <c r="D46" s="38">
        <v>0</v>
      </c>
      <c r="E46" s="38">
        <v>0</v>
      </c>
      <c r="F46" s="75">
        <v>0</v>
      </c>
      <c r="G46" s="38">
        <v>0</v>
      </c>
      <c r="H46" s="75">
        <v>0</v>
      </c>
      <c r="I46" s="38">
        <v>0</v>
      </c>
      <c r="J46" s="38">
        <v>0</v>
      </c>
      <c r="K46" s="38">
        <v>0</v>
      </c>
      <c r="L46" s="589">
        <f t="shared" si="5"/>
        <v>0</v>
      </c>
    </row>
    <row r="47" spans="1:12">
      <c r="A47" s="1077">
        <v>500174</v>
      </c>
      <c r="B47" s="1102" t="str">
        <f>VLOOKUP(A47,'Income Statement'!$A$6:$B$254,2,FALSE)</f>
        <v>Vacation/Sick - Oper Labor</v>
      </c>
      <c r="C47" s="38">
        <v>0</v>
      </c>
      <c r="D47" s="38">
        <v>0</v>
      </c>
      <c r="E47" s="38">
        <v>0</v>
      </c>
      <c r="F47" s="75">
        <v>0</v>
      </c>
      <c r="G47" s="38">
        <v>0</v>
      </c>
      <c r="H47" s="75">
        <v>0</v>
      </c>
      <c r="I47" s="38">
        <v>0</v>
      </c>
      <c r="J47" s="38">
        <v>0</v>
      </c>
      <c r="K47" s="38">
        <v>0</v>
      </c>
      <c r="L47" s="589">
        <f t="shared" si="5"/>
        <v>0</v>
      </c>
    </row>
    <row r="48" spans="1:12">
      <c r="A48" s="1077">
        <v>500175</v>
      </c>
      <c r="B48" s="1102" t="str">
        <f>VLOOKUP(A48,'Income Statement'!$A$6:$B$254,2,FALSE)</f>
        <v>Benefits Non-Corp - Oper Labor</v>
      </c>
      <c r="C48" s="38">
        <v>0</v>
      </c>
      <c r="D48" s="38">
        <v>0</v>
      </c>
      <c r="E48" s="38">
        <f>'[10]Recon &amp; PF Adj'!$E$23</f>
        <v>68855.999999999942</v>
      </c>
      <c r="F48" s="38">
        <v>0</v>
      </c>
      <c r="G48" s="38">
        <v>0</v>
      </c>
      <c r="H48" s="38">
        <v>0</v>
      </c>
      <c r="I48" s="38">
        <v>0</v>
      </c>
      <c r="J48" s="38">
        <v>0</v>
      </c>
      <c r="K48" s="38">
        <v>0</v>
      </c>
      <c r="L48" s="589">
        <f t="shared" si="5"/>
        <v>68855.999999999942</v>
      </c>
    </row>
    <row r="49" spans="1:12">
      <c r="A49" s="1077">
        <v>500176</v>
      </c>
      <c r="B49" s="1102" t="str">
        <f>VLOOKUP(A49,'Income Statement'!$A$6:$B$254,2,FALSE)</f>
        <v>Benefits Corp - Oper Labor</v>
      </c>
      <c r="C49" s="38"/>
      <c r="D49" s="38"/>
      <c r="E49" s="38"/>
      <c r="F49" s="38"/>
      <c r="G49" s="38"/>
      <c r="H49" s="38"/>
      <c r="I49" s="38"/>
      <c r="J49" s="38"/>
      <c r="K49" s="38"/>
      <c r="L49" s="589">
        <f t="shared" si="5"/>
        <v>0</v>
      </c>
    </row>
    <row r="50" spans="1:12">
      <c r="A50" s="1077">
        <v>500177</v>
      </c>
      <c r="B50" s="1102" t="e">
        <f>VLOOKUP(A50,'Income Statement'!$A$6:$B$254,2,FALSE)</f>
        <v>#N/A</v>
      </c>
      <c r="C50" s="38">
        <v>0</v>
      </c>
      <c r="D50" s="38">
        <v>0</v>
      </c>
      <c r="E50" s="38">
        <v>0</v>
      </c>
      <c r="F50" s="38">
        <v>0</v>
      </c>
      <c r="G50" s="38">
        <v>0</v>
      </c>
      <c r="H50" s="38">
        <v>0</v>
      </c>
      <c r="I50" s="38">
        <v>0</v>
      </c>
      <c r="J50" s="38">
        <v>0</v>
      </c>
      <c r="K50" s="38">
        <v>0</v>
      </c>
      <c r="L50" s="589">
        <f t="shared" si="5"/>
        <v>0</v>
      </c>
    </row>
    <row r="51" spans="1:12">
      <c r="A51" s="1077">
        <v>500188</v>
      </c>
      <c r="B51" s="1102" t="str">
        <f>VLOOKUP(A51,'Income Statement'!$A$6:$B$254,2,FALSE)</f>
        <v>Uniforms &amp; Safety - Oper Labor</v>
      </c>
      <c r="C51" s="38">
        <v>0</v>
      </c>
      <c r="D51" s="38">
        <v>0</v>
      </c>
      <c r="E51" s="38">
        <v>0</v>
      </c>
      <c r="F51" s="38">
        <v>0</v>
      </c>
      <c r="G51" s="38">
        <v>0</v>
      </c>
      <c r="H51" s="38">
        <v>0</v>
      </c>
      <c r="I51" s="38">
        <v>0</v>
      </c>
      <c r="J51" s="38">
        <v>0</v>
      </c>
      <c r="K51" s="38">
        <v>0</v>
      </c>
      <c r="L51" s="589">
        <f t="shared" si="5"/>
        <v>0</v>
      </c>
    </row>
    <row r="52" spans="1:12">
      <c r="A52" s="1077">
        <v>500998</v>
      </c>
      <c r="B52" s="1102" t="e">
        <f>VLOOKUP(A52,'Income Statement'!$A$6:$B$254,2,FALSE)</f>
        <v>#N/A</v>
      </c>
      <c r="C52" s="38">
        <v>0</v>
      </c>
      <c r="D52" s="38">
        <v>0</v>
      </c>
      <c r="E52" s="38">
        <v>0</v>
      </c>
      <c r="F52" s="38">
        <v>0</v>
      </c>
      <c r="G52" s="38">
        <v>0</v>
      </c>
      <c r="H52" s="38">
        <v>0</v>
      </c>
      <c r="I52" s="38">
        <v>0</v>
      </c>
      <c r="J52" s="38">
        <v>0</v>
      </c>
      <c r="K52" s="38">
        <v>0</v>
      </c>
      <c r="L52" s="589">
        <f t="shared" si="5"/>
        <v>0</v>
      </c>
    </row>
    <row r="53" spans="1:12" ht="12">
      <c r="A53" s="1084"/>
      <c r="B53" s="1088" t="s">
        <v>191</v>
      </c>
      <c r="C53" s="576">
        <f t="shared" ref="C53:K53" si="6">SUM(C38:C52)</f>
        <v>0</v>
      </c>
      <c r="D53" s="576">
        <f t="shared" si="6"/>
        <v>0</v>
      </c>
      <c r="E53" s="576">
        <f t="shared" si="6"/>
        <v>220306.43018234457</v>
      </c>
      <c r="F53" s="576">
        <f t="shared" si="6"/>
        <v>0</v>
      </c>
      <c r="G53" s="576">
        <f t="shared" si="6"/>
        <v>0</v>
      </c>
      <c r="H53" s="576">
        <f t="shared" si="6"/>
        <v>0</v>
      </c>
      <c r="I53" s="576">
        <f t="shared" si="6"/>
        <v>0</v>
      </c>
      <c r="J53" s="576">
        <f t="shared" si="6"/>
        <v>0</v>
      </c>
      <c r="K53" s="576">
        <f t="shared" si="6"/>
        <v>0</v>
      </c>
      <c r="L53" s="590">
        <f>SUM(C53:K53)</f>
        <v>220306.43018234457</v>
      </c>
    </row>
    <row r="54" spans="1:12">
      <c r="A54" s="1090"/>
      <c r="B54" s="1097"/>
      <c r="C54" s="38"/>
      <c r="D54" s="38"/>
      <c r="E54" s="38"/>
      <c r="F54" s="38"/>
      <c r="G54" s="38"/>
      <c r="H54" s="38"/>
      <c r="I54" s="38"/>
      <c r="J54" s="38"/>
      <c r="K54" s="38"/>
      <c r="L54" s="589"/>
    </row>
    <row r="55" spans="1:12">
      <c r="A55" s="1077">
        <v>510010</v>
      </c>
      <c r="B55" s="1102" t="str">
        <f>VLOOKUP(A55,'Income Statement'!$A$6:$B$254,2,FALSE)</f>
        <v>Mgr/Supervision</v>
      </c>
      <c r="C55" s="38">
        <v>0</v>
      </c>
      <c r="D55" s="38">
        <v>0</v>
      </c>
      <c r="E55" s="38">
        <v>0</v>
      </c>
      <c r="F55" s="38">
        <v>0</v>
      </c>
      <c r="G55" s="38">
        <v>0</v>
      </c>
      <c r="H55" s="38">
        <v>0</v>
      </c>
      <c r="I55" s="38">
        <v>0</v>
      </c>
      <c r="J55" s="38">
        <v>0</v>
      </c>
      <c r="K55" s="38">
        <v>0</v>
      </c>
      <c r="L55" s="589">
        <f>SUM(C55:K55)</f>
        <v>0</v>
      </c>
    </row>
    <row r="56" spans="1:12">
      <c r="A56" s="1077">
        <v>510020</v>
      </c>
      <c r="B56" s="1102" t="str">
        <f>VLOOKUP(A56,'Income Statement'!$A$6:$B$254,2,FALSE)</f>
        <v>Ops Support</v>
      </c>
      <c r="C56" s="38">
        <v>0</v>
      </c>
      <c r="D56" s="38">
        <v>0</v>
      </c>
      <c r="E56" s="38">
        <f>'[10]Recon &amp; PF Adj'!$C$24</f>
        <v>4923.2912718787393</v>
      </c>
      <c r="F56" s="38">
        <v>0</v>
      </c>
      <c r="G56" s="38">
        <v>0</v>
      </c>
      <c r="H56" s="38">
        <v>0</v>
      </c>
      <c r="I56" s="38">
        <v>0</v>
      </c>
      <c r="J56" s="38">
        <v>0</v>
      </c>
      <c r="K56" s="38">
        <v>0</v>
      </c>
      <c r="L56" s="589">
        <f>SUM(C56:K56)</f>
        <v>4923.2912718787393</v>
      </c>
    </row>
    <row r="57" spans="1:12">
      <c r="A57" s="1077">
        <v>510055</v>
      </c>
      <c r="B57" s="1102" t="e">
        <f>VLOOKUP(A57,'Income Statement'!$A$6:$B$254,2,FALSE)</f>
        <v>#N/A</v>
      </c>
      <c r="C57" s="38">
        <v>0</v>
      </c>
      <c r="D57" s="59">
        <v>0</v>
      </c>
      <c r="E57" s="38">
        <v>0</v>
      </c>
      <c r="F57" s="38">
        <v>0</v>
      </c>
      <c r="G57" s="38">
        <v>0</v>
      </c>
      <c r="H57" s="38">
        <v>0</v>
      </c>
      <c r="I57" s="38">
        <v>0</v>
      </c>
      <c r="J57" s="38">
        <v>0</v>
      </c>
      <c r="K57" s="38">
        <v>0</v>
      </c>
      <c r="L57" s="589">
        <f t="shared" ref="L57:L69" si="7">SUM(C57:K57)</f>
        <v>0</v>
      </c>
    </row>
    <row r="58" spans="1:12">
      <c r="A58" s="1077">
        <v>510060</v>
      </c>
      <c r="B58" s="1102" t="e">
        <f>VLOOKUP(A58,'Income Statement'!$A$6:$B$254,2,FALSE)</f>
        <v>#N/A</v>
      </c>
      <c r="C58" s="38">
        <v>0</v>
      </c>
      <c r="D58" s="59">
        <v>0</v>
      </c>
      <c r="E58" s="38">
        <v>0</v>
      </c>
      <c r="F58" s="38">
        <v>0</v>
      </c>
      <c r="G58" s="38">
        <v>0</v>
      </c>
      <c r="H58" s="38">
        <v>0</v>
      </c>
      <c r="I58" s="38">
        <v>0</v>
      </c>
      <c r="J58" s="38">
        <v>0</v>
      </c>
      <c r="K58" s="38">
        <v>0</v>
      </c>
      <c r="L58" s="589">
        <f t="shared" si="7"/>
        <v>0</v>
      </c>
    </row>
    <row r="59" spans="1:12">
      <c r="A59" s="1077">
        <v>510061</v>
      </c>
      <c r="B59" s="1102" t="str">
        <f>VLOOKUP(A59,'Income Statement'!$A$6:$B$254,2,FALSE)</f>
        <v>Bonus Pay Corp - Sup Labor</v>
      </c>
      <c r="C59" s="38">
        <v>0</v>
      </c>
      <c r="D59" s="59">
        <v>0</v>
      </c>
      <c r="E59" s="38">
        <v>0</v>
      </c>
      <c r="F59" s="38">
        <v>0</v>
      </c>
      <c r="G59" s="38">
        <v>0</v>
      </c>
      <c r="H59" s="38">
        <v>0</v>
      </c>
      <c r="I59" s="38">
        <v>0</v>
      </c>
      <c r="J59" s="38">
        <v>0</v>
      </c>
      <c r="K59" s="38">
        <v>0</v>
      </c>
      <c r="L59" s="589">
        <f t="shared" si="7"/>
        <v>0</v>
      </c>
    </row>
    <row r="60" spans="1:12">
      <c r="A60" s="1077">
        <v>510170</v>
      </c>
      <c r="B60" s="1102" t="str">
        <f>VLOOKUP(A60,'Income Statement'!$A$6:$B$254,2,FALSE)</f>
        <v>Payroll Taxes - Sup Labor</v>
      </c>
      <c r="C60" s="38">
        <v>0</v>
      </c>
      <c r="D60" s="59">
        <v>0</v>
      </c>
      <c r="E60" s="38">
        <f>'[10]Recon &amp; PF Adj'!$D$24</f>
        <v>412.72593431142923</v>
      </c>
      <c r="F60" s="38">
        <v>0</v>
      </c>
      <c r="G60" s="38">
        <v>0</v>
      </c>
      <c r="H60" s="38">
        <v>0</v>
      </c>
      <c r="I60" s="38">
        <v>0</v>
      </c>
      <c r="J60" s="38">
        <v>0</v>
      </c>
      <c r="K60" s="38">
        <v>0</v>
      </c>
      <c r="L60" s="589">
        <f t="shared" si="7"/>
        <v>412.72593431142923</v>
      </c>
    </row>
    <row r="61" spans="1:12">
      <c r="A61" s="1077">
        <v>510172</v>
      </c>
      <c r="B61" s="1102" t="str">
        <f>VLOOKUP(A61,'Income Statement'!$A$6:$B$254,2,FALSE)</f>
        <v>Personal Time - Sup Labor</v>
      </c>
      <c r="C61" s="38"/>
      <c r="D61" s="59"/>
      <c r="E61" s="38"/>
      <c r="F61" s="38"/>
      <c r="G61" s="38"/>
      <c r="H61" s="38"/>
      <c r="I61" s="38"/>
      <c r="J61" s="38"/>
      <c r="K61" s="38"/>
      <c r="L61" s="589">
        <f t="shared" si="7"/>
        <v>0</v>
      </c>
    </row>
    <row r="62" spans="1:12">
      <c r="A62" s="1077">
        <v>510173</v>
      </c>
      <c r="B62" s="1102" t="str">
        <f>VLOOKUP(A62,'Income Statement'!$A$6:$B$254,2,FALSE)</f>
        <v>Holiday Pay - Sup Labor</v>
      </c>
      <c r="C62" s="38">
        <v>0</v>
      </c>
      <c r="D62" s="38">
        <v>0</v>
      </c>
      <c r="E62" s="38">
        <v>0</v>
      </c>
      <c r="F62" s="38">
        <v>0</v>
      </c>
      <c r="G62" s="38">
        <v>0</v>
      </c>
      <c r="H62" s="38">
        <v>0</v>
      </c>
      <c r="I62" s="38">
        <v>0</v>
      </c>
      <c r="J62" s="38">
        <v>0</v>
      </c>
      <c r="K62" s="38">
        <v>0</v>
      </c>
      <c r="L62" s="589">
        <f t="shared" si="7"/>
        <v>0</v>
      </c>
    </row>
    <row r="63" spans="1:12">
      <c r="A63" s="1077">
        <v>510174</v>
      </c>
      <c r="B63" s="1102" t="str">
        <f>VLOOKUP(A63,'Income Statement'!$A$6:$B$254,2,FALSE)</f>
        <v>Vacation/Sick - Sup Labor</v>
      </c>
      <c r="C63" s="38">
        <v>0</v>
      </c>
      <c r="D63" s="38">
        <v>0</v>
      </c>
      <c r="E63" s="38">
        <v>0</v>
      </c>
      <c r="F63" s="38">
        <v>0</v>
      </c>
      <c r="G63" s="38">
        <v>0</v>
      </c>
      <c r="H63" s="38">
        <v>0</v>
      </c>
      <c r="I63" s="38">
        <v>0</v>
      </c>
      <c r="J63" s="38">
        <v>0</v>
      </c>
      <c r="K63" s="38">
        <v>0</v>
      </c>
      <c r="L63" s="589">
        <f t="shared" si="7"/>
        <v>0</v>
      </c>
    </row>
    <row r="64" spans="1:12">
      <c r="A64" s="1077">
        <v>510175</v>
      </c>
      <c r="B64" s="1102" t="str">
        <f>VLOOKUP(A64,'Income Statement'!$A$6:$B$254,2,FALSE)</f>
        <v>Benefits Non-Corp - Sup Labor</v>
      </c>
      <c r="C64" s="38"/>
      <c r="D64" s="38"/>
      <c r="E64" s="38"/>
      <c r="F64" s="38"/>
      <c r="G64" s="38"/>
      <c r="H64" s="38"/>
      <c r="I64" s="38"/>
      <c r="J64" s="38"/>
      <c r="K64" s="38"/>
      <c r="L64" s="589">
        <f t="shared" si="7"/>
        <v>0</v>
      </c>
    </row>
    <row r="65" spans="1:12">
      <c r="A65" s="1077">
        <v>510176</v>
      </c>
      <c r="B65" s="1102" t="str">
        <f>VLOOKUP(A65,'Income Statement'!$A$6:$B$254,2,FALSE)</f>
        <v>Benefits Corp - Sup Labor</v>
      </c>
      <c r="C65" s="38">
        <v>0</v>
      </c>
      <c r="D65" s="38">
        <v>0</v>
      </c>
      <c r="E65" s="38">
        <f>'[10]Recon &amp; PF Adj'!$E$24</f>
        <v>17319.439999999999</v>
      </c>
      <c r="F65" s="38">
        <v>0</v>
      </c>
      <c r="G65" s="38">
        <v>0</v>
      </c>
      <c r="H65" s="38">
        <v>0</v>
      </c>
      <c r="I65" s="38">
        <v>0</v>
      </c>
      <c r="J65" s="38">
        <v>0</v>
      </c>
      <c r="K65" s="38">
        <v>0</v>
      </c>
      <c r="L65" s="589">
        <f t="shared" si="7"/>
        <v>17319.439999999999</v>
      </c>
    </row>
    <row r="66" spans="1:12">
      <c r="A66" s="1077">
        <v>510177</v>
      </c>
      <c r="B66" s="1102" t="str">
        <f>VLOOKUP(A66,'Income Statement'!$A$6:$B$254,2,FALSE)</f>
        <v>Employer 401k - Sup Labor</v>
      </c>
      <c r="C66" s="38">
        <v>0</v>
      </c>
      <c r="D66" s="38">
        <v>0</v>
      </c>
      <c r="E66" s="38">
        <v>0</v>
      </c>
      <c r="F66" s="38">
        <v>0</v>
      </c>
      <c r="G66" s="38">
        <v>0</v>
      </c>
      <c r="H66" s="38">
        <v>0</v>
      </c>
      <c r="I66" s="38">
        <v>0</v>
      </c>
      <c r="J66" s="38">
        <v>0</v>
      </c>
      <c r="K66" s="38">
        <v>0</v>
      </c>
      <c r="L66" s="589">
        <f t="shared" si="7"/>
        <v>0</v>
      </c>
    </row>
    <row r="67" spans="1:12">
      <c r="A67" s="1077">
        <v>510188</v>
      </c>
      <c r="B67" s="1102" t="str">
        <f>VLOOKUP(A67,'Income Statement'!$A$6:$B$254,2,FALSE)</f>
        <v>Uniforms &amp; Safety - Sup Labor</v>
      </c>
      <c r="C67" s="38"/>
      <c r="D67" s="38"/>
      <c r="E67" s="38"/>
      <c r="F67" s="38"/>
      <c r="G67" s="38"/>
      <c r="H67" s="38"/>
      <c r="I67" s="38"/>
      <c r="J67" s="38"/>
      <c r="K67" s="38"/>
      <c r="L67" s="589">
        <f t="shared" si="7"/>
        <v>0</v>
      </c>
    </row>
    <row r="68" spans="1:12">
      <c r="A68" s="1077">
        <v>510998</v>
      </c>
      <c r="B68" s="1102" t="str">
        <f>VLOOKUP(A68,'Income Statement'!$A$6:$B$254,2,FALSE)</f>
        <v>Ops Supv Alloc-In</v>
      </c>
      <c r="C68" s="38">
        <v>0</v>
      </c>
      <c r="D68" s="38">
        <v>0</v>
      </c>
      <c r="E68" s="38">
        <v>0</v>
      </c>
      <c r="F68" s="38">
        <v>0</v>
      </c>
      <c r="G68" s="38">
        <v>0</v>
      </c>
      <c r="H68" s="38">
        <v>0</v>
      </c>
      <c r="I68" s="38">
        <v>0</v>
      </c>
      <c r="J68" s="38">
        <v>0</v>
      </c>
      <c r="K68" s="38">
        <v>0</v>
      </c>
      <c r="L68" s="589">
        <f t="shared" si="7"/>
        <v>0</v>
      </c>
    </row>
    <row r="69" spans="1:12">
      <c r="A69" s="1077">
        <v>510999</v>
      </c>
      <c r="B69" s="1102" t="str">
        <f>VLOOKUP(A69,'Income Statement'!$A$6:$B$254,2,FALSE)</f>
        <v>Ops Supv Alloc-Out</v>
      </c>
      <c r="C69" s="38">
        <v>0</v>
      </c>
      <c r="D69" s="38">
        <v>0</v>
      </c>
      <c r="E69" s="38">
        <v>0</v>
      </c>
      <c r="F69" s="38">
        <v>0</v>
      </c>
      <c r="G69" s="38">
        <v>0</v>
      </c>
      <c r="H69" s="38">
        <v>0</v>
      </c>
      <c r="I69" s="38">
        <v>0</v>
      </c>
      <c r="J69" s="38">
        <v>0</v>
      </c>
      <c r="K69" s="38">
        <v>0</v>
      </c>
      <c r="L69" s="589">
        <f t="shared" si="7"/>
        <v>0</v>
      </c>
    </row>
    <row r="70" spans="1:12" ht="12">
      <c r="A70" s="1084"/>
      <c r="B70" s="1088" t="s">
        <v>534</v>
      </c>
      <c r="C70" s="576">
        <f t="shared" ref="C70:K70" si="8">SUM(C55:C69)</f>
        <v>0</v>
      </c>
      <c r="D70" s="576">
        <f t="shared" si="8"/>
        <v>0</v>
      </c>
      <c r="E70" s="576">
        <f t="shared" si="8"/>
        <v>22655.457206190167</v>
      </c>
      <c r="F70" s="576">
        <f t="shared" si="8"/>
        <v>0</v>
      </c>
      <c r="G70" s="576">
        <f t="shared" si="8"/>
        <v>0</v>
      </c>
      <c r="H70" s="576">
        <f t="shared" si="8"/>
        <v>0</v>
      </c>
      <c r="I70" s="576">
        <f t="shared" si="8"/>
        <v>0</v>
      </c>
      <c r="J70" s="576">
        <f t="shared" si="8"/>
        <v>0</v>
      </c>
      <c r="K70" s="576">
        <f t="shared" si="8"/>
        <v>0</v>
      </c>
      <c r="L70" s="590">
        <f>SUM(C70:K70)</f>
        <v>22655.457206190167</v>
      </c>
    </row>
    <row r="71" spans="1:12">
      <c r="A71" s="1084"/>
      <c r="B71" s="1103"/>
      <c r="C71" s="38"/>
      <c r="D71" s="38"/>
      <c r="E71" s="38"/>
      <c r="F71" s="38"/>
      <c r="G71" s="38"/>
      <c r="H71" s="38"/>
      <c r="I71" s="38"/>
      <c r="J71" s="38"/>
      <c r="K71" s="38"/>
      <c r="L71" s="589">
        <f>SUM(C71:K71)</f>
        <v>0</v>
      </c>
    </row>
    <row r="72" spans="1:12" ht="12">
      <c r="A72" s="1084"/>
      <c r="B72" s="1088" t="s">
        <v>535</v>
      </c>
      <c r="C72" s="576">
        <f t="shared" ref="C72:K72" si="9">C53+C70</f>
        <v>0</v>
      </c>
      <c r="D72" s="576">
        <f t="shared" si="9"/>
        <v>0</v>
      </c>
      <c r="E72" s="576">
        <f t="shared" si="9"/>
        <v>242961.88738853473</v>
      </c>
      <c r="F72" s="576">
        <f t="shared" si="9"/>
        <v>0</v>
      </c>
      <c r="G72" s="576">
        <f t="shared" si="9"/>
        <v>0</v>
      </c>
      <c r="H72" s="576">
        <f t="shared" si="9"/>
        <v>0</v>
      </c>
      <c r="I72" s="576">
        <f t="shared" si="9"/>
        <v>0</v>
      </c>
      <c r="J72" s="576">
        <f t="shared" si="9"/>
        <v>0</v>
      </c>
      <c r="K72" s="576">
        <f t="shared" si="9"/>
        <v>0</v>
      </c>
      <c r="L72" s="590">
        <f>SUM(C72:K72)</f>
        <v>242961.88738853473</v>
      </c>
    </row>
    <row r="73" spans="1:12">
      <c r="A73" s="1084"/>
      <c r="B73" s="1102"/>
      <c r="C73" s="38"/>
      <c r="D73" s="38"/>
      <c r="E73" s="38"/>
      <c r="F73" s="75"/>
      <c r="G73" s="38"/>
      <c r="H73" s="75"/>
      <c r="I73" s="38"/>
      <c r="J73" s="38"/>
      <c r="K73" s="38"/>
      <c r="L73" s="589"/>
    </row>
    <row r="74" spans="1:12">
      <c r="A74" s="1077">
        <v>520010</v>
      </c>
      <c r="B74" s="1102" t="str">
        <f>VLOOKUP(A74,'Income Statement'!$A$6:$B$254,2,FALSE)</f>
        <v>TShop Mgr/Supv</v>
      </c>
      <c r="C74" s="38">
        <v>0</v>
      </c>
      <c r="D74" s="38">
        <v>0</v>
      </c>
      <c r="E74" s="38">
        <v>0</v>
      </c>
      <c r="F74" s="38">
        <v>0</v>
      </c>
      <c r="G74" s="38">
        <v>0</v>
      </c>
      <c r="H74" s="38">
        <v>0</v>
      </c>
      <c r="I74" s="38">
        <v>0</v>
      </c>
      <c r="J74" s="38">
        <v>0</v>
      </c>
      <c r="K74" s="38">
        <v>0</v>
      </c>
      <c r="L74" s="589">
        <f>SUM(C74:K74)</f>
        <v>0</v>
      </c>
    </row>
    <row r="75" spans="1:12">
      <c r="A75" s="1077">
        <v>520020</v>
      </c>
      <c r="B75" s="1102" t="str">
        <f>VLOOKUP(A75,'Income Statement'!$A$6:$B$254,2,FALSE)</f>
        <v>TShop Mech/Welder</v>
      </c>
      <c r="C75" s="38">
        <v>0</v>
      </c>
      <c r="D75" s="38">
        <v>0</v>
      </c>
      <c r="E75" s="38">
        <f>'[10]Recon &amp; PF Adj'!$C$25</f>
        <v>1930.9724886636125</v>
      </c>
      <c r="F75" s="38">
        <v>0</v>
      </c>
      <c r="G75" s="38">
        <v>0</v>
      </c>
      <c r="H75" s="38">
        <v>0</v>
      </c>
      <c r="I75" s="38">
        <v>0</v>
      </c>
      <c r="J75" s="38">
        <v>0</v>
      </c>
      <c r="K75" s="38">
        <v>0</v>
      </c>
      <c r="L75" s="589">
        <f t="shared" ref="L75:L87" si="10">SUM(C75:K75)</f>
        <v>1930.9724886636125</v>
      </c>
    </row>
    <row r="76" spans="1:12">
      <c r="A76" s="1077">
        <v>520030</v>
      </c>
      <c r="B76" s="1102" t="str">
        <f>VLOOKUP(A76,'Income Statement'!$A$6:$B$254,2,FALSE)</f>
        <v>TShop Support</v>
      </c>
      <c r="C76" s="38">
        <v>0</v>
      </c>
      <c r="D76" s="38">
        <v>0</v>
      </c>
      <c r="E76" s="38">
        <v>0</v>
      </c>
      <c r="F76" s="38">
        <v>0</v>
      </c>
      <c r="G76" s="38">
        <v>0</v>
      </c>
      <c r="H76" s="38">
        <v>0</v>
      </c>
      <c r="I76" s="38">
        <v>0</v>
      </c>
      <c r="J76" s="38">
        <v>0</v>
      </c>
      <c r="K76" s="38">
        <v>0</v>
      </c>
      <c r="L76" s="589">
        <f t="shared" si="10"/>
        <v>0</v>
      </c>
    </row>
    <row r="77" spans="1:12">
      <c r="A77" s="1077">
        <v>520055</v>
      </c>
      <c r="B77" s="1102" t="e">
        <f>VLOOKUP(A77,'Income Statement'!$A$6:$B$254,2,FALSE)</f>
        <v>#N/A</v>
      </c>
      <c r="C77" s="38">
        <v>0</v>
      </c>
      <c r="D77" s="38">
        <v>0</v>
      </c>
      <c r="E77" s="38">
        <v>0</v>
      </c>
      <c r="F77" s="38">
        <v>0</v>
      </c>
      <c r="G77" s="38">
        <v>0</v>
      </c>
      <c r="H77" s="38">
        <v>0</v>
      </c>
      <c r="I77" s="38">
        <v>0</v>
      </c>
      <c r="J77" s="38">
        <v>0</v>
      </c>
      <c r="K77" s="38">
        <v>0</v>
      </c>
      <c r="L77" s="589">
        <f t="shared" si="10"/>
        <v>0</v>
      </c>
    </row>
    <row r="78" spans="1:12">
      <c r="A78" s="1077">
        <v>520060</v>
      </c>
      <c r="B78" s="1102" t="str">
        <f>VLOOKUP(A78,'Income Statement'!$A$6:$B$254,2,FALSE)</f>
        <v>TShop Bonus Non-Corp</v>
      </c>
      <c r="C78" s="38"/>
      <c r="D78" s="38"/>
      <c r="E78" s="38"/>
      <c r="F78" s="38"/>
      <c r="G78" s="38"/>
      <c r="H78" s="38"/>
      <c r="I78" s="38"/>
      <c r="J78" s="38"/>
      <c r="K78" s="38"/>
      <c r="L78" s="589">
        <f t="shared" si="10"/>
        <v>0</v>
      </c>
    </row>
    <row r="79" spans="1:12">
      <c r="A79" s="1077">
        <v>520061</v>
      </c>
      <c r="B79" s="1102" t="str">
        <f>VLOOKUP(A79,'Income Statement'!$A$6:$B$254,2,FALSE)</f>
        <v>TShop Bonus Pay Corp</v>
      </c>
      <c r="C79" s="38">
        <v>0</v>
      </c>
      <c r="D79" s="38">
        <v>0</v>
      </c>
      <c r="E79" s="38">
        <v>0</v>
      </c>
      <c r="F79" s="38">
        <v>0</v>
      </c>
      <c r="G79" s="38">
        <v>0</v>
      </c>
      <c r="H79" s="38">
        <v>0</v>
      </c>
      <c r="I79" s="38">
        <v>0</v>
      </c>
      <c r="J79" s="38">
        <v>0</v>
      </c>
      <c r="K79" s="38">
        <v>0</v>
      </c>
      <c r="L79" s="589">
        <f t="shared" si="10"/>
        <v>0</v>
      </c>
    </row>
    <row r="80" spans="1:12">
      <c r="A80" s="1077">
        <v>520170</v>
      </c>
      <c r="B80" s="1102" t="str">
        <f>VLOOKUP(A80,'Income Statement'!$A$6:$B$254,2,FALSE)</f>
        <v>TShop Payroll Tax</v>
      </c>
      <c r="C80" s="38">
        <v>0</v>
      </c>
      <c r="D80" s="38">
        <v>0</v>
      </c>
      <c r="E80" s="38">
        <f>'[10]Recon &amp; PF Adj'!$D$25</f>
        <v>161.87594446534396</v>
      </c>
      <c r="F80" s="38">
        <v>0</v>
      </c>
      <c r="G80" s="38">
        <v>0</v>
      </c>
      <c r="H80" s="38">
        <v>0</v>
      </c>
      <c r="I80" s="38">
        <v>0</v>
      </c>
      <c r="J80" s="38">
        <v>0</v>
      </c>
      <c r="K80" s="38">
        <v>0</v>
      </c>
      <c r="L80" s="589">
        <f t="shared" si="10"/>
        <v>161.87594446534396</v>
      </c>
    </row>
    <row r="81" spans="1:12">
      <c r="A81" s="1077">
        <v>520172</v>
      </c>
      <c r="B81" s="1102" t="str">
        <f>VLOOKUP(A81,'Income Statement'!$A$6:$B$254,2,FALSE)</f>
        <v>TShop Personal Time</v>
      </c>
      <c r="C81" s="38">
        <v>0</v>
      </c>
      <c r="D81" s="38">
        <v>0</v>
      </c>
      <c r="E81" s="38">
        <v>0</v>
      </c>
      <c r="F81" s="38">
        <v>0</v>
      </c>
      <c r="G81" s="38">
        <v>0</v>
      </c>
      <c r="H81" s="38">
        <v>0</v>
      </c>
      <c r="I81" s="38">
        <v>0</v>
      </c>
      <c r="J81" s="38">
        <v>0</v>
      </c>
      <c r="K81" s="38">
        <v>0</v>
      </c>
      <c r="L81" s="589">
        <f t="shared" si="10"/>
        <v>0</v>
      </c>
    </row>
    <row r="82" spans="1:12">
      <c r="A82" s="1077">
        <v>520173</v>
      </c>
      <c r="B82" s="1102" t="str">
        <f>VLOOKUP(A82,'Income Statement'!$A$6:$B$254,2,FALSE)</f>
        <v>TShop Holiday Pay</v>
      </c>
      <c r="C82" s="38">
        <v>0</v>
      </c>
      <c r="D82" s="38">
        <v>0</v>
      </c>
      <c r="E82" s="38">
        <v>0</v>
      </c>
      <c r="F82" s="38">
        <v>0</v>
      </c>
      <c r="G82" s="38">
        <v>0</v>
      </c>
      <c r="H82" s="38">
        <v>0</v>
      </c>
      <c r="I82" s="38">
        <v>0</v>
      </c>
      <c r="J82" s="38">
        <v>0</v>
      </c>
      <c r="K82" s="38">
        <v>0</v>
      </c>
      <c r="L82" s="589">
        <f t="shared" si="10"/>
        <v>0</v>
      </c>
    </row>
    <row r="83" spans="1:12">
      <c r="A83" s="1077">
        <v>520174</v>
      </c>
      <c r="B83" s="1102" t="str">
        <f>VLOOKUP(A83,'Income Statement'!$A$6:$B$254,2,FALSE)</f>
        <v>TShop Vacation/Sick</v>
      </c>
      <c r="C83" s="38">
        <v>0</v>
      </c>
      <c r="D83" s="38">
        <v>0</v>
      </c>
      <c r="E83" s="38">
        <v>0</v>
      </c>
      <c r="F83" s="38">
        <v>0</v>
      </c>
      <c r="G83" s="38">
        <v>0</v>
      </c>
      <c r="H83" s="38">
        <v>0</v>
      </c>
      <c r="I83" s="38">
        <v>0</v>
      </c>
      <c r="J83" s="38">
        <v>0</v>
      </c>
      <c r="K83" s="38">
        <v>0</v>
      </c>
      <c r="L83" s="589">
        <f t="shared" si="10"/>
        <v>0</v>
      </c>
    </row>
    <row r="84" spans="1:12">
      <c r="A84" s="1077">
        <v>520175</v>
      </c>
      <c r="B84" s="1102" t="str">
        <f>VLOOKUP(A84,'Income Statement'!$A$6:$B$254,2,FALSE)</f>
        <v>TShop Benefits Non-Corp</v>
      </c>
      <c r="C84" s="38">
        <v>0</v>
      </c>
      <c r="D84" s="38">
        <v>0</v>
      </c>
      <c r="E84" s="38">
        <v>0</v>
      </c>
      <c r="F84" s="38">
        <v>0</v>
      </c>
      <c r="G84" s="38">
        <v>0</v>
      </c>
      <c r="H84" s="38">
        <v>0</v>
      </c>
      <c r="I84" s="38">
        <v>0</v>
      </c>
      <c r="J84" s="38">
        <v>0</v>
      </c>
      <c r="K84" s="38">
        <v>0</v>
      </c>
      <c r="L84" s="589">
        <f t="shared" si="10"/>
        <v>0</v>
      </c>
    </row>
    <row r="85" spans="1:12">
      <c r="A85" s="1077">
        <v>520176</v>
      </c>
      <c r="B85" s="1102" t="str">
        <f>VLOOKUP(A85,'Income Statement'!$A$6:$B$254,2,FALSE)</f>
        <v>TShop Benefits Corp</v>
      </c>
      <c r="C85" s="38">
        <v>0</v>
      </c>
      <c r="D85" s="38">
        <v>0</v>
      </c>
      <c r="E85" s="38">
        <f>'[10]Recon &amp; PF Adj'!$E$25</f>
        <v>39455.840000000004</v>
      </c>
      <c r="F85" s="38">
        <v>0</v>
      </c>
      <c r="G85" s="38">
        <v>0</v>
      </c>
      <c r="H85" s="38">
        <v>0</v>
      </c>
      <c r="I85" s="38">
        <v>0</v>
      </c>
      <c r="J85" s="38">
        <v>0</v>
      </c>
      <c r="K85" s="38">
        <v>0</v>
      </c>
      <c r="L85" s="589">
        <f t="shared" si="10"/>
        <v>39455.840000000004</v>
      </c>
    </row>
    <row r="86" spans="1:12">
      <c r="A86" s="1077">
        <v>520188</v>
      </c>
      <c r="B86" s="1102" t="str">
        <f>VLOOKUP(A86,'Income Statement'!$A$6:$B$254,2,FALSE)</f>
        <v>TShop Uniforms &amp; Safety</v>
      </c>
      <c r="C86" s="38">
        <v>0</v>
      </c>
      <c r="D86" s="38">
        <v>0</v>
      </c>
      <c r="E86" s="38">
        <v>0</v>
      </c>
      <c r="F86" s="38">
        <v>0</v>
      </c>
      <c r="G86" s="38">
        <v>0</v>
      </c>
      <c r="H86" s="38">
        <v>0</v>
      </c>
      <c r="I86" s="38">
        <v>0</v>
      </c>
      <c r="J86" s="38">
        <v>0</v>
      </c>
      <c r="K86" s="38">
        <v>0</v>
      </c>
      <c r="L86" s="589">
        <f t="shared" si="10"/>
        <v>0</v>
      </c>
    </row>
    <row r="87" spans="1:12">
      <c r="A87" s="1077">
        <v>520999</v>
      </c>
      <c r="B87" s="1102" t="str">
        <f>VLOOKUP(A87,'Income Statement'!$A$6:$B$254,2,FALSE)</f>
        <v>TShop Labor Alloc-Out</v>
      </c>
      <c r="C87" s="38">
        <f t="shared" ref="C87:K87" si="11">-SUM(C74:C86)</f>
        <v>0</v>
      </c>
      <c r="D87" s="38">
        <f t="shared" si="11"/>
        <v>0</v>
      </c>
      <c r="E87" s="38">
        <f t="shared" si="11"/>
        <v>-41548.688433128962</v>
      </c>
      <c r="F87" s="38">
        <f t="shared" si="11"/>
        <v>0</v>
      </c>
      <c r="G87" s="38">
        <f t="shared" si="11"/>
        <v>0</v>
      </c>
      <c r="H87" s="38">
        <f t="shared" si="11"/>
        <v>0</v>
      </c>
      <c r="I87" s="38">
        <f t="shared" si="11"/>
        <v>0</v>
      </c>
      <c r="J87" s="38">
        <f t="shared" si="11"/>
        <v>0</v>
      </c>
      <c r="K87" s="38">
        <f t="shared" si="11"/>
        <v>0</v>
      </c>
      <c r="L87" s="589">
        <f t="shared" si="10"/>
        <v>-41548.688433128962</v>
      </c>
    </row>
    <row r="88" spans="1:12">
      <c r="A88" s="1084"/>
      <c r="B88" s="1102"/>
      <c r="C88" s="38"/>
      <c r="D88" s="38"/>
      <c r="E88" s="38"/>
      <c r="F88" s="38"/>
      <c r="G88" s="38"/>
      <c r="H88" s="38"/>
      <c r="I88" s="38"/>
      <c r="J88" s="38"/>
      <c r="K88" s="38"/>
      <c r="L88" s="589"/>
    </row>
    <row r="89" spans="1:12">
      <c r="A89" s="1077">
        <v>525020</v>
      </c>
      <c r="B89" s="1102" t="e">
        <f>VLOOKUP(A89,'Income Statement'!$A$6:$B$254,2,FALSE)</f>
        <v>#N/A</v>
      </c>
      <c r="C89" s="38">
        <v>0</v>
      </c>
      <c r="D89" s="38">
        <v>0</v>
      </c>
      <c r="E89" s="38">
        <v>0</v>
      </c>
      <c r="F89" s="38">
        <v>0</v>
      </c>
      <c r="G89" s="38">
        <v>0</v>
      </c>
      <c r="H89" s="38">
        <v>0</v>
      </c>
      <c r="I89" s="38">
        <v>0</v>
      </c>
      <c r="J89" s="38">
        <v>0</v>
      </c>
      <c r="K89" s="38">
        <v>0</v>
      </c>
      <c r="L89" s="589">
        <f t="shared" ref="L89:L98" si="12">SUM(C89:K89)</f>
        <v>0</v>
      </c>
    </row>
    <row r="90" spans="1:12">
      <c r="A90" s="1084">
        <v>525030</v>
      </c>
      <c r="B90" s="1102" t="str">
        <f>VLOOKUP(A90,'Income Statement'!$A$6:$B$254,2,FALSE)</f>
        <v>CShop Support</v>
      </c>
      <c r="C90" s="38">
        <v>0</v>
      </c>
      <c r="D90" s="38">
        <v>0</v>
      </c>
      <c r="E90" s="38">
        <v>0</v>
      </c>
      <c r="F90" s="38">
        <v>0</v>
      </c>
      <c r="G90" s="38">
        <v>0</v>
      </c>
      <c r="H90" s="38">
        <v>0</v>
      </c>
      <c r="I90" s="38">
        <v>0</v>
      </c>
      <c r="J90" s="38">
        <v>0</v>
      </c>
      <c r="K90" s="38">
        <v>0</v>
      </c>
      <c r="L90" s="589">
        <f t="shared" si="12"/>
        <v>0</v>
      </c>
    </row>
    <row r="91" spans="1:12">
      <c r="A91" s="1084">
        <v>525055</v>
      </c>
      <c r="B91" s="1102" t="e">
        <f>VLOOKUP(A91,'Income Statement'!$A$6:$B$254,2,FALSE)</f>
        <v>#N/A</v>
      </c>
      <c r="C91" s="38">
        <v>0</v>
      </c>
      <c r="D91" s="38">
        <v>0</v>
      </c>
      <c r="E91" s="38">
        <v>0</v>
      </c>
      <c r="F91" s="38">
        <v>0</v>
      </c>
      <c r="G91" s="38">
        <v>0</v>
      </c>
      <c r="H91" s="38">
        <v>0</v>
      </c>
      <c r="I91" s="38">
        <v>0</v>
      </c>
      <c r="J91" s="38">
        <v>0</v>
      </c>
      <c r="K91" s="38">
        <v>0</v>
      </c>
      <c r="L91" s="589">
        <f t="shared" si="12"/>
        <v>0</v>
      </c>
    </row>
    <row r="92" spans="1:12">
      <c r="A92" s="1077">
        <v>525170</v>
      </c>
      <c r="B92" s="1102" t="str">
        <f>VLOOKUP(A92,'Income Statement'!$A$6:$B$254,2,FALSE)</f>
        <v>CShop Payroll Tax</v>
      </c>
      <c r="C92" s="38">
        <v>0</v>
      </c>
      <c r="D92" s="38">
        <v>0</v>
      </c>
      <c r="E92" s="38">
        <v>0</v>
      </c>
      <c r="F92" s="38">
        <v>0</v>
      </c>
      <c r="G92" s="38">
        <v>0</v>
      </c>
      <c r="H92" s="38">
        <v>0</v>
      </c>
      <c r="I92" s="38">
        <v>0</v>
      </c>
      <c r="J92" s="38">
        <v>0</v>
      </c>
      <c r="K92" s="38">
        <v>0</v>
      </c>
      <c r="L92" s="589">
        <f t="shared" si="12"/>
        <v>0</v>
      </c>
    </row>
    <row r="93" spans="1:12">
      <c r="A93" s="1077">
        <v>525173</v>
      </c>
      <c r="B93" s="1102" t="str">
        <f>VLOOKUP(A93,'Income Statement'!$A$6:$B$254,2,FALSE)</f>
        <v>CShop Holiday Pay</v>
      </c>
      <c r="C93" s="38">
        <v>0</v>
      </c>
      <c r="D93" s="38">
        <v>0</v>
      </c>
      <c r="E93" s="38">
        <v>0</v>
      </c>
      <c r="F93" s="38">
        <v>0</v>
      </c>
      <c r="G93" s="38">
        <v>0</v>
      </c>
      <c r="H93" s="38">
        <v>0</v>
      </c>
      <c r="I93" s="38">
        <v>0</v>
      </c>
      <c r="J93" s="38">
        <v>0</v>
      </c>
      <c r="K93" s="38">
        <v>0</v>
      </c>
      <c r="L93" s="589">
        <f t="shared" si="12"/>
        <v>0</v>
      </c>
    </row>
    <row r="94" spans="1:12">
      <c r="A94" s="1077">
        <v>525174</v>
      </c>
      <c r="B94" s="1102" t="str">
        <f>VLOOKUP(A94,'Income Statement'!$A$6:$B$254,2,FALSE)</f>
        <v>CShop Vacation/Sick</v>
      </c>
      <c r="C94" s="38">
        <v>0</v>
      </c>
      <c r="D94" s="38">
        <v>0</v>
      </c>
      <c r="E94" s="38">
        <v>0</v>
      </c>
      <c r="F94" s="38">
        <v>0</v>
      </c>
      <c r="G94" s="38">
        <v>0</v>
      </c>
      <c r="H94" s="38">
        <v>0</v>
      </c>
      <c r="I94" s="38">
        <v>0</v>
      </c>
      <c r="J94" s="38">
        <v>0</v>
      </c>
      <c r="K94" s="38">
        <v>0</v>
      </c>
      <c r="L94" s="589">
        <f>SUM(C94:K94)</f>
        <v>0</v>
      </c>
    </row>
    <row r="95" spans="1:12">
      <c r="A95" s="1077">
        <v>525175</v>
      </c>
      <c r="B95" s="1102" t="str">
        <f>VLOOKUP(A95,'Income Statement'!$A$6:$B$254,2,FALSE)</f>
        <v>CShop Benefits Non-Corp</v>
      </c>
      <c r="C95" s="38"/>
      <c r="D95" s="38"/>
      <c r="E95" s="38"/>
      <c r="F95" s="38"/>
      <c r="G95" s="38"/>
      <c r="H95" s="38"/>
      <c r="I95" s="38"/>
      <c r="J95" s="38"/>
      <c r="K95" s="38"/>
      <c r="L95" s="589">
        <f>SUM(C95:K95)</f>
        <v>0</v>
      </c>
    </row>
    <row r="96" spans="1:12">
      <c r="A96" s="1077">
        <v>525176</v>
      </c>
      <c r="B96" s="1102" t="e">
        <f>VLOOKUP(A96,'Income Statement'!$A$6:$B$254,2,FALSE)</f>
        <v>#N/A</v>
      </c>
      <c r="C96" s="38">
        <v>0</v>
      </c>
      <c r="D96" s="38">
        <v>0</v>
      </c>
      <c r="E96" s="38">
        <v>0</v>
      </c>
      <c r="F96" s="38">
        <v>0</v>
      </c>
      <c r="G96" s="38">
        <v>0</v>
      </c>
      <c r="H96" s="38">
        <v>0</v>
      </c>
      <c r="I96" s="38">
        <v>0</v>
      </c>
      <c r="J96" s="38">
        <v>0</v>
      </c>
      <c r="K96" s="38">
        <v>0</v>
      </c>
      <c r="L96" s="589">
        <f>SUM(C96:K96)</f>
        <v>0</v>
      </c>
    </row>
    <row r="97" spans="1:12">
      <c r="A97" s="1077">
        <v>525998</v>
      </c>
      <c r="B97" s="1102" t="e">
        <f>VLOOKUP(A97,'Income Statement'!$A$6:$B$254,2,FALSE)</f>
        <v>#N/A</v>
      </c>
      <c r="C97" s="38">
        <v>0</v>
      </c>
      <c r="D97" s="38">
        <v>0</v>
      </c>
      <c r="E97" s="38">
        <v>0</v>
      </c>
      <c r="F97" s="38">
        <v>0</v>
      </c>
      <c r="G97" s="38">
        <v>0</v>
      </c>
      <c r="H97" s="38">
        <v>0</v>
      </c>
      <c r="I97" s="38">
        <v>0</v>
      </c>
      <c r="J97" s="38">
        <v>0</v>
      </c>
      <c r="K97" s="38">
        <v>0</v>
      </c>
      <c r="L97" s="589">
        <f>SUM(C97:K97)</f>
        <v>0</v>
      </c>
    </row>
    <row r="98" spans="1:12">
      <c r="A98" s="1084">
        <v>525999</v>
      </c>
      <c r="B98" s="1102" t="str">
        <f>VLOOKUP(A98,'Income Statement'!$A$6:$B$254,2,FALSE)</f>
        <v>CShop Labor Alloc-Out</v>
      </c>
      <c r="C98" s="38">
        <f>-SUM(C89:C97)</f>
        <v>0</v>
      </c>
      <c r="D98" s="38">
        <f t="shared" ref="D98:K98" si="13">-SUM(D89:D97)</f>
        <v>0</v>
      </c>
      <c r="E98" s="38">
        <f t="shared" si="13"/>
        <v>0</v>
      </c>
      <c r="F98" s="38">
        <f t="shared" si="13"/>
        <v>0</v>
      </c>
      <c r="G98" s="38">
        <f t="shared" si="13"/>
        <v>0</v>
      </c>
      <c r="H98" s="38">
        <f t="shared" si="13"/>
        <v>0</v>
      </c>
      <c r="I98" s="38">
        <f t="shared" si="13"/>
        <v>0</v>
      </c>
      <c r="J98" s="38">
        <f t="shared" si="13"/>
        <v>0</v>
      </c>
      <c r="K98" s="38">
        <f t="shared" si="13"/>
        <v>0</v>
      </c>
      <c r="L98" s="589">
        <f t="shared" si="12"/>
        <v>0</v>
      </c>
    </row>
    <row r="99" spans="1:12">
      <c r="A99" s="1077"/>
      <c r="B99" s="1102"/>
      <c r="C99" s="38"/>
      <c r="D99" s="38"/>
      <c r="E99" s="38"/>
      <c r="F99" s="38"/>
      <c r="G99" s="38"/>
      <c r="H99" s="38"/>
      <c r="I99" s="38"/>
      <c r="J99" s="38"/>
      <c r="K99" s="38"/>
      <c r="L99" s="589"/>
    </row>
    <row r="100" spans="1:12">
      <c r="A100" s="1077">
        <v>530010</v>
      </c>
      <c r="B100" s="1102" t="str">
        <f>VLOOKUP(A100,'Income Statement'!$A$6:$B$254,2,FALSE)</f>
        <v>Fuel</v>
      </c>
      <c r="C100" s="38">
        <v>0</v>
      </c>
      <c r="D100" s="38">
        <v>0</v>
      </c>
      <c r="E100" s="38">
        <v>0</v>
      </c>
      <c r="F100" s="38">
        <v>0</v>
      </c>
      <c r="G100" s="38">
        <v>0</v>
      </c>
      <c r="H100" s="1188">
        <f>(80909.77-8648.42-5301.59-5654.39)+(41848.94-4656.53-2885.62-3008.1)+(16084.3-1359.76-945.19-1172.27)</f>
        <v>105211.14000000001</v>
      </c>
      <c r="I100" s="38">
        <v>0</v>
      </c>
      <c r="J100" s="38">
        <v>0</v>
      </c>
      <c r="K100" s="38">
        <v>0</v>
      </c>
      <c r="L100" s="589">
        <f t="shared" ref="L100:L113" si="14">SUM(C100:K100)</f>
        <v>105211.14000000001</v>
      </c>
    </row>
    <row r="101" spans="1:12">
      <c r="A101" s="1077">
        <v>530015</v>
      </c>
      <c r="B101" s="1102" t="str">
        <f>VLOOKUP(A101,'Income Statement'!$A$6:$B$254,2,FALSE)</f>
        <v>Oil/Lubricants</v>
      </c>
      <c r="C101" s="38">
        <v>0</v>
      </c>
      <c r="D101" s="38">
        <v>0</v>
      </c>
      <c r="E101" s="38">
        <v>0</v>
      </c>
      <c r="F101" s="38">
        <v>0</v>
      </c>
      <c r="G101" s="38">
        <v>0</v>
      </c>
      <c r="H101" s="38">
        <v>0</v>
      </c>
      <c r="I101" s="38">
        <v>0</v>
      </c>
      <c r="J101" s="38">
        <v>0</v>
      </c>
      <c r="K101" s="38">
        <v>0</v>
      </c>
      <c r="L101" s="589">
        <f t="shared" si="14"/>
        <v>0</v>
      </c>
    </row>
    <row r="102" spans="1:12">
      <c r="A102" s="1077">
        <v>530030</v>
      </c>
      <c r="B102" s="1102" t="str">
        <f>VLOOKUP(A102,'Income Statement'!$A$6:$B$254,2,FALSE)</f>
        <v>Truck/Equip Licenses</v>
      </c>
      <c r="C102" s="38">
        <v>0</v>
      </c>
      <c r="D102" s="38">
        <v>0</v>
      </c>
      <c r="E102" s="38">
        <v>0</v>
      </c>
      <c r="F102" s="38">
        <v>0</v>
      </c>
      <c r="G102" s="38">
        <v>0</v>
      </c>
      <c r="H102" s="38">
        <v>0</v>
      </c>
      <c r="I102" s="38">
        <v>0</v>
      </c>
      <c r="J102" s="38">
        <v>0</v>
      </c>
      <c r="K102" s="38">
        <v>0</v>
      </c>
      <c r="L102" s="589">
        <f t="shared" si="14"/>
        <v>0</v>
      </c>
    </row>
    <row r="103" spans="1:12">
      <c r="A103" s="1077">
        <v>530050</v>
      </c>
      <c r="B103" s="1102" t="str">
        <f>VLOOKUP(A103,'Income Statement'!$A$6:$B$254,2,FALSE)</f>
        <v>Tolls</v>
      </c>
      <c r="C103" s="38"/>
      <c r="D103" s="38"/>
      <c r="E103" s="38"/>
      <c r="F103" s="38"/>
      <c r="G103" s="38"/>
      <c r="H103" s="38"/>
      <c r="I103" s="38"/>
      <c r="J103" s="38"/>
      <c r="K103" s="38"/>
      <c r="L103" s="589">
        <f t="shared" si="14"/>
        <v>0</v>
      </c>
    </row>
    <row r="104" spans="1:12">
      <c r="A104" s="1077">
        <v>530060</v>
      </c>
      <c r="B104" s="1102" t="str">
        <f>VLOOKUP(A104,'Income Statement'!$A$6:$B$254,2,FALSE)</f>
        <v>Equip Rental-3rd Party</v>
      </c>
      <c r="C104" s="38">
        <v>0</v>
      </c>
      <c r="D104" s="38">
        <v>0</v>
      </c>
      <c r="E104" s="38">
        <v>0</v>
      </c>
      <c r="F104" s="38">
        <v>0</v>
      </c>
      <c r="G104" s="38">
        <v>0</v>
      </c>
      <c r="H104" s="38">
        <v>0</v>
      </c>
      <c r="I104" s="38">
        <v>0</v>
      </c>
      <c r="J104" s="38">
        <v>0</v>
      </c>
      <c r="K104" s="38">
        <v>0</v>
      </c>
      <c r="L104" s="589">
        <f t="shared" si="14"/>
        <v>0</v>
      </c>
    </row>
    <row r="105" spans="1:12">
      <c r="A105" s="1077">
        <v>530064</v>
      </c>
      <c r="B105" s="1102" t="str">
        <f>VLOOKUP(A105,'Income Statement'!$A$6:$B$254,2,FALSE)</f>
        <v>Truck/Equip Rental</v>
      </c>
      <c r="C105" s="38"/>
      <c r="D105" s="38"/>
      <c r="E105" s="38"/>
      <c r="F105" s="38"/>
      <c r="G105" s="38"/>
      <c r="H105" s="38"/>
      <c r="I105" s="38"/>
      <c r="J105" s="38"/>
      <c r="K105" s="38"/>
      <c r="L105" s="589">
        <f t="shared" si="14"/>
        <v>0</v>
      </c>
    </row>
    <row r="106" spans="1:12">
      <c r="A106" s="1077">
        <v>530065</v>
      </c>
      <c r="B106" s="1102" t="str">
        <f>VLOOKUP(A106,'Income Statement'!$A$6:$B$254,2,FALSE)</f>
        <v>HENS Lease Expense</v>
      </c>
      <c r="C106" s="38">
        <v>0</v>
      </c>
      <c r="D106" s="38">
        <v>0</v>
      </c>
      <c r="E106" s="38">
        <v>0</v>
      </c>
      <c r="F106" s="38">
        <v>0</v>
      </c>
      <c r="G106" s="38">
        <v>0</v>
      </c>
      <c r="H106" s="38">
        <v>0</v>
      </c>
      <c r="I106" s="38">
        <v>0</v>
      </c>
      <c r="J106" s="38">
        <v>0</v>
      </c>
      <c r="K106" s="38">
        <v>0</v>
      </c>
      <c r="L106" s="589">
        <f t="shared" si="14"/>
        <v>0</v>
      </c>
    </row>
    <row r="107" spans="1:12">
      <c r="A107" s="1077">
        <v>530067</v>
      </c>
      <c r="B107" s="1102" t="str">
        <f>VLOOKUP(A107,'Income Statement'!$A$6:$B$254,2,FALSE)</f>
        <v>Lease Sales Tax Expense</v>
      </c>
      <c r="C107" s="38">
        <v>0</v>
      </c>
      <c r="D107" s="38">
        <v>0</v>
      </c>
      <c r="E107" s="38">
        <v>0</v>
      </c>
      <c r="F107" s="38">
        <v>0</v>
      </c>
      <c r="G107" s="38">
        <v>0</v>
      </c>
      <c r="H107" s="38">
        <v>0</v>
      </c>
      <c r="I107" s="38">
        <v>0</v>
      </c>
      <c r="J107" s="38">
        <v>0</v>
      </c>
      <c r="K107" s="38">
        <v>0</v>
      </c>
      <c r="L107" s="589">
        <f t="shared" si="14"/>
        <v>0</v>
      </c>
    </row>
    <row r="108" spans="1:12">
      <c r="A108" s="1077">
        <v>530068</v>
      </c>
      <c r="B108" s="1102" t="str">
        <f>VLOOKUP(A108,'Income Statement'!$A$6:$B$254,2,FALSE)</f>
        <v>Lease Allocation</v>
      </c>
      <c r="C108" s="38">
        <v>0</v>
      </c>
      <c r="D108" s="38">
        <v>0</v>
      </c>
      <c r="E108" s="38">
        <v>0</v>
      </c>
      <c r="F108" s="38">
        <v>0</v>
      </c>
      <c r="G108" s="38">
        <v>0</v>
      </c>
      <c r="H108" s="38">
        <v>0</v>
      </c>
      <c r="I108" s="38">
        <v>0</v>
      </c>
      <c r="J108" s="38">
        <v>0</v>
      </c>
      <c r="K108" s="38">
        <v>0</v>
      </c>
      <c r="L108" s="589">
        <f t="shared" si="14"/>
        <v>0</v>
      </c>
    </row>
    <row r="109" spans="1:12">
      <c r="A109" s="1077">
        <v>530070</v>
      </c>
      <c r="B109" s="1102" t="str">
        <f>VLOOKUP(A109,'Income Statement'!$A$6:$B$254,2,FALSE)</f>
        <v>Operating Taxes</v>
      </c>
      <c r="C109" s="38">
        <v>0</v>
      </c>
      <c r="D109" s="38">
        <v>0</v>
      </c>
      <c r="E109" s="38">
        <v>0</v>
      </c>
      <c r="F109" s="38">
        <v>0</v>
      </c>
      <c r="G109" s="38">
        <v>0</v>
      </c>
      <c r="H109" s="38">
        <v>0</v>
      </c>
      <c r="I109" s="38">
        <v>0</v>
      </c>
      <c r="J109" s="38">
        <v>0</v>
      </c>
      <c r="K109" s="38">
        <v>0</v>
      </c>
      <c r="L109" s="589">
        <f t="shared" si="14"/>
        <v>0</v>
      </c>
    </row>
    <row r="110" spans="1:12">
      <c r="A110" s="1077">
        <v>530095</v>
      </c>
      <c r="B110" s="1102" t="e">
        <f>VLOOKUP(A110,'Income Statement'!$A$6:$B$254,2,FALSE)</f>
        <v>#N/A</v>
      </c>
      <c r="C110" s="38">
        <v>0</v>
      </c>
      <c r="D110" s="38">
        <v>0</v>
      </c>
      <c r="E110" s="38">
        <v>0</v>
      </c>
      <c r="F110" s="38">
        <v>0</v>
      </c>
      <c r="G110" s="38">
        <v>0</v>
      </c>
      <c r="H110" s="38">
        <v>0</v>
      </c>
      <c r="I110" s="38">
        <v>0</v>
      </c>
      <c r="J110" s="38">
        <v>0</v>
      </c>
      <c r="K110" s="38">
        <v>0</v>
      </c>
      <c r="L110" s="589">
        <f t="shared" si="14"/>
        <v>0</v>
      </c>
    </row>
    <row r="111" spans="1:12">
      <c r="A111" s="1084">
        <v>530998</v>
      </c>
      <c r="B111" s="1102" t="str">
        <f>VLOOKUP(A111,'Income Statement'!$A$6:$B$254,2,FALSE)</f>
        <v>Operating Alloc-In</v>
      </c>
      <c r="C111" s="38">
        <v>0</v>
      </c>
      <c r="D111" s="38">
        <v>0</v>
      </c>
      <c r="E111" s="38">
        <v>0</v>
      </c>
      <c r="F111" s="38">
        <v>0</v>
      </c>
      <c r="G111" s="38">
        <v>0</v>
      </c>
      <c r="H111" s="38">
        <v>0</v>
      </c>
      <c r="I111" s="38">
        <v>0</v>
      </c>
      <c r="J111" s="38">
        <v>0</v>
      </c>
      <c r="K111" s="38">
        <v>0</v>
      </c>
      <c r="L111" s="589">
        <f t="shared" si="14"/>
        <v>0</v>
      </c>
    </row>
    <row r="112" spans="1:12">
      <c r="A112" s="1077">
        <v>530999</v>
      </c>
      <c r="B112" s="1102" t="str">
        <f>VLOOKUP(A112,'Income Statement'!$A$6:$B$254,2,FALSE)</f>
        <v>Operating Alloc-Out</v>
      </c>
      <c r="C112" s="38">
        <v>0</v>
      </c>
      <c r="D112" s="38">
        <v>0</v>
      </c>
      <c r="E112" s="38">
        <v>0</v>
      </c>
      <c r="F112" s="38">
        <v>0</v>
      </c>
      <c r="G112" s="38">
        <v>0</v>
      </c>
      <c r="H112" s="38">
        <v>0</v>
      </c>
      <c r="I112" s="38">
        <v>0</v>
      </c>
      <c r="J112" s="38">
        <v>0</v>
      </c>
      <c r="K112" s="38">
        <v>0</v>
      </c>
      <c r="L112" s="589">
        <f t="shared" si="14"/>
        <v>0</v>
      </c>
    </row>
    <row r="113" spans="1:14" ht="12">
      <c r="A113" s="1084"/>
      <c r="B113" s="1088" t="s">
        <v>536</v>
      </c>
      <c r="C113" s="576">
        <f t="shared" ref="C113:K113" si="15">SUM(C100:C112)</f>
        <v>0</v>
      </c>
      <c r="D113" s="576">
        <f t="shared" si="15"/>
        <v>0</v>
      </c>
      <c r="E113" s="576">
        <f t="shared" si="15"/>
        <v>0</v>
      </c>
      <c r="F113" s="576">
        <f t="shared" si="15"/>
        <v>0</v>
      </c>
      <c r="G113" s="576">
        <f t="shared" si="15"/>
        <v>0</v>
      </c>
      <c r="H113" s="576">
        <f t="shared" si="15"/>
        <v>105211.14000000001</v>
      </c>
      <c r="I113" s="576">
        <f t="shared" si="15"/>
        <v>0</v>
      </c>
      <c r="J113" s="576">
        <f t="shared" si="15"/>
        <v>0</v>
      </c>
      <c r="K113" s="576">
        <f t="shared" si="15"/>
        <v>0</v>
      </c>
      <c r="L113" s="590">
        <f t="shared" si="14"/>
        <v>105211.14000000001</v>
      </c>
    </row>
    <row r="114" spans="1:14">
      <c r="A114" s="1090"/>
      <c r="B114" s="1091"/>
      <c r="C114" s="38"/>
      <c r="D114" s="38"/>
      <c r="E114" s="38"/>
      <c r="F114" s="38"/>
      <c r="G114" s="38"/>
      <c r="H114" s="38"/>
      <c r="I114" s="38"/>
      <c r="J114" s="38"/>
      <c r="K114" s="38"/>
      <c r="L114" s="589"/>
    </row>
    <row r="115" spans="1:14">
      <c r="A115" s="1077">
        <v>540010</v>
      </c>
      <c r="B115" s="1102" t="str">
        <f>VLOOKUP(A115,'Income Statement'!$A$6:$B$254,2,FALSE)</f>
        <v>Parts &amp; Matls</v>
      </c>
      <c r="C115" s="38">
        <v>0</v>
      </c>
      <c r="D115" s="38">
        <v>0</v>
      </c>
      <c r="E115" s="38">
        <v>0</v>
      </c>
      <c r="F115" s="38">
        <v>0</v>
      </c>
      <c r="G115" s="38">
        <v>0</v>
      </c>
      <c r="H115" s="38">
        <v>0</v>
      </c>
      <c r="I115" s="38">
        <v>0</v>
      </c>
      <c r="J115" s="38">
        <v>0</v>
      </c>
      <c r="K115" s="38">
        <v>0</v>
      </c>
      <c r="L115" s="589">
        <f t="shared" ref="L115:L129" si="16">SUM(C115:K115)</f>
        <v>0</v>
      </c>
    </row>
    <row r="116" spans="1:14">
      <c r="A116" s="1077">
        <v>540014</v>
      </c>
      <c r="B116" s="1102" t="e">
        <f>VLOOKUP(A116,'Income Statement'!$A$6:$B$254,2,FALSE)</f>
        <v>#N/A</v>
      </c>
      <c r="C116" s="38"/>
      <c r="D116" s="38"/>
      <c r="E116" s="38"/>
      <c r="F116" s="38"/>
      <c r="G116" s="38"/>
      <c r="H116" s="38"/>
      <c r="I116" s="38"/>
      <c r="J116" s="38"/>
      <c r="K116" s="38"/>
      <c r="L116" s="589">
        <f t="shared" si="16"/>
        <v>0</v>
      </c>
    </row>
    <row r="117" spans="1:14">
      <c r="A117" s="1077">
        <v>545015</v>
      </c>
      <c r="B117" s="1102" t="e">
        <f>VLOOKUP(A117,'Income Statement'!$A$6:$B$254,2,FALSE)</f>
        <v>#N/A</v>
      </c>
      <c r="C117" s="38">
        <v>0</v>
      </c>
      <c r="D117" s="38">
        <v>0</v>
      </c>
      <c r="E117" s="38">
        <v>0</v>
      </c>
      <c r="F117" s="38">
        <v>0</v>
      </c>
      <c r="G117" s="38">
        <v>0</v>
      </c>
      <c r="H117" s="38">
        <v>0</v>
      </c>
      <c r="I117" s="38">
        <v>0</v>
      </c>
      <c r="J117" s="38">
        <v>0</v>
      </c>
      <c r="K117" s="38">
        <v>0</v>
      </c>
      <c r="L117" s="589">
        <f t="shared" si="16"/>
        <v>0</v>
      </c>
    </row>
    <row r="118" spans="1:14">
      <c r="A118" s="1077">
        <v>540020</v>
      </c>
      <c r="B118" s="1102" t="str">
        <f>VLOOKUP(A118,'Income Statement'!$A$6:$B$254,2,FALSE)</f>
        <v>Truck/Equip Supplies</v>
      </c>
      <c r="C118" s="38">
        <v>0</v>
      </c>
      <c r="D118" s="38">
        <v>0</v>
      </c>
      <c r="E118" s="38">
        <v>0</v>
      </c>
      <c r="F118" s="38">
        <v>0</v>
      </c>
      <c r="G118" s="38">
        <v>0</v>
      </c>
      <c r="H118" s="38">
        <v>0</v>
      </c>
      <c r="I118" s="38">
        <v>0</v>
      </c>
      <c r="J118" s="38">
        <v>0</v>
      </c>
      <c r="K118" s="38">
        <v>0</v>
      </c>
      <c r="L118" s="589">
        <f t="shared" si="16"/>
        <v>0</v>
      </c>
    </row>
    <row r="119" spans="1:14">
      <c r="A119" s="1077">
        <v>540030</v>
      </c>
      <c r="B119" s="1102" t="str">
        <f>VLOOKUP(A119,'Income Statement'!$A$6:$B$254,2,FALSE)</f>
        <v>New Tire Expense</v>
      </c>
      <c r="C119" s="38">
        <v>0</v>
      </c>
      <c r="D119" s="38">
        <v>0</v>
      </c>
      <c r="E119" s="38">
        <v>0</v>
      </c>
      <c r="F119" s="38">
        <v>0</v>
      </c>
      <c r="G119" s="38">
        <v>0</v>
      </c>
      <c r="H119" s="38">
        <v>0</v>
      </c>
      <c r="I119" s="38">
        <v>0</v>
      </c>
      <c r="J119" s="38">
        <v>0</v>
      </c>
      <c r="K119" s="38">
        <v>0</v>
      </c>
      <c r="L119" s="589">
        <f t="shared" si="16"/>
        <v>0</v>
      </c>
    </row>
    <row r="120" spans="1:14">
      <c r="A120" s="1077">
        <v>540031</v>
      </c>
      <c r="B120" s="1102" t="str">
        <f>VLOOKUP(A120,'Income Statement'!$A$6:$B$254,2,FALSE)</f>
        <v>Tire Repair</v>
      </c>
      <c r="C120" s="38">
        <v>0</v>
      </c>
      <c r="D120" s="38">
        <v>0</v>
      </c>
      <c r="E120" s="38">
        <v>0</v>
      </c>
      <c r="F120" s="38">
        <v>0</v>
      </c>
      <c r="G120" s="38">
        <v>0</v>
      </c>
      <c r="H120" s="38">
        <v>0</v>
      </c>
      <c r="I120" s="38">
        <v>0</v>
      </c>
      <c r="J120" s="38">
        <v>0</v>
      </c>
      <c r="K120" s="38">
        <v>0</v>
      </c>
      <c r="L120" s="589">
        <f t="shared" si="16"/>
        <v>0</v>
      </c>
    </row>
    <row r="121" spans="1:14">
      <c r="A121" s="1077">
        <v>540040</v>
      </c>
      <c r="B121" s="1102" t="str">
        <f>VLOOKUP(A121,'Income Statement'!$A$6:$B$254,2,FALSE)</f>
        <v>O/S Repair-Coll Equip</v>
      </c>
      <c r="C121" s="38"/>
      <c r="D121" s="38"/>
      <c r="E121" s="38"/>
      <c r="F121" s="38"/>
      <c r="G121" s="38"/>
      <c r="H121" s="38"/>
      <c r="I121" s="38"/>
      <c r="J121" s="38"/>
      <c r="K121" s="38"/>
      <c r="L121" s="589">
        <f t="shared" si="16"/>
        <v>0</v>
      </c>
    </row>
    <row r="122" spans="1:14">
      <c r="A122" s="1077">
        <v>540050</v>
      </c>
      <c r="B122" s="1102" t="str">
        <f>VLOOKUP(A122,'Income Statement'!$A$6:$B$254,2,FALSE)</f>
        <v>Towing</v>
      </c>
      <c r="C122" s="38">
        <v>0</v>
      </c>
      <c r="D122" s="38">
        <v>0</v>
      </c>
      <c r="E122" s="38">
        <v>0</v>
      </c>
      <c r="F122" s="38">
        <v>0</v>
      </c>
      <c r="G122" s="38">
        <v>0</v>
      </c>
      <c r="H122" s="38">
        <v>0</v>
      </c>
      <c r="I122" s="38">
        <v>0</v>
      </c>
      <c r="J122" s="38">
        <v>0</v>
      </c>
      <c r="K122" s="38">
        <v>0</v>
      </c>
      <c r="L122" s="589">
        <f t="shared" si="16"/>
        <v>0</v>
      </c>
    </row>
    <row r="123" spans="1:14">
      <c r="A123" s="1077">
        <v>540090</v>
      </c>
      <c r="B123" s="1102" t="str">
        <f>VLOOKUP(A123,'Income Statement'!$A$6:$B$254,2,FALSE)</f>
        <v>Truck &amp; Equip Washing</v>
      </c>
      <c r="C123" s="38">
        <v>0</v>
      </c>
      <c r="D123" s="38">
        <v>0</v>
      </c>
      <c r="E123" s="38">
        <v>0</v>
      </c>
      <c r="F123" s="38">
        <v>0</v>
      </c>
      <c r="G123" s="38">
        <v>0</v>
      </c>
      <c r="H123" s="38">
        <v>0</v>
      </c>
      <c r="I123" s="38">
        <v>0</v>
      </c>
      <c r="J123" s="38">
        <v>0</v>
      </c>
      <c r="K123" s="38">
        <v>0</v>
      </c>
      <c r="L123" s="589">
        <f t="shared" si="16"/>
        <v>0</v>
      </c>
      <c r="N123" t="s">
        <v>1361</v>
      </c>
    </row>
    <row r="124" spans="1:14">
      <c r="A124" s="1077">
        <v>540095</v>
      </c>
      <c r="B124" s="1102" t="str">
        <f>VLOOKUP(A124,'Income Statement'!$A$6:$B$254,2,FALSE)</f>
        <v>Other Repairs &amp; Maint</v>
      </c>
      <c r="C124" s="38">
        <v>0</v>
      </c>
      <c r="D124" s="38">
        <v>0</v>
      </c>
      <c r="E124" s="38">
        <v>0</v>
      </c>
      <c r="F124" s="38">
        <v>0</v>
      </c>
      <c r="G124" s="38">
        <v>0</v>
      </c>
      <c r="H124" s="38">
        <v>0</v>
      </c>
      <c r="I124" s="38">
        <v>0</v>
      </c>
      <c r="J124" s="38">
        <v>0</v>
      </c>
      <c r="K124" s="38">
        <v>0</v>
      </c>
      <c r="L124" s="589">
        <f t="shared" si="16"/>
        <v>0</v>
      </c>
    </row>
    <row r="125" spans="1:14">
      <c r="A125" s="1077">
        <v>540991</v>
      </c>
      <c r="B125" s="1102" t="str">
        <f>VLOOKUP(A125,'Income Statement'!$A$6:$B$254,2,FALSE)</f>
        <v>T/E Damage-Acc/A&amp;M Contra</v>
      </c>
      <c r="C125" s="38">
        <v>0</v>
      </c>
      <c r="D125" s="38">
        <v>0</v>
      </c>
      <c r="E125" s="38">
        <v>0</v>
      </c>
      <c r="F125" s="38">
        <v>0</v>
      </c>
      <c r="G125" s="38">
        <v>0</v>
      </c>
      <c r="H125" s="38">
        <v>0</v>
      </c>
      <c r="I125" s="38">
        <v>0</v>
      </c>
      <c r="J125" s="38">
        <v>0</v>
      </c>
      <c r="K125" s="38">
        <v>0</v>
      </c>
      <c r="L125" s="589">
        <f t="shared" si="16"/>
        <v>0</v>
      </c>
    </row>
    <row r="126" spans="1:14">
      <c r="A126" s="1077">
        <v>540997</v>
      </c>
      <c r="B126" s="1102" t="str">
        <f>VLOOKUP(A126,'Income Statement'!$A$6:$B$254,2,FALSE)</f>
        <v>TShop Labor Alloc-In.</v>
      </c>
      <c r="C126" s="38">
        <v>0</v>
      </c>
      <c r="D126" s="38">
        <v>0</v>
      </c>
      <c r="E126" s="38">
        <v>0</v>
      </c>
      <c r="F126" s="38">
        <v>0</v>
      </c>
      <c r="G126" s="38">
        <v>0</v>
      </c>
      <c r="H126" s="38">
        <v>0</v>
      </c>
      <c r="I126" s="38">
        <v>0</v>
      </c>
      <c r="J126" s="38">
        <v>0</v>
      </c>
      <c r="K126" s="38">
        <v>0</v>
      </c>
      <c r="L126" s="589">
        <f t="shared" si="16"/>
        <v>0</v>
      </c>
    </row>
    <row r="127" spans="1:14">
      <c r="A127" s="1077">
        <v>540998</v>
      </c>
      <c r="B127" s="1102" t="str">
        <f>VLOOKUP(A127,'Income Statement'!$A$6:$B$254,2,FALSE)</f>
        <v>Trk/Equip Expense Alloc-In</v>
      </c>
      <c r="C127" s="38">
        <f t="shared" ref="C127:K127" si="17">-C87</f>
        <v>0</v>
      </c>
      <c r="D127" s="38">
        <f t="shared" si="17"/>
        <v>0</v>
      </c>
      <c r="E127" s="38">
        <f>-E87</f>
        <v>41548.688433128962</v>
      </c>
      <c r="F127" s="38">
        <f t="shared" si="17"/>
        <v>0</v>
      </c>
      <c r="G127" s="38">
        <f t="shared" si="17"/>
        <v>0</v>
      </c>
      <c r="H127" s="38">
        <f t="shared" si="17"/>
        <v>0</v>
      </c>
      <c r="I127" s="38">
        <f t="shared" si="17"/>
        <v>0</v>
      </c>
      <c r="J127" s="38">
        <f t="shared" si="17"/>
        <v>0</v>
      </c>
      <c r="K127" s="38">
        <f t="shared" si="17"/>
        <v>0</v>
      </c>
      <c r="L127" s="589">
        <f t="shared" si="16"/>
        <v>41548.688433128962</v>
      </c>
    </row>
    <row r="128" spans="1:14">
      <c r="A128" s="1077">
        <v>540999</v>
      </c>
      <c r="B128" s="1102" t="str">
        <f>VLOOKUP(A128,'Income Statement'!$A$6:$B$254,2,FALSE)</f>
        <v>Trk/Equip Expense Alloc-Out</v>
      </c>
      <c r="C128" s="38">
        <v>0</v>
      </c>
      <c r="D128" s="38">
        <v>0</v>
      </c>
      <c r="E128" s="38">
        <v>0</v>
      </c>
      <c r="F128" s="38">
        <v>0</v>
      </c>
      <c r="G128" s="38">
        <v>0</v>
      </c>
      <c r="H128" s="38">
        <v>0</v>
      </c>
      <c r="I128" s="38">
        <v>0</v>
      </c>
      <c r="J128" s="38">
        <v>0</v>
      </c>
      <c r="K128" s="38">
        <v>0</v>
      </c>
      <c r="L128" s="589">
        <f t="shared" si="16"/>
        <v>0</v>
      </c>
    </row>
    <row r="129" spans="1:12" ht="12">
      <c r="A129" s="1084"/>
      <c r="B129" s="1088" t="s">
        <v>537</v>
      </c>
      <c r="C129" s="576">
        <f t="shared" ref="C129:K129" si="18">SUM(C115:C128)</f>
        <v>0</v>
      </c>
      <c r="D129" s="576">
        <f t="shared" si="18"/>
        <v>0</v>
      </c>
      <c r="E129" s="576">
        <f t="shared" si="18"/>
        <v>41548.688433128962</v>
      </c>
      <c r="F129" s="576">
        <f t="shared" si="18"/>
        <v>0</v>
      </c>
      <c r="G129" s="576">
        <f t="shared" si="18"/>
        <v>0</v>
      </c>
      <c r="H129" s="576">
        <f t="shared" si="18"/>
        <v>0</v>
      </c>
      <c r="I129" s="576">
        <f t="shared" si="18"/>
        <v>0</v>
      </c>
      <c r="J129" s="576">
        <f t="shared" si="18"/>
        <v>0</v>
      </c>
      <c r="K129" s="576">
        <f t="shared" si="18"/>
        <v>0</v>
      </c>
      <c r="L129" s="590">
        <f t="shared" si="16"/>
        <v>41548.688433128962</v>
      </c>
    </row>
    <row r="130" spans="1:12">
      <c r="A130" s="1090"/>
      <c r="B130" s="1097"/>
      <c r="C130" s="38"/>
      <c r="D130" s="38"/>
      <c r="E130" s="38"/>
      <c r="F130" s="38"/>
      <c r="G130" s="38"/>
      <c r="H130" s="38"/>
      <c r="I130" s="38"/>
      <c r="J130" s="38"/>
      <c r="K130" s="38"/>
      <c r="L130" s="589"/>
    </row>
    <row r="131" spans="1:12">
      <c r="A131" s="1077">
        <v>545010</v>
      </c>
      <c r="B131" s="1102" t="str">
        <f>VLOOKUP(A131,'Income Statement'!$A$6:$B$254,2,FALSE)</f>
        <v>Cont/Comp Parts &amp; Matls</v>
      </c>
      <c r="C131" s="38">
        <v>0</v>
      </c>
      <c r="D131" s="38">
        <v>0</v>
      </c>
      <c r="E131" s="38">
        <v>0</v>
      </c>
      <c r="F131" s="38">
        <v>0</v>
      </c>
      <c r="G131" s="38">
        <v>0</v>
      </c>
      <c r="H131" s="38">
        <v>0</v>
      </c>
      <c r="I131" s="38">
        <v>0</v>
      </c>
      <c r="J131" s="38">
        <v>0</v>
      </c>
      <c r="K131" s="38">
        <v>0</v>
      </c>
      <c r="L131" s="589">
        <f t="shared" ref="L131:L143" si="19">SUM(C131:K131)</f>
        <v>0</v>
      </c>
    </row>
    <row r="132" spans="1:12">
      <c r="A132" s="1077">
        <v>545015</v>
      </c>
      <c r="B132" s="1102" t="e">
        <f>VLOOKUP(A132,'Income Statement'!$A$6:$B$254,2,FALSE)</f>
        <v>#N/A</v>
      </c>
      <c r="C132" s="38">
        <v>0</v>
      </c>
      <c r="D132" s="38">
        <v>0</v>
      </c>
      <c r="E132" s="38">
        <v>0</v>
      </c>
      <c r="F132" s="38">
        <v>0</v>
      </c>
      <c r="G132" s="38">
        <v>0</v>
      </c>
      <c r="H132" s="38">
        <v>0</v>
      </c>
      <c r="I132" s="38">
        <v>0</v>
      </c>
      <c r="J132" s="38">
        <v>0</v>
      </c>
      <c r="K132" s="38">
        <v>0</v>
      </c>
      <c r="L132" s="589">
        <f t="shared" si="19"/>
        <v>0</v>
      </c>
    </row>
    <row r="133" spans="1:12">
      <c r="A133" s="1077">
        <v>545020</v>
      </c>
      <c r="B133" s="1102" t="e">
        <f>VLOOKUP(A133,'Income Statement'!$A$6:$B$254,2,FALSE)</f>
        <v>#N/A</v>
      </c>
      <c r="C133" s="38">
        <v>0</v>
      </c>
      <c r="D133" s="38">
        <v>0</v>
      </c>
      <c r="E133" s="38">
        <v>0</v>
      </c>
      <c r="F133" s="38">
        <v>0</v>
      </c>
      <c r="G133" s="38">
        <v>0</v>
      </c>
      <c r="H133" s="38">
        <v>0</v>
      </c>
      <c r="I133" s="38">
        <v>0</v>
      </c>
      <c r="J133" s="38">
        <v>0</v>
      </c>
      <c r="K133" s="38">
        <v>0</v>
      </c>
      <c r="L133" s="589">
        <f t="shared" si="19"/>
        <v>0</v>
      </c>
    </row>
    <row r="134" spans="1:12">
      <c r="A134" s="1077">
        <v>545025</v>
      </c>
      <c r="B134" s="1102" t="e">
        <f>VLOOKUP(A134,'Income Statement'!$A$6:$B$254,2,FALSE)</f>
        <v>#N/A</v>
      </c>
      <c r="C134" s="38">
        <v>0</v>
      </c>
      <c r="D134" s="38">
        <v>0</v>
      </c>
      <c r="E134" s="38">
        <v>0</v>
      </c>
      <c r="F134" s="38">
        <v>0</v>
      </c>
      <c r="G134" s="38">
        <v>0</v>
      </c>
      <c r="H134" s="38">
        <v>0</v>
      </c>
      <c r="I134" s="38">
        <v>0</v>
      </c>
      <c r="J134" s="38">
        <v>0</v>
      </c>
      <c r="K134" s="38">
        <v>0</v>
      </c>
      <c r="L134" s="589">
        <f t="shared" si="19"/>
        <v>0</v>
      </c>
    </row>
    <row r="135" spans="1:12">
      <c r="A135" s="1077">
        <v>545030</v>
      </c>
      <c r="B135" s="1102" t="e">
        <f>VLOOKUP(A135,'Income Statement'!$A$6:$B$254,2,FALSE)</f>
        <v>#N/A</v>
      </c>
      <c r="C135" s="38">
        <v>0</v>
      </c>
      <c r="D135" s="38">
        <v>0</v>
      </c>
      <c r="E135" s="38">
        <v>0</v>
      </c>
      <c r="F135" s="38">
        <v>0</v>
      </c>
      <c r="G135" s="38">
        <v>0</v>
      </c>
      <c r="H135" s="38">
        <v>0</v>
      </c>
      <c r="I135" s="38">
        <v>0</v>
      </c>
      <c r="J135" s="38">
        <v>0</v>
      </c>
      <c r="K135" s="38">
        <v>0</v>
      </c>
      <c r="L135" s="589">
        <f t="shared" si="19"/>
        <v>0</v>
      </c>
    </row>
    <row r="136" spans="1:12">
      <c r="A136" s="1077">
        <v>545035</v>
      </c>
      <c r="B136" s="1102" t="str">
        <f>VLOOKUP(A136,'Income Statement'!$A$6:$B$254,2,FALSE)</f>
        <v>Cont/Comp Supplies</v>
      </c>
      <c r="C136" s="38">
        <v>0</v>
      </c>
      <c r="D136" s="38">
        <v>0</v>
      </c>
      <c r="E136" s="38">
        <v>0</v>
      </c>
      <c r="F136" s="38">
        <v>0</v>
      </c>
      <c r="G136" s="38">
        <v>0</v>
      </c>
      <c r="H136" s="38">
        <v>0</v>
      </c>
      <c r="I136" s="38">
        <v>0</v>
      </c>
      <c r="J136" s="38">
        <v>0</v>
      </c>
      <c r="K136" s="38">
        <v>0</v>
      </c>
      <c r="L136" s="589">
        <f t="shared" si="19"/>
        <v>0</v>
      </c>
    </row>
    <row r="137" spans="1:12">
      <c r="A137" s="1077">
        <v>545040</v>
      </c>
      <c r="B137" s="1102" t="str">
        <f>VLOOKUP(A137,'Income Statement'!$A$6:$B$254,2,FALSE)</f>
        <v>Cont/Comp O/S Repairs</v>
      </c>
      <c r="C137" s="38">
        <v>0</v>
      </c>
      <c r="D137" s="38">
        <v>0</v>
      </c>
      <c r="E137" s="38">
        <v>0</v>
      </c>
      <c r="F137" s="38">
        <v>0</v>
      </c>
      <c r="G137" s="38">
        <v>0</v>
      </c>
      <c r="H137" s="38">
        <v>0</v>
      </c>
      <c r="I137" s="38">
        <v>0</v>
      </c>
      <c r="J137" s="38">
        <v>0</v>
      </c>
      <c r="K137" s="38">
        <v>0</v>
      </c>
      <c r="L137" s="589">
        <f t="shared" si="19"/>
        <v>0</v>
      </c>
    </row>
    <row r="138" spans="1:12">
      <c r="A138" s="1077">
        <v>545090</v>
      </c>
      <c r="B138" s="1102" t="str">
        <f>VLOOKUP(A138,'Income Statement'!$A$6:$B$254,2,FALSE)</f>
        <v>Cont/Comp Equip Wash</v>
      </c>
      <c r="C138" s="38">
        <v>0</v>
      </c>
      <c r="D138" s="38">
        <v>0</v>
      </c>
      <c r="E138" s="38">
        <v>0</v>
      </c>
      <c r="F138" s="38">
        <v>0</v>
      </c>
      <c r="G138" s="38">
        <v>0</v>
      </c>
      <c r="H138" s="38">
        <v>0</v>
      </c>
      <c r="I138" s="38">
        <v>0</v>
      </c>
      <c r="J138" s="38">
        <v>0</v>
      </c>
      <c r="K138" s="38">
        <v>0</v>
      </c>
      <c r="L138" s="589">
        <f t="shared" si="19"/>
        <v>0</v>
      </c>
    </row>
    <row r="139" spans="1:12">
      <c r="A139" s="1077">
        <v>545095</v>
      </c>
      <c r="B139" s="1102" t="str">
        <f>VLOOKUP(A139,'Income Statement'!$A$6:$B$254,2,FALSE)</f>
        <v>Cont/Comp Other Maint</v>
      </c>
      <c r="C139" s="38">
        <v>0</v>
      </c>
      <c r="D139" s="38">
        <v>0</v>
      </c>
      <c r="E139" s="38">
        <v>0</v>
      </c>
      <c r="F139" s="38">
        <v>0</v>
      </c>
      <c r="G139" s="38">
        <v>0</v>
      </c>
      <c r="H139" s="38">
        <v>0</v>
      </c>
      <c r="I139" s="38">
        <v>0</v>
      </c>
      <c r="J139" s="38">
        <v>0</v>
      </c>
      <c r="K139" s="38">
        <v>0</v>
      </c>
      <c r="L139" s="589">
        <f t="shared" si="19"/>
        <v>0</v>
      </c>
    </row>
    <row r="140" spans="1:12">
      <c r="A140" s="1077">
        <v>545997</v>
      </c>
      <c r="B140" s="1102" t="str">
        <f>VLOOKUP(A140,'Income Statement'!$A$6:$B$254,2,FALSE)</f>
        <v>CShop Labor  Alloc-In</v>
      </c>
      <c r="C140" s="38">
        <v>0</v>
      </c>
      <c r="D140" s="38">
        <v>0</v>
      </c>
      <c r="E140" s="38">
        <v>0</v>
      </c>
      <c r="F140" s="38">
        <v>0</v>
      </c>
      <c r="G140" s="38">
        <v>0</v>
      </c>
      <c r="H140" s="38">
        <v>0</v>
      </c>
      <c r="I140" s="38">
        <v>0</v>
      </c>
      <c r="J140" s="38">
        <v>0</v>
      </c>
      <c r="K140" s="38">
        <v>0</v>
      </c>
      <c r="L140" s="589">
        <f t="shared" si="19"/>
        <v>0</v>
      </c>
    </row>
    <row r="141" spans="1:12">
      <c r="A141" s="1077">
        <v>545998</v>
      </c>
      <c r="B141" s="1102" t="str">
        <f>VLOOKUP(A141,'Income Statement'!$A$6:$B$254,2,FALSE)</f>
        <v>Cont/Comp Expense Alloc-In</v>
      </c>
      <c r="C141" s="38">
        <f>-C98</f>
        <v>0</v>
      </c>
      <c r="D141" s="38">
        <f t="shared" ref="D141:K141" si="20">-D98</f>
        <v>0</v>
      </c>
      <c r="E141" s="38">
        <f t="shared" si="20"/>
        <v>0</v>
      </c>
      <c r="F141" s="38">
        <f t="shared" si="20"/>
        <v>0</v>
      </c>
      <c r="G141" s="38">
        <f t="shared" si="20"/>
        <v>0</v>
      </c>
      <c r="H141" s="38">
        <f t="shared" si="20"/>
        <v>0</v>
      </c>
      <c r="I141" s="38">
        <f t="shared" si="20"/>
        <v>0</v>
      </c>
      <c r="J141" s="38">
        <f t="shared" si="20"/>
        <v>0</v>
      </c>
      <c r="K141" s="38">
        <f t="shared" si="20"/>
        <v>0</v>
      </c>
      <c r="L141" s="589">
        <f t="shared" si="19"/>
        <v>0</v>
      </c>
    </row>
    <row r="142" spans="1:12">
      <c r="A142" s="1077">
        <v>545999</v>
      </c>
      <c r="B142" s="1102" t="str">
        <f>VLOOKUP(A142,'Income Statement'!$A$6:$B$254,2,FALSE)</f>
        <v>Cont/Comp Expense Alloc-Out</v>
      </c>
      <c r="C142" s="38">
        <v>0</v>
      </c>
      <c r="D142" s="38">
        <v>0</v>
      </c>
      <c r="E142" s="38">
        <v>0</v>
      </c>
      <c r="F142" s="38">
        <v>0</v>
      </c>
      <c r="G142" s="38">
        <v>0</v>
      </c>
      <c r="H142" s="38">
        <v>0</v>
      </c>
      <c r="I142" s="38">
        <v>0</v>
      </c>
      <c r="J142" s="38">
        <v>0</v>
      </c>
      <c r="K142" s="38">
        <v>0</v>
      </c>
      <c r="L142" s="589">
        <f t="shared" si="19"/>
        <v>0</v>
      </c>
    </row>
    <row r="143" spans="1:12" ht="12">
      <c r="A143" s="1084"/>
      <c r="B143" s="1088" t="s">
        <v>554</v>
      </c>
      <c r="C143" s="576">
        <f t="shared" ref="C143:K143" si="21">SUM(C131:C142)</f>
        <v>0</v>
      </c>
      <c r="D143" s="576">
        <f t="shared" si="21"/>
        <v>0</v>
      </c>
      <c r="E143" s="576">
        <f t="shared" si="21"/>
        <v>0</v>
      </c>
      <c r="F143" s="576">
        <f t="shared" si="21"/>
        <v>0</v>
      </c>
      <c r="G143" s="576">
        <f t="shared" si="21"/>
        <v>0</v>
      </c>
      <c r="H143" s="576">
        <f t="shared" si="21"/>
        <v>0</v>
      </c>
      <c r="I143" s="576">
        <f t="shared" si="21"/>
        <v>0</v>
      </c>
      <c r="J143" s="576">
        <f t="shared" si="21"/>
        <v>0</v>
      </c>
      <c r="K143" s="576">
        <f t="shared" si="21"/>
        <v>0</v>
      </c>
      <c r="L143" s="590">
        <f t="shared" si="19"/>
        <v>0</v>
      </c>
    </row>
    <row r="144" spans="1:12">
      <c r="A144" s="1090"/>
      <c r="B144" s="1097"/>
      <c r="C144" s="38"/>
      <c r="D144" s="38"/>
      <c r="E144" s="38"/>
      <c r="F144" s="38"/>
      <c r="G144" s="38"/>
      <c r="H144" s="38"/>
      <c r="I144" s="38"/>
      <c r="J144" s="24"/>
      <c r="K144" s="24"/>
      <c r="L144" s="591"/>
    </row>
    <row r="145" spans="1:19">
      <c r="A145" s="1077">
        <v>565002</v>
      </c>
      <c r="B145" s="1102" t="str">
        <f>VLOOKUP(A145,'Income Statement'!$A$6:$B$254,2,FALSE)</f>
        <v>Corp Ins-Fixed AL/GL</v>
      </c>
      <c r="C145" s="38">
        <v>0</v>
      </c>
      <c r="D145" s="38">
        <v>0</v>
      </c>
      <c r="E145" s="38">
        <v>0</v>
      </c>
      <c r="F145" s="38">
        <v>0</v>
      </c>
      <c r="G145" s="38">
        <v>0</v>
      </c>
      <c r="H145" s="38">
        <v>0</v>
      </c>
      <c r="I145" s="38">
        <v>0</v>
      </c>
      <c r="J145" s="38">
        <v>0</v>
      </c>
      <c r="K145" s="38">
        <v>0</v>
      </c>
      <c r="L145" s="589">
        <f t="shared" ref="L145:L158" si="22">SUM(C145:K145)</f>
        <v>0</v>
      </c>
    </row>
    <row r="146" spans="1:19">
      <c r="A146" s="1077">
        <v>565006</v>
      </c>
      <c r="B146" s="1102" t="str">
        <f>VLOOKUP(A146,'Income Statement'!$A$6:$B$254,2,FALSE)</f>
        <v>AW Self Ins WC/Premium Exp</v>
      </c>
      <c r="C146" s="38">
        <f>'[10]Recon &amp; PF Adj'!$B$31</f>
        <v>-222415.70512098828</v>
      </c>
      <c r="D146" s="38">
        <v>0</v>
      </c>
      <c r="E146" s="38">
        <v>0</v>
      </c>
      <c r="F146" s="38">
        <v>0</v>
      </c>
      <c r="G146" s="38">
        <v>0</v>
      </c>
      <c r="H146" s="38">
        <v>0</v>
      </c>
      <c r="I146" s="38">
        <v>0</v>
      </c>
      <c r="J146" s="38">
        <v>0</v>
      </c>
      <c r="K146" s="38">
        <v>0</v>
      </c>
      <c r="L146" s="589">
        <f t="shared" si="22"/>
        <v>-222415.70512098828</v>
      </c>
    </row>
    <row r="147" spans="1:19">
      <c r="A147" s="1077">
        <v>565008</v>
      </c>
      <c r="B147" s="1102" t="str">
        <f>VLOOKUP(A147,'Income Statement'!$A$6:$B$254,2,FALSE)</f>
        <v>Corp Ins-Fixed Other</v>
      </c>
      <c r="C147" s="38">
        <v>0</v>
      </c>
      <c r="D147" s="38">
        <v>0</v>
      </c>
      <c r="E147" s="38">
        <v>0</v>
      </c>
      <c r="F147" s="38">
        <v>0</v>
      </c>
      <c r="G147" s="38">
        <v>0</v>
      </c>
      <c r="H147" s="38">
        <v>0</v>
      </c>
      <c r="I147" s="38">
        <v>0</v>
      </c>
      <c r="J147" s="38">
        <v>0</v>
      </c>
      <c r="K147" s="38">
        <v>0</v>
      </c>
      <c r="L147" s="589">
        <f t="shared" si="22"/>
        <v>0</v>
      </c>
    </row>
    <row r="148" spans="1:19">
      <c r="A148" s="1077">
        <v>565012</v>
      </c>
      <c r="B148" s="1102" t="str">
        <f>VLOOKUP(A148,'Income Statement'!$A$6:$B$254,2,FALSE)</f>
        <v>Corp Ins-Occur AL/GL</v>
      </c>
      <c r="C148" s="38">
        <v>0</v>
      </c>
      <c r="D148" s="38">
        <v>0</v>
      </c>
      <c r="E148" s="38">
        <v>0</v>
      </c>
      <c r="F148" s="38">
        <v>0</v>
      </c>
      <c r="G148" s="38">
        <v>0</v>
      </c>
      <c r="H148" s="38">
        <v>0</v>
      </c>
      <c r="I148" s="38">
        <v>0</v>
      </c>
      <c r="J148" s="38">
        <v>0</v>
      </c>
      <c r="K148" s="38">
        <v>0</v>
      </c>
      <c r="L148" s="589">
        <f t="shared" si="22"/>
        <v>0</v>
      </c>
    </row>
    <row r="149" spans="1:19">
      <c r="A149" s="1077">
        <v>565030</v>
      </c>
      <c r="B149" s="1102" t="str">
        <f>VLOOKUP(A149,'Income Statement'!$A$6:$B$254,2,FALSE)</f>
        <v>Non-Corp Ins-W/C</v>
      </c>
      <c r="C149" s="38">
        <v>0</v>
      </c>
      <c r="D149" s="38">
        <v>0</v>
      </c>
      <c r="E149" s="38">
        <v>0</v>
      </c>
      <c r="F149" s="38">
        <v>0</v>
      </c>
      <c r="G149" s="38">
        <v>0</v>
      </c>
      <c r="H149" s="38">
        <v>0</v>
      </c>
      <c r="I149" s="38">
        <v>0</v>
      </c>
      <c r="J149" s="38">
        <v>0</v>
      </c>
      <c r="K149" s="38">
        <v>0</v>
      </c>
      <c r="L149" s="589">
        <f t="shared" si="22"/>
        <v>0</v>
      </c>
    </row>
    <row r="150" spans="1:19">
      <c r="A150" s="1077">
        <v>565040</v>
      </c>
      <c r="B150" s="1102" t="str">
        <f>VLOOKUP(A150,'Income Statement'!$A$6:$B$254,2,FALSE)</f>
        <v>Damage-RSG Prop Non-AM</v>
      </c>
      <c r="C150" s="38">
        <v>0</v>
      </c>
      <c r="D150" s="38">
        <v>0</v>
      </c>
      <c r="E150" s="38">
        <v>0</v>
      </c>
      <c r="F150" s="38">
        <v>0</v>
      </c>
      <c r="G150" s="38">
        <v>0</v>
      </c>
      <c r="H150" s="38">
        <v>0</v>
      </c>
      <c r="I150" s="38">
        <v>0</v>
      </c>
      <c r="J150" s="38">
        <v>0</v>
      </c>
      <c r="K150" s="38">
        <v>0</v>
      </c>
      <c r="L150" s="589">
        <f t="shared" si="22"/>
        <v>0</v>
      </c>
    </row>
    <row r="151" spans="1:19">
      <c r="A151" s="1077">
        <v>565045</v>
      </c>
      <c r="B151" s="1102" t="str">
        <f>VLOOKUP(A151,'Income Statement'!$A$6:$B$254,2,FALSE)</f>
        <v>Surety Cost</v>
      </c>
      <c r="C151" s="38">
        <v>0</v>
      </c>
      <c r="D151" s="38">
        <v>0</v>
      </c>
      <c r="E151" s="38">
        <v>0</v>
      </c>
      <c r="F151" s="38">
        <v>0</v>
      </c>
      <c r="G151" s="38">
        <v>0</v>
      </c>
      <c r="H151" s="38">
        <v>0</v>
      </c>
      <c r="I151" s="38">
        <v>0</v>
      </c>
      <c r="J151" s="38">
        <v>0</v>
      </c>
      <c r="K151" s="38">
        <v>0</v>
      </c>
      <c r="L151" s="589">
        <f t="shared" si="22"/>
        <v>0</v>
      </c>
    </row>
    <row r="152" spans="1:19">
      <c r="A152" s="1077">
        <v>565080</v>
      </c>
      <c r="B152" s="1102" t="str">
        <f>VLOOKUP(A152,'Income Statement'!$A$6:$B$254,2,FALSE)</f>
        <v>Hiring, Training &amp; Safety</v>
      </c>
      <c r="C152" s="38">
        <v>0</v>
      </c>
      <c r="D152" s="38">
        <v>0</v>
      </c>
      <c r="E152" s="38">
        <v>0</v>
      </c>
      <c r="F152" s="38">
        <v>0</v>
      </c>
      <c r="G152" s="38">
        <v>0</v>
      </c>
      <c r="H152" s="38">
        <v>0</v>
      </c>
      <c r="I152" s="38">
        <v>0</v>
      </c>
      <c r="J152" s="38">
        <v>0</v>
      </c>
      <c r="K152" s="38">
        <v>0</v>
      </c>
      <c r="L152" s="589">
        <f t="shared" si="22"/>
        <v>0</v>
      </c>
    </row>
    <row r="153" spans="1:19">
      <c r="A153" s="1077">
        <v>565081</v>
      </c>
      <c r="B153" s="1102" t="str">
        <f>VLOOKUP(A153,'Income Statement'!$A$6:$B$254,2,FALSE)</f>
        <v>Safety Equipment</v>
      </c>
      <c r="C153" s="38">
        <v>0</v>
      </c>
      <c r="D153" s="38">
        <v>0</v>
      </c>
      <c r="E153" s="38">
        <v>0</v>
      </c>
      <c r="F153" s="38">
        <v>0</v>
      </c>
      <c r="G153" s="38">
        <v>0</v>
      </c>
      <c r="H153" s="38">
        <v>0</v>
      </c>
      <c r="I153" s="38">
        <v>0</v>
      </c>
      <c r="J153" s="38">
        <v>0</v>
      </c>
      <c r="K153" s="38">
        <v>0</v>
      </c>
      <c r="L153" s="589">
        <f t="shared" si="22"/>
        <v>0</v>
      </c>
    </row>
    <row r="154" spans="1:19">
      <c r="A154" s="1077">
        <v>565082</v>
      </c>
      <c r="B154" s="1102" t="str">
        <f>VLOOKUP(A154,'Income Statement'!$A$6:$B$254,2,FALSE)</f>
        <v>Safety Incentive Program</v>
      </c>
      <c r="C154" s="38">
        <v>0</v>
      </c>
      <c r="D154" s="38">
        <v>0</v>
      </c>
      <c r="E154" s="38">
        <v>0</v>
      </c>
      <c r="F154" s="38">
        <v>0</v>
      </c>
      <c r="G154" s="38">
        <v>0</v>
      </c>
      <c r="H154" s="38">
        <v>0</v>
      </c>
      <c r="I154" s="38">
        <v>0</v>
      </c>
      <c r="J154" s="38">
        <v>0</v>
      </c>
      <c r="K154" s="38">
        <v>0</v>
      </c>
      <c r="L154" s="589">
        <f t="shared" si="22"/>
        <v>0</v>
      </c>
    </row>
    <row r="155" spans="1:19">
      <c r="A155" s="1084">
        <v>565083</v>
      </c>
      <c r="B155" s="1102" t="str">
        <f>VLOOKUP(A155,'Income Statement'!$A$6:$B$254,2,FALSE)</f>
        <v>Medical/Physicals</v>
      </c>
      <c r="C155" s="38">
        <v>0</v>
      </c>
      <c r="D155" s="38">
        <v>0</v>
      </c>
      <c r="E155" s="38">
        <v>0</v>
      </c>
      <c r="F155" s="38">
        <v>0</v>
      </c>
      <c r="G155" s="38">
        <v>0</v>
      </c>
      <c r="H155" s="38">
        <v>0</v>
      </c>
      <c r="I155" s="38">
        <v>0</v>
      </c>
      <c r="J155" s="38">
        <v>0</v>
      </c>
      <c r="K155" s="38">
        <v>0</v>
      </c>
      <c r="L155" s="589">
        <f t="shared" si="22"/>
        <v>0</v>
      </c>
    </row>
    <row r="156" spans="1:19">
      <c r="A156" s="1077">
        <v>565998</v>
      </c>
      <c r="B156" s="1102" t="str">
        <f>VLOOKUP(A156,'Income Statement'!$A$6:$B$254,2,FALSE)</f>
        <v>Insurance Alloc-In</v>
      </c>
      <c r="C156" s="38">
        <v>0</v>
      </c>
      <c r="D156" s="38">
        <v>0</v>
      </c>
      <c r="E156" s="38">
        <v>0</v>
      </c>
      <c r="F156" s="38">
        <v>0</v>
      </c>
      <c r="G156" s="38">
        <v>0</v>
      </c>
      <c r="H156" s="38">
        <v>0</v>
      </c>
      <c r="I156" s="38">
        <v>0</v>
      </c>
      <c r="J156" s="38">
        <v>0</v>
      </c>
      <c r="K156" s="38">
        <v>0</v>
      </c>
      <c r="L156" s="589">
        <f>SUM(C156:K156)</f>
        <v>0</v>
      </c>
    </row>
    <row r="157" spans="1:19">
      <c r="A157" s="1077">
        <v>565999</v>
      </c>
      <c r="B157" s="1102" t="str">
        <f>VLOOKUP(A157,'Income Statement'!$A$6:$B$254,2,FALSE)</f>
        <v>Insurance Alloc-Out</v>
      </c>
      <c r="C157" s="38">
        <v>0</v>
      </c>
      <c r="D157" s="38">
        <v>0</v>
      </c>
      <c r="E157" s="38">
        <v>0</v>
      </c>
      <c r="F157" s="38">
        <v>0</v>
      </c>
      <c r="G157" s="38">
        <v>0</v>
      </c>
      <c r="H157" s="38">
        <v>0</v>
      </c>
      <c r="I157" s="38">
        <v>0</v>
      </c>
      <c r="J157" s="38">
        <v>0</v>
      </c>
      <c r="K157" s="38">
        <v>0</v>
      </c>
      <c r="L157" s="589">
        <f t="shared" si="22"/>
        <v>0</v>
      </c>
    </row>
    <row r="158" spans="1:19" ht="12">
      <c r="A158" s="1084"/>
      <c r="B158" s="1088" t="s">
        <v>538</v>
      </c>
      <c r="C158" s="576">
        <f t="shared" ref="C158:K158" si="23">SUM(C145:C157)</f>
        <v>-222415.70512098828</v>
      </c>
      <c r="D158" s="576">
        <f t="shared" si="23"/>
        <v>0</v>
      </c>
      <c r="E158" s="576">
        <f t="shared" si="23"/>
        <v>0</v>
      </c>
      <c r="F158" s="576">
        <f t="shared" si="23"/>
        <v>0</v>
      </c>
      <c r="G158" s="576">
        <f t="shared" si="23"/>
        <v>0</v>
      </c>
      <c r="H158" s="576">
        <f t="shared" si="23"/>
        <v>0</v>
      </c>
      <c r="I158" s="576">
        <f t="shared" si="23"/>
        <v>0</v>
      </c>
      <c r="J158" s="576">
        <f t="shared" si="23"/>
        <v>0</v>
      </c>
      <c r="K158" s="576">
        <f t="shared" si="23"/>
        <v>0</v>
      </c>
      <c r="L158" s="590">
        <f t="shared" si="22"/>
        <v>-222415.70512098828</v>
      </c>
      <c r="P158" t="s">
        <v>1363</v>
      </c>
      <c r="Q158" t="s">
        <v>1362</v>
      </c>
      <c r="R158" t="s">
        <v>1364</v>
      </c>
    </row>
    <row r="159" spans="1:19">
      <c r="A159" s="1090"/>
      <c r="B159" s="1097"/>
      <c r="C159" s="38"/>
      <c r="D159" s="38"/>
      <c r="E159" s="38"/>
      <c r="F159" s="38"/>
      <c r="G159" s="38"/>
      <c r="H159" s="38"/>
      <c r="I159" s="38"/>
      <c r="J159" s="38"/>
      <c r="K159" s="38"/>
      <c r="L159" s="589"/>
      <c r="O159" s="1189">
        <v>41275</v>
      </c>
      <c r="P159" s="775">
        <v>46620</v>
      </c>
      <c r="Q159" s="1054">
        <f>+P159</f>
        <v>46620</v>
      </c>
      <c r="S159" s="1033" t="s">
        <v>25</v>
      </c>
    </row>
    <row r="160" spans="1:19">
      <c r="A160" s="1077">
        <v>570000</v>
      </c>
      <c r="B160" s="1102" t="str">
        <f>VLOOKUP(A160,'Income Statement'!$A$6:$B$254,2,FALSE)</f>
        <v>Fac Maint-Parts &amp; Supplies</v>
      </c>
      <c r="C160" s="38">
        <v>0</v>
      </c>
      <c r="D160" s="38">
        <v>0</v>
      </c>
      <c r="E160" s="38">
        <v>0</v>
      </c>
      <c r="F160" s="38">
        <v>0</v>
      </c>
      <c r="G160" s="38">
        <v>0</v>
      </c>
      <c r="H160" s="38">
        <v>0</v>
      </c>
      <c r="I160" s="38">
        <v>0</v>
      </c>
      <c r="J160" s="38">
        <v>0</v>
      </c>
      <c r="K160" s="38">
        <v>0</v>
      </c>
      <c r="L160" s="589">
        <f t="shared" ref="L160:L169" si="24">SUM(C160:K160)</f>
        <v>0</v>
      </c>
      <c r="O160" s="1189">
        <v>41306</v>
      </c>
      <c r="P160" s="775">
        <v>93240</v>
      </c>
      <c r="Q160" s="1054">
        <f>+P160-P159</f>
        <v>46620</v>
      </c>
      <c r="S160" s="1033" t="s">
        <v>25</v>
      </c>
    </row>
    <row r="161" spans="1:19">
      <c r="A161" s="1077">
        <v>570005</v>
      </c>
      <c r="B161" s="1102" t="str">
        <f>VLOOKUP(A161,'Income Statement'!$A$6:$B$254,2,FALSE)</f>
        <v>Fac Maint-O/S Repair</v>
      </c>
      <c r="C161" s="38">
        <v>0</v>
      </c>
      <c r="D161" s="38">
        <v>0</v>
      </c>
      <c r="E161" s="38">
        <v>0</v>
      </c>
      <c r="F161" s="38">
        <v>0</v>
      </c>
      <c r="G161" s="38">
        <v>0</v>
      </c>
      <c r="H161" s="38">
        <v>0</v>
      </c>
      <c r="I161" s="38">
        <v>0</v>
      </c>
      <c r="J161" s="38">
        <v>0</v>
      </c>
      <c r="K161" s="38">
        <v>0</v>
      </c>
      <c r="L161" s="589">
        <f t="shared" si="24"/>
        <v>0</v>
      </c>
      <c r="O161" s="1189">
        <v>41334</v>
      </c>
      <c r="P161" s="775">
        <v>139860</v>
      </c>
      <c r="Q161" s="1054">
        <f t="shared" ref="Q161:Q170" si="25">+P161-P160</f>
        <v>46620</v>
      </c>
      <c r="S161" s="1033" t="s">
        <v>25</v>
      </c>
    </row>
    <row r="162" spans="1:19">
      <c r="A162" s="1077">
        <v>570010</v>
      </c>
      <c r="B162" s="1102" t="str">
        <f>VLOOKUP(A162,'Income Statement'!$A$6:$B$254,2,FALSE)</f>
        <v>Security</v>
      </c>
      <c r="C162" s="38">
        <v>0</v>
      </c>
      <c r="D162" s="38">
        <v>0</v>
      </c>
      <c r="E162" s="38">
        <v>0</v>
      </c>
      <c r="F162" s="38">
        <v>0</v>
      </c>
      <c r="G162" s="38">
        <v>0</v>
      </c>
      <c r="H162" s="38">
        <v>0</v>
      </c>
      <c r="I162" s="38">
        <v>0</v>
      </c>
      <c r="J162" s="38">
        <v>0</v>
      </c>
      <c r="K162" s="38">
        <v>0</v>
      </c>
      <c r="L162" s="589">
        <f t="shared" si="24"/>
        <v>0</v>
      </c>
      <c r="N162" s="2197" t="s">
        <v>1365</v>
      </c>
      <c r="O162" s="1190">
        <v>41365</v>
      </c>
      <c r="P162" s="1191">
        <v>186832</v>
      </c>
      <c r="Q162" s="1192">
        <f t="shared" si="25"/>
        <v>46972</v>
      </c>
      <c r="R162" s="1193"/>
      <c r="S162" s="1033" t="s">
        <v>25</v>
      </c>
    </row>
    <row r="163" spans="1:19">
      <c r="A163" s="1077">
        <v>570020</v>
      </c>
      <c r="B163" s="1102" t="str">
        <f>VLOOKUP(A163,'Income Statement'!$A$6:$B$254,2,FALSE)</f>
        <v>Lease/Rent</v>
      </c>
      <c r="C163" s="38">
        <v>0</v>
      </c>
      <c r="D163" s="38">
        <v>0</v>
      </c>
      <c r="E163" s="38">
        <v>0</v>
      </c>
      <c r="F163" s="38">
        <v>0</v>
      </c>
      <c r="G163" s="1121">
        <f>+SUM(Q174:Q185)-SUM(Q162:Q173)</f>
        <v>18376.939999999828</v>
      </c>
      <c r="H163" s="38">
        <v>0</v>
      </c>
      <c r="I163" s="38">
        <v>0</v>
      </c>
      <c r="J163" s="38">
        <v>0</v>
      </c>
      <c r="K163" s="38">
        <v>0</v>
      </c>
      <c r="L163" s="589">
        <f t="shared" si="24"/>
        <v>18376.939999999828</v>
      </c>
      <c r="N163" s="2197"/>
      <c r="O163" s="1190">
        <v>41395</v>
      </c>
      <c r="P163" s="1191">
        <v>233804</v>
      </c>
      <c r="Q163" s="1192">
        <f t="shared" si="25"/>
        <v>46972</v>
      </c>
      <c r="R163" s="1193"/>
      <c r="S163" s="1033" t="s">
        <v>25</v>
      </c>
    </row>
    <row r="164" spans="1:19">
      <c r="A164" s="1077">
        <v>570030</v>
      </c>
      <c r="B164" s="1102" t="str">
        <f>VLOOKUP(A164,'Income Statement'!$A$6:$B$254,2,FALSE)</f>
        <v>Utilities</v>
      </c>
      <c r="C164" s="38">
        <v>0</v>
      </c>
      <c r="D164" s="38">
        <v>0</v>
      </c>
      <c r="E164" s="38">
        <v>0</v>
      </c>
      <c r="F164" s="38">
        <v>0</v>
      </c>
      <c r="G164" s="38">
        <v>0</v>
      </c>
      <c r="H164" s="38">
        <v>0</v>
      </c>
      <c r="I164" s="38">
        <v>0</v>
      </c>
      <c r="J164" s="38">
        <v>0</v>
      </c>
      <c r="K164" s="38">
        <v>0</v>
      </c>
      <c r="L164" s="589">
        <f t="shared" si="24"/>
        <v>0</v>
      </c>
      <c r="N164" s="2197"/>
      <c r="O164" s="1190">
        <v>41426</v>
      </c>
      <c r="P164" s="1191">
        <v>280776</v>
      </c>
      <c r="Q164" s="1192">
        <f t="shared" si="25"/>
        <v>46972</v>
      </c>
      <c r="R164" s="1193"/>
      <c r="S164" s="1033" t="s">
        <v>25</v>
      </c>
    </row>
    <row r="165" spans="1:19">
      <c r="A165" s="1077">
        <v>570040</v>
      </c>
      <c r="B165" s="1102" t="str">
        <f>VLOOKUP(A165,'Income Statement'!$A$6:$B$254,2,FALSE)</f>
        <v>Property Taxes</v>
      </c>
      <c r="C165" s="38">
        <v>0</v>
      </c>
      <c r="D165" s="38">
        <v>0</v>
      </c>
      <c r="E165" s="38">
        <v>0</v>
      </c>
      <c r="F165" s="38">
        <v>0</v>
      </c>
      <c r="G165" s="38">
        <v>0</v>
      </c>
      <c r="H165" s="38">
        <v>0</v>
      </c>
      <c r="I165" s="38">
        <v>0</v>
      </c>
      <c r="J165" s="38">
        <v>0</v>
      </c>
      <c r="K165" s="38">
        <v>0</v>
      </c>
      <c r="L165" s="589">
        <f>SUM(C165:K165)</f>
        <v>0</v>
      </c>
      <c r="N165" s="2197"/>
      <c r="O165" s="1190">
        <v>41456</v>
      </c>
      <c r="P165" s="1191">
        <v>331864.42</v>
      </c>
      <c r="Q165" s="1192">
        <f t="shared" si="25"/>
        <v>51088.419999999984</v>
      </c>
      <c r="R165" s="1193"/>
      <c r="S165" s="1033" t="s">
        <v>25</v>
      </c>
    </row>
    <row r="166" spans="1:19">
      <c r="A166" s="1077">
        <v>570090</v>
      </c>
      <c r="B166" s="1102" t="e">
        <f>VLOOKUP(A166,'Income Statement'!$A$6:$B$254,2,FALSE)</f>
        <v>#N/A</v>
      </c>
      <c r="C166" s="38">
        <v>0</v>
      </c>
      <c r="D166" s="38">
        <v>0</v>
      </c>
      <c r="E166" s="38">
        <v>0</v>
      </c>
      <c r="F166" s="38">
        <v>0</v>
      </c>
      <c r="G166" s="38">
        <v>0</v>
      </c>
      <c r="H166" s="38">
        <v>0</v>
      </c>
      <c r="I166" s="38">
        <v>0</v>
      </c>
      <c r="J166" s="38">
        <v>0</v>
      </c>
      <c r="K166" s="38">
        <v>0</v>
      </c>
      <c r="L166" s="589">
        <f t="shared" si="24"/>
        <v>0</v>
      </c>
      <c r="N166" s="2197"/>
      <c r="O166" s="1190">
        <v>41487</v>
      </c>
      <c r="P166" s="1191">
        <v>378317.26</v>
      </c>
      <c r="Q166" s="1192">
        <f t="shared" si="25"/>
        <v>46452.840000000026</v>
      </c>
      <c r="R166" s="1193"/>
      <c r="S166" s="1033" t="s">
        <v>25</v>
      </c>
    </row>
    <row r="167" spans="1:19">
      <c r="A167" s="1077">
        <v>570998</v>
      </c>
      <c r="B167" s="1102" t="str">
        <f>VLOOKUP(A167,'Income Statement'!$A$6:$B$254,2,FALSE)</f>
        <v>Facility Alloc-In</v>
      </c>
      <c r="C167" s="38">
        <v>0</v>
      </c>
      <c r="D167" s="38">
        <v>0</v>
      </c>
      <c r="E167" s="38">
        <v>0</v>
      </c>
      <c r="F167" s="38">
        <v>0</v>
      </c>
      <c r="G167" s="38">
        <v>0</v>
      </c>
      <c r="H167" s="38">
        <v>0</v>
      </c>
      <c r="I167" s="38">
        <v>0</v>
      </c>
      <c r="J167" s="38">
        <v>0</v>
      </c>
      <c r="K167" s="38">
        <v>0</v>
      </c>
      <c r="L167" s="589">
        <f t="shared" si="24"/>
        <v>0</v>
      </c>
      <c r="N167" s="2197"/>
      <c r="O167" s="1190">
        <v>41518</v>
      </c>
      <c r="P167" s="1191">
        <v>424770.1</v>
      </c>
      <c r="Q167" s="1192">
        <f t="shared" si="25"/>
        <v>46452.839999999967</v>
      </c>
      <c r="R167" s="1193"/>
      <c r="S167" s="1033" t="s">
        <v>25</v>
      </c>
    </row>
    <row r="168" spans="1:19">
      <c r="A168" s="1077">
        <v>570999</v>
      </c>
      <c r="B168" s="1102" t="str">
        <f>VLOOKUP(A168,'Income Statement'!$A$6:$B$254,2,FALSE)</f>
        <v>Facility Alloc-Out</v>
      </c>
      <c r="C168" s="38">
        <v>0</v>
      </c>
      <c r="D168" s="38">
        <v>0</v>
      </c>
      <c r="E168" s="38">
        <v>0</v>
      </c>
      <c r="F168" s="38">
        <v>0</v>
      </c>
      <c r="G168" s="38">
        <v>0</v>
      </c>
      <c r="H168" s="38">
        <v>0</v>
      </c>
      <c r="I168" s="38">
        <v>0</v>
      </c>
      <c r="J168" s="38">
        <v>0</v>
      </c>
      <c r="K168" s="38">
        <v>0</v>
      </c>
      <c r="L168" s="589">
        <f t="shared" si="24"/>
        <v>0</v>
      </c>
      <c r="N168" s="2197"/>
      <c r="O168" s="1190">
        <v>41548</v>
      </c>
      <c r="P168" s="1191">
        <v>471222.94</v>
      </c>
      <c r="Q168" s="1192">
        <f t="shared" si="25"/>
        <v>46452.840000000026</v>
      </c>
      <c r="R168" s="1193"/>
      <c r="S168" s="1033" t="s">
        <v>25</v>
      </c>
    </row>
    <row r="169" spans="1:19" ht="12">
      <c r="A169" s="1084"/>
      <c r="B169" s="1088" t="s">
        <v>539</v>
      </c>
      <c r="C169" s="576">
        <f t="shared" ref="C169:K169" si="26">SUM(C160:C168)</f>
        <v>0</v>
      </c>
      <c r="D169" s="576">
        <f t="shared" si="26"/>
        <v>0</v>
      </c>
      <c r="E169" s="576">
        <f t="shared" si="26"/>
        <v>0</v>
      </c>
      <c r="F169" s="576">
        <f t="shared" si="26"/>
        <v>0</v>
      </c>
      <c r="G169" s="576">
        <f t="shared" si="26"/>
        <v>18376.939999999828</v>
      </c>
      <c r="H169" s="576">
        <f t="shared" si="26"/>
        <v>0</v>
      </c>
      <c r="I169" s="576">
        <f t="shared" si="26"/>
        <v>0</v>
      </c>
      <c r="J169" s="576">
        <f t="shared" si="26"/>
        <v>0</v>
      </c>
      <c r="K169" s="576">
        <f t="shared" si="26"/>
        <v>0</v>
      </c>
      <c r="L169" s="590">
        <f t="shared" si="24"/>
        <v>18376.939999999828</v>
      </c>
      <c r="N169" s="2197"/>
      <c r="O169" s="1190">
        <v>41579</v>
      </c>
      <c r="P169" s="1191">
        <v>517675.78</v>
      </c>
      <c r="Q169" s="1192">
        <f t="shared" si="25"/>
        <v>46452.840000000026</v>
      </c>
      <c r="R169" s="1193"/>
      <c r="S169" s="1033" t="s">
        <v>25</v>
      </c>
    </row>
    <row r="170" spans="1:19">
      <c r="A170" s="1090"/>
      <c r="B170" s="1097"/>
      <c r="C170" s="38"/>
      <c r="D170" s="38"/>
      <c r="E170" s="38"/>
      <c r="F170" s="38"/>
      <c r="G170" s="38"/>
      <c r="H170" s="38"/>
      <c r="I170" s="38"/>
      <c r="J170" s="38"/>
      <c r="K170" s="38"/>
      <c r="L170" s="589"/>
      <c r="N170" s="2197"/>
      <c r="O170" s="1190">
        <v>41609</v>
      </c>
      <c r="P170" s="1191">
        <v>564128.62</v>
      </c>
      <c r="Q170" s="1192">
        <f t="shared" si="25"/>
        <v>46452.839999999967</v>
      </c>
      <c r="R170" s="1193"/>
      <c r="S170" s="1033" t="s">
        <v>25</v>
      </c>
    </row>
    <row r="171" spans="1:19">
      <c r="A171" s="1077">
        <v>595010</v>
      </c>
      <c r="B171" s="1102" t="str">
        <f>VLOOKUP(A171,'Income Statement'!$A$6:$B$254,2,FALSE)</f>
        <v>Permit Fees</v>
      </c>
      <c r="C171" s="38">
        <v>0</v>
      </c>
      <c r="D171" s="38">
        <v>0</v>
      </c>
      <c r="E171" s="38">
        <v>0</v>
      </c>
      <c r="F171" s="38">
        <v>0</v>
      </c>
      <c r="G171" s="38">
        <v>0</v>
      </c>
      <c r="H171" s="38">
        <v>0</v>
      </c>
      <c r="I171" s="38">
        <v>0</v>
      </c>
      <c r="J171" s="38">
        <v>0</v>
      </c>
      <c r="K171" s="38">
        <v>0</v>
      </c>
      <c r="L171" s="589">
        <f t="shared" ref="L171:L182" si="27">SUM(C171:K171)</f>
        <v>0</v>
      </c>
      <c r="N171" s="2197"/>
      <c r="O171" s="1190">
        <v>41640</v>
      </c>
      <c r="P171" s="1191">
        <v>49182.84</v>
      </c>
      <c r="Q171" s="1192">
        <f>+P171</f>
        <v>49182.84</v>
      </c>
      <c r="R171" s="1192">
        <f t="shared" ref="R171:R176" si="28">+Q171-Q159</f>
        <v>2562.8399999999965</v>
      </c>
      <c r="S171" s="1033" t="s">
        <v>25</v>
      </c>
    </row>
    <row r="172" spans="1:19">
      <c r="A172" s="1077">
        <v>595015</v>
      </c>
      <c r="B172" s="1102" t="e">
        <f>VLOOKUP(A172,'Income Statement'!$A$6:$B$254,2,FALSE)</f>
        <v>#N/A</v>
      </c>
      <c r="C172" s="38">
        <v>0</v>
      </c>
      <c r="D172" s="38">
        <v>0</v>
      </c>
      <c r="E172" s="38">
        <v>0</v>
      </c>
      <c r="F172" s="38">
        <v>0</v>
      </c>
      <c r="G172" s="38">
        <v>0</v>
      </c>
      <c r="H172" s="38">
        <v>0</v>
      </c>
      <c r="I172" s="38">
        <v>0</v>
      </c>
      <c r="J172" s="38">
        <v>0</v>
      </c>
      <c r="K172" s="38">
        <v>0</v>
      </c>
      <c r="L172" s="589">
        <f t="shared" si="27"/>
        <v>0</v>
      </c>
      <c r="N172" s="2197"/>
      <c r="O172" s="1190">
        <v>41671</v>
      </c>
      <c r="P172" s="1191">
        <v>98365.68</v>
      </c>
      <c r="Q172" s="1192">
        <f>+P172-P171</f>
        <v>49182.84</v>
      </c>
      <c r="R172" s="1192">
        <f t="shared" si="28"/>
        <v>2562.8399999999965</v>
      </c>
      <c r="S172" s="1033" t="s">
        <v>25</v>
      </c>
    </row>
    <row r="173" spans="1:19">
      <c r="A173" s="1077">
        <v>595020</v>
      </c>
      <c r="B173" s="1102" t="str">
        <f>VLOOKUP(A173,'Income Statement'!$A$6:$B$254,2,FALSE)</f>
        <v>Operations Communications Cost</v>
      </c>
      <c r="C173" s="38">
        <v>0</v>
      </c>
      <c r="D173" s="38">
        <v>0</v>
      </c>
      <c r="E173" s="38">
        <v>0</v>
      </c>
      <c r="F173" s="38">
        <v>0</v>
      </c>
      <c r="G173" s="38">
        <v>0</v>
      </c>
      <c r="H173" s="38">
        <v>0</v>
      </c>
      <c r="I173" s="38">
        <v>0</v>
      </c>
      <c r="J173" s="38">
        <v>0</v>
      </c>
      <c r="K173" s="38">
        <v>0</v>
      </c>
      <c r="L173" s="589">
        <f t="shared" si="27"/>
        <v>0</v>
      </c>
      <c r="N173" s="2197"/>
      <c r="O173" s="1190">
        <v>41699</v>
      </c>
      <c r="P173" s="1191">
        <v>147548.51999999999</v>
      </c>
      <c r="Q173" s="1192">
        <f>+P173-P172</f>
        <v>49182.84</v>
      </c>
      <c r="R173" s="1192">
        <f t="shared" si="28"/>
        <v>2562.8399999999965</v>
      </c>
      <c r="S173" s="1033" t="s">
        <v>25</v>
      </c>
    </row>
    <row r="174" spans="1:19">
      <c r="A174" s="1077">
        <v>595030</v>
      </c>
      <c r="B174" s="1102" t="str">
        <f>VLOOKUP(A174,'Income Statement'!$A$6:$B$254,2,FALSE)</f>
        <v>Container Property Taxes</v>
      </c>
      <c r="C174" s="38">
        <v>0</v>
      </c>
      <c r="D174" s="38">
        <v>0</v>
      </c>
      <c r="E174" s="38">
        <v>0</v>
      </c>
      <c r="F174" s="38">
        <v>0</v>
      </c>
      <c r="G174" s="38">
        <v>0</v>
      </c>
      <c r="H174" s="38">
        <v>0</v>
      </c>
      <c r="I174" s="38">
        <v>0</v>
      </c>
      <c r="J174" s="38">
        <v>0</v>
      </c>
      <c r="K174" s="38">
        <v>0</v>
      </c>
      <c r="L174" s="589">
        <f t="shared" si="27"/>
        <v>0</v>
      </c>
      <c r="N174" s="2197" t="s">
        <v>1366</v>
      </c>
      <c r="O174" s="1194">
        <v>41730</v>
      </c>
      <c r="P174" s="1195">
        <v>196731.36</v>
      </c>
      <c r="Q174" s="1196">
        <f>+P174-P173</f>
        <v>49182.84</v>
      </c>
      <c r="R174" s="1196">
        <f t="shared" si="28"/>
        <v>2210.8399999999965</v>
      </c>
      <c r="S174" s="1033" t="s">
        <v>25</v>
      </c>
    </row>
    <row r="175" spans="1:19">
      <c r="A175" s="1084">
        <v>595080</v>
      </c>
      <c r="B175" s="1102" t="str">
        <f>VLOOKUP(A175,'Income Statement'!$A$6:$B$254,2,FALSE)</f>
        <v>Towing Non-Maintenance</v>
      </c>
      <c r="C175" s="38">
        <v>0</v>
      </c>
      <c r="D175" s="38">
        <v>0</v>
      </c>
      <c r="E175" s="38">
        <v>0</v>
      </c>
      <c r="F175" s="38">
        <v>0</v>
      </c>
      <c r="G175" s="38">
        <v>0</v>
      </c>
      <c r="H175" s="38">
        <v>0</v>
      </c>
      <c r="I175" s="38">
        <v>0</v>
      </c>
      <c r="J175" s="38">
        <v>0</v>
      </c>
      <c r="K175" s="38">
        <v>0</v>
      </c>
      <c r="L175" s="589">
        <f t="shared" si="27"/>
        <v>0</v>
      </c>
      <c r="N175" s="2197"/>
      <c r="O175" s="1194">
        <v>41760</v>
      </c>
      <c r="P175" s="1195">
        <v>245914.2</v>
      </c>
      <c r="Q175" s="1196">
        <f>+P175-P174</f>
        <v>49182.840000000026</v>
      </c>
      <c r="R175" s="1196">
        <f t="shared" si="28"/>
        <v>2210.8400000000256</v>
      </c>
      <c r="S175" s="1033" t="s">
        <v>25</v>
      </c>
    </row>
    <row r="176" spans="1:19">
      <c r="A176" s="1077">
        <v>595090</v>
      </c>
      <c r="B176" s="1102" t="str">
        <f>VLOOKUP(A176,'Income Statement'!$A$6:$B$254,2,FALSE)</f>
        <v>Other Operating Misc</v>
      </c>
      <c r="C176" s="38">
        <v>0</v>
      </c>
      <c r="D176" s="38">
        <v>0</v>
      </c>
      <c r="E176" s="38">
        <v>0</v>
      </c>
      <c r="F176" s="38">
        <v>0</v>
      </c>
      <c r="G176" s="38">
        <v>0</v>
      </c>
      <c r="H176" s="38">
        <v>0</v>
      </c>
      <c r="I176" s="38">
        <v>0</v>
      </c>
      <c r="J176" s="38">
        <v>0</v>
      </c>
      <c r="K176" s="38">
        <v>0</v>
      </c>
      <c r="L176" s="589">
        <f t="shared" si="27"/>
        <v>0</v>
      </c>
      <c r="N176" s="2197"/>
      <c r="O176" s="1194">
        <v>41791</v>
      </c>
      <c r="P176" s="1195">
        <v>295097.03999999998</v>
      </c>
      <c r="Q176" s="1196">
        <f>+P176-P175</f>
        <v>49182.839999999967</v>
      </c>
      <c r="R176" s="1196">
        <f t="shared" si="28"/>
        <v>2210.8399999999674</v>
      </c>
      <c r="S176" s="1033" t="s">
        <v>25</v>
      </c>
    </row>
    <row r="177" spans="1:19">
      <c r="A177" s="1077">
        <v>595105</v>
      </c>
      <c r="B177" s="1102" t="str">
        <f>VLOOKUP(A177,'Income Statement'!$A$6:$B$254,2,FALSE)</f>
        <v>GOE Vehicle Mileage</v>
      </c>
      <c r="C177" s="38"/>
      <c r="D177" s="38"/>
      <c r="E177" s="38"/>
      <c r="F177" s="38"/>
      <c r="G177" s="38"/>
      <c r="H177" s="38"/>
      <c r="I177" s="38"/>
      <c r="J177" s="38"/>
      <c r="K177" s="38"/>
      <c r="L177" s="589">
        <f t="shared" si="27"/>
        <v>0</v>
      </c>
      <c r="N177" s="2197"/>
      <c r="O177" s="1194">
        <v>41821</v>
      </c>
      <c r="P177" s="1195"/>
      <c r="Q177" s="1196">
        <f>+Q176</f>
        <v>49182.839999999967</v>
      </c>
      <c r="R177" s="1197"/>
      <c r="S177" s="1033" t="s">
        <v>24</v>
      </c>
    </row>
    <row r="178" spans="1:19">
      <c r="A178" s="1077">
        <v>595106</v>
      </c>
      <c r="B178" s="1102" t="str">
        <f>VLOOKUP(A178,'Income Statement'!$A$6:$B$254,2,FALSE)</f>
        <v>GOE Travel Expenses</v>
      </c>
      <c r="C178" s="38">
        <v>0</v>
      </c>
      <c r="D178" s="38">
        <v>0</v>
      </c>
      <c r="E178" s="38">
        <v>0</v>
      </c>
      <c r="F178" s="38">
        <v>0</v>
      </c>
      <c r="G178" s="38">
        <v>0</v>
      </c>
      <c r="H178" s="38">
        <v>0</v>
      </c>
      <c r="I178" s="38">
        <v>0</v>
      </c>
      <c r="J178" s="38">
        <v>0</v>
      </c>
      <c r="K178" s="38">
        <v>0</v>
      </c>
      <c r="L178" s="589">
        <f t="shared" si="27"/>
        <v>0</v>
      </c>
      <c r="N178" s="2197"/>
      <c r="O178" s="1194">
        <v>41852</v>
      </c>
      <c r="P178" s="1195"/>
      <c r="Q178" s="1196">
        <f t="shared" ref="Q178:Q185" si="29">+Q177</f>
        <v>49182.839999999967</v>
      </c>
      <c r="R178" s="1197"/>
      <c r="S178" s="1033" t="s">
        <v>24</v>
      </c>
    </row>
    <row r="179" spans="1:19">
      <c r="A179" s="1077">
        <v>595109</v>
      </c>
      <c r="B179" s="1102" t="str">
        <f>VLOOKUP(A179,'Income Statement'!$A$6:$B$254,2,FALSE)</f>
        <v>GOE Meals &amp; Entertainment(50%)</v>
      </c>
      <c r="C179" s="38">
        <v>0</v>
      </c>
      <c r="D179" s="38">
        <v>0</v>
      </c>
      <c r="E179" s="38">
        <v>0</v>
      </c>
      <c r="F179" s="38">
        <v>0</v>
      </c>
      <c r="G179" s="38">
        <v>0</v>
      </c>
      <c r="H179" s="38">
        <v>0</v>
      </c>
      <c r="I179" s="38">
        <v>0</v>
      </c>
      <c r="J179" s="38">
        <v>0</v>
      </c>
      <c r="K179" s="38">
        <v>0</v>
      </c>
      <c r="L179" s="589">
        <f t="shared" si="27"/>
        <v>0</v>
      </c>
      <c r="N179" s="2197"/>
      <c r="O179" s="1194">
        <v>41883</v>
      </c>
      <c r="P179" s="1195"/>
      <c r="Q179" s="1196">
        <f t="shared" si="29"/>
        <v>49182.839999999967</v>
      </c>
      <c r="R179" s="1197"/>
      <c r="S179" s="1033" t="s">
        <v>24</v>
      </c>
    </row>
    <row r="180" spans="1:19">
      <c r="A180" s="1077">
        <v>595998</v>
      </c>
      <c r="B180" s="1102" t="str">
        <f>VLOOKUP(A180,'Income Statement'!$A$6:$B$254,2,FALSE)</f>
        <v>Other Operating Alloc-In</v>
      </c>
      <c r="C180" s="38">
        <v>0</v>
      </c>
      <c r="D180" s="38">
        <v>0</v>
      </c>
      <c r="E180" s="38">
        <v>0</v>
      </c>
      <c r="F180" s="38">
        <v>0</v>
      </c>
      <c r="G180" s="38">
        <v>0</v>
      </c>
      <c r="H180" s="38">
        <v>0</v>
      </c>
      <c r="I180" s="38">
        <v>0</v>
      </c>
      <c r="J180" s="38">
        <v>0</v>
      </c>
      <c r="K180" s="38">
        <v>0</v>
      </c>
      <c r="L180" s="589">
        <f t="shared" si="27"/>
        <v>0</v>
      </c>
      <c r="N180" s="2197"/>
      <c r="O180" s="1194">
        <v>41913</v>
      </c>
      <c r="P180" s="1195"/>
      <c r="Q180" s="1196">
        <f t="shared" si="29"/>
        <v>49182.839999999967</v>
      </c>
      <c r="R180" s="1197"/>
      <c r="S180" s="1033" t="s">
        <v>24</v>
      </c>
    </row>
    <row r="181" spans="1:19">
      <c r="A181" s="1077">
        <v>595999</v>
      </c>
      <c r="B181" s="1102" t="str">
        <f>VLOOKUP(A181,'Income Statement'!$A$6:$B$254,2,FALSE)</f>
        <v>Other Operating Alloc-Out</v>
      </c>
      <c r="C181" s="38">
        <v>0</v>
      </c>
      <c r="D181" s="38">
        <v>0</v>
      </c>
      <c r="E181" s="38">
        <v>0</v>
      </c>
      <c r="F181" s="38">
        <v>0</v>
      </c>
      <c r="G181" s="38">
        <v>0</v>
      </c>
      <c r="H181" s="38">
        <v>0</v>
      </c>
      <c r="I181" s="38">
        <v>0</v>
      </c>
      <c r="J181" s="38">
        <v>0</v>
      </c>
      <c r="K181" s="38">
        <v>0</v>
      </c>
      <c r="L181" s="589">
        <f t="shared" si="27"/>
        <v>0</v>
      </c>
      <c r="N181" s="2197"/>
      <c r="O181" s="1194">
        <v>41944</v>
      </c>
      <c r="P181" s="1195"/>
      <c r="Q181" s="1196">
        <f t="shared" si="29"/>
        <v>49182.839999999967</v>
      </c>
      <c r="R181" s="1197"/>
      <c r="S181" s="1033" t="s">
        <v>24</v>
      </c>
    </row>
    <row r="182" spans="1:19" ht="12">
      <c r="A182" s="1084"/>
      <c r="B182" s="1088" t="s">
        <v>540</v>
      </c>
      <c r="C182" s="576">
        <f t="shared" ref="C182:K182" si="30">SUM(C171:C181)</f>
        <v>0</v>
      </c>
      <c r="D182" s="576">
        <f t="shared" si="30"/>
        <v>0</v>
      </c>
      <c r="E182" s="576">
        <f t="shared" si="30"/>
        <v>0</v>
      </c>
      <c r="F182" s="576">
        <f t="shared" si="30"/>
        <v>0</v>
      </c>
      <c r="G182" s="576">
        <f t="shared" si="30"/>
        <v>0</v>
      </c>
      <c r="H182" s="576">
        <f t="shared" si="30"/>
        <v>0</v>
      </c>
      <c r="I182" s="576">
        <f t="shared" si="30"/>
        <v>0</v>
      </c>
      <c r="J182" s="576">
        <f t="shared" si="30"/>
        <v>0</v>
      </c>
      <c r="K182" s="576">
        <f t="shared" si="30"/>
        <v>0</v>
      </c>
      <c r="L182" s="590">
        <f t="shared" si="27"/>
        <v>0</v>
      </c>
      <c r="N182" s="2197"/>
      <c r="O182" s="1194">
        <v>41974</v>
      </c>
      <c r="P182" s="1195"/>
      <c r="Q182" s="1196">
        <f t="shared" si="29"/>
        <v>49182.839999999967</v>
      </c>
      <c r="R182" s="1197"/>
      <c r="S182" s="1033" t="s">
        <v>24</v>
      </c>
    </row>
    <row r="183" spans="1:19">
      <c r="A183" s="1090"/>
      <c r="B183" s="1097"/>
      <c r="C183" s="38"/>
      <c r="D183" s="38"/>
      <c r="E183" s="38"/>
      <c r="F183" s="38"/>
      <c r="G183" s="38"/>
      <c r="H183" s="38"/>
      <c r="I183" s="38"/>
      <c r="J183" s="38"/>
      <c r="K183" s="38"/>
      <c r="L183" s="589"/>
      <c r="N183" s="2197"/>
      <c r="O183" s="1194">
        <v>42005</v>
      </c>
      <c r="P183" s="1195"/>
      <c r="Q183" s="1196">
        <f t="shared" si="29"/>
        <v>49182.839999999967</v>
      </c>
      <c r="R183" s="1197"/>
      <c r="S183" s="1033" t="s">
        <v>24</v>
      </c>
    </row>
    <row r="184" spans="1:19" ht="12">
      <c r="A184" s="1090"/>
      <c r="B184" s="1088" t="s">
        <v>541</v>
      </c>
      <c r="C184" s="576">
        <f t="shared" ref="C184:K184" si="31">C72+C113+C129+C143+C158+C169+C182</f>
        <v>-222415.70512098828</v>
      </c>
      <c r="D184" s="576">
        <f t="shared" si="31"/>
        <v>0</v>
      </c>
      <c r="E184" s="576">
        <f t="shared" si="31"/>
        <v>284510.57582166372</v>
      </c>
      <c r="F184" s="576">
        <f t="shared" si="31"/>
        <v>0</v>
      </c>
      <c r="G184" s="576">
        <f t="shared" si="31"/>
        <v>18376.939999999828</v>
      </c>
      <c r="H184" s="576">
        <f t="shared" si="31"/>
        <v>105211.14000000001</v>
      </c>
      <c r="I184" s="576">
        <f t="shared" si="31"/>
        <v>0</v>
      </c>
      <c r="J184" s="576">
        <f t="shared" si="31"/>
        <v>0</v>
      </c>
      <c r="K184" s="576">
        <f t="shared" si="31"/>
        <v>0</v>
      </c>
      <c r="L184" s="590">
        <f>SUM(C184:K184)</f>
        <v>185682.95070067528</v>
      </c>
      <c r="N184" s="2197"/>
      <c r="O184" s="1194">
        <v>42036</v>
      </c>
      <c r="P184" s="1197"/>
      <c r="Q184" s="1196">
        <f t="shared" si="29"/>
        <v>49182.839999999967</v>
      </c>
      <c r="R184" s="1197"/>
      <c r="S184" s="1033" t="s">
        <v>24</v>
      </c>
    </row>
    <row r="185" spans="1:19">
      <c r="A185" s="1090"/>
      <c r="B185" s="1097"/>
      <c r="C185" s="38"/>
      <c r="D185" s="38"/>
      <c r="E185" s="38"/>
      <c r="F185" s="38"/>
      <c r="G185" s="38"/>
      <c r="H185" s="38"/>
      <c r="I185" s="38"/>
      <c r="J185" s="38"/>
      <c r="K185" s="38"/>
      <c r="L185" s="589"/>
      <c r="N185" s="2197"/>
      <c r="O185" s="1194">
        <v>42064</v>
      </c>
      <c r="P185" s="1197"/>
      <c r="Q185" s="1196">
        <f t="shared" si="29"/>
        <v>49182.839999999967</v>
      </c>
      <c r="R185" s="1197"/>
      <c r="S185" s="1033" t="s">
        <v>24</v>
      </c>
    </row>
    <row r="186" spans="1:19">
      <c r="A186" s="1077">
        <v>600010</v>
      </c>
      <c r="B186" s="1102" t="str">
        <f>VLOOKUP(A186,'Income Statement'!$A$6:$B$254,2,FALSE)</f>
        <v>Depr-Vehicles</v>
      </c>
      <c r="C186" s="38">
        <v>0</v>
      </c>
      <c r="D186" s="38">
        <v>0</v>
      </c>
      <c r="E186" s="38">
        <v>0</v>
      </c>
      <c r="F186" s="38">
        <v>0</v>
      </c>
      <c r="G186" s="38">
        <v>0</v>
      </c>
      <c r="H186" s="38">
        <v>0</v>
      </c>
      <c r="I186" s="38">
        <v>0</v>
      </c>
      <c r="J186" s="38">
        <v>0</v>
      </c>
      <c r="K186" s="38">
        <v>0</v>
      </c>
      <c r="L186" s="589">
        <f t="shared" ref="L186:L195" si="32">SUM(C186:K186)</f>
        <v>0</v>
      </c>
      <c r="O186" s="1198" t="s">
        <v>1367</v>
      </c>
      <c r="S186" s="1033"/>
    </row>
    <row r="187" spans="1:19">
      <c r="A187" s="1077">
        <v>600020</v>
      </c>
      <c r="B187" s="1102" t="str">
        <f>VLOOKUP(A187,'Income Statement'!$A$6:$B$254,2,FALSE)</f>
        <v>Depr-Cont/Comp</v>
      </c>
      <c r="C187" s="38">
        <v>0</v>
      </c>
      <c r="D187" s="38">
        <v>0</v>
      </c>
      <c r="E187" s="38">
        <v>0</v>
      </c>
      <c r="F187" s="38">
        <v>0</v>
      </c>
      <c r="G187" s="38">
        <v>0</v>
      </c>
      <c r="H187" s="38">
        <v>0</v>
      </c>
      <c r="I187" s="38">
        <v>0</v>
      </c>
      <c r="J187" s="38">
        <v>0</v>
      </c>
      <c r="K187" s="38">
        <v>0</v>
      </c>
      <c r="L187" s="589">
        <f t="shared" si="32"/>
        <v>0</v>
      </c>
    </row>
    <row r="188" spans="1:19">
      <c r="A188" s="1077">
        <v>600030</v>
      </c>
      <c r="B188" s="1102" t="str">
        <f>VLOOKUP(A188,'Income Statement'!$A$6:$B$254,2,FALSE)</f>
        <v>Depr-Heavy Mach &amp; Equip</v>
      </c>
      <c r="C188" s="38">
        <v>0</v>
      </c>
      <c r="D188" s="38">
        <v>0</v>
      </c>
      <c r="E188" s="38">
        <v>0</v>
      </c>
      <c r="F188" s="38">
        <v>0</v>
      </c>
      <c r="G188" s="38">
        <v>0</v>
      </c>
      <c r="H188" s="38">
        <v>0</v>
      </c>
      <c r="I188" s="38">
        <v>0</v>
      </c>
      <c r="J188" s="38">
        <v>0</v>
      </c>
      <c r="K188" s="38">
        <v>0</v>
      </c>
      <c r="L188" s="589">
        <f t="shared" si="32"/>
        <v>0</v>
      </c>
    </row>
    <row r="189" spans="1:19">
      <c r="A189" s="1077">
        <v>600040</v>
      </c>
      <c r="B189" s="1102" t="str">
        <f>VLOOKUP(A189,'Income Statement'!$A$6:$B$254,2,FALSE)</f>
        <v>Depr-Shop Equip</v>
      </c>
      <c r="C189" s="38"/>
      <c r="D189" s="38"/>
      <c r="E189" s="38"/>
      <c r="F189" s="38"/>
      <c r="G189" s="38"/>
      <c r="H189" s="38"/>
      <c r="I189" s="38"/>
      <c r="J189" s="38"/>
      <c r="K189" s="38"/>
      <c r="L189" s="589">
        <f t="shared" si="32"/>
        <v>0</v>
      </c>
    </row>
    <row r="190" spans="1:19">
      <c r="A190" s="1077">
        <v>600070</v>
      </c>
      <c r="B190" s="1102" t="str">
        <f>VLOOKUP(A190,'Income Statement'!$A$6:$B$254,2,FALSE)</f>
        <v>Depr-Bldg &amp; Imp</v>
      </c>
      <c r="C190" s="38">
        <v>0</v>
      </c>
      <c r="D190" s="38">
        <v>0</v>
      </c>
      <c r="E190" s="38">
        <v>0</v>
      </c>
      <c r="F190" s="38">
        <v>0</v>
      </c>
      <c r="G190" s="38">
        <v>0</v>
      </c>
      <c r="H190" s="38">
        <v>0</v>
      </c>
      <c r="I190" s="38">
        <v>0</v>
      </c>
      <c r="J190" s="38">
        <v>0</v>
      </c>
      <c r="K190" s="38">
        <v>0</v>
      </c>
      <c r="L190" s="589">
        <f t="shared" si="32"/>
        <v>0</v>
      </c>
    </row>
    <row r="191" spans="1:19">
      <c r="A191" s="1077">
        <v>600090</v>
      </c>
      <c r="B191" s="1102" t="str">
        <f>VLOOKUP(A191,'Income Statement'!$A$6:$B$254,2,FALSE)</f>
        <v>Depr-Computer Equip</v>
      </c>
      <c r="C191" s="38">
        <v>0</v>
      </c>
      <c r="D191" s="38">
        <v>0</v>
      </c>
      <c r="E191" s="38">
        <v>0</v>
      </c>
      <c r="F191" s="38">
        <v>0</v>
      </c>
      <c r="G191" s="38">
        <v>0</v>
      </c>
      <c r="H191" s="38">
        <v>0</v>
      </c>
      <c r="I191" s="38">
        <v>0</v>
      </c>
      <c r="J191" s="38">
        <v>0</v>
      </c>
      <c r="K191" s="38">
        <v>0</v>
      </c>
      <c r="L191" s="589">
        <f t="shared" si="32"/>
        <v>0</v>
      </c>
    </row>
    <row r="192" spans="1:19">
      <c r="A192" s="1077">
        <v>600200</v>
      </c>
      <c r="B192" s="1102" t="str">
        <f>VLOOKUP(A192,'Income Statement'!$A$6:$B$254,2,FALSE)</f>
        <v>Depr-HENS</v>
      </c>
      <c r="C192" s="38">
        <v>0</v>
      </c>
      <c r="D192" s="38">
        <v>0</v>
      </c>
      <c r="E192" s="38">
        <v>0</v>
      </c>
      <c r="F192" s="38">
        <v>0</v>
      </c>
      <c r="G192" s="38">
        <v>0</v>
      </c>
      <c r="H192" s="38">
        <v>0</v>
      </c>
      <c r="I192" s="38">
        <v>0</v>
      </c>
      <c r="J192" s="38">
        <v>0</v>
      </c>
      <c r="K192" s="38">
        <v>0</v>
      </c>
      <c r="L192" s="589">
        <f t="shared" si="32"/>
        <v>0</v>
      </c>
    </row>
    <row r="193" spans="1:12">
      <c r="A193" s="1077">
        <v>600998</v>
      </c>
      <c r="B193" s="1102" t="str">
        <f>VLOOKUP(A193,'Income Statement'!$A$6:$B$254,2,FALSE)</f>
        <v>Depr Alloc-In</v>
      </c>
      <c r="C193" s="38">
        <v>0</v>
      </c>
      <c r="D193" s="38">
        <v>0</v>
      </c>
      <c r="E193" s="38">
        <v>0</v>
      </c>
      <c r="F193" s="38">
        <v>0</v>
      </c>
      <c r="G193" s="38">
        <v>0</v>
      </c>
      <c r="H193" s="38">
        <v>0</v>
      </c>
      <c r="I193" s="38">
        <v>0</v>
      </c>
      <c r="J193" s="38">
        <v>0</v>
      </c>
      <c r="K193" s="38">
        <v>0</v>
      </c>
      <c r="L193" s="589">
        <f t="shared" si="32"/>
        <v>0</v>
      </c>
    </row>
    <row r="194" spans="1:12">
      <c r="A194" s="1077">
        <v>600999</v>
      </c>
      <c r="B194" s="1102" t="str">
        <f>VLOOKUP(A194,'Income Statement'!$A$6:$B$254,2,FALSE)</f>
        <v>Depr Alloc-Out</v>
      </c>
      <c r="C194" s="38">
        <v>0</v>
      </c>
      <c r="D194" s="38">
        <v>0</v>
      </c>
      <c r="E194" s="38">
        <v>0</v>
      </c>
      <c r="F194" s="38">
        <v>0</v>
      </c>
      <c r="G194" s="38">
        <v>0</v>
      </c>
      <c r="H194" s="38">
        <v>0</v>
      </c>
      <c r="I194" s="38">
        <v>0</v>
      </c>
      <c r="J194" s="38">
        <v>0</v>
      </c>
      <c r="K194" s="38">
        <v>0</v>
      </c>
      <c r="L194" s="589">
        <f t="shared" si="32"/>
        <v>0</v>
      </c>
    </row>
    <row r="195" spans="1:12" ht="12">
      <c r="A195" s="1084"/>
      <c r="B195" s="1104" t="s">
        <v>542</v>
      </c>
      <c r="C195" s="578">
        <f>SUM(C186:C194)</f>
        <v>0</v>
      </c>
      <c r="D195" s="578">
        <f t="shared" ref="D195:K195" si="33">SUM(D186:D194)</f>
        <v>0</v>
      </c>
      <c r="E195" s="578">
        <f>SUM(E186:E194)</f>
        <v>0</v>
      </c>
      <c r="F195" s="578">
        <f>SUM(F186:F194)</f>
        <v>0</v>
      </c>
      <c r="G195" s="578">
        <f t="shared" si="33"/>
        <v>0</v>
      </c>
      <c r="H195" s="578">
        <f t="shared" si="33"/>
        <v>0</v>
      </c>
      <c r="I195" s="578">
        <f t="shared" si="33"/>
        <v>0</v>
      </c>
      <c r="J195" s="578">
        <f t="shared" si="33"/>
        <v>0</v>
      </c>
      <c r="K195" s="578">
        <f t="shared" si="33"/>
        <v>0</v>
      </c>
      <c r="L195" s="592">
        <f t="shared" si="32"/>
        <v>0</v>
      </c>
    </row>
    <row r="196" spans="1:12">
      <c r="A196" s="1084"/>
      <c r="B196" s="1102"/>
      <c r="L196" s="56"/>
    </row>
    <row r="197" spans="1:12" ht="12">
      <c r="A197" s="1084"/>
      <c r="B197" s="1088" t="s">
        <v>549</v>
      </c>
      <c r="C197" s="576">
        <f t="shared" ref="C197:K197" si="34">+C195</f>
        <v>0</v>
      </c>
      <c r="D197" s="576">
        <f t="shared" si="34"/>
        <v>0</v>
      </c>
      <c r="E197" s="576">
        <f t="shared" si="34"/>
        <v>0</v>
      </c>
      <c r="F197" s="576">
        <f t="shared" si="34"/>
        <v>0</v>
      </c>
      <c r="G197" s="576">
        <f t="shared" si="34"/>
        <v>0</v>
      </c>
      <c r="H197" s="576">
        <f t="shared" si="34"/>
        <v>0</v>
      </c>
      <c r="I197" s="576">
        <f t="shared" si="34"/>
        <v>0</v>
      </c>
      <c r="J197" s="576">
        <f t="shared" si="34"/>
        <v>0</v>
      </c>
      <c r="K197" s="576">
        <f t="shared" si="34"/>
        <v>0</v>
      </c>
      <c r="L197" s="590">
        <f>SUM(C197:K197)</f>
        <v>0</v>
      </c>
    </row>
    <row r="198" spans="1:12">
      <c r="A198" s="1084"/>
      <c r="B198" s="1095"/>
      <c r="C198" s="38"/>
      <c r="D198" s="38"/>
      <c r="E198" s="38"/>
      <c r="F198" s="38"/>
      <c r="G198" s="38"/>
      <c r="H198" s="38"/>
      <c r="I198" s="38"/>
      <c r="J198" s="38"/>
      <c r="K198" s="38"/>
      <c r="L198" s="589"/>
    </row>
    <row r="199" spans="1:12" ht="12">
      <c r="A199" s="1084"/>
      <c r="B199" s="1088" t="s">
        <v>544</v>
      </c>
      <c r="C199" s="576">
        <f t="shared" ref="C199:K199" si="35">+C184+C197</f>
        <v>-222415.70512098828</v>
      </c>
      <c r="D199" s="576">
        <f t="shared" si="35"/>
        <v>0</v>
      </c>
      <c r="E199" s="576">
        <f t="shared" si="35"/>
        <v>284510.57582166372</v>
      </c>
      <c r="F199" s="576">
        <f t="shared" si="35"/>
        <v>0</v>
      </c>
      <c r="G199" s="576">
        <f t="shared" si="35"/>
        <v>18376.939999999828</v>
      </c>
      <c r="H199" s="576">
        <f t="shared" si="35"/>
        <v>105211.14000000001</v>
      </c>
      <c r="I199" s="576">
        <f t="shared" si="35"/>
        <v>0</v>
      </c>
      <c r="J199" s="576">
        <f t="shared" si="35"/>
        <v>0</v>
      </c>
      <c r="K199" s="576">
        <f t="shared" si="35"/>
        <v>0</v>
      </c>
      <c r="L199" s="590">
        <f>SUM(C199:K199)</f>
        <v>185682.95070067528</v>
      </c>
    </row>
    <row r="200" spans="1:12">
      <c r="A200" s="1084"/>
      <c r="B200" s="1095"/>
      <c r="C200" s="38"/>
      <c r="D200" s="38"/>
      <c r="E200" s="38"/>
      <c r="F200" s="38"/>
      <c r="G200" s="38"/>
      <c r="H200" s="38"/>
      <c r="I200" s="38"/>
      <c r="J200" s="38"/>
      <c r="K200" s="38"/>
      <c r="L200" s="589"/>
    </row>
    <row r="201" spans="1:12" ht="12">
      <c r="A201" s="1084"/>
      <c r="B201" s="1088" t="s">
        <v>545</v>
      </c>
      <c r="C201" s="576">
        <f t="shared" ref="C201:K201" si="36">C34-C199</f>
        <v>222415.70512098828</v>
      </c>
      <c r="D201" s="576">
        <f t="shared" si="36"/>
        <v>0</v>
      </c>
      <c r="E201" s="576">
        <f t="shared" si="36"/>
        <v>-284510.57582166372</v>
      </c>
      <c r="F201" s="576">
        <f t="shared" si="36"/>
        <v>0</v>
      </c>
      <c r="G201" s="576">
        <f t="shared" si="36"/>
        <v>-18376.939999999828</v>
      </c>
      <c r="H201" s="576">
        <f t="shared" si="36"/>
        <v>-105211.14000000001</v>
      </c>
      <c r="I201" s="576">
        <f t="shared" si="36"/>
        <v>-67598.996899999998</v>
      </c>
      <c r="J201" s="576">
        <f t="shared" si="36"/>
        <v>0</v>
      </c>
      <c r="K201" s="576">
        <f t="shared" si="36"/>
        <v>0</v>
      </c>
      <c r="L201" s="590">
        <f>SUM(C201:K201)</f>
        <v>-253281.94760067528</v>
      </c>
    </row>
    <row r="202" spans="1:12">
      <c r="A202" s="1084"/>
      <c r="B202" s="1102"/>
      <c r="C202" s="38"/>
      <c r="D202" s="38"/>
      <c r="E202" s="38"/>
      <c r="F202" s="38"/>
      <c r="G202" s="38"/>
      <c r="H202" s="38"/>
      <c r="I202" s="38"/>
      <c r="J202" s="38"/>
      <c r="K202" s="38"/>
      <c r="L202" s="589"/>
    </row>
    <row r="203" spans="1:12">
      <c r="A203" s="1077">
        <v>710000</v>
      </c>
      <c r="B203" s="1102" t="str">
        <f>VLOOKUP(A203,'Income Statement'!$A$6:$B$254,2,FALSE)</f>
        <v>Sales Mgr/Supv</v>
      </c>
      <c r="C203" s="38">
        <v>0</v>
      </c>
      <c r="D203" s="59">
        <v>0</v>
      </c>
      <c r="E203" s="38">
        <v>0</v>
      </c>
      <c r="F203" s="38">
        <v>0</v>
      </c>
      <c r="G203" s="38">
        <v>0</v>
      </c>
      <c r="H203" s="38">
        <v>0</v>
      </c>
      <c r="I203" s="38">
        <v>0</v>
      </c>
      <c r="J203" s="38">
        <v>0</v>
      </c>
      <c r="K203" s="38">
        <v>0</v>
      </c>
      <c r="L203" s="589">
        <f>SUM(C203:K203)</f>
        <v>0</v>
      </c>
    </row>
    <row r="204" spans="1:12">
      <c r="A204" s="1077">
        <v>710005</v>
      </c>
      <c r="B204" s="1102" t="str">
        <f>VLOOKUP(A204,'Income Statement'!$A$6:$B$254,2,FALSE)</f>
        <v>Sales Rep 710005</v>
      </c>
      <c r="C204" s="38">
        <v>0</v>
      </c>
      <c r="D204" s="59">
        <v>0</v>
      </c>
      <c r="E204" s="38">
        <v>0</v>
      </c>
      <c r="F204" s="38">
        <v>0</v>
      </c>
      <c r="G204" s="38">
        <v>0</v>
      </c>
      <c r="H204" s="38">
        <v>0</v>
      </c>
      <c r="I204" s="38">
        <v>0</v>
      </c>
      <c r="J204" s="38">
        <v>0</v>
      </c>
      <c r="K204" s="38">
        <v>0</v>
      </c>
      <c r="L204" s="589">
        <f t="shared" ref="L204:L209" si="37">SUM(C204:K204)</f>
        <v>0</v>
      </c>
    </row>
    <row r="205" spans="1:12">
      <c r="A205" s="1077">
        <v>710020</v>
      </c>
      <c r="B205" s="1102" t="str">
        <f>VLOOKUP(A205,'Income Statement'!$A$6:$B$254,2,FALSE)</f>
        <v>Marketing Staff</v>
      </c>
      <c r="C205" s="38">
        <v>0</v>
      </c>
      <c r="D205" s="59">
        <v>0</v>
      </c>
      <c r="E205" s="38">
        <v>0</v>
      </c>
      <c r="F205" s="38">
        <v>0</v>
      </c>
      <c r="G205" s="38">
        <v>0</v>
      </c>
      <c r="H205" s="38">
        <v>0</v>
      </c>
      <c r="I205" s="38">
        <v>0</v>
      </c>
      <c r="J205" s="38">
        <v>0</v>
      </c>
      <c r="K205" s="38">
        <v>0</v>
      </c>
      <c r="L205" s="589">
        <f t="shared" si="37"/>
        <v>0</v>
      </c>
    </row>
    <row r="206" spans="1:12">
      <c r="A206" s="1077">
        <v>710030</v>
      </c>
      <c r="B206" s="1102" t="str">
        <f>VLOOKUP(A206,'Income Statement'!$A$6:$B$254,2,FALSE)</f>
        <v>Cust Service</v>
      </c>
      <c r="C206" s="38">
        <v>0</v>
      </c>
      <c r="D206" s="59">
        <v>0</v>
      </c>
      <c r="E206" s="38">
        <f>'[10]Recon &amp; PF Adj'!$C$27</f>
        <v>5749.610062094358</v>
      </c>
      <c r="F206" s="38">
        <v>0</v>
      </c>
      <c r="G206" s="38">
        <v>0</v>
      </c>
      <c r="H206" s="38">
        <v>0</v>
      </c>
      <c r="I206" s="38">
        <v>0</v>
      </c>
      <c r="J206" s="38">
        <v>0</v>
      </c>
      <c r="K206" s="38">
        <v>0</v>
      </c>
      <c r="L206" s="589">
        <f t="shared" si="37"/>
        <v>5749.610062094358</v>
      </c>
    </row>
    <row r="207" spans="1:12">
      <c r="A207" s="1084">
        <v>710055</v>
      </c>
      <c r="B207" s="1102" t="str">
        <f>VLOOKUP(A207,'Income Statement'!$A$6:$B$254,2,FALSE)</f>
        <v>Temporary Labor - Sales</v>
      </c>
      <c r="C207" s="38">
        <v>0</v>
      </c>
      <c r="D207" s="59">
        <v>0</v>
      </c>
      <c r="E207" s="38">
        <v>0</v>
      </c>
      <c r="F207" s="38">
        <v>0</v>
      </c>
      <c r="G207" s="38">
        <v>0</v>
      </c>
      <c r="H207" s="38">
        <v>0</v>
      </c>
      <c r="I207" s="38">
        <v>0</v>
      </c>
      <c r="J207" s="38">
        <v>0</v>
      </c>
      <c r="K207" s="38">
        <v>0</v>
      </c>
      <c r="L207" s="589">
        <f t="shared" si="37"/>
        <v>0</v>
      </c>
    </row>
    <row r="208" spans="1:12">
      <c r="A208" s="1077">
        <v>710060</v>
      </c>
      <c r="B208" s="1102" t="e">
        <f>VLOOKUP(A208,'Income Statement'!$A$6:$B$254,2,FALSE)</f>
        <v>#N/A</v>
      </c>
      <c r="C208" s="38">
        <v>0</v>
      </c>
      <c r="D208" s="59">
        <v>0</v>
      </c>
      <c r="E208" s="38">
        <v>0</v>
      </c>
      <c r="F208" s="38">
        <v>0</v>
      </c>
      <c r="G208" s="38">
        <v>0</v>
      </c>
      <c r="H208" s="38">
        <v>0</v>
      </c>
      <c r="I208" s="38">
        <v>0</v>
      </c>
      <c r="J208" s="38">
        <v>0</v>
      </c>
      <c r="K208" s="38">
        <v>0</v>
      </c>
      <c r="L208" s="589">
        <f t="shared" si="37"/>
        <v>0</v>
      </c>
    </row>
    <row r="209" spans="1:12">
      <c r="A209" s="1077">
        <v>710061</v>
      </c>
      <c r="B209" s="1102" t="str">
        <f>VLOOKUP(A209,'Income Statement'!$A$6:$B$254,2,FALSE)</f>
        <v>Bonus Pay Corp-Sales</v>
      </c>
      <c r="C209" s="38">
        <v>0</v>
      </c>
      <c r="D209" s="59">
        <v>0</v>
      </c>
      <c r="E209" s="38">
        <v>0</v>
      </c>
      <c r="F209" s="38">
        <v>0</v>
      </c>
      <c r="G209" s="38">
        <v>0</v>
      </c>
      <c r="H209" s="38">
        <v>0</v>
      </c>
      <c r="I209" s="38">
        <v>0</v>
      </c>
      <c r="J209" s="38">
        <v>0</v>
      </c>
      <c r="K209" s="38">
        <v>0</v>
      </c>
      <c r="L209" s="589">
        <f t="shared" si="37"/>
        <v>0</v>
      </c>
    </row>
    <row r="210" spans="1:12">
      <c r="A210" s="1077">
        <v>710062</v>
      </c>
      <c r="B210" s="1102" t="str">
        <f>VLOOKUP(A210,'Income Statement'!$A$6:$B$254,2,FALSE)</f>
        <v>Commission</v>
      </c>
      <c r="C210" s="38">
        <v>0</v>
      </c>
      <c r="D210" s="59">
        <v>0</v>
      </c>
      <c r="E210" s="38">
        <v>0</v>
      </c>
      <c r="F210" s="38">
        <v>0</v>
      </c>
      <c r="G210" s="38">
        <v>0</v>
      </c>
      <c r="H210" s="38">
        <v>0</v>
      </c>
      <c r="I210" s="38">
        <v>0</v>
      </c>
      <c r="J210" s="38">
        <v>0</v>
      </c>
      <c r="K210" s="38">
        <v>0</v>
      </c>
      <c r="L210" s="589">
        <f t="shared" ref="L210:L217" si="38">SUM(C210:K210)</f>
        <v>0</v>
      </c>
    </row>
    <row r="211" spans="1:12">
      <c r="A211" s="1077">
        <v>710170</v>
      </c>
      <c r="B211" s="1102" t="str">
        <f>VLOOKUP(A211,'Income Statement'!$A$6:$B$254,2,FALSE)</f>
        <v>Payroll Taxes - Sales</v>
      </c>
      <c r="C211" s="38">
        <v>0</v>
      </c>
      <c r="D211" s="38">
        <v>0</v>
      </c>
      <c r="E211" s="38">
        <f>'[10]Recon &amp; PF Adj'!$D$27</f>
        <v>481.99731719280356</v>
      </c>
      <c r="F211" s="38">
        <v>0</v>
      </c>
      <c r="G211" s="38">
        <v>0</v>
      </c>
      <c r="H211" s="38">
        <v>0</v>
      </c>
      <c r="I211" s="38">
        <v>0</v>
      </c>
      <c r="J211" s="38">
        <v>0</v>
      </c>
      <c r="K211" s="38">
        <v>0</v>
      </c>
      <c r="L211" s="589">
        <f t="shared" si="38"/>
        <v>481.99731719280356</v>
      </c>
    </row>
    <row r="212" spans="1:12">
      <c r="A212" s="1077">
        <v>710172</v>
      </c>
      <c r="B212" s="1102" t="str">
        <f>VLOOKUP(A212,'Income Statement'!$A$6:$B$254,2,FALSE)</f>
        <v>Personal Time - Sales</v>
      </c>
      <c r="C212" s="38"/>
      <c r="D212" s="38"/>
      <c r="E212" s="38"/>
      <c r="F212" s="38"/>
      <c r="G212" s="38"/>
      <c r="H212" s="38"/>
      <c r="I212" s="38"/>
      <c r="J212" s="38"/>
      <c r="K212" s="38"/>
      <c r="L212" s="589">
        <f t="shared" si="38"/>
        <v>0</v>
      </c>
    </row>
    <row r="213" spans="1:12">
      <c r="A213" s="1077">
        <v>710173</v>
      </c>
      <c r="B213" s="1102" t="str">
        <f>VLOOKUP(A213,'Income Statement'!$A$6:$B$254,2,FALSE)</f>
        <v>Holiday Pay - Sales</v>
      </c>
      <c r="C213" s="38">
        <v>0</v>
      </c>
      <c r="D213" s="59">
        <v>0</v>
      </c>
      <c r="E213" s="38">
        <v>0</v>
      </c>
      <c r="F213" s="38">
        <v>0</v>
      </c>
      <c r="G213" s="38">
        <v>0</v>
      </c>
      <c r="H213" s="38">
        <v>0</v>
      </c>
      <c r="I213" s="38">
        <v>0</v>
      </c>
      <c r="J213" s="38">
        <v>0</v>
      </c>
      <c r="K213" s="38">
        <v>0</v>
      </c>
      <c r="L213" s="589">
        <f t="shared" si="38"/>
        <v>0</v>
      </c>
    </row>
    <row r="214" spans="1:12">
      <c r="A214" s="1077">
        <v>710174</v>
      </c>
      <c r="B214" s="1102" t="str">
        <f>VLOOKUP(A214,'Income Statement'!$A$6:$B$254,2,FALSE)</f>
        <v>Vacation/Sick - Sales</v>
      </c>
      <c r="C214" s="38">
        <v>0</v>
      </c>
      <c r="D214" s="38">
        <v>0</v>
      </c>
      <c r="E214" s="38">
        <v>0</v>
      </c>
      <c r="F214" s="38">
        <v>0</v>
      </c>
      <c r="G214" s="38">
        <v>0</v>
      </c>
      <c r="H214" s="38">
        <v>0</v>
      </c>
      <c r="I214" s="38">
        <v>0</v>
      </c>
      <c r="J214" s="38">
        <v>0</v>
      </c>
      <c r="K214" s="38">
        <v>0</v>
      </c>
      <c r="L214" s="589">
        <f t="shared" si="38"/>
        <v>0</v>
      </c>
    </row>
    <row r="215" spans="1:12">
      <c r="A215" s="1077">
        <v>710176</v>
      </c>
      <c r="B215" s="1102" t="str">
        <f>VLOOKUP(A215,'Income Statement'!$A$6:$B$254,2,FALSE)</f>
        <v>Benefits Corp-Sales</v>
      </c>
      <c r="C215" s="38">
        <v>0</v>
      </c>
      <c r="D215" s="38">
        <v>0</v>
      </c>
      <c r="E215" s="38">
        <f>'[10]Recon &amp; PF Adj'!$E$27</f>
        <v>8271.1506863478135</v>
      </c>
      <c r="F215" s="38">
        <v>0</v>
      </c>
      <c r="G215" s="38">
        <v>0</v>
      </c>
      <c r="H215" s="38">
        <v>0</v>
      </c>
      <c r="I215" s="38">
        <v>0</v>
      </c>
      <c r="J215" s="38">
        <v>0</v>
      </c>
      <c r="K215" s="38">
        <v>0</v>
      </c>
      <c r="L215" s="589">
        <f t="shared" si="38"/>
        <v>8271.1506863478135</v>
      </c>
    </row>
    <row r="216" spans="1:12">
      <c r="A216" s="1077">
        <v>710177</v>
      </c>
      <c r="B216" s="1102" t="str">
        <f>VLOOKUP(A216,'Income Statement'!$A$6:$B$254,2,FALSE)</f>
        <v>Employer 401k - Sales</v>
      </c>
      <c r="C216" s="38">
        <v>0</v>
      </c>
      <c r="D216" s="38">
        <v>0</v>
      </c>
      <c r="E216" s="38">
        <v>0</v>
      </c>
      <c r="F216" s="38">
        <v>0</v>
      </c>
      <c r="G216" s="38">
        <v>0</v>
      </c>
      <c r="H216" s="38">
        <v>0</v>
      </c>
      <c r="I216" s="38">
        <v>0</v>
      </c>
      <c r="J216" s="38">
        <v>0</v>
      </c>
      <c r="K216" s="38">
        <v>0</v>
      </c>
      <c r="L216" s="589">
        <f t="shared" si="38"/>
        <v>0</v>
      </c>
    </row>
    <row r="217" spans="1:12" ht="12">
      <c r="A217" s="1077"/>
      <c r="B217" s="1104" t="s">
        <v>546</v>
      </c>
      <c r="C217" s="579">
        <f t="shared" ref="C217:K217" si="39">SUM(C203:C216)</f>
        <v>0</v>
      </c>
      <c r="D217" s="579">
        <f t="shared" si="39"/>
        <v>0</v>
      </c>
      <c r="E217" s="579">
        <f t="shared" si="39"/>
        <v>14502.758065634975</v>
      </c>
      <c r="F217" s="579">
        <f t="shared" si="39"/>
        <v>0</v>
      </c>
      <c r="G217" s="579">
        <f t="shared" si="39"/>
        <v>0</v>
      </c>
      <c r="H217" s="579">
        <f t="shared" si="39"/>
        <v>0</v>
      </c>
      <c r="I217" s="579">
        <f t="shared" si="39"/>
        <v>0</v>
      </c>
      <c r="J217" s="579">
        <f t="shared" si="39"/>
        <v>0</v>
      </c>
      <c r="K217" s="579">
        <f t="shared" si="39"/>
        <v>0</v>
      </c>
      <c r="L217" s="593">
        <f t="shared" si="38"/>
        <v>14502.758065634975</v>
      </c>
    </row>
    <row r="218" spans="1:12">
      <c r="A218" s="1077"/>
      <c r="B218" s="1102"/>
      <c r="C218" s="38"/>
      <c r="D218" s="38"/>
      <c r="E218" s="38"/>
      <c r="F218" s="38"/>
      <c r="G218" s="38"/>
      <c r="H218" s="38"/>
      <c r="I218" s="38"/>
      <c r="J218" s="38"/>
      <c r="K218" s="38"/>
      <c r="L218" s="589"/>
    </row>
    <row r="219" spans="1:12">
      <c r="A219" s="1077">
        <v>711002</v>
      </c>
      <c r="B219" s="1102" t="e">
        <f>VLOOKUP(A219,'Income Statement'!$A$6:$B$254,2,FALSE)</f>
        <v>#N/A</v>
      </c>
      <c r="C219" s="38">
        <v>0</v>
      </c>
      <c r="D219" s="38">
        <v>0</v>
      </c>
      <c r="E219" s="38">
        <v>0</v>
      </c>
      <c r="F219" s="38">
        <v>0</v>
      </c>
      <c r="G219" s="38">
        <v>0</v>
      </c>
      <c r="H219" s="38">
        <v>0</v>
      </c>
      <c r="I219" s="38">
        <v>0</v>
      </c>
      <c r="J219" s="38">
        <v>0</v>
      </c>
      <c r="K219" s="38">
        <v>0</v>
      </c>
      <c r="L219" s="589">
        <f>SUM(C219:K219)</f>
        <v>0</v>
      </c>
    </row>
    <row r="220" spans="1:12">
      <c r="A220" s="1077">
        <v>711004</v>
      </c>
      <c r="B220" s="1102" t="e">
        <f>VLOOKUP(A220,'Income Statement'!$A$6:$B$254,2,FALSE)</f>
        <v>#N/A</v>
      </c>
      <c r="C220" s="38">
        <v>0</v>
      </c>
      <c r="D220" s="38">
        <v>0</v>
      </c>
      <c r="E220" s="38">
        <v>0</v>
      </c>
      <c r="F220" s="38">
        <v>0</v>
      </c>
      <c r="G220" s="38">
        <v>0</v>
      </c>
      <c r="H220" s="38">
        <v>0</v>
      </c>
      <c r="I220" s="38">
        <v>0</v>
      </c>
      <c r="J220" s="38">
        <v>0</v>
      </c>
      <c r="K220" s="38">
        <v>0</v>
      </c>
      <c r="L220" s="589">
        <f>SUM(C220:K220)</f>
        <v>0</v>
      </c>
    </row>
    <row r="221" spans="1:12">
      <c r="A221" s="1077">
        <v>711005</v>
      </c>
      <c r="B221" s="1102" t="str">
        <f>VLOOKUP(A221,'Income Statement'!$A$6:$B$254,2,FALSE)</f>
        <v>Vehicle Mileage - Sales</v>
      </c>
      <c r="C221" s="38">
        <v>0</v>
      </c>
      <c r="D221" s="38">
        <v>0</v>
      </c>
      <c r="E221" s="38">
        <v>0</v>
      </c>
      <c r="F221" s="38">
        <v>0</v>
      </c>
      <c r="G221" s="38">
        <v>0</v>
      </c>
      <c r="H221" s="38">
        <v>0</v>
      </c>
      <c r="I221" s="38">
        <v>0</v>
      </c>
      <c r="J221" s="38">
        <v>0</v>
      </c>
      <c r="K221" s="38">
        <v>0</v>
      </c>
      <c r="L221" s="589">
        <f t="shared" ref="L221:L229" si="40">SUM(C221:K221)</f>
        <v>0</v>
      </c>
    </row>
    <row r="222" spans="1:12">
      <c r="A222" s="1077">
        <v>711006</v>
      </c>
      <c r="B222" s="1102" t="str">
        <f>VLOOKUP(A222,'Income Statement'!$A$6:$B$254,2,FALSE)</f>
        <v>Travel - Sales</v>
      </c>
      <c r="C222" s="38">
        <v>0</v>
      </c>
      <c r="D222" s="38">
        <v>0</v>
      </c>
      <c r="E222" s="38">
        <v>0</v>
      </c>
      <c r="F222" s="38">
        <v>0</v>
      </c>
      <c r="G222" s="38">
        <v>0</v>
      </c>
      <c r="H222" s="38">
        <v>0</v>
      </c>
      <c r="I222" s="38">
        <v>0</v>
      </c>
      <c r="J222" s="38">
        <v>0</v>
      </c>
      <c r="K222" s="38">
        <v>0</v>
      </c>
      <c r="L222" s="589">
        <f t="shared" si="40"/>
        <v>0</v>
      </c>
    </row>
    <row r="223" spans="1:12">
      <c r="A223" s="1077">
        <v>711009</v>
      </c>
      <c r="B223" s="1102" t="str">
        <f>VLOOKUP(A223,'Income Statement'!$A$6:$B$254,2,FALSE)</f>
        <v>Meals &amp; Entert (50%)-Sales</v>
      </c>
      <c r="C223" s="38">
        <v>0</v>
      </c>
      <c r="D223" s="38">
        <v>0</v>
      </c>
      <c r="E223" s="38">
        <v>0</v>
      </c>
      <c r="F223" s="38">
        <v>0</v>
      </c>
      <c r="G223" s="38">
        <v>0</v>
      </c>
      <c r="H223" s="38">
        <v>0</v>
      </c>
      <c r="I223" s="38">
        <v>0</v>
      </c>
      <c r="J223" s="38">
        <v>0</v>
      </c>
      <c r="K223" s="38">
        <v>0</v>
      </c>
      <c r="L223" s="589">
        <f t="shared" si="40"/>
        <v>0</v>
      </c>
    </row>
    <row r="224" spans="1:12">
      <c r="A224" s="1077">
        <v>711010</v>
      </c>
      <c r="B224" s="1102" t="str">
        <f>VLOOKUP(A224,'Income Statement'!$A$6:$B$254,2,FALSE)</f>
        <v>Office Supplies - Sales</v>
      </c>
      <c r="C224" s="38">
        <v>0</v>
      </c>
      <c r="D224" s="38">
        <v>0</v>
      </c>
      <c r="E224" s="38">
        <v>0</v>
      </c>
      <c r="F224" s="38">
        <v>0</v>
      </c>
      <c r="G224" s="38">
        <v>0</v>
      </c>
      <c r="H224" s="38">
        <v>0</v>
      </c>
      <c r="I224" s="38">
        <v>0</v>
      </c>
      <c r="J224" s="38">
        <v>0</v>
      </c>
      <c r="K224" s="38">
        <v>0</v>
      </c>
      <c r="L224" s="589">
        <f t="shared" si="40"/>
        <v>0</v>
      </c>
    </row>
    <row r="225" spans="1:12">
      <c r="A225" s="1077">
        <v>711014</v>
      </c>
      <c r="B225" s="1102" t="str">
        <f>VLOOKUP(A225,'Income Statement'!$A$6:$B$254,2,FALSE)</f>
        <v>Dues &amp; Subscriptions - Sales</v>
      </c>
      <c r="C225" s="38">
        <v>0</v>
      </c>
      <c r="D225" s="38">
        <v>0</v>
      </c>
      <c r="E225" s="38">
        <v>0</v>
      </c>
      <c r="F225" s="38">
        <v>0</v>
      </c>
      <c r="G225" s="38">
        <v>0</v>
      </c>
      <c r="H225" s="38">
        <v>0</v>
      </c>
      <c r="I225" s="38">
        <v>0</v>
      </c>
      <c r="J225" s="38">
        <v>0</v>
      </c>
      <c r="K225" s="38">
        <v>0</v>
      </c>
      <c r="L225" s="589">
        <f t="shared" si="40"/>
        <v>0</v>
      </c>
    </row>
    <row r="226" spans="1:12">
      <c r="A226" s="1077">
        <v>711016</v>
      </c>
      <c r="B226" s="1102" t="str">
        <f>VLOOKUP(A226,'Income Statement'!$A$6:$B$254,2,FALSE)</f>
        <v>Telephone - Sales</v>
      </c>
      <c r="C226" s="38"/>
      <c r="D226" s="38"/>
      <c r="E226" s="38"/>
      <c r="F226" s="38"/>
      <c r="G226" s="38"/>
      <c r="H226" s="38"/>
      <c r="I226" s="38"/>
      <c r="J226" s="38"/>
      <c r="K226" s="38"/>
      <c r="L226" s="589">
        <f t="shared" si="40"/>
        <v>0</v>
      </c>
    </row>
    <row r="227" spans="1:12">
      <c r="A227" s="1077">
        <v>711028</v>
      </c>
      <c r="B227" s="1102" t="str">
        <f>VLOOKUP(A227,'Income Statement'!$A$6:$B$254,2,FALSE)</f>
        <v>Advertising - Sales</v>
      </c>
      <c r="C227" s="38">
        <v>0</v>
      </c>
      <c r="D227" s="38">
        <v>0</v>
      </c>
      <c r="E227" s="38">
        <v>0</v>
      </c>
      <c r="F227" s="38">
        <v>0</v>
      </c>
      <c r="G227" s="38">
        <v>0</v>
      </c>
      <c r="H227" s="38">
        <v>0</v>
      </c>
      <c r="I227" s="38">
        <v>0</v>
      </c>
      <c r="J227" s="38">
        <v>0</v>
      </c>
      <c r="K227" s="38">
        <v>0</v>
      </c>
      <c r="L227" s="589">
        <f t="shared" si="40"/>
        <v>0</v>
      </c>
    </row>
    <row r="228" spans="1:12">
      <c r="A228" s="1077">
        <v>711095</v>
      </c>
      <c r="B228" s="1102" t="str">
        <f>VLOOKUP(A228,'Income Statement'!$A$6:$B$254,2,FALSE)</f>
        <v>Sales &amp; Mkting Misc</v>
      </c>
      <c r="C228" s="38">
        <v>0</v>
      </c>
      <c r="D228" s="38">
        <v>0</v>
      </c>
      <c r="E228" s="38">
        <v>0</v>
      </c>
      <c r="F228" s="38">
        <v>0</v>
      </c>
      <c r="G228" s="38">
        <v>0</v>
      </c>
      <c r="H228" s="38">
        <v>0</v>
      </c>
      <c r="I228" s="38">
        <v>0</v>
      </c>
      <c r="J228" s="38">
        <v>0</v>
      </c>
      <c r="K228" s="38">
        <v>0</v>
      </c>
      <c r="L228" s="589">
        <f t="shared" si="40"/>
        <v>0</v>
      </c>
    </row>
    <row r="229" spans="1:12" ht="12">
      <c r="A229" s="1084"/>
      <c r="B229" s="1104" t="s">
        <v>547</v>
      </c>
      <c r="C229" s="579">
        <f t="shared" ref="C229:K229" si="41">SUM(C219:C228)</f>
        <v>0</v>
      </c>
      <c r="D229" s="579">
        <f t="shared" si="41"/>
        <v>0</v>
      </c>
      <c r="E229" s="579">
        <f t="shared" si="41"/>
        <v>0</v>
      </c>
      <c r="F229" s="579">
        <f t="shared" si="41"/>
        <v>0</v>
      </c>
      <c r="G229" s="579">
        <f t="shared" si="41"/>
        <v>0</v>
      </c>
      <c r="H229" s="579">
        <f t="shared" si="41"/>
        <v>0</v>
      </c>
      <c r="I229" s="579">
        <f t="shared" si="41"/>
        <v>0</v>
      </c>
      <c r="J229" s="579">
        <f t="shared" si="41"/>
        <v>0</v>
      </c>
      <c r="K229" s="579">
        <f t="shared" si="41"/>
        <v>0</v>
      </c>
      <c r="L229" s="593">
        <f t="shared" si="40"/>
        <v>0</v>
      </c>
    </row>
    <row r="230" spans="1:12">
      <c r="A230" s="1084"/>
      <c r="B230" s="1102"/>
      <c r="C230" s="38"/>
      <c r="D230" s="38"/>
      <c r="E230" s="38"/>
      <c r="F230" s="38"/>
      <c r="G230" s="38"/>
      <c r="H230" s="38"/>
      <c r="I230" s="38"/>
      <c r="J230" s="38"/>
      <c r="K230" s="38"/>
      <c r="L230" s="589"/>
    </row>
    <row r="231" spans="1:12" ht="12">
      <c r="A231" s="1084"/>
      <c r="B231" s="1088" t="s">
        <v>548</v>
      </c>
      <c r="C231" s="576">
        <f t="shared" ref="C231:K231" si="42">C217+C229</f>
        <v>0</v>
      </c>
      <c r="D231" s="576">
        <f t="shared" si="42"/>
        <v>0</v>
      </c>
      <c r="E231" s="576">
        <f t="shared" si="42"/>
        <v>14502.758065634975</v>
      </c>
      <c r="F231" s="576">
        <f t="shared" si="42"/>
        <v>0</v>
      </c>
      <c r="G231" s="576">
        <f t="shared" si="42"/>
        <v>0</v>
      </c>
      <c r="H231" s="576">
        <f t="shared" si="42"/>
        <v>0</v>
      </c>
      <c r="I231" s="576">
        <f t="shared" si="42"/>
        <v>0</v>
      </c>
      <c r="J231" s="576">
        <f t="shared" si="42"/>
        <v>0</v>
      </c>
      <c r="K231" s="576">
        <f t="shared" si="42"/>
        <v>0</v>
      </c>
      <c r="L231" s="590"/>
    </row>
    <row r="232" spans="1:12">
      <c r="A232" s="1090"/>
      <c r="B232" s="1097"/>
      <c r="C232" s="38"/>
      <c r="D232" s="38"/>
      <c r="E232" s="38"/>
      <c r="F232" s="38"/>
      <c r="G232" s="38"/>
      <c r="H232" s="38"/>
      <c r="I232" s="38"/>
      <c r="J232" s="38"/>
      <c r="K232" s="38"/>
      <c r="L232" s="589"/>
    </row>
    <row r="233" spans="1:12">
      <c r="A233" s="1090">
        <v>750000</v>
      </c>
      <c r="B233" s="1102" t="str">
        <f>VLOOKUP(A233,'Income Statement'!$A$6:$B$254,2,FALSE)</f>
        <v>G&amp;A Mgrs &amp; Supv</v>
      </c>
      <c r="C233" s="38">
        <v>0</v>
      </c>
      <c r="D233" s="38">
        <v>0</v>
      </c>
      <c r="E233" s="38">
        <f>'[10]Recon &amp; PF Adj'!$C$28</f>
        <v>5544.1479551188677</v>
      </c>
      <c r="F233" s="38">
        <v>0</v>
      </c>
      <c r="G233" s="38">
        <v>0</v>
      </c>
      <c r="H233" s="38">
        <v>0</v>
      </c>
      <c r="I233" s="38">
        <v>0</v>
      </c>
      <c r="J233" s="38">
        <v>0</v>
      </c>
      <c r="K233" s="38">
        <v>0</v>
      </c>
      <c r="L233" s="589">
        <f t="shared" ref="L233:L243" si="43">SUM(C233:K233)</f>
        <v>5544.1479551188677</v>
      </c>
    </row>
    <row r="234" spans="1:12">
      <c r="A234" s="1077">
        <v>750005</v>
      </c>
      <c r="B234" s="1102" t="str">
        <f>VLOOKUP(A234,'Income Statement'!$A$6:$B$254,2,FALSE)</f>
        <v>G&amp;A Support Labor</v>
      </c>
      <c r="C234" s="59">
        <v>0</v>
      </c>
      <c r="D234" s="59">
        <v>0</v>
      </c>
      <c r="E234" s="59">
        <f>'[10]Recon &amp; PF Adj'!$C$29</f>
        <v>3268.9080969890401</v>
      </c>
      <c r="F234" s="59">
        <v>0</v>
      </c>
      <c r="G234" s="59">
        <v>0</v>
      </c>
      <c r="H234" s="59">
        <v>0</v>
      </c>
      <c r="I234" s="59">
        <v>0</v>
      </c>
      <c r="J234" s="59">
        <v>0</v>
      </c>
      <c r="K234" s="59">
        <v>0</v>
      </c>
      <c r="L234" s="589">
        <f t="shared" si="43"/>
        <v>3268.9080969890401</v>
      </c>
    </row>
    <row r="235" spans="1:12">
      <c r="A235" s="1077">
        <v>750055</v>
      </c>
      <c r="B235" s="1102" t="str">
        <f>VLOOKUP(A235,'Income Statement'!$A$6:$B$254,2,FALSE)</f>
        <v>Temporary Labor-G&amp;A</v>
      </c>
      <c r="C235" s="59">
        <v>0</v>
      </c>
      <c r="D235" s="59">
        <v>0</v>
      </c>
      <c r="E235" s="59">
        <v>0</v>
      </c>
      <c r="F235" s="59">
        <v>0</v>
      </c>
      <c r="G235" s="59">
        <v>0</v>
      </c>
      <c r="H235" s="59">
        <v>0</v>
      </c>
      <c r="I235" s="59">
        <v>0</v>
      </c>
      <c r="J235" s="59">
        <v>0</v>
      </c>
      <c r="K235" s="59">
        <v>0</v>
      </c>
      <c r="L235" s="589">
        <f t="shared" si="43"/>
        <v>0</v>
      </c>
    </row>
    <row r="236" spans="1:12">
      <c r="A236" s="1077">
        <v>750060</v>
      </c>
      <c r="B236" s="1102" t="str">
        <f>VLOOKUP(A236,'Income Statement'!$A$6:$B$254,2,FALSE)</f>
        <v>Bonus Pay Non-Corp-G&amp;A</v>
      </c>
      <c r="C236" s="59"/>
      <c r="D236" s="59"/>
      <c r="E236" s="59"/>
      <c r="F236" s="59"/>
      <c r="G236" s="59"/>
      <c r="H236" s="59"/>
      <c r="I236" s="59"/>
      <c r="J236" s="59"/>
      <c r="K236" s="59"/>
      <c r="L236" s="589">
        <f t="shared" si="43"/>
        <v>0</v>
      </c>
    </row>
    <row r="237" spans="1:12">
      <c r="A237" s="1077">
        <v>750061</v>
      </c>
      <c r="B237" s="1102" t="str">
        <f>VLOOKUP(A237,'Income Statement'!$A$6:$B$254,2,FALSE)</f>
        <v>Bonus Pay Corp-G&amp;A</v>
      </c>
      <c r="C237" s="59">
        <v>0</v>
      </c>
      <c r="D237" s="59">
        <v>0</v>
      </c>
      <c r="E237" s="59">
        <v>0</v>
      </c>
      <c r="F237" s="59">
        <v>0</v>
      </c>
      <c r="G237" s="59">
        <v>0</v>
      </c>
      <c r="H237" s="59">
        <v>0</v>
      </c>
      <c r="I237" s="59">
        <v>0</v>
      </c>
      <c r="J237" s="59">
        <v>0</v>
      </c>
      <c r="K237" s="59">
        <v>0</v>
      </c>
      <c r="L237" s="589">
        <f t="shared" si="43"/>
        <v>0</v>
      </c>
    </row>
    <row r="238" spans="1:12">
      <c r="A238" s="1077">
        <v>750170</v>
      </c>
      <c r="B238" s="1102" t="str">
        <f>VLOOKUP(A238,'Income Statement'!$A$6:$B$254,2,FALSE)</f>
        <v>Payroll Taxes - G&amp;A</v>
      </c>
      <c r="C238" s="59">
        <v>0</v>
      </c>
      <c r="D238" s="59">
        <v>0</v>
      </c>
      <c r="E238" s="59">
        <f>SUM('[10]Recon &amp; PF Adj'!$D$28:$D$29)</f>
        <v>738.80999363606611</v>
      </c>
      <c r="F238" s="59">
        <v>0</v>
      </c>
      <c r="G238" s="59">
        <v>0</v>
      </c>
      <c r="H238" s="59">
        <v>0</v>
      </c>
      <c r="I238" s="59">
        <v>0</v>
      </c>
      <c r="J238" s="59">
        <v>0</v>
      </c>
      <c r="K238" s="59">
        <v>0</v>
      </c>
      <c r="L238" s="589">
        <f t="shared" si="43"/>
        <v>738.80999363606611</v>
      </c>
    </row>
    <row r="239" spans="1:12">
      <c r="A239" s="1077">
        <v>750173</v>
      </c>
      <c r="B239" s="1102" t="str">
        <f>VLOOKUP(A239,'Income Statement'!$A$6:$B$254,2,FALSE)</f>
        <v>Holiday Pay - G&amp;A</v>
      </c>
      <c r="C239" s="59">
        <v>0</v>
      </c>
      <c r="D239" s="59">
        <v>0</v>
      </c>
      <c r="E239" s="59">
        <v>0</v>
      </c>
      <c r="F239" s="59">
        <v>0</v>
      </c>
      <c r="G239" s="59">
        <v>0</v>
      </c>
      <c r="H239" s="59">
        <v>0</v>
      </c>
      <c r="I239" s="59">
        <v>0</v>
      </c>
      <c r="J239" s="59">
        <v>0</v>
      </c>
      <c r="K239" s="59">
        <v>0</v>
      </c>
      <c r="L239" s="589">
        <f t="shared" si="43"/>
        <v>0</v>
      </c>
    </row>
    <row r="240" spans="1:12">
      <c r="A240" s="1077">
        <v>750174</v>
      </c>
      <c r="B240" s="1102" t="str">
        <f>VLOOKUP(A240,'Income Statement'!$A$6:$B$254,2,FALSE)</f>
        <v>Vacation/Sick - G&amp;A</v>
      </c>
      <c r="C240" s="59">
        <v>0</v>
      </c>
      <c r="D240" s="59">
        <v>0</v>
      </c>
      <c r="E240" s="59">
        <v>0</v>
      </c>
      <c r="F240" s="59">
        <v>0</v>
      </c>
      <c r="G240" s="59">
        <v>0</v>
      </c>
      <c r="H240" s="59">
        <v>0</v>
      </c>
      <c r="I240" s="59">
        <v>0</v>
      </c>
      <c r="J240" s="59">
        <v>0</v>
      </c>
      <c r="K240" s="59">
        <v>0</v>
      </c>
      <c r="L240" s="589">
        <f t="shared" si="43"/>
        <v>0</v>
      </c>
    </row>
    <row r="241" spans="1:12">
      <c r="A241" s="1077">
        <v>750176</v>
      </c>
      <c r="B241" s="1102" t="str">
        <f>VLOOKUP(A241,'Income Statement'!$A$6:$B$254,2,FALSE)</f>
        <v>Benefits Corp-G&amp;A</v>
      </c>
      <c r="C241" s="59">
        <v>0</v>
      </c>
      <c r="D241" s="59">
        <v>0</v>
      </c>
      <c r="E241" s="59">
        <f>SUM('[10]Recon &amp; PF Adj'!$E$28:$E$29)</f>
        <v>9605.52</v>
      </c>
      <c r="F241" s="59">
        <v>0</v>
      </c>
      <c r="G241" s="59">
        <v>0</v>
      </c>
      <c r="H241" s="59">
        <v>0</v>
      </c>
      <c r="I241" s="59">
        <v>0</v>
      </c>
      <c r="J241" s="59">
        <v>0</v>
      </c>
      <c r="K241" s="59">
        <v>0</v>
      </c>
      <c r="L241" s="589">
        <f t="shared" si="43"/>
        <v>9605.52</v>
      </c>
    </row>
    <row r="242" spans="1:12">
      <c r="A242" s="1077">
        <v>750177</v>
      </c>
      <c r="B242" s="1102" t="str">
        <f>VLOOKUP(A242,'Income Statement'!$A$6:$B$254,2,FALSE)</f>
        <v>Employer 401K-G&amp;A</v>
      </c>
      <c r="C242" s="59">
        <v>0</v>
      </c>
      <c r="D242" s="59">
        <v>0</v>
      </c>
      <c r="E242" s="59">
        <v>0</v>
      </c>
      <c r="F242" s="59">
        <v>0</v>
      </c>
      <c r="G242" s="59">
        <v>0</v>
      </c>
      <c r="H242" s="59">
        <v>0</v>
      </c>
      <c r="I242" s="59">
        <v>0</v>
      </c>
      <c r="J242" s="59">
        <v>0</v>
      </c>
      <c r="K242" s="59">
        <v>0</v>
      </c>
      <c r="L242" s="589">
        <f t="shared" si="43"/>
        <v>0</v>
      </c>
    </row>
    <row r="243" spans="1:12" ht="12">
      <c r="A243" s="1084"/>
      <c r="B243" s="1104" t="s">
        <v>550</v>
      </c>
      <c r="C243" s="59">
        <v>0</v>
      </c>
      <c r="D243" s="59">
        <v>0</v>
      </c>
      <c r="E243" s="59">
        <v>0</v>
      </c>
      <c r="F243" s="59">
        <v>0</v>
      </c>
      <c r="G243" s="59">
        <v>0</v>
      </c>
      <c r="H243" s="59">
        <v>0</v>
      </c>
      <c r="I243" s="59">
        <v>0</v>
      </c>
      <c r="J243" s="59">
        <v>0</v>
      </c>
      <c r="K243" s="59">
        <v>0</v>
      </c>
      <c r="L243" s="589">
        <f t="shared" si="43"/>
        <v>0</v>
      </c>
    </row>
    <row r="244" spans="1:12" ht="12">
      <c r="A244" s="1084"/>
      <c r="B244" s="1102"/>
      <c r="C244" s="579">
        <f t="shared" ref="C244:K244" si="44">SUM(C233:C243)</f>
        <v>0</v>
      </c>
      <c r="D244" s="579">
        <f t="shared" si="44"/>
        <v>0</v>
      </c>
      <c r="E244" s="579">
        <f t="shared" si="44"/>
        <v>19157.386045743973</v>
      </c>
      <c r="F244" s="579">
        <f t="shared" si="44"/>
        <v>0</v>
      </c>
      <c r="G244" s="579">
        <f t="shared" si="44"/>
        <v>0</v>
      </c>
      <c r="H244" s="579">
        <f t="shared" si="44"/>
        <v>0</v>
      </c>
      <c r="I244" s="579">
        <f t="shared" si="44"/>
        <v>0</v>
      </c>
      <c r="J244" s="579">
        <f t="shared" si="44"/>
        <v>0</v>
      </c>
      <c r="K244" s="579">
        <f t="shared" si="44"/>
        <v>0</v>
      </c>
      <c r="L244" s="593">
        <f>SUM(C244:K244)</f>
        <v>19157.386045743973</v>
      </c>
    </row>
    <row r="245" spans="1:12">
      <c r="A245" s="1077">
        <v>751102</v>
      </c>
      <c r="B245" s="1102" t="str">
        <f>VLOOKUP(A245,'Income Statement'!$A$6:$B$254,2,FALSE)</f>
        <v>Recruiting - G&amp;A</v>
      </c>
      <c r="C245" s="59"/>
      <c r="D245" s="59"/>
      <c r="E245" s="59"/>
      <c r="F245" s="59"/>
      <c r="G245" s="59"/>
      <c r="H245" s="59"/>
      <c r="I245" s="59"/>
      <c r="J245" s="59"/>
      <c r="K245" s="59"/>
      <c r="L245" s="589"/>
    </row>
    <row r="246" spans="1:12">
      <c r="A246" s="1077">
        <v>751104</v>
      </c>
      <c r="B246" s="1102" t="str">
        <f>VLOOKUP(A246,'Income Statement'!$A$6:$B$254,2,FALSE)</f>
        <v>Employee Activities - G&amp;A</v>
      </c>
      <c r="C246" s="59">
        <v>0</v>
      </c>
      <c r="D246" s="59">
        <v>0</v>
      </c>
      <c r="E246" s="59">
        <v>0</v>
      </c>
      <c r="F246" s="59">
        <v>0</v>
      </c>
      <c r="G246" s="59">
        <v>0</v>
      </c>
      <c r="H246" s="59">
        <v>0</v>
      </c>
      <c r="I246" s="59">
        <v>0</v>
      </c>
      <c r="J246" s="59">
        <v>0</v>
      </c>
      <c r="K246" s="59">
        <v>0</v>
      </c>
      <c r="L246" s="589">
        <f>SUM(C246:K246)</f>
        <v>0</v>
      </c>
    </row>
    <row r="247" spans="1:12">
      <c r="A247" s="1077">
        <v>751105</v>
      </c>
      <c r="B247" s="1102" t="str">
        <f>VLOOKUP(A247,'Income Statement'!$A$6:$B$254,2,FALSE)</f>
        <v>Vehicle Mileage - G&amp;A</v>
      </c>
      <c r="C247" s="59">
        <v>0</v>
      </c>
      <c r="D247" s="59">
        <v>0</v>
      </c>
      <c r="E247" s="59">
        <v>0</v>
      </c>
      <c r="F247" s="59">
        <v>0</v>
      </c>
      <c r="G247" s="59">
        <v>0</v>
      </c>
      <c r="H247" s="59">
        <v>0</v>
      </c>
      <c r="I247" s="59">
        <v>0</v>
      </c>
      <c r="J247" s="59">
        <v>0</v>
      </c>
      <c r="K247" s="59">
        <v>0</v>
      </c>
      <c r="L247" s="589">
        <f t="shared" ref="L247:L285" si="45">SUM(C247:K247)</f>
        <v>0</v>
      </c>
    </row>
    <row r="248" spans="1:12">
      <c r="A248" s="1077">
        <v>751106</v>
      </c>
      <c r="B248" s="1102" t="str">
        <f>VLOOKUP(A248,'Income Statement'!$A$6:$B$254,2,FALSE)</f>
        <v>Travel - G&amp;A</v>
      </c>
      <c r="C248" s="59">
        <v>0</v>
      </c>
      <c r="D248" s="59">
        <v>0</v>
      </c>
      <c r="E248" s="59">
        <v>0</v>
      </c>
      <c r="F248" s="59">
        <v>0</v>
      </c>
      <c r="G248" s="59">
        <v>0</v>
      </c>
      <c r="H248" s="59">
        <v>0</v>
      </c>
      <c r="I248" s="59">
        <v>0</v>
      </c>
      <c r="J248" s="59">
        <v>0</v>
      </c>
      <c r="K248" s="59">
        <v>0</v>
      </c>
      <c r="L248" s="589">
        <f t="shared" si="45"/>
        <v>0</v>
      </c>
    </row>
    <row r="249" spans="1:12">
      <c r="A249" s="1077">
        <v>751108</v>
      </c>
      <c r="B249" s="1102" t="e">
        <f>VLOOKUP(A249,'Income Statement'!$A$6:$B$254,2,FALSE)</f>
        <v>#N/A</v>
      </c>
      <c r="C249" s="59">
        <v>0</v>
      </c>
      <c r="D249" s="59">
        <v>0</v>
      </c>
      <c r="E249" s="59">
        <v>0</v>
      </c>
      <c r="F249" s="59">
        <v>0</v>
      </c>
      <c r="G249" s="59">
        <v>0</v>
      </c>
      <c r="H249" s="59">
        <v>0</v>
      </c>
      <c r="I249" s="59">
        <v>0</v>
      </c>
      <c r="J249" s="59">
        <v>0</v>
      </c>
      <c r="K249" s="59">
        <v>0</v>
      </c>
      <c r="L249" s="589">
        <f t="shared" si="45"/>
        <v>0</v>
      </c>
    </row>
    <row r="250" spans="1:12">
      <c r="A250" s="1077">
        <v>751109</v>
      </c>
      <c r="B250" s="1102" t="str">
        <f>VLOOKUP(A250,'Income Statement'!$A$6:$B$254,2,FALSE)</f>
        <v>Meals &amp; Entert (50%)-G&amp;A</v>
      </c>
      <c r="C250" s="59">
        <v>0</v>
      </c>
      <c r="D250" s="59">
        <v>0</v>
      </c>
      <c r="E250" s="59">
        <v>0</v>
      </c>
      <c r="F250" s="59">
        <v>0</v>
      </c>
      <c r="G250" s="59">
        <v>0</v>
      </c>
      <c r="H250" s="59">
        <v>0</v>
      </c>
      <c r="I250" s="59">
        <v>0</v>
      </c>
      <c r="J250" s="59">
        <v>0</v>
      </c>
      <c r="K250" s="59">
        <v>0</v>
      </c>
      <c r="L250" s="589">
        <f t="shared" si="45"/>
        <v>0</v>
      </c>
    </row>
    <row r="251" spans="1:12">
      <c r="A251" s="1077">
        <v>751110</v>
      </c>
      <c r="B251" s="1102" t="str">
        <f>VLOOKUP(A251,'Income Statement'!$A$6:$B$254,2,FALSE)</f>
        <v>Office Supplies - G&amp;A</v>
      </c>
      <c r="C251" s="59">
        <v>0</v>
      </c>
      <c r="D251" s="59">
        <v>0</v>
      </c>
      <c r="E251" s="59">
        <v>0</v>
      </c>
      <c r="F251" s="59">
        <v>0</v>
      </c>
      <c r="G251" s="59">
        <v>0</v>
      </c>
      <c r="H251" s="59">
        <v>0</v>
      </c>
      <c r="I251" s="59">
        <v>0</v>
      </c>
      <c r="J251" s="59">
        <v>0</v>
      </c>
      <c r="K251" s="59">
        <v>0</v>
      </c>
      <c r="L251" s="589">
        <f t="shared" si="45"/>
        <v>0</v>
      </c>
    </row>
    <row r="252" spans="1:12">
      <c r="A252" s="1077">
        <v>751111</v>
      </c>
      <c r="B252" s="1102" t="str">
        <f>VLOOKUP(A252,'Income Statement'!$A$6:$B$254,2,FALSE)</f>
        <v>Food/Coffee services-G&amp;A</v>
      </c>
      <c r="C252" s="59">
        <v>0</v>
      </c>
      <c r="D252" s="59">
        <v>0</v>
      </c>
      <c r="E252" s="59">
        <v>0</v>
      </c>
      <c r="F252" s="59">
        <v>0</v>
      </c>
      <c r="G252" s="59">
        <v>0</v>
      </c>
      <c r="H252" s="59">
        <v>0</v>
      </c>
      <c r="I252" s="59">
        <v>0</v>
      </c>
      <c r="J252" s="59">
        <v>0</v>
      </c>
      <c r="K252" s="59">
        <v>0</v>
      </c>
      <c r="L252" s="589">
        <f t="shared" si="45"/>
        <v>0</v>
      </c>
    </row>
    <row r="253" spans="1:12">
      <c r="A253" s="1077">
        <v>751112</v>
      </c>
      <c r="B253" s="1102" t="str">
        <f>VLOOKUP(A253,'Income Statement'!$A$6:$B$254,2,FALSE)</f>
        <v>Postage/Courier Exp G&amp;A</v>
      </c>
      <c r="C253" s="59">
        <v>0</v>
      </c>
      <c r="D253" s="59">
        <v>0</v>
      </c>
      <c r="E253" s="59">
        <v>0</v>
      </c>
      <c r="F253" s="59">
        <v>0</v>
      </c>
      <c r="G253" s="59">
        <v>0</v>
      </c>
      <c r="H253" s="59">
        <v>0</v>
      </c>
      <c r="I253" s="59">
        <v>0</v>
      </c>
      <c r="J253" s="59">
        <v>0</v>
      </c>
      <c r="K253" s="59">
        <v>0</v>
      </c>
      <c r="L253" s="589">
        <f t="shared" si="45"/>
        <v>0</v>
      </c>
    </row>
    <row r="254" spans="1:12">
      <c r="A254" s="1077">
        <v>751114</v>
      </c>
      <c r="B254" s="1102" t="str">
        <f>VLOOKUP(A254,'Income Statement'!$A$6:$B$254,2,FALSE)</f>
        <v>Dues &amp; Subscriptions - G&amp;A</v>
      </c>
      <c r="C254" s="59">
        <v>0</v>
      </c>
      <c r="D254" s="59">
        <v>0</v>
      </c>
      <c r="E254" s="59">
        <v>0</v>
      </c>
      <c r="F254" s="59">
        <v>0</v>
      </c>
      <c r="G254" s="59">
        <v>0</v>
      </c>
      <c r="H254" s="59">
        <v>0</v>
      </c>
      <c r="I254" s="59">
        <v>0</v>
      </c>
      <c r="J254" s="59">
        <v>0</v>
      </c>
      <c r="K254" s="59">
        <v>0</v>
      </c>
      <c r="L254" s="589">
        <f t="shared" si="45"/>
        <v>0</v>
      </c>
    </row>
    <row r="255" spans="1:12">
      <c r="A255" s="1077">
        <v>751116</v>
      </c>
      <c r="B255" s="1102" t="str">
        <f>VLOOKUP(A255,'Income Statement'!$A$6:$B$254,2,FALSE)</f>
        <v>Telephone - G&amp;A</v>
      </c>
      <c r="C255" s="59">
        <v>0</v>
      </c>
      <c r="D255" s="59">
        <v>0</v>
      </c>
      <c r="E255" s="59">
        <v>0</v>
      </c>
      <c r="F255" s="59">
        <v>0</v>
      </c>
      <c r="G255" s="59">
        <v>0</v>
      </c>
      <c r="H255" s="59">
        <v>0</v>
      </c>
      <c r="I255" s="59">
        <v>0</v>
      </c>
      <c r="J255" s="59">
        <v>0</v>
      </c>
      <c r="K255" s="59">
        <v>0</v>
      </c>
      <c r="L255" s="589">
        <f t="shared" si="45"/>
        <v>0</v>
      </c>
    </row>
    <row r="256" spans="1:12">
      <c r="A256" s="1077">
        <v>751117</v>
      </c>
      <c r="B256" s="1102" t="str">
        <f>VLOOKUP(A256,'Income Statement'!$A$6:$B$254,2,FALSE)</f>
        <v>Data Communications - G&amp;A</v>
      </c>
      <c r="C256" s="59"/>
      <c r="D256" s="59"/>
      <c r="E256" s="59"/>
      <c r="F256" s="59"/>
      <c r="G256" s="59"/>
      <c r="H256" s="59"/>
      <c r="I256" s="59"/>
      <c r="J256" s="59"/>
      <c r="K256" s="59"/>
      <c r="L256" s="589">
        <f t="shared" si="45"/>
        <v>0</v>
      </c>
    </row>
    <row r="257" spans="1:12">
      <c r="A257" s="1077">
        <v>751118</v>
      </c>
      <c r="B257" s="1102" t="str">
        <f>VLOOKUP(A257,'Income Statement'!$A$6:$B$254,2,FALSE)</f>
        <v>Utilities - G&amp;A</v>
      </c>
      <c r="C257" s="59"/>
      <c r="D257" s="59"/>
      <c r="E257" s="59"/>
      <c r="F257" s="59"/>
      <c r="G257" s="59"/>
      <c r="H257" s="59"/>
      <c r="I257" s="59"/>
      <c r="J257" s="59"/>
      <c r="K257" s="59"/>
      <c r="L257" s="589">
        <f t="shared" si="45"/>
        <v>0</v>
      </c>
    </row>
    <row r="258" spans="1:12">
      <c r="A258" s="1077">
        <v>751120</v>
      </c>
      <c r="B258" s="1102" t="str">
        <f>VLOOKUP(A258,'Income Statement'!$A$6:$B$254,2,FALSE)</f>
        <v>Facility Maintenance - G&amp;A</v>
      </c>
      <c r="C258" s="59">
        <v>0</v>
      </c>
      <c r="D258" s="59">
        <v>0</v>
      </c>
      <c r="E258" s="59">
        <v>0</v>
      </c>
      <c r="F258" s="59">
        <v>0</v>
      </c>
      <c r="G258" s="59">
        <v>0</v>
      </c>
      <c r="H258" s="59">
        <v>0</v>
      </c>
      <c r="I258" s="59">
        <v>0</v>
      </c>
      <c r="J258" s="59">
        <v>0</v>
      </c>
      <c r="K258" s="59">
        <v>0</v>
      </c>
      <c r="L258" s="589">
        <f t="shared" si="45"/>
        <v>0</v>
      </c>
    </row>
    <row r="259" spans="1:12">
      <c r="A259" s="1077">
        <v>751121</v>
      </c>
      <c r="B259" s="1102" t="str">
        <f>VLOOKUP(A259,'Income Statement'!$A$6:$B$254,2,FALSE)</f>
        <v>Storage Expenses-G&amp;A</v>
      </c>
      <c r="C259" s="59">
        <v>0</v>
      </c>
      <c r="D259" s="59">
        <v>0</v>
      </c>
      <c r="E259" s="59">
        <v>0</v>
      </c>
      <c r="F259" s="59">
        <v>0</v>
      </c>
      <c r="G259" s="59">
        <v>0</v>
      </c>
      <c r="H259" s="59">
        <v>0</v>
      </c>
      <c r="I259" s="59">
        <v>0</v>
      </c>
      <c r="J259" s="59">
        <v>0</v>
      </c>
      <c r="K259" s="59">
        <v>0</v>
      </c>
      <c r="L259" s="589">
        <f t="shared" si="45"/>
        <v>0</v>
      </c>
    </row>
    <row r="260" spans="1:12">
      <c r="A260" s="1077">
        <v>751122</v>
      </c>
      <c r="B260" s="1102" t="str">
        <f>VLOOKUP(A260,'Income Statement'!$A$6:$B$254,2,FALSE)</f>
        <v>Rent - G&amp;A</v>
      </c>
      <c r="C260" s="59">
        <v>0</v>
      </c>
      <c r="D260" s="59">
        <v>0</v>
      </c>
      <c r="E260" s="59">
        <v>0</v>
      </c>
      <c r="F260" s="59">
        <v>0</v>
      </c>
      <c r="G260" s="59">
        <v>0</v>
      </c>
      <c r="H260" s="59">
        <v>0</v>
      </c>
      <c r="I260" s="59">
        <v>0</v>
      </c>
      <c r="J260" s="59">
        <v>0</v>
      </c>
      <c r="K260" s="59">
        <v>0</v>
      </c>
      <c r="L260" s="589">
        <f t="shared" si="45"/>
        <v>0</v>
      </c>
    </row>
    <row r="261" spans="1:12">
      <c r="A261" s="1077">
        <v>751126</v>
      </c>
      <c r="B261" s="1102" t="str">
        <f>VLOOKUP(A261,'Income Statement'!$A$6:$B$254,2,FALSE)</f>
        <v>Equip Rental - G&amp;A</v>
      </c>
      <c r="C261" s="59"/>
      <c r="D261" s="59"/>
      <c r="E261" s="59"/>
      <c r="F261" s="59"/>
      <c r="G261" s="59"/>
      <c r="H261" s="59"/>
      <c r="I261" s="59"/>
      <c r="J261" s="59"/>
      <c r="K261" s="59"/>
      <c r="L261" s="589">
        <f t="shared" si="45"/>
        <v>0</v>
      </c>
    </row>
    <row r="262" spans="1:12">
      <c r="A262" s="1077">
        <v>751128</v>
      </c>
      <c r="B262" s="1102" t="str">
        <f>VLOOKUP(A262,'Income Statement'!$A$6:$B$254,2,FALSE)</f>
        <v>Advertising - G&amp;A</v>
      </c>
      <c r="C262" s="59"/>
      <c r="D262" s="59"/>
      <c r="E262" s="59"/>
      <c r="F262" s="59"/>
      <c r="G262" s="59"/>
      <c r="H262" s="59"/>
      <c r="I262" s="59"/>
      <c r="J262" s="59"/>
      <c r="K262" s="59"/>
      <c r="L262" s="589">
        <f t="shared" si="45"/>
        <v>0</v>
      </c>
    </row>
    <row r="263" spans="1:12">
      <c r="A263" s="1077">
        <v>751130</v>
      </c>
      <c r="B263" s="1102" t="str">
        <f>VLOOKUP(A263,'Income Statement'!$A$6:$B$254,2,FALSE)</f>
        <v>Printing/Reproduction</v>
      </c>
      <c r="C263" s="59">
        <v>0</v>
      </c>
      <c r="D263" s="59">
        <v>0</v>
      </c>
      <c r="E263" s="59">
        <v>0</v>
      </c>
      <c r="F263" s="59">
        <v>0</v>
      </c>
      <c r="G263" s="59">
        <v>0</v>
      </c>
      <c r="H263" s="59">
        <v>0</v>
      </c>
      <c r="I263" s="59">
        <v>0</v>
      </c>
      <c r="J263" s="59">
        <v>0</v>
      </c>
      <c r="K263" s="59">
        <v>0</v>
      </c>
      <c r="L263" s="589">
        <f t="shared" si="45"/>
        <v>0</v>
      </c>
    </row>
    <row r="264" spans="1:12">
      <c r="A264" s="1077">
        <v>751134</v>
      </c>
      <c r="B264" s="1102" t="str">
        <f>VLOOKUP(A264,'Income Statement'!$A$6:$B$254,2,FALSE)</f>
        <v>Meetings &amp; Events</v>
      </c>
      <c r="C264" s="59">
        <v>0</v>
      </c>
      <c r="D264" s="59">
        <v>0</v>
      </c>
      <c r="E264" s="59">
        <v>0</v>
      </c>
      <c r="F264" s="59">
        <v>0</v>
      </c>
      <c r="G264" s="59">
        <v>0</v>
      </c>
      <c r="H264" s="59">
        <v>0</v>
      </c>
      <c r="I264" s="59">
        <v>0</v>
      </c>
      <c r="J264" s="59">
        <v>0</v>
      </c>
      <c r="K264" s="59">
        <v>0</v>
      </c>
      <c r="L264" s="589">
        <f t="shared" si="45"/>
        <v>0</v>
      </c>
    </row>
    <row r="265" spans="1:12">
      <c r="A265" s="1077">
        <v>751138</v>
      </c>
      <c r="B265" s="1102" t="str">
        <f>VLOOKUP(A265,'Income Statement'!$A$6:$B$254,2,FALSE)</f>
        <v>Outside Training - G&amp;A</v>
      </c>
      <c r="C265" s="59"/>
      <c r="D265" s="59"/>
      <c r="E265" s="59"/>
      <c r="F265" s="59"/>
      <c r="G265" s="59"/>
      <c r="H265" s="59"/>
      <c r="I265" s="59"/>
      <c r="J265" s="59"/>
      <c r="K265" s="59"/>
      <c r="L265" s="589">
        <f t="shared" si="45"/>
        <v>0</v>
      </c>
    </row>
    <row r="266" spans="1:12">
      <c r="A266" s="1077">
        <v>751140</v>
      </c>
      <c r="B266" s="1102" t="str">
        <f>VLOOKUP(A266,'Income Statement'!$A$6:$B$254,2,FALSE)</f>
        <v>Bank Fees</v>
      </c>
      <c r="C266" s="59">
        <v>0</v>
      </c>
      <c r="D266" s="59">
        <v>0</v>
      </c>
      <c r="E266" s="59">
        <v>0</v>
      </c>
      <c r="F266" s="59">
        <v>0</v>
      </c>
      <c r="G266" s="59">
        <v>0</v>
      </c>
      <c r="H266" s="59">
        <v>0</v>
      </c>
      <c r="I266" s="59">
        <v>0</v>
      </c>
      <c r="J266" s="59">
        <v>0</v>
      </c>
      <c r="K266" s="59">
        <v>0</v>
      </c>
      <c r="L266" s="589">
        <f t="shared" si="45"/>
        <v>0</v>
      </c>
    </row>
    <row r="267" spans="1:12">
      <c r="A267" s="1077">
        <v>751144</v>
      </c>
      <c r="B267" s="1102" t="str">
        <f>VLOOKUP(A267,'Income Statement'!$A$6:$B$254,2,FALSE)</f>
        <v>Legal Fees</v>
      </c>
      <c r="C267" s="59">
        <v>0</v>
      </c>
      <c r="D267" s="59">
        <v>0</v>
      </c>
      <c r="E267" s="59">
        <v>0</v>
      </c>
      <c r="F267" s="59">
        <v>0</v>
      </c>
      <c r="G267" s="59">
        <v>0</v>
      </c>
      <c r="H267" s="59">
        <v>0</v>
      </c>
      <c r="I267" s="59">
        <v>0</v>
      </c>
      <c r="J267" s="59">
        <v>0</v>
      </c>
      <c r="K267" s="59">
        <v>0</v>
      </c>
      <c r="L267" s="589">
        <f t="shared" si="45"/>
        <v>0</v>
      </c>
    </row>
    <row r="268" spans="1:12">
      <c r="A268" s="1077">
        <v>751145</v>
      </c>
      <c r="B268" s="1102" t="str">
        <f>VLOOKUP(A268,'Income Statement'!$A$6:$B$254,2,FALSE)</f>
        <v>Legal Settlements</v>
      </c>
      <c r="C268" s="59"/>
      <c r="D268" s="59"/>
      <c r="E268" s="59"/>
      <c r="F268" s="59"/>
      <c r="G268" s="59"/>
      <c r="H268" s="59"/>
      <c r="I268" s="59"/>
      <c r="J268" s="59"/>
      <c r="K268" s="59"/>
      <c r="L268" s="589">
        <f t="shared" si="45"/>
        <v>0</v>
      </c>
    </row>
    <row r="269" spans="1:12">
      <c r="A269" s="1077">
        <v>751150</v>
      </c>
      <c r="B269" s="1102" t="e">
        <f>VLOOKUP(A269,'Income Statement'!$A$6:$B$254,2,FALSE)</f>
        <v>#N/A</v>
      </c>
      <c r="C269" s="59">
        <v>0</v>
      </c>
      <c r="D269" s="59">
        <v>0</v>
      </c>
      <c r="E269" s="59">
        <v>0</v>
      </c>
      <c r="F269" s="59">
        <v>0</v>
      </c>
      <c r="G269" s="59">
        <v>0</v>
      </c>
      <c r="H269" s="59">
        <v>0</v>
      </c>
      <c r="I269" s="59">
        <v>0</v>
      </c>
      <c r="J269" s="59">
        <v>0</v>
      </c>
      <c r="K269" s="59">
        <v>0</v>
      </c>
      <c r="L269" s="589">
        <f t="shared" si="45"/>
        <v>0</v>
      </c>
    </row>
    <row r="270" spans="1:12">
      <c r="A270" s="1077">
        <v>751152</v>
      </c>
      <c r="B270" s="1102" t="str">
        <f>VLOOKUP(A270,'Income Statement'!$A$6:$B$254,2,FALSE)</f>
        <v>Lobbyist Fees</v>
      </c>
      <c r="C270" s="59"/>
      <c r="D270" s="59"/>
      <c r="E270" s="59"/>
      <c r="F270" s="59"/>
      <c r="G270" s="59"/>
      <c r="H270" s="59"/>
      <c r="I270" s="59"/>
      <c r="J270" s="59"/>
      <c r="K270" s="59"/>
      <c r="L270" s="589">
        <f t="shared" si="45"/>
        <v>0</v>
      </c>
    </row>
    <row r="271" spans="1:12">
      <c r="A271" s="1077">
        <v>751153</v>
      </c>
      <c r="B271" s="1102" t="str">
        <f>VLOOKUP(A271,'Income Statement'!$A$6:$B$254,2,FALSE)</f>
        <v>Payroll Processing Fees</v>
      </c>
      <c r="C271" s="59">
        <v>0</v>
      </c>
      <c r="D271" s="59">
        <v>0</v>
      </c>
      <c r="E271" s="59">
        <v>0</v>
      </c>
      <c r="F271" s="59">
        <v>0</v>
      </c>
      <c r="G271" s="59">
        <v>0</v>
      </c>
      <c r="H271" s="59">
        <v>0</v>
      </c>
      <c r="I271" s="59">
        <v>0</v>
      </c>
      <c r="J271" s="59">
        <v>0</v>
      </c>
      <c r="K271" s="59">
        <v>0</v>
      </c>
      <c r="L271" s="589">
        <f t="shared" si="45"/>
        <v>0</v>
      </c>
    </row>
    <row r="272" spans="1:12">
      <c r="A272" s="1077">
        <v>751156</v>
      </c>
      <c r="B272" s="1102" t="str">
        <f>VLOOKUP(A272,'Income Statement'!$A$6:$B$254,2,FALSE)</f>
        <v>Outside Credit &amp; Collections</v>
      </c>
      <c r="C272" s="59">
        <v>0</v>
      </c>
      <c r="D272" s="59">
        <v>0</v>
      </c>
      <c r="E272" s="59">
        <v>0</v>
      </c>
      <c r="F272" s="59">
        <v>0</v>
      </c>
      <c r="G272" s="59">
        <v>0</v>
      </c>
      <c r="H272" s="59">
        <v>0</v>
      </c>
      <c r="I272" s="59">
        <v>0</v>
      </c>
      <c r="J272" s="59">
        <v>0</v>
      </c>
      <c r="K272" s="59">
        <v>0</v>
      </c>
      <c r="L272" s="589">
        <f t="shared" si="45"/>
        <v>0</v>
      </c>
    </row>
    <row r="273" spans="1:12">
      <c r="A273" s="1077">
        <v>751158</v>
      </c>
      <c r="B273" s="1102" t="str">
        <f>VLOOKUP(A273,'Income Statement'!$A$6:$B$254,2,FALSE)</f>
        <v>Other Consulting/Prof Fees</v>
      </c>
      <c r="C273" s="59">
        <v>0</v>
      </c>
      <c r="D273" s="59">
        <v>0</v>
      </c>
      <c r="E273" s="59">
        <v>0</v>
      </c>
      <c r="F273" s="59">
        <v>0</v>
      </c>
      <c r="G273" s="59">
        <v>0</v>
      </c>
      <c r="H273" s="59">
        <v>0</v>
      </c>
      <c r="I273" s="59">
        <v>0</v>
      </c>
      <c r="J273" s="59">
        <v>0</v>
      </c>
      <c r="K273" s="59">
        <v>0</v>
      </c>
      <c r="L273" s="589">
        <f t="shared" si="45"/>
        <v>0</v>
      </c>
    </row>
    <row r="274" spans="1:12">
      <c r="A274" s="1077">
        <v>751160</v>
      </c>
      <c r="B274" s="1102" t="e">
        <f>VLOOKUP(A274,'Income Statement'!$A$6:$B$254,2,FALSE)</f>
        <v>#N/A</v>
      </c>
      <c r="C274" s="59">
        <v>0</v>
      </c>
      <c r="D274" s="59">
        <v>0</v>
      </c>
      <c r="E274" s="59">
        <v>0</v>
      </c>
      <c r="F274" s="59">
        <v>0</v>
      </c>
      <c r="G274" s="59">
        <v>0</v>
      </c>
      <c r="H274" s="59">
        <v>0</v>
      </c>
      <c r="I274" s="59">
        <v>0</v>
      </c>
      <c r="J274" s="59">
        <v>0</v>
      </c>
      <c r="K274" s="59">
        <v>0</v>
      </c>
      <c r="L274" s="589">
        <f t="shared" si="45"/>
        <v>0</v>
      </c>
    </row>
    <row r="275" spans="1:12">
      <c r="A275" s="1077">
        <v>751164</v>
      </c>
      <c r="B275" s="1102" t="str">
        <f>VLOOKUP(A275,'Income Statement'!$A$6:$B$254,2,FALSE)</f>
        <v>Software Maintenance &amp; Licenses</v>
      </c>
      <c r="C275" s="59">
        <v>0</v>
      </c>
      <c r="D275" s="59">
        <v>0</v>
      </c>
      <c r="E275" s="59">
        <v>0</v>
      </c>
      <c r="F275" s="59">
        <v>0</v>
      </c>
      <c r="G275" s="59">
        <v>0</v>
      </c>
      <c r="H275" s="59">
        <v>0</v>
      </c>
      <c r="I275" s="59">
        <v>0</v>
      </c>
      <c r="J275" s="59">
        <v>0</v>
      </c>
      <c r="K275" s="59">
        <v>0</v>
      </c>
      <c r="L275" s="589">
        <f t="shared" si="45"/>
        <v>0</v>
      </c>
    </row>
    <row r="276" spans="1:12">
      <c r="A276" s="1077">
        <v>751166</v>
      </c>
      <c r="B276" s="1102" t="str">
        <f>VLOOKUP(A276,'Income Statement'!$A$6:$B$254,2,FALSE)</f>
        <v>Hardware Maintenance</v>
      </c>
      <c r="C276" s="59"/>
      <c r="D276" s="59"/>
      <c r="E276" s="59"/>
      <c r="F276" s="59"/>
      <c r="G276" s="59"/>
      <c r="H276" s="59"/>
      <c r="I276" s="59"/>
      <c r="J276" s="59"/>
      <c r="K276" s="59"/>
      <c r="L276" s="589">
        <f t="shared" si="45"/>
        <v>0</v>
      </c>
    </row>
    <row r="277" spans="1:12">
      <c r="A277" s="1077">
        <v>751168</v>
      </c>
      <c r="B277" s="1102" t="str">
        <f>VLOOKUP(A277,'Income Statement'!$A$6:$B$254,2,FALSE)</f>
        <v>Computer Equipment Expense</v>
      </c>
      <c r="C277" s="59">
        <v>0</v>
      </c>
      <c r="D277" s="59">
        <v>0</v>
      </c>
      <c r="E277" s="59">
        <v>0</v>
      </c>
      <c r="F277" s="59">
        <v>0</v>
      </c>
      <c r="G277" s="59">
        <v>0</v>
      </c>
      <c r="H277" s="59">
        <v>0</v>
      </c>
      <c r="I277" s="59">
        <v>0</v>
      </c>
      <c r="J277" s="59">
        <v>0</v>
      </c>
      <c r="K277" s="59">
        <v>0</v>
      </c>
      <c r="L277" s="589">
        <f t="shared" si="45"/>
        <v>0</v>
      </c>
    </row>
    <row r="278" spans="1:12">
      <c r="A278" s="1077">
        <v>751170</v>
      </c>
      <c r="B278" s="1102" t="str">
        <f>VLOOKUP(A278,'Income Statement'!$A$6:$B$254,2,FALSE)</f>
        <v>Contributions Deductible</v>
      </c>
      <c r="C278" s="59"/>
      <c r="D278" s="59"/>
      <c r="E278" s="59"/>
      <c r="F278" s="59"/>
      <c r="G278" s="59"/>
      <c r="H278" s="59"/>
      <c r="I278" s="59"/>
      <c r="J278" s="59"/>
      <c r="K278" s="59"/>
      <c r="L278" s="589">
        <f t="shared" si="45"/>
        <v>0</v>
      </c>
    </row>
    <row r="279" spans="1:12">
      <c r="A279" s="1077">
        <v>751172</v>
      </c>
      <c r="B279" s="1102" t="str">
        <f>VLOOKUP(A279,'Income Statement'!$A$6:$B$254,2,FALSE)</f>
        <v>Contributions Non-Deductible</v>
      </c>
      <c r="C279" s="59"/>
      <c r="D279" s="59"/>
      <c r="E279" s="59"/>
      <c r="F279" s="59"/>
      <c r="G279" s="59"/>
      <c r="H279" s="59"/>
      <c r="I279" s="59"/>
      <c r="J279" s="59"/>
      <c r="K279" s="59"/>
      <c r="L279" s="589">
        <f t="shared" si="45"/>
        <v>0</v>
      </c>
    </row>
    <row r="280" spans="1:12">
      <c r="A280" s="1077">
        <v>751194</v>
      </c>
      <c r="B280" s="1102" t="str">
        <f>VLOOKUP(A280,'Income Statement'!$A$6:$B$254,2,FALSE)</f>
        <v>Purchase Discounts-G&amp;A</v>
      </c>
      <c r="C280" s="59">
        <v>0</v>
      </c>
      <c r="D280" s="59">
        <v>0</v>
      </c>
      <c r="E280" s="59">
        <v>0</v>
      </c>
      <c r="F280" s="59">
        <v>0</v>
      </c>
      <c r="G280" s="59">
        <v>0</v>
      </c>
      <c r="H280" s="59">
        <v>0</v>
      </c>
      <c r="I280" s="59">
        <v>0</v>
      </c>
      <c r="J280" s="59">
        <v>0</v>
      </c>
      <c r="K280" s="59">
        <v>0</v>
      </c>
      <c r="L280" s="589">
        <f t="shared" si="45"/>
        <v>0</v>
      </c>
    </row>
    <row r="281" spans="1:12">
      <c r="A281" s="1077">
        <v>751195</v>
      </c>
      <c r="B281" s="1102" t="str">
        <f>VLOOKUP(A281,'Income Statement'!$A$6:$B$254,2,FALSE)</f>
        <v>Miscellaneous</v>
      </c>
      <c r="C281" s="59">
        <v>0</v>
      </c>
      <c r="D281" s="59">
        <v>0</v>
      </c>
      <c r="E281" s="59">
        <v>0</v>
      </c>
      <c r="F281" s="59">
        <v>0</v>
      </c>
      <c r="G281" s="59">
        <v>0</v>
      </c>
      <c r="H281" s="59">
        <v>0</v>
      </c>
      <c r="I281" s="59">
        <v>0</v>
      </c>
      <c r="J281" s="59">
        <v>0</v>
      </c>
      <c r="K281" s="59">
        <v>0</v>
      </c>
      <c r="L281" s="589">
        <f t="shared" si="45"/>
        <v>0</v>
      </c>
    </row>
    <row r="282" spans="1:12">
      <c r="A282" s="1084">
        <v>755000</v>
      </c>
      <c r="B282" s="1102" t="str">
        <f>VLOOKUP(A282,'Income Statement'!$A$6:$B$254,2,FALSE)</f>
        <v>Bad Debt Exp</v>
      </c>
      <c r="C282" s="59">
        <v>0</v>
      </c>
      <c r="D282" s="59">
        <v>0</v>
      </c>
      <c r="E282" s="59">
        <v>0</v>
      </c>
      <c r="F282" s="59">
        <v>0</v>
      </c>
      <c r="G282" s="59">
        <v>0</v>
      </c>
      <c r="H282" s="59">
        <v>0</v>
      </c>
      <c r="I282" s="59">
        <v>0</v>
      </c>
      <c r="J282" s="59">
        <v>0</v>
      </c>
      <c r="K282" s="59">
        <v>0</v>
      </c>
      <c r="L282" s="589">
        <f t="shared" si="45"/>
        <v>0</v>
      </c>
    </row>
    <row r="283" spans="1:12">
      <c r="A283" s="1084">
        <v>755992</v>
      </c>
      <c r="B283" s="1102" t="str">
        <f>VLOOKUP(A283,'Income Statement'!$A$6:$B$254,2,FALSE)</f>
        <v>Accrued P-Card Clearing</v>
      </c>
      <c r="C283" s="59"/>
      <c r="D283" s="59"/>
      <c r="E283" s="59"/>
      <c r="F283" s="59"/>
      <c r="G283" s="59"/>
      <c r="H283" s="59"/>
      <c r="I283" s="59"/>
      <c r="J283" s="59"/>
      <c r="K283" s="59"/>
      <c r="L283" s="589">
        <f t="shared" si="45"/>
        <v>0</v>
      </c>
    </row>
    <row r="284" spans="1:12">
      <c r="A284" s="1077">
        <v>755995</v>
      </c>
      <c r="B284" s="1102" t="str">
        <f>VLOOKUP(A284,'Income Statement'!$A$6:$B$254,2,FALSE)</f>
        <v>Management Fee</v>
      </c>
      <c r="C284" s="59">
        <v>0</v>
      </c>
      <c r="D284" s="59">
        <v>0</v>
      </c>
      <c r="E284" s="59">
        <v>0</v>
      </c>
      <c r="F284" s="59">
        <v>0</v>
      </c>
      <c r="G284" s="59">
        <v>0</v>
      </c>
      <c r="H284" s="59">
        <v>0</v>
      </c>
      <c r="I284" s="59">
        <v>0</v>
      </c>
      <c r="J284" s="59">
        <v>0</v>
      </c>
      <c r="K284" s="59">
        <v>0</v>
      </c>
      <c r="L284" s="589">
        <f t="shared" si="45"/>
        <v>0</v>
      </c>
    </row>
    <row r="285" spans="1:12">
      <c r="A285" s="1077">
        <v>755998</v>
      </c>
      <c r="B285" s="1102" t="e">
        <f>VLOOKUP(A285,'Income Statement'!$A$6:$B$254,2,FALSE)</f>
        <v>#N/A</v>
      </c>
      <c r="C285" s="59">
        <v>0</v>
      </c>
      <c r="D285" s="59">
        <v>0</v>
      </c>
      <c r="E285" s="59">
        <v>0</v>
      </c>
      <c r="F285" s="59">
        <v>0</v>
      </c>
      <c r="G285" s="59">
        <v>0</v>
      </c>
      <c r="H285" s="59">
        <v>0</v>
      </c>
      <c r="I285" s="59">
        <v>0</v>
      </c>
      <c r="J285" s="59">
        <v>0</v>
      </c>
      <c r="K285" s="59">
        <v>0</v>
      </c>
      <c r="L285" s="589">
        <f t="shared" si="45"/>
        <v>0</v>
      </c>
    </row>
    <row r="286" spans="1:12" ht="12">
      <c r="A286" s="1084"/>
      <c r="B286" s="1104" t="s">
        <v>551</v>
      </c>
      <c r="C286" s="579">
        <f t="shared" ref="C286:K286" si="46">SUM(C246:C285)</f>
        <v>0</v>
      </c>
      <c r="D286" s="579">
        <f t="shared" si="46"/>
        <v>0</v>
      </c>
      <c r="E286" s="579">
        <f t="shared" si="46"/>
        <v>0</v>
      </c>
      <c r="F286" s="579">
        <f t="shared" si="46"/>
        <v>0</v>
      </c>
      <c r="G286" s="579">
        <f t="shared" si="46"/>
        <v>0</v>
      </c>
      <c r="H286" s="579">
        <f t="shared" si="46"/>
        <v>0</v>
      </c>
      <c r="I286" s="579">
        <f t="shared" si="46"/>
        <v>0</v>
      </c>
      <c r="J286" s="579">
        <f t="shared" si="46"/>
        <v>0</v>
      </c>
      <c r="K286" s="579">
        <f t="shared" si="46"/>
        <v>0</v>
      </c>
      <c r="L286" s="593">
        <f>SUM(C286:K286)</f>
        <v>0</v>
      </c>
    </row>
    <row r="287" spans="1:12">
      <c r="A287" s="1077"/>
      <c r="B287" s="1102"/>
      <c r="C287" s="59"/>
      <c r="D287" s="59"/>
      <c r="E287" s="59"/>
      <c r="F287" s="59"/>
      <c r="G287" s="59"/>
      <c r="H287" s="59"/>
      <c r="I287" s="59"/>
      <c r="J287" s="59"/>
      <c r="K287" s="59"/>
      <c r="L287" s="589"/>
    </row>
    <row r="288" spans="1:12" ht="12">
      <c r="A288" s="1084"/>
      <c r="B288" s="1088" t="s">
        <v>552</v>
      </c>
      <c r="C288" s="576">
        <f t="shared" ref="C288:K288" si="47">+C244+C286</f>
        <v>0</v>
      </c>
      <c r="D288" s="576">
        <f t="shared" si="47"/>
        <v>0</v>
      </c>
      <c r="E288" s="576">
        <f t="shared" si="47"/>
        <v>19157.386045743973</v>
      </c>
      <c r="F288" s="576">
        <f t="shared" si="47"/>
        <v>0</v>
      </c>
      <c r="G288" s="576">
        <f t="shared" si="47"/>
        <v>0</v>
      </c>
      <c r="H288" s="576">
        <f t="shared" si="47"/>
        <v>0</v>
      </c>
      <c r="I288" s="576">
        <f t="shared" si="47"/>
        <v>0</v>
      </c>
      <c r="J288" s="576">
        <f t="shared" si="47"/>
        <v>0</v>
      </c>
      <c r="K288" s="576">
        <f t="shared" si="47"/>
        <v>0</v>
      </c>
      <c r="L288" s="590">
        <f>SUM(C288:K288)</f>
        <v>19157.386045743973</v>
      </c>
    </row>
    <row r="289" spans="1:12">
      <c r="A289" s="1084"/>
      <c r="B289" s="1102"/>
      <c r="C289" s="59"/>
      <c r="D289" s="59"/>
      <c r="E289" s="59"/>
      <c r="F289" s="59"/>
      <c r="G289" s="59"/>
      <c r="H289" s="59"/>
      <c r="I289" s="59"/>
      <c r="J289" s="59"/>
      <c r="K289" s="59"/>
      <c r="L289" s="589"/>
    </row>
    <row r="290" spans="1:12" ht="12">
      <c r="A290" s="1084"/>
      <c r="B290" s="1088" t="s">
        <v>194</v>
      </c>
      <c r="C290" s="576">
        <f t="shared" ref="C290:K290" si="48">+C231+C288</f>
        <v>0</v>
      </c>
      <c r="D290" s="576">
        <f t="shared" si="48"/>
        <v>0</v>
      </c>
      <c r="E290" s="576">
        <f t="shared" si="48"/>
        <v>33660.144111378948</v>
      </c>
      <c r="F290" s="576">
        <f t="shared" si="48"/>
        <v>0</v>
      </c>
      <c r="G290" s="576">
        <f t="shared" si="48"/>
        <v>0</v>
      </c>
      <c r="H290" s="576">
        <f t="shared" si="48"/>
        <v>0</v>
      </c>
      <c r="I290" s="576">
        <f t="shared" si="48"/>
        <v>0</v>
      </c>
      <c r="J290" s="576">
        <f t="shared" si="48"/>
        <v>0</v>
      </c>
      <c r="K290" s="576">
        <f t="shared" si="48"/>
        <v>0</v>
      </c>
      <c r="L290" s="590">
        <f>SUM(C290:K290)</f>
        <v>33660.144111378948</v>
      </c>
    </row>
    <row r="291" spans="1:12">
      <c r="A291" s="1077"/>
      <c r="B291" s="1102" t="s">
        <v>21</v>
      </c>
      <c r="C291" s="59"/>
      <c r="D291" s="59"/>
      <c r="E291" s="59"/>
      <c r="F291" s="59"/>
      <c r="G291" s="59"/>
      <c r="H291" s="59"/>
      <c r="I291" s="59"/>
      <c r="J291" s="59"/>
      <c r="K291" s="59"/>
      <c r="L291" s="589"/>
    </row>
    <row r="292" spans="1:12">
      <c r="A292" s="1084"/>
      <c r="B292" s="1086"/>
      <c r="C292" s="59"/>
      <c r="D292" s="59"/>
      <c r="E292" s="59"/>
      <c r="F292" s="59"/>
      <c r="G292" s="59"/>
      <c r="H292" s="59"/>
      <c r="I292" s="59"/>
      <c r="J292" s="59"/>
      <c r="K292" s="59"/>
      <c r="L292" s="589"/>
    </row>
    <row r="293" spans="1:12" ht="12">
      <c r="A293" s="1084"/>
      <c r="B293" s="1088" t="s">
        <v>195</v>
      </c>
      <c r="C293" s="576">
        <f t="shared" ref="C293:K293" si="49">+C199+C290</f>
        <v>-222415.70512098828</v>
      </c>
      <c r="D293" s="576">
        <f t="shared" si="49"/>
        <v>0</v>
      </c>
      <c r="E293" s="576">
        <f t="shared" si="49"/>
        <v>318170.71993304265</v>
      </c>
      <c r="F293" s="576">
        <f t="shared" si="49"/>
        <v>0</v>
      </c>
      <c r="G293" s="576">
        <f t="shared" si="49"/>
        <v>18376.939999999828</v>
      </c>
      <c r="H293" s="576">
        <f t="shared" si="49"/>
        <v>105211.14000000001</v>
      </c>
      <c r="I293" s="576">
        <f t="shared" si="49"/>
        <v>0</v>
      </c>
      <c r="J293" s="576">
        <f t="shared" si="49"/>
        <v>0</v>
      </c>
      <c r="K293" s="576">
        <f t="shared" si="49"/>
        <v>0</v>
      </c>
      <c r="L293" s="590">
        <f>SUM(C293:K293)</f>
        <v>219343.09481205422</v>
      </c>
    </row>
    <row r="294" spans="1:12">
      <c r="A294" s="1084"/>
      <c r="B294" s="1102"/>
      <c r="C294" s="48"/>
      <c r="D294" s="48"/>
      <c r="E294" s="48"/>
      <c r="F294" s="48"/>
      <c r="G294" s="48"/>
      <c r="H294" s="48"/>
      <c r="I294" s="48"/>
      <c r="J294" s="48"/>
      <c r="K294" s="48"/>
      <c r="L294" s="58"/>
    </row>
    <row r="295" spans="1:12" ht="12" thickBot="1">
      <c r="A295" s="1084"/>
      <c r="B295" s="1105"/>
      <c r="C295" s="59"/>
      <c r="D295" s="59"/>
      <c r="E295" s="59"/>
      <c r="F295" s="59"/>
      <c r="G295" s="59"/>
      <c r="H295" s="59"/>
      <c r="I295" s="59"/>
      <c r="J295" s="59"/>
      <c r="K295" s="59"/>
      <c r="L295" s="589"/>
    </row>
    <row r="296" spans="1:12" ht="13.5" thickTop="1" thickBot="1">
      <c r="A296" s="1106"/>
      <c r="B296" s="1107" t="s">
        <v>197</v>
      </c>
      <c r="C296" s="783"/>
      <c r="D296" s="783"/>
      <c r="E296" s="783"/>
      <c r="F296" s="783"/>
      <c r="G296" s="783"/>
      <c r="H296" s="783"/>
      <c r="I296" s="783"/>
      <c r="J296" s="783"/>
      <c r="K296" s="783"/>
      <c r="L296" s="781"/>
    </row>
    <row r="297" spans="1:12" ht="12" thickTop="1"/>
  </sheetData>
  <customSheetViews>
    <customSheetView guid="{3B54C4DD-9207-4EC3-9D58-6DDE29113D77}" showPageBreaks="1" showGridLines="0" fitToPage="1" showRuler="0">
      <pane ySplit="10" topLeftCell="A260" activePane="bottomLeft" state="frozenSplit"/>
      <selection pane="bottomLeft" activeCell="G241" sqref="G241"/>
      <pageMargins left="0.75" right="0.75" top="1" bottom="1" header="0.5" footer="0.5"/>
      <pageSetup scale="52" fitToHeight="0" orientation="portrait" r:id="rId1"/>
      <headerFooter alignWithMargins="0">
        <oddHeader>&amp;L&amp;12Proforma Adjustments</oddHeader>
      </headerFooter>
    </customSheetView>
    <customSheetView guid="{F69ABAD1-EF76-489D-B027-1BD1F4CFE8A6}" showGridLines="0" fitToPage="1">
      <pane ySplit="10" topLeftCell="A260" activePane="bottomLeft" state="frozenSplit"/>
      <selection pane="bottomLeft" activeCell="G241" sqref="G241"/>
      <pageMargins left="0.75" right="0.75" top="1" bottom="1" header="0.5" footer="0.5"/>
      <pageSetup scale="52" fitToHeight="0" orientation="portrait" r:id="rId2"/>
      <headerFooter alignWithMargins="0">
        <oddHeader>&amp;L&amp;12Proforma Adjustments</oddHeader>
      </headerFooter>
    </customSheetView>
  </customSheetViews>
  <mergeCells count="2">
    <mergeCell ref="N162:N173"/>
    <mergeCell ref="N174:N185"/>
  </mergeCells>
  <phoneticPr fontId="0" type="noConversion"/>
  <pageMargins left="0.2" right="0.75" top="0.47" bottom="0.37" header="0.27" footer="0.17"/>
  <pageSetup paperSize="5" scale="17" fitToWidth="0" orientation="landscape" r:id="rId3"/>
  <headerFooter alignWithMargins="0"/>
  <drawing r:id="rId4"/>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2:H41"/>
  <sheetViews>
    <sheetView showGridLines="0" workbookViewId="0">
      <selection activeCell="B41" sqref="B41"/>
    </sheetView>
  </sheetViews>
  <sheetFormatPr defaultRowHeight="12.75"/>
  <cols>
    <col min="1" max="1" width="66.1640625" style="507" bestFit="1" customWidth="1"/>
    <col min="2" max="2" width="13.33203125" style="474" bestFit="1" customWidth="1"/>
    <col min="3" max="3" width="13.33203125" style="474" customWidth="1"/>
    <col min="4" max="4" width="9.33203125" style="507"/>
    <col min="5" max="5" width="39" style="507" customWidth="1"/>
    <col min="6" max="7" width="14.33203125" style="507" customWidth="1"/>
    <col min="8" max="16384" width="9.33203125" style="507"/>
  </cols>
  <sheetData>
    <row r="2" spans="1:8">
      <c r="A2" s="654" t="s">
        <v>622</v>
      </c>
      <c r="B2" s="1163">
        <v>2013</v>
      </c>
      <c r="C2" s="1164">
        <v>2012</v>
      </c>
      <c r="E2" s="654" t="s">
        <v>623</v>
      </c>
      <c r="F2" s="1163"/>
      <c r="G2" s="655"/>
    </row>
    <row r="3" spans="1:8">
      <c r="A3" s="653" t="s">
        <v>1122</v>
      </c>
      <c r="B3" s="653"/>
      <c r="C3" s="1162"/>
      <c r="E3" s="2183" t="s">
        <v>1123</v>
      </c>
      <c r="F3" s="2183"/>
      <c r="G3" s="1126"/>
    </row>
    <row r="4" spans="1:8">
      <c r="A4" s="507" t="s">
        <v>597</v>
      </c>
      <c r="B4" s="507"/>
      <c r="C4" s="507"/>
      <c r="E4" s="507" t="s">
        <v>597</v>
      </c>
    </row>
    <row r="6" spans="1:8">
      <c r="E6" s="2185" t="s">
        <v>1125</v>
      </c>
      <c r="F6" s="1166">
        <v>41639</v>
      </c>
      <c r="G6" s="1166">
        <v>41274</v>
      </c>
    </row>
    <row r="7" spans="1:8">
      <c r="A7" s="642" t="s">
        <v>598</v>
      </c>
      <c r="B7" s="643">
        <v>511.4</v>
      </c>
      <c r="C7" s="643">
        <v>474.5</v>
      </c>
      <c r="E7" s="2186"/>
      <c r="F7" s="643">
        <v>7018.1</v>
      </c>
      <c r="G7" s="643">
        <v>7070.5</v>
      </c>
      <c r="H7" s="507" t="s">
        <v>846</v>
      </c>
    </row>
    <row r="8" spans="1:8">
      <c r="A8" s="642" t="s">
        <v>599</v>
      </c>
      <c r="B8" s="474">
        <v>15.7</v>
      </c>
      <c r="C8" s="474">
        <v>19.399999999999999</v>
      </c>
      <c r="E8" s="642" t="s">
        <v>1124</v>
      </c>
      <c r="F8" s="474">
        <v>360</v>
      </c>
      <c r="G8" s="474">
        <v>388.5</v>
      </c>
      <c r="H8" s="507" t="s">
        <v>845</v>
      </c>
    </row>
    <row r="9" spans="1:8">
      <c r="A9" s="642" t="s">
        <v>600</v>
      </c>
      <c r="B9" s="474">
        <v>301.8</v>
      </c>
      <c r="C9" s="474">
        <v>313.2</v>
      </c>
      <c r="E9" s="1167" t="s">
        <v>624</v>
      </c>
      <c r="F9" s="666">
        <f>F8/F7</f>
        <v>5.129593479716732E-2</v>
      </c>
      <c r="G9" s="1165">
        <f>G8/G7</f>
        <v>5.4946609150696553E-2</v>
      </c>
    </row>
    <row r="10" spans="1:8">
      <c r="A10" s="642" t="s">
        <v>601</v>
      </c>
      <c r="B10" s="474">
        <v>178.7</v>
      </c>
      <c r="C10" s="474">
        <v>195.5</v>
      </c>
    </row>
    <row r="11" spans="1:8">
      <c r="A11" s="642" t="s">
        <v>602</v>
      </c>
      <c r="B11" s="474">
        <v>68.2</v>
      </c>
      <c r="C11" s="474">
        <v>68.8</v>
      </c>
    </row>
    <row r="12" spans="1:8">
      <c r="A12" s="642" t="s">
        <v>603</v>
      </c>
      <c r="B12" s="644">
        <v>641.29999999999995</v>
      </c>
      <c r="C12" s="644">
        <v>623.6</v>
      </c>
    </row>
    <row r="13" spans="1:8">
      <c r="A13" s="645" t="s">
        <v>604</v>
      </c>
      <c r="B13" s="646">
        <f>SUM(B7:B12)</f>
        <v>1717.1000000000001</v>
      </c>
      <c r="C13" s="646">
        <v>1695</v>
      </c>
    </row>
    <row r="15" spans="1:8">
      <c r="A15" s="642" t="s">
        <v>605</v>
      </c>
      <c r="B15" s="474">
        <v>7002.4</v>
      </c>
      <c r="C15" s="474">
        <v>7051.1</v>
      </c>
      <c r="E15" s="654" t="s">
        <v>625</v>
      </c>
      <c r="F15" s="1163"/>
      <c r="G15" s="655"/>
    </row>
    <row r="16" spans="1:8">
      <c r="A16" s="642" t="s">
        <v>606</v>
      </c>
      <c r="B16" s="474">
        <v>1464.3</v>
      </c>
      <c r="C16" s="474">
        <v>1420.6</v>
      </c>
      <c r="E16" s="2184" t="s">
        <v>1123</v>
      </c>
      <c r="F16" s="2184"/>
      <c r="G16" s="1126"/>
    </row>
    <row r="17" spans="1:8">
      <c r="A17" s="642" t="s">
        <v>607</v>
      </c>
      <c r="B17" s="474">
        <v>1185.4000000000001</v>
      </c>
      <c r="C17" s="474">
        <v>1232.7</v>
      </c>
      <c r="F17" s="507">
        <v>2013</v>
      </c>
      <c r="G17" s="507">
        <v>2012</v>
      </c>
    </row>
    <row r="18" spans="1:8">
      <c r="A18" s="642" t="s">
        <v>608</v>
      </c>
      <c r="B18" s="474">
        <v>294.89999999999998</v>
      </c>
      <c r="C18" s="474">
        <v>290.89999999999998</v>
      </c>
      <c r="E18" s="651" t="s">
        <v>626</v>
      </c>
      <c r="F18" s="652">
        <v>0.308</v>
      </c>
      <c r="G18" s="652">
        <v>0.30599999999999999</v>
      </c>
      <c r="H18" s="507" t="s">
        <v>1126</v>
      </c>
    </row>
    <row r="19" spans="1:8">
      <c r="A19" s="642" t="s">
        <v>609</v>
      </c>
      <c r="B19" s="474">
        <v>379</v>
      </c>
      <c r="C19" s="474">
        <v>220.9</v>
      </c>
    </row>
    <row r="21" spans="1:8">
      <c r="A21" s="647" t="s">
        <v>610</v>
      </c>
      <c r="B21" s="648">
        <f>SUM(B13:B20)</f>
        <v>12043.099999999999</v>
      </c>
      <c r="C21" s="648">
        <v>11911.2</v>
      </c>
    </row>
    <row r="23" spans="1:8">
      <c r="A23" s="642" t="s">
        <v>611</v>
      </c>
      <c r="B23" s="474">
        <v>0</v>
      </c>
      <c r="C23" s="474">
        <v>0</v>
      </c>
    </row>
    <row r="24" spans="1:8">
      <c r="A24" s="642" t="s">
        <v>612</v>
      </c>
      <c r="B24" s="474">
        <v>4.0999999999999996</v>
      </c>
      <c r="C24" s="474">
        <v>4.0999999999999996</v>
      </c>
    </row>
    <row r="25" spans="1:8">
      <c r="A25" s="642" t="s">
        <v>619</v>
      </c>
      <c r="B25" s="474">
        <v>6764.9</v>
      </c>
      <c r="C25" s="474">
        <v>6588.9</v>
      </c>
    </row>
    <row r="26" spans="1:8">
      <c r="A26" s="642" t="s">
        <v>613</v>
      </c>
      <c r="B26" s="474">
        <v>2632.7</v>
      </c>
      <c r="C26" s="474">
        <v>2403.1999999999998</v>
      </c>
    </row>
    <row r="27" spans="1:8">
      <c r="A27" s="642" t="s">
        <v>614</v>
      </c>
      <c r="B27" s="474">
        <v>-1501.2</v>
      </c>
      <c r="C27" s="474">
        <v>-1287.0999999999999</v>
      </c>
    </row>
    <row r="28" spans="1:8">
      <c r="A28" s="642" t="s">
        <v>620</v>
      </c>
      <c r="B28" s="474">
        <v>3</v>
      </c>
      <c r="C28" s="474">
        <v>-5.8</v>
      </c>
    </row>
    <row r="29" spans="1:8">
      <c r="A29" s="642"/>
    </row>
    <row r="30" spans="1:8">
      <c r="A30" s="642" t="s">
        <v>615</v>
      </c>
      <c r="B30" s="474">
        <v>2.6</v>
      </c>
      <c r="C30" s="474">
        <v>2.4</v>
      </c>
    </row>
    <row r="32" spans="1:8">
      <c r="A32" s="647" t="s">
        <v>616</v>
      </c>
      <c r="B32" s="648">
        <f>SUM(B22:B31)</f>
        <v>7906.1000000000013</v>
      </c>
      <c r="C32" s="648">
        <v>7705.7</v>
      </c>
    </row>
    <row r="34" spans="1:3" ht="13.5" thickBot="1">
      <c r="A34" s="649" t="s">
        <v>621</v>
      </c>
      <c r="B34" s="650">
        <f>+B21+B32</f>
        <v>19949.2</v>
      </c>
      <c r="C34" s="650">
        <v>19616.900000000001</v>
      </c>
    </row>
    <row r="35" spans="1:3" ht="13.5" thickTop="1"/>
    <row r="36" spans="1:3">
      <c r="A36" s="507" t="s">
        <v>715</v>
      </c>
      <c r="B36" s="474">
        <f>B8+B15</f>
        <v>7018.0999999999995</v>
      </c>
      <c r="C36" s="474">
        <f>C8+C15</f>
        <v>7070.5</v>
      </c>
    </row>
    <row r="37" spans="1:3">
      <c r="A37" s="507" t="s">
        <v>716</v>
      </c>
      <c r="B37" s="474">
        <f>+B32-B28</f>
        <v>7903.1000000000013</v>
      </c>
      <c r="C37" s="474">
        <f>+C32-C28</f>
        <v>7711.5</v>
      </c>
    </row>
    <row r="40" spans="1:3">
      <c r="A40" s="656" t="s">
        <v>617</v>
      </c>
      <c r="B40" s="657">
        <f>B36/SUM(B36:B37)</f>
        <v>0.47034420824062401</v>
      </c>
      <c r="C40" s="657">
        <f>C36/SUM(C36:C37)</f>
        <v>0.47831822486808279</v>
      </c>
    </row>
    <row r="41" spans="1:3">
      <c r="A41" s="656" t="s">
        <v>618</v>
      </c>
      <c r="B41" s="657">
        <f>1-B40</f>
        <v>0.52965579175937605</v>
      </c>
      <c r="C41" s="657">
        <f>1-C40</f>
        <v>0.52168177513191716</v>
      </c>
    </row>
  </sheetData>
  <customSheetViews>
    <customSheetView guid="{3B54C4DD-9207-4EC3-9D58-6DDE29113D77}" showGridLines="0" fitToPage="1" showRuler="0">
      <selection activeCell="D21" sqref="D21"/>
      <pageMargins left="0.75" right="0.75" top="1.25" bottom="1" header="0.5" footer="0.5"/>
      <pageSetup orientation="landscape" r:id="rId1"/>
      <headerFooter alignWithMargins="0">
        <oddHeader>&amp;L&amp;14&amp;G&amp;C&amp;14Capital Structure</oddHeader>
      </headerFooter>
    </customSheetView>
    <customSheetView guid="{F69ABAD1-EF76-489D-B027-1BD1F4CFE8A6}" showGridLines="0" fitToPage="1">
      <selection activeCell="D21" sqref="D21"/>
      <pageMargins left="0.75" right="0.75" top="1.25" bottom="1" header="0.5" footer="0.5"/>
      <pageSetup orientation="landscape" r:id="rId2"/>
      <headerFooter alignWithMargins="0">
        <oddHeader>&amp;L&amp;14&amp;G&amp;C&amp;14Capital Structure</oddHeader>
      </headerFooter>
    </customSheetView>
  </customSheetViews>
  <mergeCells count="3">
    <mergeCell ref="E3:F3"/>
    <mergeCell ref="E16:F16"/>
    <mergeCell ref="E6:E7"/>
  </mergeCells>
  <phoneticPr fontId="0" type="noConversion"/>
  <pageMargins left="0.75" right="0.75" top="1.25" bottom="1" header="0.5" footer="0.5"/>
  <pageSetup scale="85" orientation="landscape" horizontalDpi="4294967295" verticalDpi="4294967295" r:id="rId3"/>
  <headerFooter alignWithMargins="0">
    <oddHeader>&amp;L&amp;14&amp;G&amp;C&amp;14Capital Structure</oddHeader>
  </headerFooter>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9" tint="-0.249977111117893"/>
    <pageSetUpPr fitToPage="1"/>
  </sheetPr>
  <dimension ref="A1:AJ48"/>
  <sheetViews>
    <sheetView showGridLines="0" showOutlineSymbols="0" zoomScale="70" zoomScaleNormal="70" workbookViewId="0">
      <pane xSplit="3" ySplit="7" topLeftCell="D8" activePane="bottomRight" state="frozen"/>
      <selection activeCell="L18" sqref="L18"/>
      <selection pane="topRight" activeCell="L18" sqref="L18"/>
      <selection pane="bottomLeft" activeCell="L18" sqref="L18"/>
      <selection pane="bottomRight" activeCell="C32" sqref="C32"/>
    </sheetView>
  </sheetViews>
  <sheetFormatPr defaultColWidth="13.1640625" defaultRowHeight="12.75"/>
  <cols>
    <col min="1" max="1" width="5.6640625" style="697" customWidth="1"/>
    <col min="2" max="2" width="46.6640625" style="697" customWidth="1"/>
    <col min="3" max="3" width="17.6640625" style="698" customWidth="1"/>
    <col min="4" max="4" width="18.6640625" style="697" customWidth="1"/>
    <col min="5" max="5" width="17" style="697" customWidth="1"/>
    <col min="6" max="6" width="14.6640625" style="697" customWidth="1"/>
    <col min="7" max="7" width="14.83203125" style="697" customWidth="1"/>
    <col min="8" max="8" width="16" style="697" customWidth="1"/>
    <col min="9" max="9" width="16.5" style="697" customWidth="1"/>
    <col min="10" max="10" width="17.5" style="697" customWidth="1"/>
    <col min="11" max="11" width="17.6640625" style="697" customWidth="1"/>
    <col min="12" max="12" width="15" style="697" customWidth="1"/>
    <col min="13" max="13" width="17.5" style="697" customWidth="1"/>
    <col min="14" max="14" width="18.6640625" style="697" customWidth="1"/>
    <col min="15" max="15" width="17" style="697" customWidth="1"/>
    <col min="16" max="16" width="14.83203125" style="697" customWidth="1"/>
    <col min="17" max="17" width="16.1640625" style="697" customWidth="1"/>
    <col min="18" max="18" width="13.5" style="697" bestFit="1" customWidth="1"/>
    <col min="19" max="19" width="15.5" style="697" customWidth="1"/>
    <col min="20" max="20" width="11.33203125" style="697" customWidth="1"/>
    <col min="21" max="21" width="14.83203125" style="697" customWidth="1"/>
    <col min="22" max="22" width="13.33203125" style="697" customWidth="1"/>
    <col min="23" max="26" width="13.1640625" style="697"/>
    <col min="27" max="27" width="19.1640625" style="697" customWidth="1"/>
    <col min="28" max="16384" width="13.1640625" style="697"/>
  </cols>
  <sheetData>
    <row r="1" spans="1:31">
      <c r="A1" s="696">
        <v>1</v>
      </c>
      <c r="D1" s="698" t="s">
        <v>345</v>
      </c>
      <c r="E1" s="698" t="s">
        <v>28</v>
      </c>
      <c r="F1" s="698" t="s">
        <v>33</v>
      </c>
      <c r="G1" s="698" t="s">
        <v>345</v>
      </c>
      <c r="H1" s="698" t="s">
        <v>31</v>
      </c>
      <c r="I1" s="698" t="s">
        <v>32</v>
      </c>
      <c r="J1" s="698" t="s">
        <v>33</v>
      </c>
      <c r="K1" s="698" t="s">
        <v>345</v>
      </c>
      <c r="L1" s="698" t="s">
        <v>34</v>
      </c>
      <c r="M1" s="698" t="s">
        <v>34</v>
      </c>
      <c r="N1" s="698" t="s">
        <v>345</v>
      </c>
      <c r="O1" s="698" t="s">
        <v>345</v>
      </c>
      <c r="P1" s="698" t="s">
        <v>36</v>
      </c>
      <c r="Q1" s="698" t="s">
        <v>346</v>
      </c>
      <c r="R1" s="698" t="s">
        <v>130</v>
      </c>
      <c r="S1" s="698" t="s">
        <v>37</v>
      </c>
      <c r="T1" s="698" t="s">
        <v>38</v>
      </c>
      <c r="U1" s="698" t="s">
        <v>347</v>
      </c>
    </row>
    <row r="2" spans="1:31">
      <c r="A2" s="696">
        <v>2</v>
      </c>
      <c r="B2" s="697" t="s">
        <v>348</v>
      </c>
      <c r="D2" s="698" t="s">
        <v>349</v>
      </c>
      <c r="E2" s="698" t="s">
        <v>40</v>
      </c>
      <c r="F2" s="698" t="s">
        <v>29</v>
      </c>
      <c r="G2" s="698" t="s">
        <v>29</v>
      </c>
      <c r="H2" s="698" t="s">
        <v>350</v>
      </c>
      <c r="I2" s="698" t="s">
        <v>44</v>
      </c>
      <c r="J2" s="698" t="s">
        <v>45</v>
      </c>
      <c r="K2" s="698" t="s">
        <v>45</v>
      </c>
      <c r="L2" s="698" t="s">
        <v>46</v>
      </c>
      <c r="M2" s="698" t="s">
        <v>152</v>
      </c>
      <c r="N2" s="698" t="s">
        <v>46</v>
      </c>
      <c r="O2" s="698" t="s">
        <v>152</v>
      </c>
      <c r="P2" s="698" t="s">
        <v>350</v>
      </c>
      <c r="Q2" s="698" t="s">
        <v>43</v>
      </c>
      <c r="R2" s="698" t="s">
        <v>351</v>
      </c>
      <c r="S2" s="698" t="s">
        <v>352</v>
      </c>
      <c r="T2" s="698" t="s">
        <v>353</v>
      </c>
      <c r="U2" s="698" t="s">
        <v>53</v>
      </c>
    </row>
    <row r="3" spans="1:31">
      <c r="A3" s="696">
        <v>3</v>
      </c>
      <c r="D3" s="698" t="s">
        <v>43</v>
      </c>
      <c r="E3" s="698" t="s">
        <v>51</v>
      </c>
      <c r="F3" s="698" t="s">
        <v>350</v>
      </c>
      <c r="G3" s="698" t="s">
        <v>350</v>
      </c>
      <c r="H3" s="698" t="s">
        <v>354</v>
      </c>
      <c r="I3" s="698"/>
      <c r="J3" s="698" t="s">
        <v>355</v>
      </c>
      <c r="K3" s="698" t="s">
        <v>355</v>
      </c>
      <c r="L3" s="698"/>
      <c r="M3" s="698"/>
      <c r="N3" s="698"/>
      <c r="O3" s="698"/>
      <c r="P3" s="698" t="s">
        <v>354</v>
      </c>
      <c r="Q3" s="698" t="s">
        <v>351</v>
      </c>
      <c r="S3" s="698" t="s">
        <v>356</v>
      </c>
      <c r="U3" s="698" t="s">
        <v>357</v>
      </c>
      <c r="V3" s="698" t="s">
        <v>21</v>
      </c>
    </row>
    <row r="4" spans="1:31">
      <c r="A4" s="696">
        <v>4</v>
      </c>
      <c r="E4" s="698"/>
      <c r="F4" s="698" t="s">
        <v>354</v>
      </c>
      <c r="G4" s="698" t="s">
        <v>354</v>
      </c>
      <c r="J4" s="698" t="s">
        <v>358</v>
      </c>
      <c r="K4" s="698" t="s">
        <v>358</v>
      </c>
      <c r="N4" s="698" t="s">
        <v>21</v>
      </c>
      <c r="P4" s="698"/>
      <c r="Q4" s="698" t="s">
        <v>359</v>
      </c>
      <c r="S4" s="698" t="s">
        <v>47</v>
      </c>
      <c r="V4" s="698" t="s">
        <v>360</v>
      </c>
    </row>
    <row r="5" spans="1:31">
      <c r="A5" s="696">
        <v>5</v>
      </c>
      <c r="B5" s="348"/>
      <c r="G5" s="698"/>
      <c r="H5" s="698"/>
      <c r="I5" s="698"/>
      <c r="J5" s="698" t="s">
        <v>361</v>
      </c>
      <c r="K5" s="698" t="s">
        <v>361</v>
      </c>
      <c r="Q5" s="698" t="s">
        <v>30</v>
      </c>
      <c r="S5" s="698"/>
      <c r="V5" s="698" t="s">
        <v>145</v>
      </c>
    </row>
    <row r="6" spans="1:31">
      <c r="A6" s="696">
        <v>6</v>
      </c>
      <c r="D6" s="699" t="s">
        <v>52</v>
      </c>
      <c r="E6" s="699"/>
      <c r="F6" s="699"/>
      <c r="G6" s="699"/>
      <c r="H6" s="699"/>
      <c r="I6" s="699"/>
      <c r="J6" s="699"/>
      <c r="K6" s="699"/>
      <c r="L6" s="699"/>
      <c r="M6" s="699"/>
      <c r="N6" s="699"/>
      <c r="O6" s="699"/>
      <c r="P6" s="699"/>
      <c r="Q6" s="699"/>
      <c r="R6" s="699"/>
      <c r="S6" s="699"/>
      <c r="T6" s="699"/>
      <c r="U6" s="699"/>
      <c r="V6" s="699"/>
    </row>
    <row r="7" spans="1:31" ht="13.5" thickBot="1">
      <c r="A7" s="697">
        <v>7</v>
      </c>
      <c r="D7" s="700" t="s">
        <v>362</v>
      </c>
      <c r="E7" s="700" t="s">
        <v>363</v>
      </c>
      <c r="F7" s="700" t="s">
        <v>364</v>
      </c>
      <c r="G7" s="700" t="s">
        <v>365</v>
      </c>
      <c r="H7" s="700" t="s">
        <v>366</v>
      </c>
      <c r="I7" s="700" t="s">
        <v>281</v>
      </c>
      <c r="J7" s="700" t="s">
        <v>367</v>
      </c>
      <c r="K7" s="700" t="s">
        <v>368</v>
      </c>
      <c r="L7" s="700" t="s">
        <v>369</v>
      </c>
      <c r="M7" s="700" t="s">
        <v>207</v>
      </c>
      <c r="N7" s="700" t="s">
        <v>370</v>
      </c>
      <c r="O7" s="700" t="s">
        <v>371</v>
      </c>
      <c r="P7" s="700" t="s">
        <v>372</v>
      </c>
      <c r="Q7" s="700" t="s">
        <v>373</v>
      </c>
      <c r="R7" s="700" t="s">
        <v>279</v>
      </c>
      <c r="S7" s="700" t="s">
        <v>374</v>
      </c>
      <c r="T7" s="700" t="s">
        <v>375</v>
      </c>
      <c r="U7" s="701" t="s">
        <v>376</v>
      </c>
      <c r="V7" s="700" t="s">
        <v>377</v>
      </c>
      <c r="AA7" s="702"/>
      <c r="AB7" s="702"/>
      <c r="AC7" s="703"/>
      <c r="AE7" s="704"/>
    </row>
    <row r="8" spans="1:31" ht="13.5" thickTop="1">
      <c r="A8" s="696">
        <v>8</v>
      </c>
      <c r="B8" s="697" t="s">
        <v>378</v>
      </c>
      <c r="AA8" s="702"/>
      <c r="AB8" s="702"/>
      <c r="AC8" s="703"/>
      <c r="AE8" s="704"/>
    </row>
    <row r="9" spans="1:31">
      <c r="A9" s="696">
        <v>9</v>
      </c>
      <c r="B9" s="697" t="s">
        <v>379</v>
      </c>
      <c r="C9" s="705"/>
      <c r="D9" s="706"/>
      <c r="E9" s="706"/>
      <c r="F9" s="706"/>
      <c r="G9" s="706"/>
      <c r="H9" s="706"/>
      <c r="I9" s="706"/>
      <c r="J9" s="706"/>
      <c r="K9" s="706"/>
      <c r="L9" s="706"/>
      <c r="M9" s="706"/>
      <c r="N9" s="706"/>
      <c r="O9" s="706"/>
      <c r="P9" s="706"/>
      <c r="Q9" s="706"/>
      <c r="R9" s="706"/>
      <c r="S9" s="706"/>
      <c r="T9" s="706"/>
      <c r="U9" s="707"/>
      <c r="V9" s="706"/>
      <c r="AA9" s="702"/>
      <c r="AB9" s="702"/>
      <c r="AC9" s="703"/>
      <c r="AE9" s="704"/>
    </row>
    <row r="10" spans="1:31">
      <c r="A10" s="696">
        <v>10</v>
      </c>
      <c r="B10" s="697" t="s">
        <v>380</v>
      </c>
      <c r="C10" s="705"/>
      <c r="D10" s="703"/>
      <c r="E10" s="703"/>
      <c r="F10" s="703"/>
      <c r="G10" s="703"/>
      <c r="H10" s="703"/>
      <c r="I10" s="703"/>
      <c r="J10" s="703"/>
      <c r="K10" s="703"/>
      <c r="L10" s="703"/>
      <c r="M10" s="703"/>
      <c r="N10" s="703"/>
      <c r="O10" s="703"/>
      <c r="P10" s="703"/>
      <c r="Q10" s="703"/>
      <c r="R10" s="703"/>
      <c r="S10" s="703"/>
      <c r="T10" s="703"/>
      <c r="U10" s="703"/>
      <c r="V10" s="703"/>
      <c r="AA10" s="702"/>
      <c r="AB10" s="702"/>
      <c r="AC10" s="703"/>
      <c r="AE10" s="704"/>
    </row>
    <row r="11" spans="1:31">
      <c r="A11" s="696">
        <v>11</v>
      </c>
      <c r="B11" s="697" t="s">
        <v>381</v>
      </c>
      <c r="C11" s="705"/>
      <c r="P11" s="703" t="s">
        <v>21</v>
      </c>
      <c r="Q11" s="703" t="s">
        <v>21</v>
      </c>
      <c r="R11" s="703" t="s">
        <v>21</v>
      </c>
      <c r="S11" s="703" t="s">
        <v>21</v>
      </c>
      <c r="T11" s="703" t="s">
        <v>21</v>
      </c>
      <c r="U11" s="703" t="s">
        <v>21</v>
      </c>
      <c r="V11" s="703" t="s">
        <v>21</v>
      </c>
      <c r="AB11" s="702"/>
      <c r="AC11" s="702"/>
      <c r="AD11" s="702"/>
    </row>
    <row r="12" spans="1:31">
      <c r="A12" s="696">
        <v>12</v>
      </c>
      <c r="B12" s="697" t="s">
        <v>382</v>
      </c>
      <c r="C12" s="694"/>
      <c r="D12" s="708"/>
      <c r="E12" s="708"/>
      <c r="F12" s="708"/>
      <c r="G12" s="708"/>
      <c r="H12" s="708"/>
      <c r="I12" s="708"/>
      <c r="J12" s="708"/>
      <c r="K12" s="708"/>
      <c r="L12" s="708"/>
      <c r="M12" s="708"/>
      <c r="N12" s="708"/>
      <c r="O12" s="708"/>
      <c r="P12" s="708" t="s">
        <v>21</v>
      </c>
      <c r="Q12" s="708" t="s">
        <v>21</v>
      </c>
      <c r="R12" s="708" t="s">
        <v>21</v>
      </c>
      <c r="S12" s="708" t="s">
        <v>21</v>
      </c>
      <c r="T12" s="708" t="s">
        <v>21</v>
      </c>
      <c r="U12" s="708" t="s">
        <v>21</v>
      </c>
      <c r="V12" s="708" t="s">
        <v>21</v>
      </c>
      <c r="AB12" s="702"/>
      <c r="AC12" s="703"/>
    </row>
    <row r="13" spans="1:31">
      <c r="A13" s="696">
        <v>13</v>
      </c>
      <c r="B13" s="697" t="s">
        <v>383</v>
      </c>
      <c r="C13" s="693">
        <f>SUM(C9:C12)</f>
        <v>0</v>
      </c>
      <c r="D13" s="708"/>
      <c r="E13" s="708"/>
      <c r="F13" s="708"/>
      <c r="G13" s="708"/>
      <c r="H13" s="708"/>
      <c r="I13" s="708"/>
      <c r="J13" s="708"/>
      <c r="K13" s="708"/>
      <c r="L13" s="708"/>
      <c r="M13" s="708"/>
      <c r="N13" s="708"/>
      <c r="O13" s="708"/>
      <c r="P13" s="708"/>
      <c r="Q13" s="708"/>
      <c r="R13" s="708"/>
      <c r="S13" s="708"/>
      <c r="T13" s="708"/>
      <c r="U13" s="708" t="s">
        <v>21</v>
      </c>
      <c r="V13" s="708" t="s">
        <v>21</v>
      </c>
    </row>
    <row r="14" spans="1:31">
      <c r="A14" s="696">
        <v>14</v>
      </c>
      <c r="C14" s="693"/>
      <c r="D14" s="708"/>
      <c r="E14" s="708"/>
      <c r="F14" s="708"/>
      <c r="G14" s="708"/>
      <c r="H14" s="708"/>
      <c r="I14" s="708"/>
      <c r="J14" s="708"/>
      <c r="K14" s="708"/>
      <c r="L14" s="708"/>
      <c r="M14" s="708"/>
      <c r="N14" s="708"/>
      <c r="O14" s="708"/>
      <c r="P14" s="708"/>
      <c r="Q14" s="708"/>
      <c r="R14" s="708"/>
      <c r="S14" s="708"/>
      <c r="T14" s="708"/>
      <c r="U14" s="708" t="s">
        <v>21</v>
      </c>
      <c r="V14" s="708" t="s">
        <v>21</v>
      </c>
      <c r="AB14" s="703"/>
    </row>
    <row r="15" spans="1:31">
      <c r="A15" s="696">
        <v>15</v>
      </c>
      <c r="B15" s="697" t="s">
        <v>384</v>
      </c>
      <c r="C15" s="693"/>
      <c r="D15" s="708"/>
      <c r="E15" s="708"/>
      <c r="F15" s="708"/>
      <c r="G15" s="708"/>
      <c r="H15" s="708"/>
      <c r="I15" s="708"/>
      <c r="J15" s="708"/>
      <c r="K15" s="708"/>
      <c r="L15" s="708"/>
      <c r="M15" s="708"/>
      <c r="N15" s="708"/>
      <c r="O15" s="708"/>
      <c r="P15" s="708"/>
      <c r="Q15" s="708"/>
      <c r="R15" s="708"/>
      <c r="S15" s="708"/>
      <c r="T15" s="708"/>
      <c r="U15" s="708" t="s">
        <v>21</v>
      </c>
      <c r="V15" s="708" t="s">
        <v>21</v>
      </c>
    </row>
    <row r="16" spans="1:31">
      <c r="A16" s="696">
        <v>16</v>
      </c>
      <c r="B16" s="697" t="s">
        <v>385</v>
      </c>
      <c r="C16" s="694">
        <f>SUM(Proforma!Q115:Q118,Proforma!Q121:Q128,Proforma!Q131:Q139,Proforma!Q141:Q142)-Proforma!Q126</f>
        <v>71661.659992478264</v>
      </c>
      <c r="D16" s="708"/>
      <c r="E16" s="708"/>
      <c r="F16" s="708"/>
      <c r="G16" s="708"/>
      <c r="H16" s="708"/>
      <c r="I16" s="708"/>
      <c r="J16" s="708">
        <f>+C16-K16-L16-N16</f>
        <v>60594.580779141856</v>
      </c>
      <c r="K16" s="709">
        <f>C16*(COS!$T$4/(COS!$T$4+COS!$V$4))</f>
        <v>1806.3804994698655</v>
      </c>
      <c r="L16" s="709">
        <f>SUM(Proforma!Q131:Q139)-N16</f>
        <v>8234.7653505615181</v>
      </c>
      <c r="M16" s="708"/>
      <c r="N16" s="709">
        <f>SUM(Proforma!Q131:Q140)*'Cont Summ'!L26</f>
        <v>1025.9333633050367</v>
      </c>
      <c r="O16" s="708"/>
      <c r="P16" s="708"/>
      <c r="Q16" s="708"/>
      <c r="R16" s="708"/>
      <c r="S16" s="708"/>
      <c r="T16" s="708"/>
      <c r="U16" s="708">
        <f>SUM(D16:T16)</f>
        <v>71661.659992478279</v>
      </c>
      <c r="V16" s="708">
        <f t="shared" ref="V16:V42" si="0">C16-U16</f>
        <v>0</v>
      </c>
    </row>
    <row r="17" spans="1:36">
      <c r="A17" s="696">
        <v>17</v>
      </c>
      <c r="B17" s="697" t="s">
        <v>386</v>
      </c>
      <c r="C17" s="694">
        <f>SUM(Proforma!Q119:Q120)</f>
        <v>28321.412576434359</v>
      </c>
      <c r="D17" s="708"/>
      <c r="E17" s="708"/>
      <c r="F17" s="708"/>
      <c r="G17" s="708"/>
      <c r="H17" s="708"/>
      <c r="I17" s="708"/>
      <c r="J17" s="708">
        <f>+C17-K17</f>
        <v>27607.512739326463</v>
      </c>
      <c r="K17" s="709">
        <f>$C17*(COS!$T$4/(COS!$T$4+COS!$V$4))</f>
        <v>713.89983710789556</v>
      </c>
      <c r="L17" s="708"/>
      <c r="M17" s="708"/>
      <c r="N17" s="708"/>
      <c r="O17" s="708"/>
      <c r="P17" s="708"/>
      <c r="Q17" s="708"/>
      <c r="R17" s="708"/>
      <c r="S17" s="708"/>
      <c r="T17" s="708"/>
      <c r="U17" s="708">
        <f t="shared" ref="U17:U42" si="1">SUM(D17:T17)</f>
        <v>28321.412576434359</v>
      </c>
      <c r="V17" s="708">
        <f t="shared" si="0"/>
        <v>0</v>
      </c>
    </row>
    <row r="18" spans="1:36">
      <c r="A18" s="696">
        <v>18</v>
      </c>
      <c r="B18" s="697" t="s">
        <v>387</v>
      </c>
      <c r="C18" s="694">
        <f>Proforma!Q72-Proforma!Q44-Proforma!Q60</f>
        <v>822438.90564181039</v>
      </c>
      <c r="D18" s="708"/>
      <c r="E18" s="708"/>
      <c r="F18" s="708">
        <f>+C18-G18</f>
        <v>801707.63035021594</v>
      </c>
      <c r="G18" s="709">
        <f>$C18*(COS!$T$4/(COS!$T$4+COS!$V$4))</f>
        <v>20731.275291594393</v>
      </c>
      <c r="H18" s="708"/>
      <c r="I18" s="708"/>
      <c r="J18" s="708"/>
      <c r="K18" s="708"/>
      <c r="L18" s="708"/>
      <c r="M18" s="708"/>
      <c r="N18" s="708"/>
      <c r="O18" s="708"/>
      <c r="P18" s="708"/>
      <c r="Q18" s="708"/>
      <c r="R18" s="708"/>
      <c r="S18" s="708"/>
      <c r="T18" s="708"/>
      <c r="U18" s="708">
        <f t="shared" si="1"/>
        <v>822438.90564181039</v>
      </c>
      <c r="V18" s="708">
        <f t="shared" si="0"/>
        <v>0</v>
      </c>
      <c r="AJ18" s="704"/>
    </row>
    <row r="19" spans="1:36">
      <c r="A19" s="696">
        <v>19</v>
      </c>
      <c r="B19" s="697" t="s">
        <v>388</v>
      </c>
      <c r="C19" s="694">
        <f>(Proforma!Q126+Proforma!Q140)-Proforma!Q80-Proforma!Q92</f>
        <v>107980.26502200289</v>
      </c>
      <c r="D19" s="708"/>
      <c r="E19" s="708"/>
      <c r="F19" s="708"/>
      <c r="G19" s="708"/>
      <c r="H19" s="1257">
        <f>C19-SUM(K19:L19)</f>
        <v>105258.39889325557</v>
      </c>
      <c r="I19" s="708"/>
      <c r="J19" s="708"/>
      <c r="K19" s="682">
        <f>$C19*(COS!$T$4/(COS!$T$4+COS!$V$4))</f>
        <v>2721.8661287473269</v>
      </c>
      <c r="L19" s="683"/>
      <c r="M19" s="708"/>
      <c r="N19" s="709"/>
      <c r="O19" s="708"/>
      <c r="P19" s="708"/>
      <c r="Q19" s="708"/>
      <c r="R19" s="708"/>
      <c r="S19" s="708"/>
      <c r="T19" s="708"/>
      <c r="U19" s="708">
        <f t="shared" si="1"/>
        <v>107980.26502200289</v>
      </c>
      <c r="V19" s="708">
        <f t="shared" si="0"/>
        <v>0</v>
      </c>
      <c r="AJ19" s="704"/>
    </row>
    <row r="20" spans="1:36">
      <c r="A20" s="696">
        <v>20</v>
      </c>
      <c r="B20" s="697" t="s">
        <v>389</v>
      </c>
      <c r="C20" s="694">
        <f>SUM(Proforma!Q100:Q101)</f>
        <v>106162.10058729892</v>
      </c>
      <c r="D20" s="708"/>
      <c r="E20" s="708"/>
      <c r="F20" s="708"/>
      <c r="G20" s="708"/>
      <c r="H20" s="708"/>
      <c r="I20" s="708"/>
      <c r="J20" s="708">
        <f>C20-K20</f>
        <v>103486.06505722909</v>
      </c>
      <c r="K20" s="709">
        <f>$C20*(COS!$T$4/(COS!$T$4+COS!$V$4))</f>
        <v>2676.0355300698247</v>
      </c>
      <c r="L20" s="708"/>
      <c r="M20" s="708"/>
      <c r="N20" s="708"/>
      <c r="O20" s="708"/>
      <c r="P20" s="708"/>
      <c r="Q20" s="708"/>
      <c r="R20" s="708"/>
      <c r="S20" s="708"/>
      <c r="T20" s="708"/>
      <c r="U20" s="708">
        <f t="shared" si="1"/>
        <v>106162.10058729892</v>
      </c>
      <c r="V20" s="708">
        <f t="shared" si="0"/>
        <v>0</v>
      </c>
      <c r="AJ20" s="704"/>
    </row>
    <row r="21" spans="1:36">
      <c r="A21" s="697">
        <v>21</v>
      </c>
      <c r="B21" s="697" t="s">
        <v>390</v>
      </c>
      <c r="C21" s="694">
        <f>SUM(Proforma!Q103:Q112,Proforma!Q172:Q181)</f>
        <v>25942.009876150089</v>
      </c>
      <c r="D21" s="708"/>
      <c r="E21" s="708"/>
      <c r="F21" s="708"/>
      <c r="G21" s="708"/>
      <c r="H21" s="708"/>
      <c r="I21" s="708">
        <f>C21</f>
        <v>25942.009876150089</v>
      </c>
      <c r="J21" s="708"/>
      <c r="K21" s="708"/>
      <c r="L21" s="708"/>
      <c r="M21" s="708"/>
      <c r="N21" s="708"/>
      <c r="O21" s="708"/>
      <c r="P21" s="708"/>
      <c r="Q21" s="708"/>
      <c r="R21" s="708"/>
      <c r="S21" s="708"/>
      <c r="T21" s="708"/>
      <c r="U21" s="708">
        <f t="shared" si="1"/>
        <v>25942.009876150089</v>
      </c>
      <c r="V21" s="708">
        <f t="shared" si="0"/>
        <v>0</v>
      </c>
      <c r="AJ21" s="704"/>
    </row>
    <row r="22" spans="1:36">
      <c r="A22" s="696">
        <v>22</v>
      </c>
      <c r="B22" s="697" t="s">
        <v>391</v>
      </c>
      <c r="C22" s="694"/>
      <c r="D22" s="708"/>
      <c r="E22" s="708"/>
      <c r="F22" s="708"/>
      <c r="G22" s="708"/>
      <c r="H22" s="708"/>
      <c r="I22" s="708"/>
      <c r="J22" s="708"/>
      <c r="K22" s="708"/>
      <c r="L22" s="708"/>
      <c r="M22" s="708"/>
      <c r="N22" s="708"/>
      <c r="O22" s="708"/>
      <c r="P22" s="708"/>
      <c r="Q22" s="708"/>
      <c r="R22" s="708"/>
      <c r="S22" s="708"/>
      <c r="T22" s="708"/>
      <c r="U22" s="708">
        <f t="shared" si="1"/>
        <v>0</v>
      </c>
      <c r="V22" s="708">
        <f t="shared" si="0"/>
        <v>0</v>
      </c>
    </row>
    <row r="23" spans="1:36">
      <c r="A23" s="696">
        <v>23</v>
      </c>
      <c r="B23" s="697" t="s">
        <v>392</v>
      </c>
      <c r="C23" s="694">
        <f>Proforma!Q24-Proforma!Q12</f>
        <v>1124130.2641884093</v>
      </c>
      <c r="D23" s="708"/>
      <c r="E23" s="708"/>
      <c r="F23" s="708"/>
      <c r="G23" s="708"/>
      <c r="H23" s="708"/>
      <c r="I23" s="708"/>
      <c r="J23" s="708"/>
      <c r="K23" s="708"/>
      <c r="L23" s="708"/>
      <c r="M23" s="708"/>
      <c r="N23" s="708"/>
      <c r="O23" s="708"/>
      <c r="P23" s="708"/>
      <c r="Q23" s="708">
        <f>C23</f>
        <v>1124130.2641884093</v>
      </c>
      <c r="R23" s="708"/>
      <c r="S23" s="708"/>
      <c r="T23" s="708"/>
      <c r="U23" s="708">
        <f t="shared" si="1"/>
        <v>1124130.2641884093</v>
      </c>
      <c r="V23" s="708">
        <f t="shared" si="0"/>
        <v>0</v>
      </c>
    </row>
    <row r="24" spans="1:36">
      <c r="A24" s="696">
        <v>24</v>
      </c>
      <c r="B24" s="697" t="s">
        <v>393</v>
      </c>
      <c r="C24" s="694">
        <f>Proforma!Q12</f>
        <v>150503.20685210003</v>
      </c>
      <c r="D24" s="708">
        <f>C24</f>
        <v>150503.20685210003</v>
      </c>
      <c r="E24" s="708"/>
      <c r="F24" s="708"/>
      <c r="G24" s="708"/>
      <c r="H24" s="708"/>
      <c r="I24" s="708"/>
      <c r="J24" s="708"/>
      <c r="K24" s="708"/>
      <c r="L24" s="708"/>
      <c r="M24" s="708"/>
      <c r="N24" s="708"/>
      <c r="O24" s="708"/>
      <c r="P24" s="708"/>
      <c r="Q24" s="708"/>
      <c r="R24" s="708"/>
      <c r="S24" s="708"/>
      <c r="T24" s="708"/>
      <c r="U24" s="708">
        <f t="shared" si="1"/>
        <v>150503.20685210003</v>
      </c>
      <c r="V24" s="708">
        <f t="shared" si="0"/>
        <v>0</v>
      </c>
    </row>
    <row r="25" spans="1:36">
      <c r="A25" s="696">
        <v>25</v>
      </c>
      <c r="B25" s="697" t="s">
        <v>394</v>
      </c>
      <c r="C25" s="1260">
        <f>Proforma!Q262+Proforma!Q227</f>
        <v>15152.102563678458</v>
      </c>
      <c r="D25" s="708"/>
      <c r="E25" s="708">
        <f>C25</f>
        <v>15152.102563678458</v>
      </c>
      <c r="F25" s="708"/>
      <c r="G25" s="708"/>
      <c r="H25" s="708"/>
      <c r="I25" s="708"/>
      <c r="J25" s="708"/>
      <c r="K25" s="708"/>
      <c r="L25" s="708"/>
      <c r="M25" s="708"/>
      <c r="N25" s="708"/>
      <c r="O25" s="708"/>
      <c r="P25" s="708"/>
      <c r="Q25" s="708"/>
      <c r="R25" s="708"/>
      <c r="S25" s="708"/>
      <c r="T25" s="708"/>
      <c r="U25" s="708">
        <f t="shared" si="1"/>
        <v>15152.102563678458</v>
      </c>
      <c r="V25" s="708">
        <f t="shared" si="0"/>
        <v>0</v>
      </c>
    </row>
    <row r="26" spans="1:36">
      <c r="A26" s="697">
        <v>26</v>
      </c>
      <c r="B26" s="697" t="s">
        <v>395</v>
      </c>
      <c r="C26" s="694">
        <f>Proforma!Q158</f>
        <v>96955.403300324295</v>
      </c>
      <c r="D26" s="708"/>
      <c r="E26" s="708"/>
      <c r="F26" s="708"/>
      <c r="G26" s="708"/>
      <c r="H26" s="708"/>
      <c r="I26" s="708"/>
      <c r="J26" s="708">
        <f>C26-K26</f>
        <v>94511.441635769981</v>
      </c>
      <c r="K26" s="709">
        <f>$C26*(COS!$T$4/(COS!$T$4+COS!$V$4))</f>
        <v>2443.9616645543078</v>
      </c>
      <c r="L26" s="708"/>
      <c r="M26" s="708"/>
      <c r="N26" s="708"/>
      <c r="O26" s="708"/>
      <c r="P26" s="708"/>
      <c r="Q26" s="708"/>
      <c r="R26" s="708"/>
      <c r="S26" s="708"/>
      <c r="T26" s="708"/>
      <c r="U26" s="708">
        <f t="shared" si="1"/>
        <v>96955.403300324295</v>
      </c>
      <c r="V26" s="708">
        <f t="shared" si="0"/>
        <v>0</v>
      </c>
    </row>
    <row r="27" spans="1:36">
      <c r="A27" s="697">
        <v>27</v>
      </c>
      <c r="B27" s="697" t="s">
        <v>396</v>
      </c>
      <c r="C27" s="694">
        <f>Proforma!Q44+Proforma!Q60+Proforma!Q80+Proforma!Q92+Proforma!Q211+Proforma!Q238</f>
        <v>64095.994015144177</v>
      </c>
      <c r="D27" s="708"/>
      <c r="E27" s="708">
        <f>+Proforma!Q213+Proforma!Q242</f>
        <v>2485.4021645060184</v>
      </c>
      <c r="F27" s="708">
        <f>+C27-E27-G27-H27-L27</f>
        <v>33357.276332421527</v>
      </c>
      <c r="G27" s="709">
        <f>$C27*(COS!$T$4/(COS!$T$4+COS!$V$4))</f>
        <v>1615.6722255003067</v>
      </c>
      <c r="H27" s="708">
        <f>Proforma!Q84+Proforma!Q96</f>
        <v>26637.643292716326</v>
      </c>
      <c r="I27" s="708"/>
      <c r="J27" s="708"/>
      <c r="K27" s="708"/>
      <c r="L27" s="708"/>
      <c r="M27" s="708"/>
      <c r="N27" s="708"/>
      <c r="O27" s="708"/>
      <c r="P27" s="708">
        <v>0</v>
      </c>
      <c r="Q27" s="708"/>
      <c r="R27" s="708"/>
      <c r="S27" s="708"/>
      <c r="T27" s="708"/>
      <c r="U27" s="708">
        <f t="shared" si="1"/>
        <v>64095.994015144177</v>
      </c>
      <c r="V27" s="708">
        <f t="shared" si="0"/>
        <v>0</v>
      </c>
    </row>
    <row r="28" spans="1:36">
      <c r="A28" s="697">
        <v>28</v>
      </c>
      <c r="B28" s="697" t="s">
        <v>397</v>
      </c>
      <c r="C28" s="694">
        <v>0</v>
      </c>
      <c r="D28" s="708"/>
      <c r="E28" s="708"/>
      <c r="F28" s="708"/>
      <c r="G28" s="708"/>
      <c r="H28" s="708"/>
      <c r="I28" s="708"/>
      <c r="J28" s="708"/>
      <c r="K28" s="708"/>
      <c r="L28" s="708"/>
      <c r="M28" s="708"/>
      <c r="N28" s="708"/>
      <c r="O28" s="708"/>
      <c r="P28" s="708">
        <f>C28</f>
        <v>0</v>
      </c>
      <c r="Q28" s="708"/>
      <c r="R28" s="708"/>
      <c r="S28" s="708"/>
      <c r="T28" s="708"/>
      <c r="U28" s="708">
        <f t="shared" si="1"/>
        <v>0</v>
      </c>
      <c r="V28" s="708">
        <f t="shared" si="0"/>
        <v>0</v>
      </c>
    </row>
    <row r="29" spans="1:36">
      <c r="A29" s="697">
        <v>29</v>
      </c>
      <c r="B29" s="697" t="s">
        <v>398</v>
      </c>
      <c r="C29" s="694">
        <f>Proforma!Q217+Proforma!Q243-Proforma!Q211-Proforma!Q238</f>
        <v>134389.57949272462</v>
      </c>
      <c r="D29" s="708"/>
      <c r="E29" s="708">
        <f>C29</f>
        <v>134389.57949272462</v>
      </c>
      <c r="F29" s="708"/>
      <c r="G29" s="708"/>
      <c r="H29" s="708"/>
      <c r="I29" s="708"/>
      <c r="J29" s="708"/>
      <c r="K29" s="708"/>
      <c r="L29" s="708"/>
      <c r="M29" s="708"/>
      <c r="N29" s="708"/>
      <c r="O29" s="708"/>
      <c r="P29" s="708"/>
      <c r="Q29" s="708"/>
      <c r="R29" s="708"/>
      <c r="S29" s="708"/>
      <c r="T29" s="708"/>
      <c r="U29" s="708">
        <f t="shared" si="1"/>
        <v>134389.57949272462</v>
      </c>
      <c r="V29" s="708">
        <f t="shared" si="0"/>
        <v>0</v>
      </c>
    </row>
    <row r="30" spans="1:36">
      <c r="A30" s="696">
        <v>30</v>
      </c>
      <c r="B30" s="697" t="s">
        <v>399</v>
      </c>
      <c r="C30" s="694">
        <f>Proforma!Q229+Proforma!Q286-C25-C31-C42</f>
        <v>126662.23575780734</v>
      </c>
      <c r="D30" s="708"/>
      <c r="E30" s="708">
        <f>C30</f>
        <v>126662.23575780734</v>
      </c>
      <c r="F30" s="708"/>
      <c r="G30" s="708"/>
      <c r="H30" s="708"/>
      <c r="I30" s="708"/>
      <c r="J30" s="708"/>
      <c r="K30" s="708"/>
      <c r="L30" s="708"/>
      <c r="M30" s="708"/>
      <c r="N30" s="708"/>
      <c r="O30" s="708"/>
      <c r="P30" s="708"/>
      <c r="Q30" s="708"/>
      <c r="R30" s="708"/>
      <c r="S30" s="708"/>
      <c r="T30" s="708"/>
      <c r="U30" s="708">
        <f t="shared" si="1"/>
        <v>126662.23575780734</v>
      </c>
      <c r="V30" s="708">
        <f t="shared" si="0"/>
        <v>0</v>
      </c>
    </row>
    <row r="31" spans="1:36">
      <c r="A31" s="696">
        <v>31</v>
      </c>
      <c r="B31" s="697" t="s">
        <v>400</v>
      </c>
      <c r="C31" s="694">
        <f>SUM(Proforma!Q267:Q268)</f>
        <v>20555.670267810943</v>
      </c>
      <c r="D31" s="708"/>
      <c r="E31" s="708">
        <f>C31</f>
        <v>20555.670267810943</v>
      </c>
      <c r="F31" s="708"/>
      <c r="G31" s="708"/>
      <c r="H31" s="708"/>
      <c r="I31" s="708"/>
      <c r="J31" s="708"/>
      <c r="K31" s="708"/>
      <c r="L31" s="708"/>
      <c r="M31" s="708"/>
      <c r="N31" s="708"/>
      <c r="O31" s="708"/>
      <c r="P31" s="708"/>
      <c r="Q31" s="708"/>
      <c r="R31" s="708"/>
      <c r="S31" s="708"/>
      <c r="T31" s="708"/>
      <c r="U31" s="708">
        <f t="shared" si="1"/>
        <v>20555.670267810943</v>
      </c>
      <c r="V31" s="708">
        <f t="shared" si="0"/>
        <v>0</v>
      </c>
    </row>
    <row r="32" spans="1:36">
      <c r="A32" s="696">
        <v>32</v>
      </c>
      <c r="B32" s="697" t="s">
        <v>192</v>
      </c>
      <c r="C32" s="816">
        <f>Proforma!Q164</f>
        <v>11546.587416421482</v>
      </c>
      <c r="D32" s="708"/>
      <c r="E32" s="708">
        <f>C32</f>
        <v>11546.587416421482</v>
      </c>
      <c r="F32" s="708"/>
      <c r="G32" s="708"/>
      <c r="H32" s="708"/>
      <c r="I32" s="708"/>
      <c r="J32" s="708"/>
      <c r="K32" s="708"/>
      <c r="L32" s="708"/>
      <c r="M32" s="708"/>
      <c r="N32" s="708"/>
      <c r="O32" s="708"/>
      <c r="P32" s="708"/>
      <c r="Q32" s="708"/>
      <c r="R32" s="708"/>
      <c r="S32" s="708"/>
      <c r="T32" s="708"/>
      <c r="U32" s="708">
        <f t="shared" si="1"/>
        <v>11546.587416421482</v>
      </c>
      <c r="V32" s="708">
        <f t="shared" si="0"/>
        <v>0</v>
      </c>
    </row>
    <row r="33" spans="1:22">
      <c r="A33" s="696">
        <v>33</v>
      </c>
      <c r="B33" s="697" t="s">
        <v>401</v>
      </c>
      <c r="C33" s="694"/>
      <c r="D33" s="708"/>
      <c r="E33" s="708">
        <v>0</v>
      </c>
      <c r="F33" s="708">
        <v>0</v>
      </c>
      <c r="G33" s="708">
        <v>0</v>
      </c>
      <c r="H33" s="708">
        <v>0</v>
      </c>
      <c r="I33" s="708"/>
      <c r="J33" s="708"/>
      <c r="K33" s="708"/>
      <c r="L33" s="708"/>
      <c r="M33" s="708"/>
      <c r="N33" s="708"/>
      <c r="O33" s="708"/>
      <c r="P33" s="708">
        <v>0</v>
      </c>
      <c r="Q33" s="708"/>
      <c r="R33" s="708"/>
      <c r="S33" s="708"/>
      <c r="T33" s="708"/>
      <c r="U33" s="708">
        <f t="shared" si="1"/>
        <v>0</v>
      </c>
      <c r="V33" s="708">
        <f t="shared" si="0"/>
        <v>0</v>
      </c>
    </row>
    <row r="34" spans="1:22">
      <c r="A34" s="696">
        <v>35</v>
      </c>
      <c r="B34" s="697" t="s">
        <v>402</v>
      </c>
      <c r="C34" s="694">
        <f>Proforma!Q29</f>
        <v>14383.549417628701</v>
      </c>
      <c r="D34" s="708"/>
      <c r="E34" s="708"/>
      <c r="F34" s="708"/>
      <c r="G34" s="708"/>
      <c r="H34" s="708"/>
      <c r="I34" s="708"/>
      <c r="J34" s="708"/>
      <c r="K34" s="708"/>
      <c r="L34" s="708"/>
      <c r="M34" s="708"/>
      <c r="N34" s="708"/>
      <c r="O34" s="708"/>
      <c r="P34" s="708"/>
      <c r="Q34" s="708"/>
      <c r="R34" s="708">
        <f>C34</f>
        <v>14383.549417628701</v>
      </c>
      <c r="S34" s="708"/>
      <c r="T34" s="708"/>
      <c r="U34" s="708">
        <f t="shared" si="1"/>
        <v>14383.549417628701</v>
      </c>
      <c r="V34" s="708">
        <f t="shared" si="0"/>
        <v>0</v>
      </c>
    </row>
    <row r="35" spans="1:22">
      <c r="A35" s="696">
        <v>36</v>
      </c>
      <c r="B35" s="697" t="s">
        <v>403</v>
      </c>
      <c r="C35" s="694">
        <v>0</v>
      </c>
      <c r="D35" s="708"/>
      <c r="E35" s="708">
        <f>C35</f>
        <v>0</v>
      </c>
      <c r="F35" s="708"/>
      <c r="G35" s="708"/>
      <c r="H35" s="708"/>
      <c r="I35" s="708"/>
      <c r="J35" s="708"/>
      <c r="K35" s="708"/>
      <c r="L35" s="708"/>
      <c r="M35" s="708"/>
      <c r="N35" s="708"/>
      <c r="O35" s="708"/>
      <c r="P35" s="708"/>
      <c r="Q35" s="708"/>
      <c r="R35" s="708"/>
      <c r="S35" s="708"/>
      <c r="T35" s="708"/>
      <c r="U35" s="708">
        <f t="shared" si="1"/>
        <v>0</v>
      </c>
      <c r="V35" s="708">
        <f t="shared" si="0"/>
        <v>0</v>
      </c>
    </row>
    <row r="36" spans="1:22">
      <c r="A36" s="696">
        <v>38</v>
      </c>
      <c r="B36" s="697" t="s">
        <v>404</v>
      </c>
      <c r="C36" s="816">
        <f>Proforma!Q186</f>
        <v>167595.27461205918</v>
      </c>
      <c r="D36" s="708"/>
      <c r="E36" s="708"/>
      <c r="F36" s="708"/>
      <c r="G36" s="708"/>
      <c r="H36" s="708"/>
      <c r="I36" s="708"/>
      <c r="J36" s="708">
        <f>+SUM([11]Summary!E53:E54)</f>
        <v>193294.21971310515</v>
      </c>
      <c r="K36" s="708">
        <f>+SUM([11]Summary!F53:F54)</f>
        <v>4259.0685386566629</v>
      </c>
      <c r="L36" s="708"/>
      <c r="M36" s="708"/>
      <c r="N36" s="708"/>
      <c r="O36" s="708"/>
      <c r="P36" s="708"/>
      <c r="Q36" s="708"/>
      <c r="R36" s="708"/>
      <c r="S36" s="708"/>
      <c r="T36" s="708"/>
      <c r="U36" s="708">
        <f t="shared" si="1"/>
        <v>197553.28825176181</v>
      </c>
      <c r="V36" s="708">
        <f>C36-U36</f>
        <v>-29958.013639702636</v>
      </c>
    </row>
    <row r="37" spans="1:22">
      <c r="A37" s="696">
        <v>39</v>
      </c>
      <c r="B37" s="697" t="s">
        <v>405</v>
      </c>
      <c r="C37" s="816">
        <f>Proforma!Q187</f>
        <v>25659.295200480392</v>
      </c>
      <c r="D37" s="708"/>
      <c r="E37" s="708"/>
      <c r="F37" s="708"/>
      <c r="G37" s="708"/>
      <c r="H37" s="708"/>
      <c r="I37" s="708"/>
      <c r="J37" s="708"/>
      <c r="K37" s="708"/>
      <c r="L37" s="708"/>
      <c r="M37" s="1325">
        <f>+Proforma!Q187-O37</f>
        <v>22785.767227883556</v>
      </c>
      <c r="N37" s="1258"/>
      <c r="O37" s="1259">
        <f>[11]Summary!$F$50</f>
        <v>2873.5279725968367</v>
      </c>
      <c r="P37" s="708"/>
      <c r="Q37" s="708"/>
      <c r="R37" s="708"/>
      <c r="S37" s="708"/>
      <c r="T37" s="708"/>
      <c r="U37" s="708">
        <f>SUM(D37:T37)</f>
        <v>25659.295200480392</v>
      </c>
      <c r="V37" s="708">
        <f t="shared" si="0"/>
        <v>0</v>
      </c>
    </row>
    <row r="38" spans="1:22">
      <c r="A38" s="696">
        <v>40</v>
      </c>
      <c r="B38" s="697" t="s">
        <v>406</v>
      </c>
      <c r="C38" s="816">
        <f>SUM(Proforma!Q188:Q194)</f>
        <v>11772.303545142167</v>
      </c>
      <c r="D38" s="708"/>
      <c r="E38" s="708"/>
      <c r="F38" s="708"/>
      <c r="G38" s="708"/>
      <c r="H38" s="708"/>
      <c r="I38" s="708">
        <f>C38</f>
        <v>11772.303545142167</v>
      </c>
      <c r="J38" s="708"/>
      <c r="K38" s="708"/>
      <c r="L38" s="708"/>
      <c r="M38" s="708"/>
      <c r="N38" s="708"/>
      <c r="O38" s="708"/>
      <c r="P38" s="708"/>
      <c r="Q38" s="708"/>
      <c r="R38" s="708"/>
      <c r="S38" s="708"/>
      <c r="T38" s="708"/>
      <c r="U38" s="708">
        <f t="shared" si="1"/>
        <v>11772.303545142167</v>
      </c>
      <c r="V38" s="708">
        <f t="shared" si="0"/>
        <v>0</v>
      </c>
    </row>
    <row r="39" spans="1:22">
      <c r="A39" s="696">
        <v>42</v>
      </c>
      <c r="B39" s="697" t="s">
        <v>407</v>
      </c>
      <c r="C39" s="694">
        <f>Proforma!Q102</f>
        <v>7222.1945075001677</v>
      </c>
      <c r="D39" s="708"/>
      <c r="E39" s="708"/>
      <c r="F39" s="708"/>
      <c r="G39" s="708"/>
      <c r="H39" s="708"/>
      <c r="I39" s="708"/>
      <c r="J39" s="708">
        <f>C39-K39</f>
        <v>7222.1945075001677</v>
      </c>
      <c r="K39" s="709">
        <f>C39*(COS!$W$6/(COS!$Y$6+COS!$W$6))</f>
        <v>0</v>
      </c>
      <c r="L39" s="708"/>
      <c r="M39" s="708"/>
      <c r="N39" s="708"/>
      <c r="O39" s="708"/>
      <c r="P39" s="708"/>
      <c r="Q39" s="708"/>
      <c r="R39" s="708"/>
      <c r="S39" s="708"/>
      <c r="T39" s="708"/>
      <c r="U39" s="708">
        <f t="shared" si="1"/>
        <v>7222.1945075001677</v>
      </c>
      <c r="V39" s="708">
        <f t="shared" si="0"/>
        <v>0</v>
      </c>
    </row>
    <row r="40" spans="1:22">
      <c r="A40" s="696">
        <v>47</v>
      </c>
      <c r="B40" s="697" t="s">
        <v>408</v>
      </c>
      <c r="C40" s="816">
        <f>Proforma!Q171</f>
        <v>50468.594447819989</v>
      </c>
      <c r="D40" s="708"/>
      <c r="E40" s="708"/>
      <c r="F40" s="708"/>
      <c r="G40" s="708"/>
      <c r="H40" s="708"/>
      <c r="I40" s="708"/>
      <c r="J40" s="708"/>
      <c r="K40" s="708"/>
      <c r="L40" s="708"/>
      <c r="M40" s="708"/>
      <c r="N40" s="708"/>
      <c r="O40" s="708"/>
      <c r="P40" s="708"/>
      <c r="Q40" s="708"/>
      <c r="R40" s="710"/>
      <c r="S40" s="708">
        <f>+C40</f>
        <v>50468.594447819989</v>
      </c>
      <c r="T40" s="708"/>
      <c r="U40" s="708">
        <f t="shared" si="1"/>
        <v>50468.594447819989</v>
      </c>
      <c r="V40" s="708">
        <f t="shared" si="0"/>
        <v>0</v>
      </c>
    </row>
    <row r="41" spans="1:22">
      <c r="A41" s="697">
        <v>49</v>
      </c>
      <c r="B41" s="697" t="s">
        <v>409</v>
      </c>
      <c r="C41" s="816">
        <f>Proforma!Q169-Proforma!Q164</f>
        <v>73207.354020748637</v>
      </c>
      <c r="D41" s="708"/>
      <c r="E41" s="708">
        <f>C41</f>
        <v>73207.354020748637</v>
      </c>
      <c r="F41" s="708"/>
      <c r="G41" s="708"/>
      <c r="H41" s="708"/>
      <c r="I41" s="708"/>
      <c r="J41" s="708"/>
      <c r="K41" s="708"/>
      <c r="L41" s="708"/>
      <c r="M41" s="708"/>
      <c r="N41" s="708"/>
      <c r="O41" s="708"/>
      <c r="P41" s="708"/>
      <c r="Q41" s="708"/>
      <c r="R41" s="708"/>
      <c r="S41" s="708"/>
      <c r="T41" s="708"/>
      <c r="U41" s="708">
        <f t="shared" si="1"/>
        <v>73207.354020748637</v>
      </c>
      <c r="V41" s="708">
        <f t="shared" si="0"/>
        <v>0</v>
      </c>
    </row>
    <row r="42" spans="1:22">
      <c r="A42" s="696">
        <v>53</v>
      </c>
      <c r="B42" s="697" t="s">
        <v>410</v>
      </c>
      <c r="C42" s="695">
        <f>Proforma!Q282</f>
        <v>5093.1042076074955</v>
      </c>
      <c r="D42" s="711"/>
      <c r="E42" s="711"/>
      <c r="F42" s="711"/>
      <c r="G42" s="711"/>
      <c r="H42" s="711"/>
      <c r="I42" s="711"/>
      <c r="J42" s="711"/>
      <c r="K42" s="711"/>
      <c r="L42" s="711"/>
      <c r="M42" s="711"/>
      <c r="N42" s="711"/>
      <c r="O42" s="711"/>
      <c r="P42" s="711"/>
      <c r="Q42" s="711"/>
      <c r="R42" s="711"/>
      <c r="S42" s="711"/>
      <c r="T42" s="711">
        <f>+C42</f>
        <v>5093.1042076074955</v>
      </c>
      <c r="U42" s="711">
        <f t="shared" si="1"/>
        <v>5093.1042076074955</v>
      </c>
      <c r="V42" s="711">
        <f t="shared" si="0"/>
        <v>0</v>
      </c>
    </row>
    <row r="43" spans="1:22">
      <c r="A43" s="697">
        <v>54</v>
      </c>
      <c r="B43" s="697" t="s">
        <v>411</v>
      </c>
      <c r="C43" s="712">
        <f>SUM(C16:C42)</f>
        <v>3261899.0675095827</v>
      </c>
      <c r="D43" s="712">
        <f t="shared" ref="D43:U43" si="2">SUM(D16:D42)</f>
        <v>150503.20685210003</v>
      </c>
      <c r="E43" s="712">
        <f t="shared" si="2"/>
        <v>383998.9316836975</v>
      </c>
      <c r="F43" s="712">
        <f t="shared" si="2"/>
        <v>835064.90668263752</v>
      </c>
      <c r="G43" s="712">
        <f>SUM(G16:G42)</f>
        <v>22346.947517094701</v>
      </c>
      <c r="H43" s="712">
        <f t="shared" si="2"/>
        <v>131896.04218597189</v>
      </c>
      <c r="I43" s="712">
        <f t="shared" si="2"/>
        <v>37714.31342129226</v>
      </c>
      <c r="J43" s="712">
        <f t="shared" si="2"/>
        <v>486716.01443207264</v>
      </c>
      <c r="K43" s="712">
        <f t="shared" si="2"/>
        <v>14621.212198605885</v>
      </c>
      <c r="L43" s="712">
        <f t="shared" si="2"/>
        <v>8234.7653505615181</v>
      </c>
      <c r="M43" s="712">
        <f t="shared" si="2"/>
        <v>22785.767227883556</v>
      </c>
      <c r="N43" s="712">
        <f t="shared" si="2"/>
        <v>1025.9333633050367</v>
      </c>
      <c r="O43" s="712">
        <f t="shared" si="2"/>
        <v>2873.5279725968367</v>
      </c>
      <c r="P43" s="712">
        <f t="shared" si="2"/>
        <v>0</v>
      </c>
      <c r="Q43" s="712">
        <f t="shared" si="2"/>
        <v>1124130.2641884093</v>
      </c>
      <c r="R43" s="712">
        <f t="shared" si="2"/>
        <v>14383.549417628701</v>
      </c>
      <c r="S43" s="712">
        <f t="shared" si="2"/>
        <v>50468.594447819989</v>
      </c>
      <c r="T43" s="712">
        <f t="shared" si="2"/>
        <v>5093.1042076074955</v>
      </c>
      <c r="U43" s="712">
        <f t="shared" si="2"/>
        <v>3291857.0811492852</v>
      </c>
      <c r="V43" s="713">
        <f>SUM(V16:V42)</f>
        <v>-29958.013639702636</v>
      </c>
    </row>
    <row r="44" spans="1:22">
      <c r="A44" s="697">
        <v>55</v>
      </c>
      <c r="B44" s="697" t="s">
        <v>412</v>
      </c>
      <c r="C44" s="693">
        <f>-C43+C13</f>
        <v>-3261899.0675095827</v>
      </c>
      <c r="D44" s="708"/>
      <c r="E44" s="708"/>
      <c r="F44" s="708"/>
      <c r="G44" s="708"/>
      <c r="H44" s="708"/>
      <c r="I44" s="708"/>
      <c r="J44" s="708"/>
      <c r="K44" s="708"/>
      <c r="L44" s="708"/>
      <c r="M44" s="708"/>
      <c r="N44" s="708"/>
      <c r="O44" s="708"/>
      <c r="P44" s="708"/>
      <c r="Q44" s="708"/>
      <c r="R44" s="708"/>
      <c r="S44" s="708"/>
      <c r="T44" s="708"/>
      <c r="U44" s="714">
        <f>SUM(D43:T43)</f>
        <v>3291857.0811492852</v>
      </c>
      <c r="V44" s="708"/>
    </row>
    <row r="45" spans="1:22">
      <c r="C45" s="693"/>
      <c r="D45" s="708"/>
      <c r="E45" s="708"/>
      <c r="F45" s="708"/>
      <c r="G45" s="708"/>
      <c r="H45" s="708"/>
      <c r="I45" s="708"/>
      <c r="J45" s="708"/>
      <c r="K45" s="708"/>
      <c r="L45" s="708"/>
      <c r="M45" s="708"/>
      <c r="N45" s="708"/>
      <c r="O45" s="708"/>
      <c r="P45" s="708"/>
      <c r="Q45" s="708"/>
      <c r="R45" s="708"/>
      <c r="S45" s="708"/>
      <c r="T45" s="708"/>
      <c r="U45" s="708"/>
      <c r="V45" s="708"/>
    </row>
    <row r="46" spans="1:22">
      <c r="B46" s="697" t="s">
        <v>413</v>
      </c>
      <c r="C46" s="693">
        <f>Proforma!Q293+Proforma!Q32</f>
        <v>3261899.0675095823</v>
      </c>
      <c r="D46" s="708"/>
      <c r="E46" s="708"/>
      <c r="F46" s="708"/>
      <c r="G46" s="708"/>
      <c r="H46" s="708"/>
      <c r="I46" s="708"/>
      <c r="J46" s="708"/>
      <c r="K46" s="708"/>
      <c r="L46" s="708"/>
      <c r="M46" s="708"/>
      <c r="N46" s="708"/>
      <c r="O46" s="708"/>
      <c r="P46" s="708"/>
      <c r="Q46" s="708"/>
      <c r="R46" s="708"/>
      <c r="S46" s="708"/>
      <c r="T46" s="708"/>
      <c r="U46" s="708"/>
      <c r="V46" s="708"/>
    </row>
    <row r="48" spans="1:22">
      <c r="B48" s="697" t="s">
        <v>20</v>
      </c>
      <c r="C48" s="693">
        <f>+C43-C46</f>
        <v>0</v>
      </c>
    </row>
  </sheetData>
  <customSheetViews>
    <customSheetView guid="{3B54C4DD-9207-4EC3-9D58-6DDE29113D77}" scale="87" showPageBreaks="1" showGridLines="0" outlineSymbols="0" fitToPage="1" printArea="1" showRuler="0" topLeftCell="A4">
      <pane xSplit="2" topLeftCell="C1" activePane="topRight" state="frozen"/>
      <selection pane="topRight" activeCell="D21" sqref="D21"/>
      <pageMargins left="0.25" right="0.25" top="0.75" bottom="0.75" header="0.5" footer="0.5"/>
      <pageSetup scale="45" orientation="landscape" r:id="rId1"/>
      <headerFooter alignWithMargins="0">
        <oddHeader>&amp;L&amp;12&amp;A</oddHeader>
      </headerFooter>
    </customSheetView>
    <customSheetView guid="{F69ABAD1-EF76-489D-B027-1BD1F4CFE8A6}" scale="87" showGridLines="0" outlineSymbols="0" fitToPage="1" topLeftCell="A4">
      <pane xSplit="2" topLeftCell="C1" activePane="topRight" state="frozen"/>
      <selection pane="topRight" activeCell="D21" sqref="D21"/>
      <pageMargins left="0.25" right="0.25" top="0.75" bottom="0.75" header="0.5" footer="0.5"/>
      <pageSetup scale="44" orientation="landscape" r:id="rId2"/>
      <headerFooter alignWithMargins="0">
        <oddHeader>&amp;L&amp;12&amp;A</oddHeader>
      </headerFooter>
    </customSheetView>
  </customSheetViews>
  <phoneticPr fontId="5" type="noConversion"/>
  <pageMargins left="0.25" right="0.25" top="0.75" bottom="0.75" header="0.3" footer="0.3"/>
  <pageSetup scale="45" fitToHeight="0" orientation="landscape" horizontalDpi="4294967295" verticalDpi="4294967295" r:id="rId3"/>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249977111117893"/>
    <pageSetUpPr fitToPage="1"/>
  </sheetPr>
  <dimension ref="A1:BF253"/>
  <sheetViews>
    <sheetView tabSelected="1" zoomScaleNormal="100" workbookViewId="0">
      <pane xSplit="1" ySplit="10" topLeftCell="B11" activePane="bottomRight" state="frozen"/>
      <selection activeCell="L18" sqref="L18"/>
      <selection pane="topRight" activeCell="L18" sqref="L18"/>
      <selection pane="bottomLeft" activeCell="L18" sqref="L18"/>
      <selection pane="bottomRight" activeCell="B12" sqref="B12"/>
    </sheetView>
  </sheetViews>
  <sheetFormatPr defaultColWidth="21.6640625" defaultRowHeight="11.25"/>
  <cols>
    <col min="1" max="1" width="24.6640625" style="159" bestFit="1" customWidth="1"/>
    <col min="2" max="2" width="9.83203125" style="159" customWidth="1"/>
    <col min="3" max="3" width="9.83203125" style="159" bestFit="1" customWidth="1"/>
    <col min="4" max="5" width="10.83203125" style="159" bestFit="1" customWidth="1"/>
    <col min="6" max="6" width="11.1640625" style="159" bestFit="1" customWidth="1"/>
    <col min="7" max="7" width="8.83203125" style="159" bestFit="1" customWidth="1"/>
    <col min="8" max="8" width="10.6640625" style="820" bestFit="1" customWidth="1"/>
    <col min="9" max="9" width="11" style="159" bestFit="1" customWidth="1"/>
    <col min="10" max="11" width="12.33203125" style="159" bestFit="1" customWidth="1"/>
    <col min="12" max="12" width="11" style="159" customWidth="1"/>
    <col min="13" max="13" width="13.33203125" style="821" customWidth="1"/>
    <col min="14" max="14" width="12.5" style="159" bestFit="1" customWidth="1"/>
    <col min="15" max="15" width="10.33203125" style="159" bestFit="1" customWidth="1"/>
    <col min="16" max="16" width="5.1640625" style="159" bestFit="1" customWidth="1"/>
    <col min="17" max="18" width="11.6640625" style="159" customWidth="1"/>
    <col min="19" max="19" width="11.5" style="159" bestFit="1" customWidth="1"/>
    <col min="20" max="20" width="8.6640625" style="159" bestFit="1" customWidth="1"/>
    <col min="21" max="21" width="9.33203125" style="159" bestFit="1" customWidth="1"/>
    <col min="22" max="22" width="10.83203125" style="159" bestFit="1" customWidth="1"/>
    <col min="23" max="23" width="5.1640625" style="159" bestFit="1" customWidth="1"/>
    <col min="24" max="24" width="11.5" style="159" bestFit="1" customWidth="1"/>
    <col min="25" max="25" width="9.1640625" style="159" bestFit="1" customWidth="1"/>
    <col min="26" max="26" width="10.5" style="159" bestFit="1" customWidth="1"/>
    <col min="27" max="27" width="11.83203125" style="159" bestFit="1" customWidth="1"/>
    <col min="28" max="28" width="8.83203125" style="159" bestFit="1" customWidth="1"/>
    <col min="29" max="29" width="8.1640625" style="159" bestFit="1" customWidth="1"/>
    <col min="30" max="30" width="10.5" style="159" bestFit="1" customWidth="1"/>
    <col min="31" max="31" width="8.1640625" style="159" bestFit="1" customWidth="1"/>
    <col min="32" max="32" width="8.83203125" style="159" bestFit="1" customWidth="1"/>
    <col min="33" max="33" width="9" style="159" bestFit="1" customWidth="1"/>
    <col min="34" max="35" width="8" style="159" bestFit="1" customWidth="1"/>
    <col min="36" max="36" width="11.1640625" style="822" bestFit="1" customWidth="1"/>
    <col min="37" max="37" width="6.83203125" style="159" bestFit="1" customWidth="1"/>
    <col min="38" max="38" width="10.5" style="159" bestFit="1" customWidth="1"/>
    <col min="39" max="39" width="8" style="159" bestFit="1" customWidth="1"/>
    <col min="40" max="40" width="11.33203125" style="159" bestFit="1" customWidth="1"/>
    <col min="41" max="41" width="8.5" style="159" bestFit="1" customWidth="1"/>
    <col min="42" max="42" width="10.5" style="162" bestFit="1" customWidth="1"/>
    <col min="43" max="43" width="3.33203125" style="159" customWidth="1"/>
    <col min="44" max="44" width="7.33203125" style="159" bestFit="1" customWidth="1"/>
    <col min="45" max="45" width="7.5" style="159" bestFit="1" customWidth="1"/>
    <col min="46" max="46" width="11.83203125" style="159" bestFit="1" customWidth="1"/>
    <col min="47" max="47" width="13.1640625" style="159" bestFit="1" customWidth="1"/>
    <col min="48" max="48" width="10.33203125" style="159" bestFit="1" customWidth="1"/>
    <col min="49" max="49" width="9" style="820" bestFit="1" customWidth="1"/>
    <col min="50" max="50" width="12.6640625" style="159" bestFit="1" customWidth="1"/>
    <col min="51" max="51" width="9.33203125" style="820" bestFit="1" customWidth="1"/>
    <col min="52" max="52" width="10.83203125" style="159" bestFit="1" customWidth="1"/>
    <col min="53" max="53" width="10.33203125" style="159" bestFit="1" customWidth="1"/>
    <col min="54" max="54" width="9" style="159" bestFit="1" customWidth="1"/>
    <col min="55" max="56" width="12.33203125" style="1153" customWidth="1"/>
    <col min="57" max="57" width="5.1640625" style="159" bestFit="1" customWidth="1"/>
    <col min="58" max="58" width="4.1640625" style="159" bestFit="1" customWidth="1"/>
    <col min="59" max="16384" width="21.6640625" style="159"/>
  </cols>
  <sheetData>
    <row r="1" spans="1:56" ht="15.75">
      <c r="A1" s="817"/>
      <c r="D1" s="818" t="s">
        <v>774</v>
      </c>
      <c r="E1" s="819">
        <v>52</v>
      </c>
      <c r="M1" s="821" t="s">
        <v>775</v>
      </c>
      <c r="R1" s="1143" t="s">
        <v>1117</v>
      </c>
      <c r="S1" s="826">
        <v>0.6</v>
      </c>
    </row>
    <row r="2" spans="1:56">
      <c r="A2" s="1335" t="s">
        <v>1597</v>
      </c>
      <c r="B2" s="178"/>
      <c r="D2" s="818" t="s">
        <v>777</v>
      </c>
      <c r="E2" s="819">
        <v>4.33</v>
      </c>
      <c r="H2" s="823"/>
      <c r="I2" s="824"/>
      <c r="J2" s="159" t="s">
        <v>778</v>
      </c>
      <c r="K2" s="179">
        <f>1+'Resi Price Out'!E53</f>
        <v>0.98727308193954788</v>
      </c>
      <c r="L2" s="175"/>
      <c r="M2" s="166">
        <f>Disposal!$R$34</f>
        <v>6602.9066731263492</v>
      </c>
      <c r="N2" s="159" t="s">
        <v>778</v>
      </c>
      <c r="O2" s="179">
        <f>M2/N6</f>
        <v>1.0104700861316416</v>
      </c>
      <c r="P2" s="825"/>
      <c r="R2" s="1143" t="s">
        <v>1116</v>
      </c>
      <c r="S2" s="826">
        <v>1</v>
      </c>
      <c r="U2" s="827" t="e">
        <f>IF((V4+T4)=V5, 0, V4+T4-V5)</f>
        <v>#VALUE!</v>
      </c>
      <c r="V2" s="828"/>
      <c r="W2" s="825"/>
      <c r="X2" s="827" t="e">
        <f t="shared" ref="X2:AO2" si="0">X5-X4</f>
        <v>#VALUE!</v>
      </c>
      <c r="Y2" s="827">
        <f t="shared" si="0"/>
        <v>0</v>
      </c>
      <c r="Z2" s="827">
        <f t="shared" si="0"/>
        <v>0</v>
      </c>
      <c r="AA2" s="827" t="e">
        <f t="shared" si="0"/>
        <v>#VALUE!</v>
      </c>
      <c r="AB2" s="827" t="e">
        <f t="shared" si="0"/>
        <v>#VALUE!</v>
      </c>
      <c r="AC2" s="827" t="e">
        <f t="shared" si="0"/>
        <v>#VALUE!</v>
      </c>
      <c r="AD2" s="827" t="e">
        <f t="shared" si="0"/>
        <v>#VALUE!</v>
      </c>
      <c r="AE2" s="827" t="e">
        <f t="shared" si="0"/>
        <v>#VALUE!</v>
      </c>
      <c r="AF2" s="827">
        <f t="shared" si="0"/>
        <v>0</v>
      </c>
      <c r="AG2" s="827">
        <f t="shared" si="0"/>
        <v>0</v>
      </c>
      <c r="AH2" s="827">
        <f t="shared" si="0"/>
        <v>0</v>
      </c>
      <c r="AI2" s="827" t="e">
        <f t="shared" si="0"/>
        <v>#VALUE!</v>
      </c>
      <c r="AJ2" s="829"/>
      <c r="AK2" s="827">
        <f t="shared" si="0"/>
        <v>0</v>
      </c>
      <c r="AL2" s="827" t="e">
        <f t="shared" si="0"/>
        <v>#VALUE!</v>
      </c>
      <c r="AM2" s="827" t="e">
        <f t="shared" si="0"/>
        <v>#VALUE!</v>
      </c>
      <c r="AN2" s="827" t="e">
        <f t="shared" si="0"/>
        <v>#VALUE!</v>
      </c>
      <c r="AO2" s="827" t="e">
        <f t="shared" si="0"/>
        <v>#VALUE!</v>
      </c>
      <c r="AP2" s="830" t="e">
        <f>AP5-AP4</f>
        <v>#VALUE!</v>
      </c>
      <c r="AQ2" s="825"/>
      <c r="AS2" s="825"/>
      <c r="AU2" s="621" t="e">
        <f>AU5-AU4</f>
        <v>#VALUE!</v>
      </c>
      <c r="AV2" s="621"/>
      <c r="AX2" s="621" t="e">
        <f>AX5-AX4</f>
        <v>#VALUE!</v>
      </c>
      <c r="AZ2" s="621" t="e">
        <f>AZ5-AZ4</f>
        <v>#VALUE!</v>
      </c>
      <c r="BB2" s="621" t="e">
        <f>AZ2-AX2</f>
        <v>#VALUE!</v>
      </c>
    </row>
    <row r="3" spans="1:56">
      <c r="A3" s="159" t="s">
        <v>19</v>
      </c>
      <c r="B3" s="178"/>
      <c r="C3" s="163"/>
      <c r="H3" s="823"/>
      <c r="I3" s="824"/>
      <c r="J3" s="159" t="s">
        <v>779</v>
      </c>
      <c r="K3" s="179">
        <f>1+'Comm Price Out'!E157</f>
        <v>1.0173772833392865</v>
      </c>
      <c r="L3" s="831"/>
      <c r="M3" s="166">
        <f>Disposal!$R$23</f>
        <v>2751.5933201199632</v>
      </c>
      <c r="N3" s="159" t="s">
        <v>779</v>
      </c>
      <c r="O3" s="179">
        <f>M3/N7</f>
        <v>0.98431140607772039</v>
      </c>
      <c r="P3" s="832"/>
      <c r="Q3" s="164"/>
      <c r="R3" s="1143" t="s">
        <v>1118</v>
      </c>
      <c r="S3" s="826">
        <v>1</v>
      </c>
      <c r="T3" s="176" t="s">
        <v>30</v>
      </c>
      <c r="U3" s="175"/>
      <c r="V3" s="173" t="s">
        <v>780</v>
      </c>
      <c r="W3" s="832"/>
      <c r="Y3" s="164"/>
      <c r="Z3" s="164"/>
      <c r="AA3" s="164"/>
      <c r="AB3" s="164"/>
      <c r="AC3" s="164"/>
      <c r="AD3" s="164"/>
      <c r="AE3" s="164"/>
      <c r="AF3" s="164"/>
      <c r="AG3" s="164"/>
      <c r="AH3" s="164"/>
      <c r="AI3" s="164"/>
      <c r="AJ3" s="833"/>
      <c r="AK3" s="164"/>
      <c r="AL3" s="164"/>
      <c r="AM3" s="164"/>
      <c r="AN3" s="164"/>
      <c r="AO3" s="164"/>
      <c r="AP3" s="834"/>
      <c r="AQ3" s="832"/>
      <c r="AS3" s="832"/>
      <c r="AT3" s="165" t="s">
        <v>21</v>
      </c>
    </row>
    <row r="4" spans="1:56">
      <c r="B4" s="178"/>
      <c r="C4" s="163"/>
      <c r="H4" s="823"/>
      <c r="I4" s="824"/>
      <c r="J4" s="159" t="s">
        <v>22</v>
      </c>
      <c r="K4" s="179">
        <f>1+'Drop Box Price Out'!F106</f>
        <v>1.0607123497598987</v>
      </c>
      <c r="L4" s="831"/>
      <c r="M4" s="166" t="e">
        <f>Disposal!$R$48+'Roll Off Average Cost'!N27</f>
        <v>#VALUE!</v>
      </c>
      <c r="N4" s="159" t="s">
        <v>22</v>
      </c>
      <c r="O4" s="179" t="e">
        <f>M4/N8</f>
        <v>#VALUE!</v>
      </c>
      <c r="P4" s="832"/>
      <c r="S4" s="826"/>
      <c r="T4" s="180">
        <f>+[3]Summary!$D$14</f>
        <v>634.75000000000011</v>
      </c>
      <c r="U4" s="164"/>
      <c r="V4" s="180">
        <f>SUM([3]Summary!$D$5:$D$12)</f>
        <v>24546.676999225871</v>
      </c>
      <c r="W4" s="832"/>
      <c r="X4" s="824">
        <f>Matrix!D43</f>
        <v>150503.20685210003</v>
      </c>
      <c r="Y4" s="824">
        <f>Matrix!E43</f>
        <v>383998.9316836975</v>
      </c>
      <c r="Z4" s="824">
        <f>Matrix!F43</f>
        <v>835064.90668263752</v>
      </c>
      <c r="AA4" s="824">
        <f>Matrix!G43</f>
        <v>22346.947517094701</v>
      </c>
      <c r="AB4" s="824">
        <f>Matrix!H43</f>
        <v>131896.04218597189</v>
      </c>
      <c r="AC4" s="824">
        <f>Matrix!I43</f>
        <v>37714.31342129226</v>
      </c>
      <c r="AD4" s="824">
        <f>Matrix!J43</f>
        <v>486716.01443207264</v>
      </c>
      <c r="AE4" s="824">
        <f>Matrix!K43</f>
        <v>14621.212198605885</v>
      </c>
      <c r="AF4" s="824">
        <f>Matrix!L43</f>
        <v>8234.7653505615181</v>
      </c>
      <c r="AG4" s="824">
        <f>Matrix!M43</f>
        <v>22785.767227883556</v>
      </c>
      <c r="AH4" s="824">
        <f>Matrix!N43</f>
        <v>1025.9333633050367</v>
      </c>
      <c r="AI4" s="824">
        <f>Matrix!O43</f>
        <v>2873.5279725968367</v>
      </c>
      <c r="AJ4" s="835">
        <f>SUM(X4:AI4)</f>
        <v>2097781.5688878195</v>
      </c>
      <c r="AK4" s="824">
        <f>Matrix!P43</f>
        <v>0</v>
      </c>
      <c r="AL4" s="824">
        <f>Matrix!Q43</f>
        <v>1124130.2641884093</v>
      </c>
      <c r="AM4" s="824">
        <f>Matrix!R43</f>
        <v>14383.549417628701</v>
      </c>
      <c r="AN4" s="824">
        <f>Matrix!S43</f>
        <v>50468.594447819989</v>
      </c>
      <c r="AO4" s="824">
        <f>Matrix!T43</f>
        <v>5093.1042076074955</v>
      </c>
      <c r="AP4" s="836">
        <f>SUM(AJ4:AO4)</f>
        <v>3291857.0811492852</v>
      </c>
      <c r="AQ4" s="832"/>
      <c r="AS4" s="832"/>
      <c r="AT4" s="837">
        <f>'LG Garbage'!H15/100</f>
        <v>0.92514135530501374</v>
      </c>
      <c r="AU4" s="621" t="e">
        <f>+AT5</f>
        <v>#VALUE!</v>
      </c>
      <c r="AW4" s="838"/>
      <c r="AX4" s="621" t="e">
        <f>AT5</f>
        <v>#VALUE!</v>
      </c>
      <c r="AZ4" s="621" t="e">
        <f>+AT5</f>
        <v>#VALUE!</v>
      </c>
    </row>
    <row r="5" spans="1:56" s="839" customFormat="1">
      <c r="A5" s="839" t="s">
        <v>781</v>
      </c>
      <c r="B5" s="840">
        <f>SUM(B6:B9)</f>
        <v>17657.737638401486</v>
      </c>
      <c r="C5" s="840">
        <f>SUM(C6:C9)</f>
        <v>17582.452252584164</v>
      </c>
      <c r="D5" s="840"/>
      <c r="E5" s="840"/>
      <c r="F5" s="840">
        <f>SUM(F6:F9)</f>
        <v>15748.23384892823</v>
      </c>
      <c r="G5" s="840">
        <f>SUM(G6:G9)</f>
        <v>5333.475227674322</v>
      </c>
      <c r="H5" s="840"/>
      <c r="I5" s="841">
        <f>SUM(I6:I9)</f>
        <v>267969.42153333331</v>
      </c>
      <c r="J5" s="840">
        <f>SUM(J6:J9)</f>
        <v>3215633.0584000004</v>
      </c>
      <c r="K5" s="840">
        <f>SUM(K6:K9)</f>
        <v>3218989.6903810934</v>
      </c>
      <c r="L5" s="840"/>
      <c r="M5" s="842"/>
      <c r="N5" s="840">
        <f>SUM(N6:N9)</f>
        <v>13520.49</v>
      </c>
      <c r="O5" s="840" t="e">
        <f>SUM(O6:O9)</f>
        <v>#VALUE!</v>
      </c>
      <c r="P5" s="843"/>
      <c r="Q5" s="840">
        <f>SUM(Q6:Q9)</f>
        <v>71767.7575422995</v>
      </c>
      <c r="R5" s="840">
        <f>SUM(R6:R9)</f>
        <v>3699.6212529755057</v>
      </c>
      <c r="S5" s="840">
        <f>SUM(S6:S9)</f>
        <v>3699.6212529755057</v>
      </c>
      <c r="T5" s="840">
        <f>SUM(T6:T9)</f>
        <v>391.66803514884259</v>
      </c>
      <c r="U5" s="840" t="e">
        <f>SUM(U6:U9)</f>
        <v>#VALUE!</v>
      </c>
      <c r="V5" s="840" t="e">
        <f>SUM(V6:V7)</f>
        <v>#VALUE!</v>
      </c>
      <c r="W5" s="843"/>
      <c r="X5" s="840" t="e">
        <f t="shared" ref="X5:AO5" si="1">SUM(X6:X9)</f>
        <v>#VALUE!</v>
      </c>
      <c r="Y5" s="840">
        <f t="shared" si="1"/>
        <v>383998.9316836975</v>
      </c>
      <c r="Z5" s="840">
        <f t="shared" si="1"/>
        <v>835064.90668263775</v>
      </c>
      <c r="AA5" s="840" t="e">
        <f t="shared" si="1"/>
        <v>#VALUE!</v>
      </c>
      <c r="AB5" s="840" t="e">
        <f t="shared" si="1"/>
        <v>#VALUE!</v>
      </c>
      <c r="AC5" s="840" t="e">
        <f t="shared" si="1"/>
        <v>#VALUE!</v>
      </c>
      <c r="AD5" s="840" t="e">
        <f t="shared" si="1"/>
        <v>#VALUE!</v>
      </c>
      <c r="AE5" s="840" t="e">
        <f t="shared" si="1"/>
        <v>#VALUE!</v>
      </c>
      <c r="AF5" s="840">
        <f t="shared" si="1"/>
        <v>8234.7653505615181</v>
      </c>
      <c r="AG5" s="840">
        <f t="shared" si="1"/>
        <v>22785.767227883556</v>
      </c>
      <c r="AH5" s="840">
        <f t="shared" si="1"/>
        <v>1025.9333633050367</v>
      </c>
      <c r="AI5" s="840" t="e">
        <f t="shared" si="1"/>
        <v>#VALUE!</v>
      </c>
      <c r="AJ5" s="844" t="e">
        <f t="shared" si="1"/>
        <v>#VALUE!</v>
      </c>
      <c r="AK5" s="840">
        <f t="shared" si="1"/>
        <v>0</v>
      </c>
      <c r="AL5" s="840" t="e">
        <f t="shared" si="1"/>
        <v>#VALUE!</v>
      </c>
      <c r="AM5" s="840" t="e">
        <f t="shared" si="1"/>
        <v>#VALUE!</v>
      </c>
      <c r="AN5" s="840" t="e">
        <f t="shared" si="1"/>
        <v>#VALUE!</v>
      </c>
      <c r="AO5" s="840" t="e">
        <f t="shared" si="1"/>
        <v>#VALUE!</v>
      </c>
      <c r="AP5" s="845" t="e">
        <f>SUM(AP6:AP9)</f>
        <v>#VALUE!</v>
      </c>
      <c r="AQ5" s="843"/>
      <c r="AR5" s="846"/>
      <c r="AS5" s="843"/>
      <c r="AT5" s="840" t="e">
        <f>SUM(AT6:AT9)</f>
        <v>#VALUE!</v>
      </c>
      <c r="AU5" s="840">
        <f>SUM(AU6:AU9)</f>
        <v>0</v>
      </c>
      <c r="AW5" s="840"/>
      <c r="AX5" s="840">
        <f>SUM(AX6:AX9)</f>
        <v>3253958.4402941368</v>
      </c>
      <c r="AY5" s="847"/>
      <c r="AZ5" s="840">
        <f>SUM(AZ6:AZ9)</f>
        <v>3420963.7808305756</v>
      </c>
      <c r="BC5" s="1154"/>
      <c r="BD5" s="1154"/>
    </row>
    <row r="6" spans="1:56">
      <c r="A6" s="848" t="s">
        <v>778</v>
      </c>
      <c r="B6" s="849">
        <f>SUM(B12:B31)</f>
        <v>15034.423137319802</v>
      </c>
      <c r="C6" s="849">
        <f>SUM(C12:C31)</f>
        <v>14843.081265964965</v>
      </c>
      <c r="D6" s="849"/>
      <c r="E6" s="849"/>
      <c r="F6" s="849">
        <f>SUM(F12:F31)</f>
        <v>14843.081265964965</v>
      </c>
      <c r="G6" s="849">
        <f>SUM(G12:G31)</f>
        <v>4489.727398911029</v>
      </c>
      <c r="H6" s="849"/>
      <c r="I6" s="849">
        <f>SUM(I12:I31)</f>
        <v>172548.07749999998</v>
      </c>
      <c r="J6" s="849">
        <f>SUM(J12:J31)</f>
        <v>2070576.93</v>
      </c>
      <c r="K6" s="849">
        <f>SUM(K12:K31)</f>
        <v>2044224.8670740277</v>
      </c>
      <c r="L6" s="849"/>
      <c r="M6" s="850"/>
      <c r="N6" s="849">
        <f>SUM(N12:N31)</f>
        <v>6534.4899999999989</v>
      </c>
      <c r="O6" s="849">
        <f>SUM(O12:O31)</f>
        <v>6602.9066731263501</v>
      </c>
      <c r="P6" s="851"/>
      <c r="Q6" s="849">
        <f t="shared" ref="Q6:V6" si="2">SUM(Q12:Q31)</f>
        <v>426.7575422994978</v>
      </c>
      <c r="R6" s="849">
        <f t="shared" si="2"/>
        <v>3166.7865634144705</v>
      </c>
      <c r="S6" s="849">
        <f t="shared" si="2"/>
        <v>3166.7865634144705</v>
      </c>
      <c r="T6" s="849">
        <f t="shared" si="2"/>
        <v>0</v>
      </c>
      <c r="U6" s="849" t="e">
        <f t="shared" si="2"/>
        <v>#VALUE!</v>
      </c>
      <c r="V6" s="849" t="e">
        <f t="shared" si="2"/>
        <v>#VALUE!</v>
      </c>
      <c r="W6" s="851"/>
      <c r="X6" s="849">
        <f>SUM(X12:X31)</f>
        <v>0</v>
      </c>
      <c r="Y6" s="849">
        <f>SUM(Y12:Y31)</f>
        <v>247260.5905738906</v>
      </c>
      <c r="Z6" s="849">
        <f t="shared" ref="Z6:AO6" si="3">SUM(Z12:Z31)</f>
        <v>578429.88712038298</v>
      </c>
      <c r="AA6" s="849">
        <f t="shared" si="3"/>
        <v>0</v>
      </c>
      <c r="AB6" s="849" t="e">
        <f t="shared" si="3"/>
        <v>#VALUE!</v>
      </c>
      <c r="AC6" s="849" t="e">
        <f t="shared" si="3"/>
        <v>#VALUE!</v>
      </c>
      <c r="AD6" s="849" t="e">
        <f t="shared" si="3"/>
        <v>#VALUE!</v>
      </c>
      <c r="AE6" s="849">
        <f t="shared" si="3"/>
        <v>0</v>
      </c>
      <c r="AF6" s="849">
        <f t="shared" si="3"/>
        <v>0</v>
      </c>
      <c r="AG6" s="849">
        <f t="shared" si="3"/>
        <v>19733.017185970995</v>
      </c>
      <c r="AH6" s="849">
        <f t="shared" si="3"/>
        <v>0</v>
      </c>
      <c r="AI6" s="849">
        <f t="shared" si="3"/>
        <v>0</v>
      </c>
      <c r="AJ6" s="849" t="e">
        <f t="shared" si="3"/>
        <v>#VALUE!</v>
      </c>
      <c r="AK6" s="849">
        <f t="shared" si="3"/>
        <v>0</v>
      </c>
      <c r="AL6" s="849" t="e">
        <f t="shared" si="3"/>
        <v>#VALUE!</v>
      </c>
      <c r="AM6" s="849" t="e">
        <f t="shared" si="3"/>
        <v>#VALUE!</v>
      </c>
      <c r="AN6" s="849" t="e">
        <f t="shared" si="3"/>
        <v>#VALUE!</v>
      </c>
      <c r="AO6" s="853" t="e">
        <f t="shared" si="3"/>
        <v>#VALUE!</v>
      </c>
      <c r="AP6" s="849" t="e">
        <f>SUM(AP12:AP31)</f>
        <v>#VALUE!</v>
      </c>
      <c r="AQ6" s="851"/>
      <c r="AR6" s="849"/>
      <c r="AS6" s="851"/>
      <c r="AT6" s="849" t="e">
        <f>+AP6/AT$4</f>
        <v>#VALUE!</v>
      </c>
      <c r="AU6" s="849">
        <f>SUM(AU12:AU31)</f>
        <v>0</v>
      </c>
      <c r="AV6" s="854" t="e">
        <f>+AT6/J6</f>
        <v>#VALUE!</v>
      </c>
      <c r="AW6" s="849"/>
      <c r="AX6" s="849">
        <f>SUM(AX12:AX31)</f>
        <v>2044224.8670740277</v>
      </c>
      <c r="AY6" s="854">
        <f>+AX6/J6</f>
        <v>0.98727308193954799</v>
      </c>
      <c r="AZ6" s="849">
        <f>SUM(AZ12:AZ31)</f>
        <v>2149151.4200116908</v>
      </c>
      <c r="BA6" s="854">
        <f>+AZ6/J6</f>
        <v>1.0379481143024669</v>
      </c>
    </row>
    <row r="7" spans="1:56" s="160" customFormat="1">
      <c r="A7" s="855" t="s">
        <v>779</v>
      </c>
      <c r="B7" s="856">
        <f>SUM(B35:B102,B106:B167)</f>
        <v>997.139396602327</v>
      </c>
      <c r="C7" s="856">
        <f>SUM(C35:C102,C106:C167)</f>
        <v>1014.4669704258509</v>
      </c>
      <c r="D7" s="856"/>
      <c r="E7" s="856"/>
      <c r="F7" s="856">
        <f>SUM(F35:F90,F106:F155)</f>
        <v>551.41848756989339</v>
      </c>
      <c r="G7" s="856">
        <f>SUM(G35:G102,G106:G167)</f>
        <v>694.57272428393628</v>
      </c>
      <c r="H7" s="849"/>
      <c r="I7" s="856">
        <f>SUM(I35:I102,I106:I167)</f>
        <v>76555.309866666677</v>
      </c>
      <c r="J7" s="856">
        <f>SUM(J35:J102,J106:J167)</f>
        <v>918663.71840000013</v>
      </c>
      <c r="K7" s="856">
        <f>SUM(K35:K102,K106:K167)</f>
        <v>934627.5981281593</v>
      </c>
      <c r="L7" s="856"/>
      <c r="M7" s="857"/>
      <c r="N7" s="856">
        <f>SUM(N35:N92,N106:N162)</f>
        <v>2795.45</v>
      </c>
      <c r="O7" s="856">
        <f>SUM(O35:O92,O106:O162)</f>
        <v>2751.5933201199641</v>
      </c>
      <c r="P7" s="858"/>
      <c r="Q7" s="856">
        <f t="shared" ref="Q7:V7" si="4">SUM(Q35:Q102,Q106:Q167)</f>
        <v>11040.999999999998</v>
      </c>
      <c r="R7" s="856">
        <f t="shared" si="4"/>
        <v>532.83468956103513</v>
      </c>
      <c r="S7" s="856">
        <f t="shared" si="4"/>
        <v>532.83468956103513</v>
      </c>
      <c r="T7" s="856">
        <f t="shared" si="4"/>
        <v>0</v>
      </c>
      <c r="U7" s="856" t="e">
        <f t="shared" si="4"/>
        <v>#VALUE!</v>
      </c>
      <c r="V7" s="856" t="e">
        <f t="shared" si="4"/>
        <v>#VALUE!</v>
      </c>
      <c r="W7" s="858"/>
      <c r="X7" s="856">
        <f>SUM(X35:X102,X106:X167)</f>
        <v>0</v>
      </c>
      <c r="Y7" s="856">
        <f>SUM(Y35:Y102,Y106:Y167)</f>
        <v>109703.40210947409</v>
      </c>
      <c r="Z7" s="856">
        <f t="shared" ref="Z7:AO7" si="5">SUM(Z35:Z102,Z106:Z167)</f>
        <v>256635.01956225475</v>
      </c>
      <c r="AA7" s="856">
        <f t="shared" si="5"/>
        <v>0</v>
      </c>
      <c r="AB7" s="856" t="e">
        <f t="shared" si="5"/>
        <v>#VALUE!</v>
      </c>
      <c r="AC7" s="856" t="e">
        <f t="shared" si="5"/>
        <v>#VALUE!</v>
      </c>
      <c r="AD7" s="856" t="e">
        <f t="shared" si="5"/>
        <v>#VALUE!</v>
      </c>
      <c r="AE7" s="856">
        <f t="shared" si="5"/>
        <v>0</v>
      </c>
      <c r="AF7" s="856">
        <f t="shared" si="5"/>
        <v>8234.7653505615181</v>
      </c>
      <c r="AG7" s="856">
        <f t="shared" si="5"/>
        <v>3052.7500419125595</v>
      </c>
      <c r="AH7" s="856">
        <f t="shared" si="5"/>
        <v>0</v>
      </c>
      <c r="AI7" s="856">
        <f t="shared" si="5"/>
        <v>0</v>
      </c>
      <c r="AJ7" s="856" t="e">
        <f t="shared" si="5"/>
        <v>#VALUE!</v>
      </c>
      <c r="AK7" s="856">
        <f t="shared" si="5"/>
        <v>0</v>
      </c>
      <c r="AL7" s="856" t="e">
        <f t="shared" si="5"/>
        <v>#VALUE!</v>
      </c>
      <c r="AM7" s="856" t="e">
        <f t="shared" si="5"/>
        <v>#VALUE!</v>
      </c>
      <c r="AN7" s="856" t="e">
        <f t="shared" si="5"/>
        <v>#VALUE!</v>
      </c>
      <c r="AO7" s="859" t="e">
        <f t="shared" si="5"/>
        <v>#VALUE!</v>
      </c>
      <c r="AP7" s="856" t="e">
        <f>SUM(AP35:AP102,AP106:AP167)</f>
        <v>#VALUE!</v>
      </c>
      <c r="AQ7" s="858"/>
      <c r="AR7" s="856"/>
      <c r="AS7" s="858"/>
      <c r="AT7" s="849" t="e">
        <f>+AP7/AT$4</f>
        <v>#VALUE!</v>
      </c>
      <c r="AU7" s="856">
        <f>SUM(AU35:AU102,AU106:AU167)</f>
        <v>0</v>
      </c>
      <c r="AV7" s="854" t="e">
        <f>+AT7/J7</f>
        <v>#VALUE!</v>
      </c>
      <c r="AW7" s="856"/>
      <c r="AX7" s="856">
        <f>SUM(AX35:AX102,AX106:AX167)</f>
        <v>969596.34804120264</v>
      </c>
      <c r="AY7" s="854">
        <f>+AX7/J7</f>
        <v>1.0554420824737802</v>
      </c>
      <c r="AZ7" s="856">
        <f>SUM(AZ35:AZ102,AZ106:AZ167)</f>
        <v>1019364.0640002252</v>
      </c>
      <c r="BA7" s="854">
        <f>+AZ7/J7</f>
        <v>1.1096161126027821</v>
      </c>
      <c r="BB7" s="860"/>
      <c r="BC7" s="1155"/>
      <c r="BD7" s="1155"/>
    </row>
    <row r="8" spans="1:56">
      <c r="A8" s="848" t="s">
        <v>22</v>
      </c>
      <c r="B8" s="849">
        <f>SUM(B171:B248)</f>
        <v>1593.1751044793562</v>
      </c>
      <c r="C8" s="849">
        <f>SUM(C171:C248)</f>
        <v>1689.90050865127</v>
      </c>
      <c r="D8" s="849"/>
      <c r="E8" s="849"/>
      <c r="F8" s="849">
        <f>SUM(F171:F236)</f>
        <v>353.73409539337035</v>
      </c>
      <c r="G8" s="849">
        <f>SUM(G237:G251)</f>
        <v>149.17510447935618</v>
      </c>
      <c r="H8" s="849"/>
      <c r="I8" s="849">
        <f>SUM(I171:I248)</f>
        <v>18681.371666666662</v>
      </c>
      <c r="J8" s="849">
        <f>SUM(J171:J248)</f>
        <v>224176.46</v>
      </c>
      <c r="K8" s="849">
        <f>SUM(K171:K248)</f>
        <v>237786.73964745592</v>
      </c>
      <c r="L8" s="849"/>
      <c r="M8" s="850"/>
      <c r="N8" s="849">
        <f>SUM(N171:N251)</f>
        <v>4190.5500000000011</v>
      </c>
      <c r="O8" s="849" t="e">
        <f>SUM(O171:O251)</f>
        <v>#VALUE!</v>
      </c>
      <c r="P8" s="851"/>
      <c r="Q8" s="849">
        <f t="shared" ref="Q8:V8" si="6">SUM(Q171:Q248)</f>
        <v>59400</v>
      </c>
      <c r="R8" s="849">
        <f t="shared" si="6"/>
        <v>0</v>
      </c>
      <c r="S8" s="849">
        <f t="shared" si="6"/>
        <v>0</v>
      </c>
      <c r="T8" s="849">
        <f t="shared" si="6"/>
        <v>382.91715826332342</v>
      </c>
      <c r="U8" s="849" t="e">
        <f t="shared" si="6"/>
        <v>#VALUE!</v>
      </c>
      <c r="V8" s="849" t="e">
        <f t="shared" si="6"/>
        <v>#VALUE!</v>
      </c>
      <c r="W8" s="851"/>
      <c r="X8" s="849" t="e">
        <f>SUM(X171:X248)</f>
        <v>#VALUE!</v>
      </c>
      <c r="Y8" s="849">
        <f>SUM(Y171:Y248)</f>
        <v>26770.318498798388</v>
      </c>
      <c r="Z8" s="849">
        <f t="shared" ref="Z8:AO8" si="7">SUM(Z171:Z248)</f>
        <v>0</v>
      </c>
      <c r="AA8" s="849" t="e">
        <f t="shared" si="7"/>
        <v>#VALUE!</v>
      </c>
      <c r="AB8" s="849" t="e">
        <f t="shared" si="7"/>
        <v>#VALUE!</v>
      </c>
      <c r="AC8" s="849" t="e">
        <f t="shared" si="7"/>
        <v>#VALUE!</v>
      </c>
      <c r="AD8" s="849" t="e">
        <f t="shared" si="7"/>
        <v>#VALUE!</v>
      </c>
      <c r="AE8" s="849" t="e">
        <f t="shared" si="7"/>
        <v>#VALUE!</v>
      </c>
      <c r="AF8" s="849">
        <f t="shared" si="7"/>
        <v>0</v>
      </c>
      <c r="AG8" s="849">
        <f t="shared" si="7"/>
        <v>0</v>
      </c>
      <c r="AH8" s="849">
        <f t="shared" si="7"/>
        <v>1025.9333633050367</v>
      </c>
      <c r="AI8" s="849" t="e">
        <f t="shared" si="7"/>
        <v>#VALUE!</v>
      </c>
      <c r="AJ8" s="849" t="e">
        <f t="shared" si="7"/>
        <v>#VALUE!</v>
      </c>
      <c r="AK8" s="849">
        <f t="shared" si="7"/>
        <v>0</v>
      </c>
      <c r="AL8" s="849">
        <f t="shared" si="7"/>
        <v>0</v>
      </c>
      <c r="AM8" s="849" t="e">
        <f t="shared" si="7"/>
        <v>#VALUE!</v>
      </c>
      <c r="AN8" s="849" t="e">
        <f t="shared" si="7"/>
        <v>#VALUE!</v>
      </c>
      <c r="AO8" s="859" t="e">
        <f t="shared" si="7"/>
        <v>#VALUE!</v>
      </c>
      <c r="AP8" s="849" t="e">
        <f>SUM(AP171:AP248)</f>
        <v>#VALUE!</v>
      </c>
      <c r="AQ8" s="851"/>
      <c r="AR8" s="849"/>
      <c r="AS8" s="851"/>
      <c r="AT8" s="849" t="e">
        <f>+AP8/AT$4</f>
        <v>#VALUE!</v>
      </c>
      <c r="AU8" s="849">
        <f>SUM(AU171:AU248)</f>
        <v>0</v>
      </c>
      <c r="AV8" s="854" t="e">
        <f>+AT8/(J8)</f>
        <v>#VALUE!</v>
      </c>
      <c r="AW8" s="849"/>
      <c r="AX8" s="849">
        <f>SUM(AX171:AX248)</f>
        <v>237786.73964745592</v>
      </c>
      <c r="AY8" s="854">
        <f>+AX8/J8</f>
        <v>1.0607123497598987</v>
      </c>
      <c r="AZ8" s="849">
        <f>SUM(AZ171:AZ248)</f>
        <v>249977.04918618908</v>
      </c>
      <c r="BA8" s="854">
        <f>+AZ8/J8</f>
        <v>1.1150905370982711</v>
      </c>
    </row>
    <row r="9" spans="1:56" s="161" customFormat="1" ht="12" thickBot="1">
      <c r="A9" s="861" t="s">
        <v>23</v>
      </c>
      <c r="B9" s="862">
        <f>SUM(B249:B251)</f>
        <v>33</v>
      </c>
      <c r="C9" s="862">
        <f>SUM(C249:C251)</f>
        <v>35.003507542076655</v>
      </c>
      <c r="D9" s="862"/>
      <c r="E9" s="862"/>
      <c r="F9" s="862">
        <f>SUM(F249:F251)</f>
        <v>0</v>
      </c>
      <c r="G9" s="862">
        <f>SUM(G249:G251)</f>
        <v>0</v>
      </c>
      <c r="H9" s="863"/>
      <c r="I9" s="862">
        <f>SUM(I249:I251)</f>
        <v>184.66250000000002</v>
      </c>
      <c r="J9" s="862">
        <f>SUM(J249:J251)</f>
        <v>2215.9500000000003</v>
      </c>
      <c r="K9" s="862">
        <f>SUM(K249:K251)</f>
        <v>2350.485531450448</v>
      </c>
      <c r="L9" s="863"/>
      <c r="M9" s="864"/>
      <c r="N9" s="862">
        <f>SUM(N187:N189)</f>
        <v>0</v>
      </c>
      <c r="O9" s="862" t="e">
        <f>SUM(O187:O189)</f>
        <v>#VALUE!</v>
      </c>
      <c r="P9" s="865"/>
      <c r="Q9" s="862">
        <f t="shared" ref="Q9:V9" si="8">+SUM(Q249:Q251)</f>
        <v>900</v>
      </c>
      <c r="R9" s="862">
        <f t="shared" si="8"/>
        <v>0</v>
      </c>
      <c r="S9" s="862">
        <f t="shared" si="8"/>
        <v>0</v>
      </c>
      <c r="T9" s="862">
        <f t="shared" si="8"/>
        <v>8.7508768855191637</v>
      </c>
      <c r="U9" s="862" t="e">
        <f t="shared" si="8"/>
        <v>#VALUE!</v>
      </c>
      <c r="V9" s="862" t="e">
        <f t="shared" si="8"/>
        <v>#VALUE!</v>
      </c>
      <c r="W9" s="865"/>
      <c r="X9" s="862" t="e">
        <f>SUM(X249:X251)</f>
        <v>#VALUE!</v>
      </c>
      <c r="Y9" s="862">
        <f>SUM(Y249:Y251)</f>
        <v>264.62050153442647</v>
      </c>
      <c r="Z9" s="862">
        <f t="shared" ref="Z9:AO9" si="9">SUM(Z249:Z251)</f>
        <v>0</v>
      </c>
      <c r="AA9" s="862" t="e">
        <f t="shared" si="9"/>
        <v>#VALUE!</v>
      </c>
      <c r="AB9" s="862" t="e">
        <f t="shared" si="9"/>
        <v>#VALUE!</v>
      </c>
      <c r="AC9" s="862" t="e">
        <f t="shared" si="9"/>
        <v>#VALUE!</v>
      </c>
      <c r="AD9" s="862" t="e">
        <f t="shared" si="9"/>
        <v>#VALUE!</v>
      </c>
      <c r="AE9" s="862" t="e">
        <f t="shared" si="9"/>
        <v>#VALUE!</v>
      </c>
      <c r="AF9" s="862">
        <f t="shared" si="9"/>
        <v>0</v>
      </c>
      <c r="AG9" s="862">
        <f t="shared" si="9"/>
        <v>0</v>
      </c>
      <c r="AH9" s="862">
        <f t="shared" si="9"/>
        <v>0</v>
      </c>
      <c r="AI9" s="862" t="e">
        <f t="shared" si="9"/>
        <v>#VALUE!</v>
      </c>
      <c r="AJ9" s="862" t="e">
        <f t="shared" si="9"/>
        <v>#VALUE!</v>
      </c>
      <c r="AK9" s="862">
        <f t="shared" si="9"/>
        <v>0</v>
      </c>
      <c r="AL9" s="862">
        <f t="shared" si="9"/>
        <v>0</v>
      </c>
      <c r="AM9" s="862" t="e">
        <f t="shared" si="9"/>
        <v>#VALUE!</v>
      </c>
      <c r="AN9" s="862" t="e">
        <f t="shared" si="9"/>
        <v>#VALUE!</v>
      </c>
      <c r="AO9" s="866" t="e">
        <f t="shared" si="9"/>
        <v>#VALUE!</v>
      </c>
      <c r="AP9" s="862" t="e">
        <f>SUM(AP249:AP251)</f>
        <v>#VALUE!</v>
      </c>
      <c r="AQ9" s="865"/>
      <c r="AR9" s="862"/>
      <c r="AS9" s="865"/>
      <c r="AT9" s="862" t="e">
        <f>+AP9/AT$4</f>
        <v>#VALUE!</v>
      </c>
      <c r="AU9" s="862">
        <f>SUM(AU249:AU251)</f>
        <v>0</v>
      </c>
      <c r="AV9" s="867" t="e">
        <f>+AT9/(J9)</f>
        <v>#VALUE!</v>
      </c>
      <c r="AW9" s="863"/>
      <c r="AX9" s="862">
        <f>SUM(AX249:AX251)</f>
        <v>2350.4855314504475</v>
      </c>
      <c r="AY9" s="867">
        <f>+AX9/J9</f>
        <v>1.0607123497598985</v>
      </c>
      <c r="AZ9" s="862">
        <f>SUM(AZ249:AZ251)</f>
        <v>2471.2476324706122</v>
      </c>
      <c r="BA9" s="867">
        <f>+AZ9/J9</f>
        <v>1.1152091123313306</v>
      </c>
      <c r="BC9" s="1156"/>
      <c r="BD9" s="1156"/>
    </row>
    <row r="10" spans="1:56" s="868" customFormat="1" ht="45">
      <c r="B10" s="869" t="s">
        <v>782</v>
      </c>
      <c r="C10" s="869" t="s">
        <v>783</v>
      </c>
      <c r="D10" s="869" t="s">
        <v>784</v>
      </c>
      <c r="E10" s="869" t="s">
        <v>785</v>
      </c>
      <c r="F10" s="870" t="s">
        <v>786</v>
      </c>
      <c r="G10" s="870" t="s">
        <v>787</v>
      </c>
      <c r="H10" s="871" t="s">
        <v>788</v>
      </c>
      <c r="I10" s="869" t="s">
        <v>789</v>
      </c>
      <c r="J10" s="869" t="s">
        <v>790</v>
      </c>
      <c r="K10" s="869" t="s">
        <v>791</v>
      </c>
      <c r="L10" s="1371" t="s">
        <v>792</v>
      </c>
      <c r="M10" s="872" t="s">
        <v>793</v>
      </c>
      <c r="N10" s="869" t="s">
        <v>794</v>
      </c>
      <c r="O10" s="869" t="s">
        <v>795</v>
      </c>
      <c r="P10" s="873"/>
      <c r="Q10" s="1371" t="s">
        <v>796</v>
      </c>
      <c r="R10" s="869" t="s">
        <v>797</v>
      </c>
      <c r="S10" s="869" t="s">
        <v>798</v>
      </c>
      <c r="T10" s="869" t="s">
        <v>799</v>
      </c>
      <c r="U10" s="869" t="s">
        <v>800</v>
      </c>
      <c r="V10" s="869" t="s">
        <v>801</v>
      </c>
      <c r="W10" s="873"/>
      <c r="X10" s="869" t="s">
        <v>802</v>
      </c>
      <c r="Y10" s="869" t="s">
        <v>803</v>
      </c>
      <c r="Z10" s="869" t="s">
        <v>804</v>
      </c>
      <c r="AA10" s="869" t="s">
        <v>805</v>
      </c>
      <c r="AB10" s="869" t="s">
        <v>806</v>
      </c>
      <c r="AC10" s="869" t="s">
        <v>807</v>
      </c>
      <c r="AD10" s="869" t="s">
        <v>808</v>
      </c>
      <c r="AE10" s="869" t="s">
        <v>809</v>
      </c>
      <c r="AF10" s="869" t="s">
        <v>810</v>
      </c>
      <c r="AG10" s="869" t="s">
        <v>811</v>
      </c>
      <c r="AH10" s="869" t="s">
        <v>812</v>
      </c>
      <c r="AI10" s="869" t="s">
        <v>813</v>
      </c>
      <c r="AJ10" s="874" t="s">
        <v>35</v>
      </c>
      <c r="AK10" s="869" t="s">
        <v>814</v>
      </c>
      <c r="AL10" s="869" t="s">
        <v>815</v>
      </c>
      <c r="AM10" s="869" t="s">
        <v>816</v>
      </c>
      <c r="AN10" s="869" t="s">
        <v>817</v>
      </c>
      <c r="AO10" s="869" t="s">
        <v>818</v>
      </c>
      <c r="AP10" s="875" t="s">
        <v>819</v>
      </c>
      <c r="AQ10" s="873"/>
      <c r="AR10" s="869" t="s">
        <v>820</v>
      </c>
      <c r="AS10" s="873"/>
      <c r="AT10" s="869" t="s">
        <v>821</v>
      </c>
      <c r="AU10" s="869" t="s">
        <v>822</v>
      </c>
      <c r="AV10" s="869" t="s">
        <v>823</v>
      </c>
      <c r="AW10" s="871" t="s">
        <v>510</v>
      </c>
      <c r="AX10" s="869" t="s">
        <v>824</v>
      </c>
      <c r="AY10" s="871" t="s">
        <v>511</v>
      </c>
      <c r="AZ10" s="869" t="s">
        <v>825</v>
      </c>
      <c r="BA10" s="869" t="s">
        <v>826</v>
      </c>
      <c r="BB10" s="876"/>
      <c r="BC10" s="1157" t="s">
        <v>1119</v>
      </c>
      <c r="BD10" s="1157" t="s">
        <v>1120</v>
      </c>
    </row>
    <row r="11" spans="1:56" ht="12" thickBot="1">
      <c r="A11" s="877" t="s">
        <v>57</v>
      </c>
      <c r="K11" s="164"/>
      <c r="P11" s="825"/>
      <c r="W11" s="825"/>
      <c r="X11" s="164"/>
      <c r="Y11" s="164"/>
      <c r="Z11" s="164"/>
      <c r="AA11" s="164"/>
      <c r="AB11" s="164"/>
      <c r="AC11" s="164"/>
      <c r="AD11" s="164"/>
      <c r="AE11" s="164"/>
      <c r="AF11" s="164"/>
      <c r="AG11" s="164"/>
      <c r="AH11" s="164"/>
      <c r="AI11" s="164"/>
      <c r="AJ11" s="833"/>
      <c r="AK11" s="164"/>
      <c r="AL11" s="164"/>
      <c r="AM11" s="164"/>
      <c r="AN11" s="164"/>
      <c r="AO11" s="164"/>
      <c r="AP11" s="836"/>
      <c r="AQ11" s="825"/>
      <c r="AS11" s="825"/>
      <c r="AV11" s="878"/>
      <c r="AY11" s="879"/>
    </row>
    <row r="12" spans="1:56" ht="12" thickTop="1">
      <c r="A12" s="880" t="str">
        <f>'Resi Price Out'!A15</f>
        <v>1 Mini Can</v>
      </c>
      <c r="B12" s="881">
        <f>'Resi Price Out'!B15</f>
        <v>894</v>
      </c>
      <c r="C12" s="882">
        <f t="shared" ref="C12:C25" si="10">B12*$K$2</f>
        <v>882.62213525395578</v>
      </c>
      <c r="D12" s="1024">
        <v>1</v>
      </c>
      <c r="E12" s="882">
        <f>D12*$E$1</f>
        <v>52</v>
      </c>
      <c r="F12" s="882">
        <f>C12</f>
        <v>882.62213525395578</v>
      </c>
      <c r="G12" s="882"/>
      <c r="H12" s="883">
        <f>'Resi Price Out'!D15</f>
        <v>7.25</v>
      </c>
      <c r="I12" s="882">
        <f>B12*H12</f>
        <v>6481.5</v>
      </c>
      <c r="J12" s="1132">
        <f>I12*12</f>
        <v>77778</v>
      </c>
      <c r="K12" s="882">
        <f>J12*$K$2</f>
        <v>76788.125767094156</v>
      </c>
      <c r="L12" s="884">
        <f>L13/32*19</f>
        <v>12.112499999999999</v>
      </c>
      <c r="M12" s="885">
        <f>L12*$O$2</f>
        <v>12.239318918269507</v>
      </c>
      <c r="N12" s="886">
        <f>ROUND(((C12*E12*L12)/2000),2)</f>
        <v>277.95999999999998</v>
      </c>
      <c r="O12" s="887">
        <f>$O$2*N12</f>
        <v>280.87026514115109</v>
      </c>
      <c r="P12" s="888"/>
      <c r="Q12" s="889">
        <f>+Q13</f>
        <v>16.84</v>
      </c>
      <c r="R12" s="887">
        <f>C12*E12*Q12/3600</f>
        <v>214.69293094421775</v>
      </c>
      <c r="S12" s="887">
        <f>R12*$S$2</f>
        <v>214.69293094421775</v>
      </c>
      <c r="T12" s="890"/>
      <c r="U12" s="887" t="e">
        <f t="shared" ref="U12:U24" si="11">($V$4-$S$5)*O12/($O$5-$O$8)</f>
        <v>#VALUE!</v>
      </c>
      <c r="V12" s="891" t="e">
        <f t="shared" ref="V12:V24" si="12">U12+S12</f>
        <v>#VALUE!</v>
      </c>
      <c r="W12" s="888"/>
      <c r="X12" s="892"/>
      <c r="Y12" s="893">
        <f>($Y$4*(I12)/(($I$6)+$I$7+$I$8+$I$9))</f>
        <v>9287.9592808252073</v>
      </c>
      <c r="Z12" s="882">
        <f t="shared" ref="Z12:Z28" si="13">($Z$4*I12/($I$5-$I$8-$I$9))</f>
        <v>21727.818516962394</v>
      </c>
      <c r="AA12" s="892"/>
      <c r="AB12" s="882" t="e">
        <f>$AB$4*V12/($V$4+$T$4)</f>
        <v>#VALUE!</v>
      </c>
      <c r="AC12" s="882" t="e">
        <f t="shared" ref="AC12:AC24" si="14">$AC$4*V12/($V$4+$T$4)</f>
        <v>#VALUE!</v>
      </c>
      <c r="AD12" s="882" t="e">
        <f t="shared" ref="AD12:AD24" si="15">$AD$4*V12/($V$4+$T$4)</f>
        <v>#VALUE!</v>
      </c>
      <c r="AE12" s="892"/>
      <c r="AF12" s="892"/>
      <c r="AG12" s="882">
        <f t="shared" ref="AG12:AG28" si="16">($AG$4*G12)/($G$7+$G$6)</f>
        <v>0</v>
      </c>
      <c r="AH12" s="892"/>
      <c r="AI12" s="892"/>
      <c r="AJ12" s="894" t="e">
        <f>SUM(X12:AI12)</f>
        <v>#VALUE!</v>
      </c>
      <c r="AK12" s="882">
        <f t="shared" ref="AK12:AK28" si="17">($AK$4*F12/($F$5))</f>
        <v>0</v>
      </c>
      <c r="AL12" s="882" t="e">
        <f t="shared" ref="AL12:AL28" si="18">$AL$4*O12/($O$5-$O$8)</f>
        <v>#VALUE!</v>
      </c>
      <c r="AM12" s="882" t="e">
        <f>$AM$4*(K12+X12)/($K$5+$X$5)</f>
        <v>#VALUE!</v>
      </c>
      <c r="AN12" s="882" t="e">
        <f t="shared" ref="AN12:AN28" si="19">$AN$4*(K12+X12)/($K$5+$X$5)</f>
        <v>#VALUE!</v>
      </c>
      <c r="AO12" s="882" t="e">
        <f t="shared" ref="AO12:AO28" si="20">$AO$4*(K12+X12)/($K$5+$X$5)</f>
        <v>#VALUE!</v>
      </c>
      <c r="AP12" s="895" t="e">
        <f t="shared" ref="AP12:AP28" si="21">SUM(AJ12:AO12)</f>
        <v>#VALUE!</v>
      </c>
      <c r="AQ12" s="888"/>
      <c r="AR12" s="887">
        <f>IF(ISERROR(AP12/C12/12), 0,(AP12/C12/12))</f>
        <v>0</v>
      </c>
      <c r="AS12" s="888"/>
      <c r="AT12" s="896">
        <f>AR12/$AT$4</f>
        <v>0</v>
      </c>
      <c r="AU12" s="897">
        <f t="shared" ref="AU12:AU24" si="22">+AT12*C12*12</f>
        <v>0</v>
      </c>
      <c r="AV12" s="898" t="str">
        <f>IF(AT12=0,"",(+AT12-AW12)/AW12)</f>
        <v/>
      </c>
      <c r="AW12" s="899">
        <f t="shared" ref="AW12:AW24" si="23">H12</f>
        <v>7.25</v>
      </c>
      <c r="AX12" s="900">
        <f t="shared" ref="AX12:AX24" si="24">+AW12*C12*12</f>
        <v>76788.125767094156</v>
      </c>
      <c r="AY12" s="901">
        <f>VLOOKUP(A12,'Resi Price Out'!$A$15:$G$41,7,FALSE)</f>
        <v>7.6221300533276972</v>
      </c>
      <c r="AZ12" s="902">
        <f t="shared" ref="AZ12:AZ24" si="25">+AY12*C12*12</f>
        <v>80729.528434217282</v>
      </c>
      <c r="BA12" s="903">
        <f>IF(AW12=0,"",(+AY12-AW12)/AW12)</f>
        <v>5.1328283217613409E-2</v>
      </c>
      <c r="BC12" s="1158">
        <f>+AU12-AX12</f>
        <v>-76788.125767094156</v>
      </c>
      <c r="BD12" s="1158">
        <f>+AU12-AZ12</f>
        <v>-80729.528434217282</v>
      </c>
    </row>
    <row r="13" spans="1:56">
      <c r="A13" s="880" t="str">
        <f>'Resi Price Out'!A16</f>
        <v>1 Can wk</v>
      </c>
      <c r="B13" s="881">
        <f>'Resi Price Out'!B16</f>
        <v>4527</v>
      </c>
      <c r="C13" s="882">
        <f t="shared" si="10"/>
        <v>4469.3852419403329</v>
      </c>
      <c r="D13" s="1024">
        <v>1</v>
      </c>
      <c r="E13" s="882">
        <f t="shared" ref="E13:E24" si="26">D13*$E$1</f>
        <v>52</v>
      </c>
      <c r="F13" s="882">
        <f t="shared" ref="F13:F24" si="27">C13</f>
        <v>4469.3852419403329</v>
      </c>
      <c r="G13" s="882"/>
      <c r="H13" s="883">
        <f>'Resi Price Out'!D16</f>
        <v>11.61</v>
      </c>
      <c r="I13" s="882">
        <f t="shared" ref="I13:I24" si="28">B13*H13</f>
        <v>52558.469999999994</v>
      </c>
      <c r="J13" s="882">
        <f t="shared" ref="J13:J25" si="29">I13*12</f>
        <v>630701.6399999999</v>
      </c>
      <c r="K13" s="882">
        <f t="shared" ref="K13:K25" si="30">J13*$K$2</f>
        <v>622674.75190712709</v>
      </c>
      <c r="L13" s="1140">
        <f>+'Meeks +'!F6*$S$1</f>
        <v>20.399999999999999</v>
      </c>
      <c r="M13" s="885">
        <f t="shared" ref="M13:M25" si="31">L13*$O$2</f>
        <v>20.613589757085485</v>
      </c>
      <c r="N13" s="886">
        <f t="shared" ref="N13:N24" si="32">ROUND(((C13*E13*L13)/2000),2)</f>
        <v>2370.56</v>
      </c>
      <c r="O13" s="887">
        <f t="shared" ref="O13:O25" si="33">$O$2*N13</f>
        <v>2395.3799673802241</v>
      </c>
      <c r="P13" s="888"/>
      <c r="Q13" s="889">
        <f>+'Meeks +'!C6</f>
        <v>16.84</v>
      </c>
      <c r="R13" s="887">
        <f t="shared" ref="R13:R23" si="34">C13*E13*Q13/3600</f>
        <v>1087.1531301839752</v>
      </c>
      <c r="S13" s="887">
        <f t="shared" ref="S13:S25" si="35">R13*$S$2</f>
        <v>1087.1531301839752</v>
      </c>
      <c r="T13" s="890"/>
      <c r="U13" s="887" t="e">
        <f t="shared" si="11"/>
        <v>#VALUE!</v>
      </c>
      <c r="V13" s="891" t="e">
        <f t="shared" si="12"/>
        <v>#VALUE!</v>
      </c>
      <c r="W13" s="888"/>
      <c r="X13" s="892"/>
      <c r="Y13" s="893">
        <f t="shared" ref="Y13:Y28" si="36">($Y$4*(I13)/(($I$6)+$I$7+$I$8+$I$9))</f>
        <v>75316.042462774538</v>
      </c>
      <c r="Z13" s="882">
        <f t="shared" si="13"/>
        <v>176190.83509823531</v>
      </c>
      <c r="AA13" s="892"/>
      <c r="AB13" s="882" t="e">
        <f t="shared" ref="AB13:AB28" si="37">$AB$4*V13/($V$4+$T$4)</f>
        <v>#VALUE!</v>
      </c>
      <c r="AC13" s="882" t="e">
        <f t="shared" si="14"/>
        <v>#VALUE!</v>
      </c>
      <c r="AD13" s="882" t="e">
        <f t="shared" si="15"/>
        <v>#VALUE!</v>
      </c>
      <c r="AE13" s="892"/>
      <c r="AF13" s="892"/>
      <c r="AG13" s="882">
        <f t="shared" si="16"/>
        <v>0</v>
      </c>
      <c r="AH13" s="892"/>
      <c r="AI13" s="892"/>
      <c r="AJ13" s="894" t="e">
        <f t="shared" ref="AJ13:AJ28" si="38">SUM(X13:AI13)</f>
        <v>#VALUE!</v>
      </c>
      <c r="AK13" s="882">
        <f t="shared" si="17"/>
        <v>0</v>
      </c>
      <c r="AL13" s="882" t="e">
        <f t="shared" si="18"/>
        <v>#VALUE!</v>
      </c>
      <c r="AM13" s="882" t="e">
        <f t="shared" ref="AM13:AM28" si="39">$AM$4*(K13+X13)/($K$5+$X$5)</f>
        <v>#VALUE!</v>
      </c>
      <c r="AN13" s="882" t="e">
        <f t="shared" si="19"/>
        <v>#VALUE!</v>
      </c>
      <c r="AO13" s="882" t="e">
        <f t="shared" si="20"/>
        <v>#VALUE!</v>
      </c>
      <c r="AP13" s="895" t="e">
        <f t="shared" si="21"/>
        <v>#VALUE!</v>
      </c>
      <c r="AQ13" s="888"/>
      <c r="AR13" s="887">
        <f t="shared" ref="AR13:AR24" si="40">IF(ISERROR(AP13/C13/12), 0,(AP13/C13/12))</f>
        <v>0</v>
      </c>
      <c r="AS13" s="888"/>
      <c r="AT13" s="896">
        <f t="shared" ref="AT13:AT24" si="41">AR13/$AT$4</f>
        <v>0</v>
      </c>
      <c r="AU13" s="897">
        <f>+AT13*C13*12</f>
        <v>0</v>
      </c>
      <c r="AV13" s="898" t="str">
        <f t="shared" ref="AV13:AV31" si="42">IF(AT13=0,"",(+AT13-AW13)/AW13)</f>
        <v/>
      </c>
      <c r="AW13" s="899">
        <f t="shared" si="23"/>
        <v>11.61</v>
      </c>
      <c r="AX13" s="900">
        <f t="shared" si="24"/>
        <v>622674.75190712721</v>
      </c>
      <c r="AY13" s="901">
        <f>VLOOKUP(A13,'Resi Price Out'!$A$15:$G$41,7,FALSE)</f>
        <v>12.20592136815649</v>
      </c>
      <c r="AZ13" s="902">
        <f t="shared" si="25"/>
        <v>654635.57792547322</v>
      </c>
      <c r="BA13" s="903">
        <f t="shared" ref="BA13:BA31" si="43">IF(AW13=0,"",(+AY13-AW13)/AW13)</f>
        <v>5.1328283217613332E-2</v>
      </c>
      <c r="BC13" s="1158">
        <f t="shared" ref="BC13:BC31" si="44">+AU13-AX13</f>
        <v>-622674.75190712721</v>
      </c>
      <c r="BD13" s="1158">
        <f t="shared" ref="BD13:BD31" si="45">+AU13-AZ13</f>
        <v>-654635.57792547322</v>
      </c>
    </row>
    <row r="14" spans="1:56">
      <c r="A14" s="880" t="str">
        <f>'Resi Price Out'!A17</f>
        <v>2  Can wk</v>
      </c>
      <c r="B14" s="881">
        <f>'Resi Price Out'!B17</f>
        <v>213</v>
      </c>
      <c r="C14" s="882">
        <f t="shared" si="10"/>
        <v>210.2891664531237</v>
      </c>
      <c r="D14" s="1024">
        <v>1</v>
      </c>
      <c r="E14" s="882">
        <f t="shared" si="26"/>
        <v>52</v>
      </c>
      <c r="F14" s="882">
        <f t="shared" si="27"/>
        <v>210.2891664531237</v>
      </c>
      <c r="G14" s="882"/>
      <c r="H14" s="883">
        <f>'Resi Price Out'!D17</f>
        <v>19.87</v>
      </c>
      <c r="I14" s="882">
        <f t="shared" si="28"/>
        <v>4232.3100000000004</v>
      </c>
      <c r="J14" s="882">
        <f t="shared" si="29"/>
        <v>50787.72</v>
      </c>
      <c r="K14" s="882">
        <f t="shared" si="30"/>
        <v>50141.348849082817</v>
      </c>
      <c r="L14" s="1140">
        <f>+'Meeks +'!F7*$S$1</f>
        <v>30.599999999999998</v>
      </c>
      <c r="M14" s="885">
        <f t="shared" si="31"/>
        <v>30.920384635628231</v>
      </c>
      <c r="N14" s="886">
        <f t="shared" si="32"/>
        <v>167.31</v>
      </c>
      <c r="O14" s="887">
        <f t="shared" si="33"/>
        <v>169.06175011068495</v>
      </c>
      <c r="P14" s="888"/>
      <c r="Q14" s="889">
        <f>+'Meeks +'!C7</f>
        <v>23.62</v>
      </c>
      <c r="R14" s="887">
        <f t="shared" si="34"/>
        <v>71.74599050121796</v>
      </c>
      <c r="S14" s="887">
        <f t="shared" si="35"/>
        <v>71.74599050121796</v>
      </c>
      <c r="T14" s="890"/>
      <c r="U14" s="887" t="e">
        <f t="shared" si="11"/>
        <v>#VALUE!</v>
      </c>
      <c r="V14" s="891" t="e">
        <f t="shared" si="12"/>
        <v>#VALUE!</v>
      </c>
      <c r="W14" s="888"/>
      <c r="X14" s="892"/>
      <c r="Y14" s="893">
        <f t="shared" si="36"/>
        <v>6064.8804973893912</v>
      </c>
      <c r="Z14" s="882">
        <f t="shared" si="13"/>
        <v>14187.898416651256</v>
      </c>
      <c r="AA14" s="892"/>
      <c r="AB14" s="882" t="e">
        <f t="shared" si="37"/>
        <v>#VALUE!</v>
      </c>
      <c r="AC14" s="882" t="e">
        <f t="shared" si="14"/>
        <v>#VALUE!</v>
      </c>
      <c r="AD14" s="882" t="e">
        <f t="shared" si="15"/>
        <v>#VALUE!</v>
      </c>
      <c r="AE14" s="892"/>
      <c r="AF14" s="892"/>
      <c r="AG14" s="882">
        <f t="shared" si="16"/>
        <v>0</v>
      </c>
      <c r="AH14" s="892"/>
      <c r="AI14" s="892"/>
      <c r="AJ14" s="894" t="e">
        <f t="shared" si="38"/>
        <v>#VALUE!</v>
      </c>
      <c r="AK14" s="882">
        <f t="shared" si="17"/>
        <v>0</v>
      </c>
      <c r="AL14" s="882" t="e">
        <f t="shared" si="18"/>
        <v>#VALUE!</v>
      </c>
      <c r="AM14" s="882" t="e">
        <f t="shared" si="39"/>
        <v>#VALUE!</v>
      </c>
      <c r="AN14" s="882" t="e">
        <f t="shared" si="19"/>
        <v>#VALUE!</v>
      </c>
      <c r="AO14" s="882" t="e">
        <f t="shared" si="20"/>
        <v>#VALUE!</v>
      </c>
      <c r="AP14" s="895" t="e">
        <f t="shared" si="21"/>
        <v>#VALUE!</v>
      </c>
      <c r="AQ14" s="888"/>
      <c r="AR14" s="887">
        <f t="shared" si="40"/>
        <v>0</v>
      </c>
      <c r="AS14" s="888"/>
      <c r="AT14" s="896">
        <f t="shared" si="41"/>
        <v>0</v>
      </c>
      <c r="AU14" s="897">
        <f t="shared" si="22"/>
        <v>0</v>
      </c>
      <c r="AV14" s="898" t="str">
        <f t="shared" si="42"/>
        <v/>
      </c>
      <c r="AW14" s="899">
        <f t="shared" si="23"/>
        <v>19.87</v>
      </c>
      <c r="AX14" s="900">
        <f t="shared" si="24"/>
        <v>50141.348849082817</v>
      </c>
      <c r="AY14" s="901">
        <f>VLOOKUP(A14,'Resi Price Out'!$A$15:$G$41,7,FALSE)</f>
        <v>20.88989298753398</v>
      </c>
      <c r="AZ14" s="902">
        <f t="shared" si="25"/>
        <v>52715.018203721695</v>
      </c>
      <c r="BA14" s="903">
        <f t="shared" si="43"/>
        <v>5.1328283217613416E-2</v>
      </c>
      <c r="BC14" s="1158">
        <f t="shared" si="44"/>
        <v>-50141.348849082817</v>
      </c>
      <c r="BD14" s="1158">
        <f t="shared" si="45"/>
        <v>-52715.018203721695</v>
      </c>
    </row>
    <row r="15" spans="1:56">
      <c r="A15" s="880" t="str">
        <f>'Resi Price Out'!A18</f>
        <v>3 Can wk</v>
      </c>
      <c r="B15" s="881">
        <f>'Resi Price Out'!B18</f>
        <v>10</v>
      </c>
      <c r="C15" s="882">
        <f t="shared" si="10"/>
        <v>9.8727308193954784</v>
      </c>
      <c r="D15" s="1024">
        <v>1</v>
      </c>
      <c r="E15" s="882">
        <f t="shared" si="26"/>
        <v>52</v>
      </c>
      <c r="F15" s="882">
        <f t="shared" si="27"/>
        <v>9.8727308193954784</v>
      </c>
      <c r="G15" s="882"/>
      <c r="H15" s="883">
        <f>'Resi Price Out'!D18</f>
        <v>29.03</v>
      </c>
      <c r="I15" s="882">
        <f t="shared" si="28"/>
        <v>290.3</v>
      </c>
      <c r="J15" s="882">
        <f t="shared" si="29"/>
        <v>3483.6000000000004</v>
      </c>
      <c r="K15" s="882">
        <f t="shared" si="30"/>
        <v>3439.2645082446093</v>
      </c>
      <c r="L15" s="1140">
        <f>+'Meeks +'!F8*$S$1</f>
        <v>46.199999999999996</v>
      </c>
      <c r="M15" s="885">
        <f t="shared" si="31"/>
        <v>46.683717979281838</v>
      </c>
      <c r="N15" s="886">
        <f t="shared" si="32"/>
        <v>11.86</v>
      </c>
      <c r="O15" s="887">
        <f t="shared" si="33"/>
        <v>11.984175221521269</v>
      </c>
      <c r="P15" s="888"/>
      <c r="Q15" s="889">
        <f>+'Meeks +'!C8</f>
        <v>35.24</v>
      </c>
      <c r="R15" s="887">
        <f t="shared" si="34"/>
        <v>5.0254393810905071</v>
      </c>
      <c r="S15" s="887">
        <f t="shared" si="35"/>
        <v>5.0254393810905071</v>
      </c>
      <c r="T15" s="890"/>
      <c r="U15" s="887" t="e">
        <f t="shared" si="11"/>
        <v>#VALUE!</v>
      </c>
      <c r="V15" s="891" t="e">
        <f t="shared" si="12"/>
        <v>#VALUE!</v>
      </c>
      <c r="W15" s="888"/>
      <c r="X15" s="892"/>
      <c r="Y15" s="893">
        <f t="shared" si="36"/>
        <v>415.99854651293032</v>
      </c>
      <c r="Z15" s="882">
        <f t="shared" si="13"/>
        <v>973.16758705148243</v>
      </c>
      <c r="AA15" s="892"/>
      <c r="AB15" s="882" t="e">
        <f t="shared" si="37"/>
        <v>#VALUE!</v>
      </c>
      <c r="AC15" s="882" t="e">
        <f t="shared" si="14"/>
        <v>#VALUE!</v>
      </c>
      <c r="AD15" s="882" t="e">
        <f t="shared" si="15"/>
        <v>#VALUE!</v>
      </c>
      <c r="AE15" s="892"/>
      <c r="AF15" s="892"/>
      <c r="AG15" s="882">
        <f t="shared" si="16"/>
        <v>0</v>
      </c>
      <c r="AH15" s="892"/>
      <c r="AI15" s="892"/>
      <c r="AJ15" s="894" t="e">
        <f t="shared" si="38"/>
        <v>#VALUE!</v>
      </c>
      <c r="AK15" s="882">
        <f t="shared" si="17"/>
        <v>0</v>
      </c>
      <c r="AL15" s="882" t="e">
        <f t="shared" si="18"/>
        <v>#VALUE!</v>
      </c>
      <c r="AM15" s="882" t="e">
        <f t="shared" si="39"/>
        <v>#VALUE!</v>
      </c>
      <c r="AN15" s="882" t="e">
        <f t="shared" si="19"/>
        <v>#VALUE!</v>
      </c>
      <c r="AO15" s="882" t="e">
        <f t="shared" si="20"/>
        <v>#VALUE!</v>
      </c>
      <c r="AP15" s="895" t="e">
        <f t="shared" si="21"/>
        <v>#VALUE!</v>
      </c>
      <c r="AQ15" s="888"/>
      <c r="AR15" s="887">
        <f t="shared" si="40"/>
        <v>0</v>
      </c>
      <c r="AS15" s="888"/>
      <c r="AT15" s="896">
        <f t="shared" si="41"/>
        <v>0</v>
      </c>
      <c r="AU15" s="897">
        <f t="shared" si="22"/>
        <v>0</v>
      </c>
      <c r="AV15" s="898" t="str">
        <f t="shared" si="42"/>
        <v/>
      </c>
      <c r="AW15" s="899">
        <f t="shared" si="23"/>
        <v>29.03</v>
      </c>
      <c r="AX15" s="900">
        <f t="shared" si="24"/>
        <v>3439.2645082446088</v>
      </c>
      <c r="AY15" s="901">
        <f>VLOOKUP(A15,'Resi Price Out'!$A$15:$G$41,7,FALSE)</f>
        <v>30.520060061807317</v>
      </c>
      <c r="AZ15" s="902">
        <f t="shared" si="25"/>
        <v>3615.7960509840741</v>
      </c>
      <c r="BA15" s="903">
        <f t="shared" si="43"/>
        <v>5.1328283217613374E-2</v>
      </c>
      <c r="BC15" s="1158">
        <f t="shared" si="44"/>
        <v>-3439.2645082446088</v>
      </c>
      <c r="BD15" s="1158">
        <f t="shared" si="45"/>
        <v>-3615.7960509840741</v>
      </c>
    </row>
    <row r="16" spans="1:56">
      <c r="A16" s="880" t="str">
        <f>'Resi Price Out'!A19</f>
        <v>4 Can wk</v>
      </c>
      <c r="B16" s="881">
        <f>'Resi Price Out'!B19</f>
        <v>1</v>
      </c>
      <c r="C16" s="882">
        <f t="shared" si="10"/>
        <v>0.98727308193954788</v>
      </c>
      <c r="D16" s="1024">
        <v>1</v>
      </c>
      <c r="E16" s="882">
        <f t="shared" si="26"/>
        <v>52</v>
      </c>
      <c r="F16" s="882">
        <f t="shared" si="27"/>
        <v>0.98727308193954788</v>
      </c>
      <c r="G16" s="882"/>
      <c r="H16" s="883">
        <f>'Resi Price Out'!D19</f>
        <v>39.1</v>
      </c>
      <c r="I16" s="882">
        <f t="shared" si="28"/>
        <v>39.1</v>
      </c>
      <c r="J16" s="882">
        <f t="shared" si="29"/>
        <v>469.20000000000005</v>
      </c>
      <c r="K16" s="882">
        <f t="shared" si="30"/>
        <v>463.22853004603593</v>
      </c>
      <c r="L16" s="1140">
        <f>+'Meeks +'!F9*$S$1</f>
        <v>58.199999999999996</v>
      </c>
      <c r="M16" s="885">
        <f t="shared" si="31"/>
        <v>58.809359012861535</v>
      </c>
      <c r="N16" s="886">
        <f t="shared" si="32"/>
        <v>1.49</v>
      </c>
      <c r="O16" s="887">
        <f t="shared" si="33"/>
        <v>1.5056004283361459</v>
      </c>
      <c r="P16" s="888"/>
      <c r="Q16" s="889">
        <f>+'Meeks +'!C9</f>
        <v>40</v>
      </c>
      <c r="R16" s="887">
        <f t="shared" si="34"/>
        <v>0.57042444734284992</v>
      </c>
      <c r="S16" s="887">
        <f t="shared" si="35"/>
        <v>0.57042444734284992</v>
      </c>
      <c r="T16" s="890"/>
      <c r="U16" s="887" t="e">
        <f t="shared" si="11"/>
        <v>#VALUE!</v>
      </c>
      <c r="V16" s="891" t="e">
        <f t="shared" si="12"/>
        <v>#VALUE!</v>
      </c>
      <c r="W16" s="888"/>
      <c r="X16" s="892"/>
      <c r="Y16" s="893">
        <f t="shared" si="36"/>
        <v>56.030117701190406</v>
      </c>
      <c r="Z16" s="882">
        <f t="shared" si="13"/>
        <v>131.07424269277629</v>
      </c>
      <c r="AA16" s="892"/>
      <c r="AB16" s="882" t="e">
        <f t="shared" si="37"/>
        <v>#VALUE!</v>
      </c>
      <c r="AC16" s="882" t="e">
        <f t="shared" si="14"/>
        <v>#VALUE!</v>
      </c>
      <c r="AD16" s="882" t="e">
        <f t="shared" si="15"/>
        <v>#VALUE!</v>
      </c>
      <c r="AE16" s="892"/>
      <c r="AF16" s="892"/>
      <c r="AG16" s="882">
        <f t="shared" si="16"/>
        <v>0</v>
      </c>
      <c r="AH16" s="892"/>
      <c r="AI16" s="892"/>
      <c r="AJ16" s="894" t="e">
        <f t="shared" si="38"/>
        <v>#VALUE!</v>
      </c>
      <c r="AK16" s="882">
        <f t="shared" si="17"/>
        <v>0</v>
      </c>
      <c r="AL16" s="882" t="e">
        <f t="shared" si="18"/>
        <v>#VALUE!</v>
      </c>
      <c r="AM16" s="882" t="e">
        <f t="shared" si="39"/>
        <v>#VALUE!</v>
      </c>
      <c r="AN16" s="882" t="e">
        <f t="shared" si="19"/>
        <v>#VALUE!</v>
      </c>
      <c r="AO16" s="882" t="e">
        <f t="shared" si="20"/>
        <v>#VALUE!</v>
      </c>
      <c r="AP16" s="895" t="e">
        <f t="shared" si="21"/>
        <v>#VALUE!</v>
      </c>
      <c r="AQ16" s="888"/>
      <c r="AR16" s="887">
        <f t="shared" si="40"/>
        <v>0</v>
      </c>
      <c r="AS16" s="888"/>
      <c r="AT16" s="896">
        <f t="shared" si="41"/>
        <v>0</v>
      </c>
      <c r="AU16" s="897">
        <f t="shared" si="22"/>
        <v>0</v>
      </c>
      <c r="AV16" s="898" t="str">
        <f t="shared" si="42"/>
        <v/>
      </c>
      <c r="AW16" s="899">
        <f t="shared" si="23"/>
        <v>39.1</v>
      </c>
      <c r="AX16" s="900">
        <f t="shared" si="24"/>
        <v>463.22853004603587</v>
      </c>
      <c r="AY16" s="901">
        <f>VLOOKUP(A16,'Resi Price Out'!$A$15:$G$41,7,FALSE)</f>
        <v>41.106935873808688</v>
      </c>
      <c r="AZ16" s="902">
        <f t="shared" si="25"/>
        <v>487.00525523071758</v>
      </c>
      <c r="BA16" s="903">
        <f t="shared" si="43"/>
        <v>5.1328283217613457E-2</v>
      </c>
      <c r="BC16" s="1158">
        <f t="shared" si="44"/>
        <v>-463.22853004603587</v>
      </c>
      <c r="BD16" s="1158">
        <f t="shared" si="45"/>
        <v>-487.00525523071758</v>
      </c>
    </row>
    <row r="17" spans="1:56">
      <c r="A17" s="880" t="str">
        <f>'Resi Price Out'!A20</f>
        <v>5 Can wk</v>
      </c>
      <c r="B17" s="881">
        <f>'Resi Price Out'!B20</f>
        <v>0</v>
      </c>
      <c r="C17" s="882">
        <f t="shared" si="10"/>
        <v>0</v>
      </c>
      <c r="D17" s="1024">
        <v>1</v>
      </c>
      <c r="E17" s="882">
        <f t="shared" si="26"/>
        <v>52</v>
      </c>
      <c r="F17" s="882">
        <f t="shared" si="27"/>
        <v>0</v>
      </c>
      <c r="G17" s="882"/>
      <c r="H17" s="883">
        <f>'Resi Price Out'!D20</f>
        <v>49.45</v>
      </c>
      <c r="I17" s="882">
        <f t="shared" si="28"/>
        <v>0</v>
      </c>
      <c r="J17" s="882">
        <f t="shared" si="29"/>
        <v>0</v>
      </c>
      <c r="K17" s="882">
        <f>J17*$K$2</f>
        <v>0</v>
      </c>
      <c r="L17" s="1140">
        <f>L16*AVERAGE('Meeks +'!$H$7:$H$9)</f>
        <v>82.829157117392413</v>
      </c>
      <c r="M17" s="885">
        <f t="shared" si="31"/>
        <v>83.696385526622791</v>
      </c>
      <c r="N17" s="886">
        <f t="shared" si="32"/>
        <v>0</v>
      </c>
      <c r="O17" s="887">
        <f t="shared" si="33"/>
        <v>0</v>
      </c>
      <c r="P17" s="888"/>
      <c r="Q17" s="889">
        <f>+Q16*AVERAGE('Meeks +'!$E$7:$E$9)</f>
        <v>53.728567678884936</v>
      </c>
      <c r="R17" s="887">
        <f t="shared" si="34"/>
        <v>0</v>
      </c>
      <c r="S17" s="887">
        <f t="shared" si="35"/>
        <v>0</v>
      </c>
      <c r="T17" s="890"/>
      <c r="U17" s="887" t="e">
        <f t="shared" si="11"/>
        <v>#VALUE!</v>
      </c>
      <c r="V17" s="891" t="e">
        <f t="shared" si="12"/>
        <v>#VALUE!</v>
      </c>
      <c r="W17" s="888"/>
      <c r="X17" s="892"/>
      <c r="Y17" s="893">
        <f t="shared" si="36"/>
        <v>0</v>
      </c>
      <c r="Z17" s="882">
        <f t="shared" si="13"/>
        <v>0</v>
      </c>
      <c r="AA17" s="892"/>
      <c r="AB17" s="882" t="e">
        <f t="shared" si="37"/>
        <v>#VALUE!</v>
      </c>
      <c r="AC17" s="882" t="e">
        <f t="shared" si="14"/>
        <v>#VALUE!</v>
      </c>
      <c r="AD17" s="882" t="e">
        <f t="shared" si="15"/>
        <v>#VALUE!</v>
      </c>
      <c r="AE17" s="892"/>
      <c r="AF17" s="892"/>
      <c r="AG17" s="882">
        <f t="shared" si="16"/>
        <v>0</v>
      </c>
      <c r="AH17" s="892"/>
      <c r="AI17" s="892"/>
      <c r="AJ17" s="894" t="e">
        <f t="shared" si="38"/>
        <v>#VALUE!</v>
      </c>
      <c r="AK17" s="882">
        <f t="shared" si="17"/>
        <v>0</v>
      </c>
      <c r="AL17" s="882" t="e">
        <f t="shared" si="18"/>
        <v>#VALUE!</v>
      </c>
      <c r="AM17" s="882" t="e">
        <f t="shared" si="39"/>
        <v>#VALUE!</v>
      </c>
      <c r="AN17" s="882" t="e">
        <f t="shared" si="19"/>
        <v>#VALUE!</v>
      </c>
      <c r="AO17" s="882" t="e">
        <f t="shared" si="20"/>
        <v>#VALUE!</v>
      </c>
      <c r="AP17" s="895" t="e">
        <f t="shared" si="21"/>
        <v>#VALUE!</v>
      </c>
      <c r="AQ17" s="888"/>
      <c r="AR17" s="887">
        <f t="shared" si="40"/>
        <v>0</v>
      </c>
      <c r="AS17" s="888"/>
      <c r="AT17" s="896">
        <f t="shared" si="41"/>
        <v>0</v>
      </c>
      <c r="AU17" s="897">
        <f t="shared" si="22"/>
        <v>0</v>
      </c>
      <c r="AV17" s="898" t="str">
        <f t="shared" si="42"/>
        <v/>
      </c>
      <c r="AW17" s="899">
        <f t="shared" si="23"/>
        <v>49.45</v>
      </c>
      <c r="AX17" s="900">
        <f t="shared" si="24"/>
        <v>0</v>
      </c>
      <c r="AY17" s="901">
        <f>VLOOKUP(A17,'Resi Price Out'!$A$15:$G$41,7,FALSE)</f>
        <v>51.988183605110983</v>
      </c>
      <c r="AZ17" s="902">
        <f t="shared" si="25"/>
        <v>0</v>
      </c>
      <c r="BA17" s="903">
        <f t="shared" si="43"/>
        <v>5.1328283217613346E-2</v>
      </c>
      <c r="BC17" s="1158">
        <f t="shared" si="44"/>
        <v>0</v>
      </c>
      <c r="BD17" s="1158">
        <f t="shared" si="45"/>
        <v>0</v>
      </c>
    </row>
    <row r="18" spans="1:56">
      <c r="A18" s="880" t="str">
        <f>'Resi Price Out'!A21</f>
        <v>6 Can wk</v>
      </c>
      <c r="B18" s="881">
        <f>'Resi Price Out'!B21</f>
        <v>0</v>
      </c>
      <c r="C18" s="882">
        <f t="shared" si="10"/>
        <v>0</v>
      </c>
      <c r="D18" s="1024">
        <v>1</v>
      </c>
      <c r="E18" s="882">
        <f t="shared" si="26"/>
        <v>52</v>
      </c>
      <c r="F18" s="882">
        <f t="shared" si="27"/>
        <v>0</v>
      </c>
      <c r="G18" s="882"/>
      <c r="H18" s="883">
        <f>'Resi Price Out'!D21</f>
        <v>0</v>
      </c>
      <c r="I18" s="882">
        <f t="shared" si="28"/>
        <v>0</v>
      </c>
      <c r="J18" s="882">
        <f t="shared" si="29"/>
        <v>0</v>
      </c>
      <c r="K18" s="882">
        <f t="shared" si="30"/>
        <v>0</v>
      </c>
      <c r="L18" s="1140">
        <f>L17*AVERAGE('Meeks +'!$H$7:$H$9)</f>
        <v>117.88091527109414</v>
      </c>
      <c r="M18" s="885">
        <f t="shared" si="31"/>
        <v>119.11513860725924</v>
      </c>
      <c r="N18" s="886">
        <f t="shared" si="32"/>
        <v>0</v>
      </c>
      <c r="O18" s="887">
        <f t="shared" si="33"/>
        <v>0</v>
      </c>
      <c r="P18" s="888"/>
      <c r="Q18" s="889">
        <f>+Q17*AVERAGE('Meeks +'!$E$7:$E$9)</f>
        <v>72.168974620612971</v>
      </c>
      <c r="R18" s="887">
        <f t="shared" si="34"/>
        <v>0</v>
      </c>
      <c r="S18" s="887">
        <f t="shared" si="35"/>
        <v>0</v>
      </c>
      <c r="T18" s="890"/>
      <c r="U18" s="887" t="e">
        <f t="shared" si="11"/>
        <v>#VALUE!</v>
      </c>
      <c r="V18" s="891" t="e">
        <f t="shared" si="12"/>
        <v>#VALUE!</v>
      </c>
      <c r="W18" s="888"/>
      <c r="X18" s="892"/>
      <c r="Y18" s="893">
        <f t="shared" si="36"/>
        <v>0</v>
      </c>
      <c r="Z18" s="882">
        <f t="shared" si="13"/>
        <v>0</v>
      </c>
      <c r="AA18" s="892"/>
      <c r="AB18" s="882" t="e">
        <f t="shared" si="37"/>
        <v>#VALUE!</v>
      </c>
      <c r="AC18" s="882" t="e">
        <f t="shared" si="14"/>
        <v>#VALUE!</v>
      </c>
      <c r="AD18" s="882" t="e">
        <f t="shared" si="15"/>
        <v>#VALUE!</v>
      </c>
      <c r="AE18" s="892"/>
      <c r="AF18" s="892"/>
      <c r="AG18" s="882">
        <f t="shared" si="16"/>
        <v>0</v>
      </c>
      <c r="AH18" s="892"/>
      <c r="AI18" s="892"/>
      <c r="AJ18" s="894" t="e">
        <f t="shared" si="38"/>
        <v>#VALUE!</v>
      </c>
      <c r="AK18" s="882">
        <f t="shared" si="17"/>
        <v>0</v>
      </c>
      <c r="AL18" s="882" t="e">
        <f t="shared" si="18"/>
        <v>#VALUE!</v>
      </c>
      <c r="AM18" s="882" t="e">
        <f t="shared" si="39"/>
        <v>#VALUE!</v>
      </c>
      <c r="AN18" s="882" t="e">
        <f t="shared" si="19"/>
        <v>#VALUE!</v>
      </c>
      <c r="AO18" s="882" t="e">
        <f t="shared" si="20"/>
        <v>#VALUE!</v>
      </c>
      <c r="AP18" s="895" t="e">
        <f t="shared" si="21"/>
        <v>#VALUE!</v>
      </c>
      <c r="AQ18" s="888"/>
      <c r="AR18" s="887">
        <f t="shared" si="40"/>
        <v>0</v>
      </c>
      <c r="AS18" s="888"/>
      <c r="AT18" s="896">
        <f t="shared" si="41"/>
        <v>0</v>
      </c>
      <c r="AU18" s="897">
        <f t="shared" si="22"/>
        <v>0</v>
      </c>
      <c r="AV18" s="898" t="str">
        <f t="shared" si="42"/>
        <v/>
      </c>
      <c r="AW18" s="899">
        <f t="shared" si="23"/>
        <v>0</v>
      </c>
      <c r="AX18" s="900">
        <f t="shared" si="24"/>
        <v>0</v>
      </c>
      <c r="AY18" s="901">
        <f>VLOOKUP(A18,'Resi Price Out'!$A$15:$G$41,7,FALSE)</f>
        <v>0</v>
      </c>
      <c r="AZ18" s="902">
        <f t="shared" si="25"/>
        <v>0</v>
      </c>
      <c r="BA18" s="903" t="str">
        <f t="shared" si="43"/>
        <v/>
      </c>
      <c r="BC18" s="1158">
        <f t="shared" si="44"/>
        <v>0</v>
      </c>
      <c r="BD18" s="1158">
        <f t="shared" si="45"/>
        <v>0</v>
      </c>
    </row>
    <row r="19" spans="1:56">
      <c r="A19" s="880" t="str">
        <f>'Resi Price Out'!A22</f>
        <v>1 Can EOW</v>
      </c>
      <c r="B19" s="881">
        <f>'Resi Price Out'!B22</f>
        <v>0</v>
      </c>
      <c r="C19" s="882">
        <f>B19*$K$2</f>
        <v>0</v>
      </c>
      <c r="D19" s="1024">
        <v>0.5</v>
      </c>
      <c r="E19" s="882">
        <f>D19*$E$1</f>
        <v>26</v>
      </c>
      <c r="F19" s="882">
        <f>C19</f>
        <v>0</v>
      </c>
      <c r="G19" s="882"/>
      <c r="H19" s="883">
        <f>'Resi Price Out'!D22</f>
        <v>0</v>
      </c>
      <c r="I19" s="882">
        <f>B19*H19</f>
        <v>0</v>
      </c>
      <c r="J19" s="882">
        <f>I19*12</f>
        <v>0</v>
      </c>
      <c r="K19" s="882">
        <f>J19*$K$2</f>
        <v>0</v>
      </c>
      <c r="L19" s="884">
        <f>+L13</f>
        <v>20.399999999999999</v>
      </c>
      <c r="M19" s="885">
        <f>L19*$O$2</f>
        <v>20.613589757085485</v>
      </c>
      <c r="N19" s="886">
        <f>ROUND(((C19*E19*L19)/2000),2)</f>
        <v>0</v>
      </c>
      <c r="O19" s="887">
        <f>$O$2*N19</f>
        <v>0</v>
      </c>
      <c r="P19" s="888"/>
      <c r="Q19" s="889">
        <f>+Q13</f>
        <v>16.84</v>
      </c>
      <c r="R19" s="887">
        <f>C19*E19*Q19/3600</f>
        <v>0</v>
      </c>
      <c r="S19" s="887">
        <f>R19*$S$2</f>
        <v>0</v>
      </c>
      <c r="T19" s="890"/>
      <c r="U19" s="887" t="e">
        <f t="shared" si="11"/>
        <v>#VALUE!</v>
      </c>
      <c r="V19" s="891" t="e">
        <f>U19+S19</f>
        <v>#VALUE!</v>
      </c>
      <c r="W19" s="888"/>
      <c r="X19" s="892"/>
      <c r="Y19" s="893">
        <f>($Y$4*(I19)/(($I$6)+$I$7+$I$8+$I$9))</f>
        <v>0</v>
      </c>
      <c r="Z19" s="882">
        <f>($Z$4*I19/($I$5-$I$8-$I$9))</f>
        <v>0</v>
      </c>
      <c r="AA19" s="892"/>
      <c r="AB19" s="882" t="e">
        <f>$AB$4*V19/($V$4+$T$4)</f>
        <v>#VALUE!</v>
      </c>
      <c r="AC19" s="882" t="e">
        <f>$AC$4*V19/($V$4+$T$4)</f>
        <v>#VALUE!</v>
      </c>
      <c r="AD19" s="882" t="e">
        <f>$AD$4*V19/($V$4+$T$4)</f>
        <v>#VALUE!</v>
      </c>
      <c r="AE19" s="892"/>
      <c r="AF19" s="892"/>
      <c r="AG19" s="882">
        <f>($AG$4*G19)/($G$7+$G$6)</f>
        <v>0</v>
      </c>
      <c r="AH19" s="892"/>
      <c r="AI19" s="892"/>
      <c r="AJ19" s="894" t="e">
        <f>SUM(X19:AI19)</f>
        <v>#VALUE!</v>
      </c>
      <c r="AK19" s="882">
        <f>($AK$4*F19/($F$5))</f>
        <v>0</v>
      </c>
      <c r="AL19" s="882" t="e">
        <f>$AL$4*O19/($O$5-$O$8)</f>
        <v>#VALUE!</v>
      </c>
      <c r="AM19" s="882" t="e">
        <f>$AM$4*(K19+X19)/($K$5+$X$5)</f>
        <v>#VALUE!</v>
      </c>
      <c r="AN19" s="882" t="e">
        <f>$AN$4*(K19+X19)/($K$5+$X$5)</f>
        <v>#VALUE!</v>
      </c>
      <c r="AO19" s="882" t="e">
        <f>$AO$4*(K19+X19)/($K$5+$X$5)</f>
        <v>#VALUE!</v>
      </c>
      <c r="AP19" s="895" t="e">
        <f>SUM(AJ19:AO19)</f>
        <v>#VALUE!</v>
      </c>
      <c r="AQ19" s="888"/>
      <c r="AR19" s="887">
        <f>IF(ISERROR(AP19/C19/12), 0,(AP19/C19/12))</f>
        <v>0</v>
      </c>
      <c r="AS19" s="888"/>
      <c r="AT19" s="896">
        <f>AR19/$AT$4</f>
        <v>0</v>
      </c>
      <c r="AU19" s="897">
        <f>+AT19*C19*12</f>
        <v>0</v>
      </c>
      <c r="AV19" s="898" t="str">
        <f t="shared" si="42"/>
        <v/>
      </c>
      <c r="AW19" s="899">
        <f>H19</f>
        <v>0</v>
      </c>
      <c r="AX19" s="900">
        <f>+AW19*C19*12</f>
        <v>0</v>
      </c>
      <c r="AY19" s="901">
        <f>VLOOKUP(A19,'Resi Price Out'!$A$15:$G$41,7,FALSE)</f>
        <v>0</v>
      </c>
      <c r="AZ19" s="902">
        <f>+AY19*C19*12</f>
        <v>0</v>
      </c>
      <c r="BA19" s="903" t="str">
        <f t="shared" si="43"/>
        <v/>
      </c>
      <c r="BC19" s="1158">
        <f t="shared" si="44"/>
        <v>0</v>
      </c>
      <c r="BD19" s="1158">
        <f t="shared" si="45"/>
        <v>0</v>
      </c>
    </row>
    <row r="20" spans="1:56">
      <c r="A20" s="880" t="str">
        <f>'Resi Price Out'!A23</f>
        <v>2 Can EOW</v>
      </c>
      <c r="B20" s="881">
        <f>'Resi Price Out'!B23</f>
        <v>0</v>
      </c>
      <c r="C20" s="882">
        <f>B20*$K$2</f>
        <v>0</v>
      </c>
      <c r="D20" s="1024">
        <v>0.5</v>
      </c>
      <c r="E20" s="882">
        <f>D20*$E$1</f>
        <v>26</v>
      </c>
      <c r="F20" s="882">
        <f>C20</f>
        <v>0</v>
      </c>
      <c r="G20" s="882"/>
      <c r="H20" s="883">
        <f>'Resi Price Out'!D23</f>
        <v>0</v>
      </c>
      <c r="I20" s="882">
        <f>B20*H20</f>
        <v>0</v>
      </c>
      <c r="J20" s="882">
        <f>I20*12</f>
        <v>0</v>
      </c>
      <c r="K20" s="882">
        <f>J20*$K$2</f>
        <v>0</v>
      </c>
      <c r="L20" s="884">
        <f>L14</f>
        <v>30.599999999999998</v>
      </c>
      <c r="M20" s="885">
        <f>L20*$O$2</f>
        <v>30.920384635628231</v>
      </c>
      <c r="N20" s="886">
        <f>ROUND(((C20*E20*L20)/2000),2)</f>
        <v>0</v>
      </c>
      <c r="O20" s="887">
        <f>$O$2*N20</f>
        <v>0</v>
      </c>
      <c r="P20" s="888"/>
      <c r="Q20" s="889">
        <f>+Q14</f>
        <v>23.62</v>
      </c>
      <c r="R20" s="887">
        <f>C20*E20*Q20/3600</f>
        <v>0</v>
      </c>
      <c r="S20" s="887">
        <f>R20*$S$2</f>
        <v>0</v>
      </c>
      <c r="T20" s="890"/>
      <c r="U20" s="887" t="e">
        <f t="shared" si="11"/>
        <v>#VALUE!</v>
      </c>
      <c r="V20" s="891" t="e">
        <f>U20+S20</f>
        <v>#VALUE!</v>
      </c>
      <c r="W20" s="888"/>
      <c r="X20" s="892"/>
      <c r="Y20" s="893">
        <f>($Y$4*(I20)/(($I$6)+$I$7+$I$8+$I$9))</f>
        <v>0</v>
      </c>
      <c r="Z20" s="882">
        <f>($Z$4*I20/($I$5-$I$8-$I$9))</f>
        <v>0</v>
      </c>
      <c r="AA20" s="892"/>
      <c r="AB20" s="882" t="e">
        <f>$AB$4*V20/($V$4+$T$4)</f>
        <v>#VALUE!</v>
      </c>
      <c r="AC20" s="882" t="e">
        <f>$AC$4*V20/($V$4+$T$4)</f>
        <v>#VALUE!</v>
      </c>
      <c r="AD20" s="882" t="e">
        <f>$AD$4*V20/($V$4+$T$4)</f>
        <v>#VALUE!</v>
      </c>
      <c r="AE20" s="892"/>
      <c r="AF20" s="892"/>
      <c r="AG20" s="882">
        <f>($AG$4*G20)/($G$7+$G$6)</f>
        <v>0</v>
      </c>
      <c r="AH20" s="892"/>
      <c r="AI20" s="892"/>
      <c r="AJ20" s="894" t="e">
        <f>SUM(X20:AI20)</f>
        <v>#VALUE!</v>
      </c>
      <c r="AK20" s="882">
        <f>($AK$4*F20/($F$5))</f>
        <v>0</v>
      </c>
      <c r="AL20" s="882" t="e">
        <f>$AL$4*O20/($O$5-$O$8)</f>
        <v>#VALUE!</v>
      </c>
      <c r="AM20" s="882" t="e">
        <f>$AM$4*(K20+X20)/($K$5+$X$5)</f>
        <v>#VALUE!</v>
      </c>
      <c r="AN20" s="882" t="e">
        <f>$AN$4*(K20+X20)/($K$5+$X$5)</f>
        <v>#VALUE!</v>
      </c>
      <c r="AO20" s="882" t="e">
        <f>$AO$4*(K20+X20)/($K$5+$X$5)</f>
        <v>#VALUE!</v>
      </c>
      <c r="AP20" s="895" t="e">
        <f>SUM(AJ20:AO20)</f>
        <v>#VALUE!</v>
      </c>
      <c r="AQ20" s="888"/>
      <c r="AR20" s="887">
        <f>IF(ISERROR(AP20/C20/12), 0,(AP20/C20/12))</f>
        <v>0</v>
      </c>
      <c r="AS20" s="888"/>
      <c r="AT20" s="896">
        <f>AR20/$AT$4</f>
        <v>0</v>
      </c>
      <c r="AU20" s="897">
        <f>+AT20*C20*12</f>
        <v>0</v>
      </c>
      <c r="AV20" s="898" t="str">
        <f t="shared" si="42"/>
        <v/>
      </c>
      <c r="AW20" s="899">
        <f>H20</f>
        <v>0</v>
      </c>
      <c r="AX20" s="900">
        <f>+AW20*C20*12</f>
        <v>0</v>
      </c>
      <c r="AY20" s="901">
        <f>VLOOKUP(A20,'Resi Price Out'!$A$15:$G$41,7,FALSE)</f>
        <v>0</v>
      </c>
      <c r="AZ20" s="902">
        <f>+AY20*C20*12</f>
        <v>0</v>
      </c>
      <c r="BA20" s="903" t="str">
        <f t="shared" si="43"/>
        <v/>
      </c>
      <c r="BC20" s="1158">
        <f t="shared" si="44"/>
        <v>0</v>
      </c>
      <c r="BD20" s="1158">
        <f t="shared" si="45"/>
        <v>0</v>
      </c>
    </row>
    <row r="21" spans="1:56">
      <c r="A21" s="880" t="str">
        <f>'Resi Price Out'!A24</f>
        <v>4 Can EOW</v>
      </c>
      <c r="B21" s="881">
        <f>'Resi Price Out'!B24</f>
        <v>0</v>
      </c>
      <c r="C21" s="882">
        <f>B21*$K$2</f>
        <v>0</v>
      </c>
      <c r="D21" s="1024">
        <v>0.5</v>
      </c>
      <c r="E21" s="882">
        <f>D21*$E$1</f>
        <v>26</v>
      </c>
      <c r="F21" s="882">
        <f>C21</f>
        <v>0</v>
      </c>
      <c r="G21" s="882"/>
      <c r="H21" s="883">
        <f>'Resi Price Out'!D24</f>
        <v>0</v>
      </c>
      <c r="I21" s="882">
        <f>B21*H21</f>
        <v>0</v>
      </c>
      <c r="J21" s="882">
        <f>I21*12</f>
        <v>0</v>
      </c>
      <c r="K21" s="882">
        <f>J21*$K$2</f>
        <v>0</v>
      </c>
      <c r="L21" s="884">
        <f>L15</f>
        <v>46.199999999999996</v>
      </c>
      <c r="M21" s="885">
        <f>L21*$O$2</f>
        <v>46.683717979281838</v>
      </c>
      <c r="N21" s="886">
        <f>ROUND(((C21*E21*L21)/2000),2)</f>
        <v>0</v>
      </c>
      <c r="O21" s="887">
        <f>$O$2*N21</f>
        <v>0</v>
      </c>
      <c r="P21" s="888"/>
      <c r="Q21" s="889">
        <f>+Q15</f>
        <v>35.24</v>
      </c>
      <c r="R21" s="887">
        <f>C21*E21*Q21/3600</f>
        <v>0</v>
      </c>
      <c r="S21" s="887">
        <f>R21*$S$2</f>
        <v>0</v>
      </c>
      <c r="T21" s="890"/>
      <c r="U21" s="887" t="e">
        <f t="shared" si="11"/>
        <v>#VALUE!</v>
      </c>
      <c r="V21" s="891" t="e">
        <f>U21+S21</f>
        <v>#VALUE!</v>
      </c>
      <c r="W21" s="888"/>
      <c r="X21" s="892"/>
      <c r="Y21" s="893">
        <f>($Y$4*(I21)/(($I$6)+$I$7+$I$8+$I$9))</f>
        <v>0</v>
      </c>
      <c r="Z21" s="882">
        <f>($Z$4*I21/($I$5-$I$8-$I$9))</f>
        <v>0</v>
      </c>
      <c r="AA21" s="892"/>
      <c r="AB21" s="882" t="e">
        <f>$AB$4*V21/($V$4+$T$4)</f>
        <v>#VALUE!</v>
      </c>
      <c r="AC21" s="882" t="e">
        <f>$AC$4*V21/($V$4+$T$4)</f>
        <v>#VALUE!</v>
      </c>
      <c r="AD21" s="882" t="e">
        <f>$AD$4*V21/($V$4+$T$4)</f>
        <v>#VALUE!</v>
      </c>
      <c r="AE21" s="892"/>
      <c r="AF21" s="892"/>
      <c r="AG21" s="882">
        <f>($AG$4*G21)/($G$7+$G$6)</f>
        <v>0</v>
      </c>
      <c r="AH21" s="892"/>
      <c r="AI21" s="892"/>
      <c r="AJ21" s="894" t="e">
        <f>SUM(X21:AI21)</f>
        <v>#VALUE!</v>
      </c>
      <c r="AK21" s="882">
        <f>($AK$4*F21/($F$5))</f>
        <v>0</v>
      </c>
      <c r="AL21" s="882" t="e">
        <f>$AL$4*O21/($O$5-$O$8)</f>
        <v>#VALUE!</v>
      </c>
      <c r="AM21" s="882" t="e">
        <f>$AM$4*(K21+X21)/($K$5+$X$5)</f>
        <v>#VALUE!</v>
      </c>
      <c r="AN21" s="882" t="e">
        <f>$AN$4*(K21+X21)/($K$5+$X$5)</f>
        <v>#VALUE!</v>
      </c>
      <c r="AO21" s="882" t="e">
        <f>$AO$4*(K21+X21)/($K$5+$X$5)</f>
        <v>#VALUE!</v>
      </c>
      <c r="AP21" s="895" t="e">
        <f>SUM(AJ21:AO21)</f>
        <v>#VALUE!</v>
      </c>
      <c r="AQ21" s="888"/>
      <c r="AR21" s="887">
        <f>IF(ISERROR(AP21/C21/12), 0,(AP21/C21/12))</f>
        <v>0</v>
      </c>
      <c r="AS21" s="888"/>
      <c r="AT21" s="896">
        <f>AR21/$AT$4</f>
        <v>0</v>
      </c>
      <c r="AU21" s="897">
        <f>+AT21*C21*12</f>
        <v>0</v>
      </c>
      <c r="AV21" s="898" t="str">
        <f t="shared" si="42"/>
        <v/>
      </c>
      <c r="AW21" s="899">
        <f>H21</f>
        <v>0</v>
      </c>
      <c r="AX21" s="900">
        <f>+AW21*C21*12</f>
        <v>0</v>
      </c>
      <c r="AY21" s="901">
        <f>VLOOKUP(A21,'Resi Price Out'!$A$15:$G$41,7,FALSE)</f>
        <v>0</v>
      </c>
      <c r="AZ21" s="902">
        <f>+AY21*C21*12</f>
        <v>0</v>
      </c>
      <c r="BA21" s="903" t="str">
        <f t="shared" si="43"/>
        <v/>
      </c>
      <c r="BC21" s="1158">
        <f t="shared" si="44"/>
        <v>0</v>
      </c>
      <c r="BD21" s="1158">
        <f t="shared" si="45"/>
        <v>0</v>
      </c>
    </row>
    <row r="22" spans="1:56">
      <c r="A22" s="880" t="str">
        <f>'Resi Price Out'!A25</f>
        <v>1 Can Monthly</v>
      </c>
      <c r="B22" s="881">
        <f>'Resi Price Out'!B25</f>
        <v>133</v>
      </c>
      <c r="C22" s="882">
        <f t="shared" si="10"/>
        <v>131.30731989795987</v>
      </c>
      <c r="D22" s="1024">
        <f>1/E2</f>
        <v>0.23094688221709006</v>
      </c>
      <c r="E22" s="882">
        <f t="shared" si="26"/>
        <v>12.009237875288683</v>
      </c>
      <c r="F22" s="882">
        <f t="shared" si="27"/>
        <v>131.30731989795987</v>
      </c>
      <c r="G22" s="882"/>
      <c r="H22" s="883">
        <f>'Resi Price Out'!D25</f>
        <v>4.26</v>
      </c>
      <c r="I22" s="882">
        <f t="shared" si="28"/>
        <v>566.57999999999993</v>
      </c>
      <c r="J22" s="882">
        <f t="shared" si="29"/>
        <v>6798.9599999999991</v>
      </c>
      <c r="K22" s="882">
        <f t="shared" si="30"/>
        <v>6712.4301931837072</v>
      </c>
      <c r="L22" s="884">
        <f>L13</f>
        <v>20.399999999999999</v>
      </c>
      <c r="M22" s="885">
        <f t="shared" si="31"/>
        <v>20.613589757085485</v>
      </c>
      <c r="N22" s="886">
        <f t="shared" si="32"/>
        <v>16.079999999999998</v>
      </c>
      <c r="O22" s="887">
        <f t="shared" si="33"/>
        <v>16.248358984996795</v>
      </c>
      <c r="P22" s="888"/>
      <c r="Q22" s="889">
        <f>+Q13</f>
        <v>16.84</v>
      </c>
      <c r="R22" s="887">
        <f t="shared" si="34"/>
        <v>7.3763917044037388</v>
      </c>
      <c r="S22" s="887">
        <f t="shared" si="35"/>
        <v>7.3763917044037388</v>
      </c>
      <c r="T22" s="890"/>
      <c r="U22" s="887" t="e">
        <f t="shared" si="11"/>
        <v>#VALUE!</v>
      </c>
      <c r="V22" s="891" t="e">
        <f t="shared" si="12"/>
        <v>#VALUE!</v>
      </c>
      <c r="W22" s="888"/>
      <c r="X22" s="892"/>
      <c r="Y22" s="893">
        <f t="shared" si="36"/>
        <v>811.90649839233902</v>
      </c>
      <c r="Z22" s="882">
        <f t="shared" si="13"/>
        <v>1899.3361745491861</v>
      </c>
      <c r="AA22" s="892"/>
      <c r="AB22" s="882" t="e">
        <f t="shared" si="37"/>
        <v>#VALUE!</v>
      </c>
      <c r="AC22" s="882" t="e">
        <f t="shared" si="14"/>
        <v>#VALUE!</v>
      </c>
      <c r="AD22" s="882" t="e">
        <f t="shared" si="15"/>
        <v>#VALUE!</v>
      </c>
      <c r="AE22" s="892"/>
      <c r="AF22" s="892"/>
      <c r="AG22" s="882">
        <f t="shared" si="16"/>
        <v>0</v>
      </c>
      <c r="AH22" s="892"/>
      <c r="AI22" s="892"/>
      <c r="AJ22" s="894" t="e">
        <f t="shared" si="38"/>
        <v>#VALUE!</v>
      </c>
      <c r="AK22" s="882">
        <f t="shared" si="17"/>
        <v>0</v>
      </c>
      <c r="AL22" s="882" t="e">
        <f t="shared" si="18"/>
        <v>#VALUE!</v>
      </c>
      <c r="AM22" s="882" t="e">
        <f t="shared" si="39"/>
        <v>#VALUE!</v>
      </c>
      <c r="AN22" s="882" t="e">
        <f t="shared" si="19"/>
        <v>#VALUE!</v>
      </c>
      <c r="AO22" s="882" t="e">
        <f t="shared" si="20"/>
        <v>#VALUE!</v>
      </c>
      <c r="AP22" s="895" t="e">
        <f t="shared" si="21"/>
        <v>#VALUE!</v>
      </c>
      <c r="AQ22" s="888"/>
      <c r="AR22" s="887">
        <f t="shared" si="40"/>
        <v>0</v>
      </c>
      <c r="AS22" s="888"/>
      <c r="AT22" s="896">
        <f t="shared" si="41"/>
        <v>0</v>
      </c>
      <c r="AU22" s="897">
        <f t="shared" si="22"/>
        <v>0</v>
      </c>
      <c r="AV22" s="898" t="str">
        <f t="shared" si="42"/>
        <v/>
      </c>
      <c r="AW22" s="899">
        <f t="shared" si="23"/>
        <v>4.26</v>
      </c>
      <c r="AX22" s="900">
        <f t="shared" si="24"/>
        <v>6712.4301931837081</v>
      </c>
      <c r="AY22" s="901">
        <f>VLOOKUP(A22,'Resi Price Out'!$A$15:$G$41,7,FALSE)</f>
        <v>4.4786584865070331</v>
      </c>
      <c r="AZ22" s="902">
        <f t="shared" si="25"/>
        <v>7056.9677112179015</v>
      </c>
      <c r="BA22" s="903">
        <f t="shared" si="43"/>
        <v>5.1328283217613464E-2</v>
      </c>
      <c r="BC22" s="1158">
        <f t="shared" si="44"/>
        <v>-6712.4301931837081</v>
      </c>
      <c r="BD22" s="1158">
        <f t="shared" si="45"/>
        <v>-7056.9677112179015</v>
      </c>
    </row>
    <row r="23" spans="1:56">
      <c r="A23" s="880" t="str">
        <f>'Resi Price Out'!A26</f>
        <v>32 Gal Tote wk</v>
      </c>
      <c r="B23" s="881">
        <f>'Resi Price Out'!B26</f>
        <v>376</v>
      </c>
      <c r="C23" s="882">
        <f t="shared" si="10"/>
        <v>371.21467880927003</v>
      </c>
      <c r="D23" s="1024">
        <v>1</v>
      </c>
      <c r="E23" s="882">
        <f t="shared" si="26"/>
        <v>52</v>
      </c>
      <c r="F23" s="882">
        <f t="shared" si="27"/>
        <v>371.21467880927003</v>
      </c>
      <c r="G23" s="882"/>
      <c r="H23" s="883">
        <f>'Resi Price Out'!D26</f>
        <v>11.61</v>
      </c>
      <c r="I23" s="882">
        <f t="shared" si="28"/>
        <v>4365.3599999999997</v>
      </c>
      <c r="J23" s="882">
        <f t="shared" si="29"/>
        <v>52384.319999999992</v>
      </c>
      <c r="K23" s="882">
        <f t="shared" si="30"/>
        <v>51717.629051707489</v>
      </c>
      <c r="L23" s="884">
        <f>L13</f>
        <v>20.399999999999999</v>
      </c>
      <c r="M23" s="885">
        <f t="shared" si="31"/>
        <v>20.613589757085485</v>
      </c>
      <c r="N23" s="886">
        <f t="shared" si="32"/>
        <v>196.89</v>
      </c>
      <c r="O23" s="887">
        <f t="shared" si="33"/>
        <v>198.95145525845891</v>
      </c>
      <c r="P23" s="888"/>
      <c r="Q23" s="889">
        <f>+Q13</f>
        <v>16.84</v>
      </c>
      <c r="R23" s="887">
        <f t="shared" si="34"/>
        <v>90.295908316583777</v>
      </c>
      <c r="S23" s="887">
        <f t="shared" si="35"/>
        <v>90.295908316583777</v>
      </c>
      <c r="T23" s="890"/>
      <c r="U23" s="887" t="e">
        <f t="shared" si="11"/>
        <v>#VALUE!</v>
      </c>
      <c r="V23" s="891" t="e">
        <f t="shared" si="12"/>
        <v>#VALUE!</v>
      </c>
      <c r="W23" s="888"/>
      <c r="X23" s="892"/>
      <c r="Y23" s="893">
        <f t="shared" si="36"/>
        <v>6255.5405270605761</v>
      </c>
      <c r="Z23" s="882">
        <f t="shared" si="13"/>
        <v>14633.919592873091</v>
      </c>
      <c r="AA23" s="892"/>
      <c r="AB23" s="882" t="e">
        <f t="shared" si="37"/>
        <v>#VALUE!</v>
      </c>
      <c r="AC23" s="882" t="e">
        <f t="shared" si="14"/>
        <v>#VALUE!</v>
      </c>
      <c r="AD23" s="882" t="e">
        <f t="shared" si="15"/>
        <v>#VALUE!</v>
      </c>
      <c r="AE23" s="892"/>
      <c r="AF23" s="892"/>
      <c r="AG23" s="882">
        <f t="shared" si="16"/>
        <v>0</v>
      </c>
      <c r="AH23" s="892"/>
      <c r="AI23" s="892"/>
      <c r="AJ23" s="894" t="e">
        <f t="shared" si="38"/>
        <v>#VALUE!</v>
      </c>
      <c r="AK23" s="882">
        <f t="shared" si="17"/>
        <v>0</v>
      </c>
      <c r="AL23" s="882" t="e">
        <f t="shared" si="18"/>
        <v>#VALUE!</v>
      </c>
      <c r="AM23" s="882" t="e">
        <f t="shared" si="39"/>
        <v>#VALUE!</v>
      </c>
      <c r="AN23" s="882" t="e">
        <f t="shared" si="19"/>
        <v>#VALUE!</v>
      </c>
      <c r="AO23" s="882" t="e">
        <f t="shared" si="20"/>
        <v>#VALUE!</v>
      </c>
      <c r="AP23" s="895" t="e">
        <f t="shared" si="21"/>
        <v>#VALUE!</v>
      </c>
      <c r="AQ23" s="888"/>
      <c r="AR23" s="887">
        <f t="shared" si="40"/>
        <v>0</v>
      </c>
      <c r="AS23" s="888"/>
      <c r="AT23" s="896">
        <f t="shared" si="41"/>
        <v>0</v>
      </c>
      <c r="AU23" s="897">
        <f t="shared" si="22"/>
        <v>0</v>
      </c>
      <c r="AV23" s="898" t="str">
        <f t="shared" si="42"/>
        <v/>
      </c>
      <c r="AW23" s="899">
        <f t="shared" si="23"/>
        <v>11.61</v>
      </c>
      <c r="AX23" s="900">
        <f t="shared" si="24"/>
        <v>51717.629051707496</v>
      </c>
      <c r="AY23" s="901">
        <f>VLOOKUP(A23,'Resi Price Out'!$A$15:$G$41,7,FALSE)</f>
        <v>12.20592136815649</v>
      </c>
      <c r="AZ23" s="902">
        <f t="shared" si="25"/>
        <v>54372.206163017006</v>
      </c>
      <c r="BA23" s="903">
        <f t="shared" si="43"/>
        <v>5.1328283217613332E-2</v>
      </c>
      <c r="BC23" s="1158">
        <f t="shared" si="44"/>
        <v>-51717.629051707496</v>
      </c>
      <c r="BD23" s="1158">
        <f t="shared" si="45"/>
        <v>-54372.206163017006</v>
      </c>
    </row>
    <row r="24" spans="1:56">
      <c r="A24" s="880" t="str">
        <f>'Resi Price Out'!A27</f>
        <v>60 Gal Tote wk</v>
      </c>
      <c r="B24" s="881">
        <f>'Resi Price Out'!B27</f>
        <v>3126</v>
      </c>
      <c r="C24" s="882">
        <f t="shared" si="10"/>
        <v>3086.2156541430268</v>
      </c>
      <c r="D24" s="1024">
        <v>1</v>
      </c>
      <c r="E24" s="882">
        <f t="shared" si="26"/>
        <v>52</v>
      </c>
      <c r="F24" s="882">
        <f t="shared" si="27"/>
        <v>3086.2156541430268</v>
      </c>
      <c r="G24" s="882"/>
      <c r="H24" s="883">
        <f>'Resi Price Out'!D27</f>
        <v>19.87</v>
      </c>
      <c r="I24" s="882">
        <f t="shared" si="28"/>
        <v>62113.62</v>
      </c>
      <c r="J24" s="882">
        <f t="shared" si="29"/>
        <v>745363.44000000006</v>
      </c>
      <c r="K24" s="882">
        <f t="shared" si="30"/>
        <v>735877.26057386328</v>
      </c>
      <c r="L24" s="884">
        <f>+L14*'Meeks +'!H10</f>
        <v>28.2</v>
      </c>
      <c r="M24" s="885">
        <f t="shared" si="31"/>
        <v>28.495256428912292</v>
      </c>
      <c r="N24" s="886">
        <f t="shared" si="32"/>
        <v>2262.81</v>
      </c>
      <c r="O24" s="887">
        <f t="shared" si="33"/>
        <v>2286.5018155995399</v>
      </c>
      <c r="P24" s="888"/>
      <c r="Q24" s="889">
        <f>+Q14*'Meeks +'!E10</f>
        <v>25.260000000000005</v>
      </c>
      <c r="R24" s="887">
        <f>C24*E24*Q24/3600</f>
        <v>1126.0572183416527</v>
      </c>
      <c r="S24" s="887">
        <f>R24*$S$2</f>
        <v>1126.0572183416527</v>
      </c>
      <c r="T24" s="890"/>
      <c r="U24" s="887" t="e">
        <f t="shared" si="11"/>
        <v>#VALUE!</v>
      </c>
      <c r="V24" s="891" t="e">
        <f t="shared" si="12"/>
        <v>#VALUE!</v>
      </c>
      <c r="W24" s="888"/>
      <c r="X24" s="892"/>
      <c r="Y24" s="893">
        <f t="shared" si="36"/>
        <v>89008.527863095005</v>
      </c>
      <c r="Z24" s="882">
        <f t="shared" si="13"/>
        <v>208222.39648099447</v>
      </c>
      <c r="AA24" s="892"/>
      <c r="AB24" s="882" t="e">
        <f t="shared" si="37"/>
        <v>#VALUE!</v>
      </c>
      <c r="AC24" s="882" t="e">
        <f t="shared" si="14"/>
        <v>#VALUE!</v>
      </c>
      <c r="AD24" s="882" t="e">
        <f t="shared" si="15"/>
        <v>#VALUE!</v>
      </c>
      <c r="AE24" s="892"/>
      <c r="AF24" s="892"/>
      <c r="AG24" s="882">
        <f t="shared" si="16"/>
        <v>0</v>
      </c>
      <c r="AH24" s="892"/>
      <c r="AI24" s="892"/>
      <c r="AJ24" s="894" t="e">
        <f t="shared" si="38"/>
        <v>#VALUE!</v>
      </c>
      <c r="AK24" s="882">
        <f t="shared" si="17"/>
        <v>0</v>
      </c>
      <c r="AL24" s="882" t="e">
        <f t="shared" si="18"/>
        <v>#VALUE!</v>
      </c>
      <c r="AM24" s="882" t="e">
        <f t="shared" si="39"/>
        <v>#VALUE!</v>
      </c>
      <c r="AN24" s="882" t="e">
        <f t="shared" si="19"/>
        <v>#VALUE!</v>
      </c>
      <c r="AO24" s="882" t="e">
        <f t="shared" si="20"/>
        <v>#VALUE!</v>
      </c>
      <c r="AP24" s="895" t="e">
        <f t="shared" si="21"/>
        <v>#VALUE!</v>
      </c>
      <c r="AQ24" s="888"/>
      <c r="AR24" s="887">
        <f t="shared" si="40"/>
        <v>0</v>
      </c>
      <c r="AS24" s="888"/>
      <c r="AT24" s="896">
        <f t="shared" si="41"/>
        <v>0</v>
      </c>
      <c r="AU24" s="897">
        <f t="shared" si="22"/>
        <v>0</v>
      </c>
      <c r="AV24" s="898" t="str">
        <f t="shared" si="42"/>
        <v/>
      </c>
      <c r="AW24" s="899">
        <f t="shared" si="23"/>
        <v>19.87</v>
      </c>
      <c r="AX24" s="900">
        <f t="shared" si="24"/>
        <v>735877.2605738634</v>
      </c>
      <c r="AY24" s="901">
        <f>VLOOKUP(A24,'Resi Price Out'!$A$15:$G$41,7,FALSE)</f>
        <v>20.88989298753398</v>
      </c>
      <c r="AZ24" s="902">
        <f t="shared" si="25"/>
        <v>773648.57701800019</v>
      </c>
      <c r="BA24" s="903">
        <f t="shared" si="43"/>
        <v>5.1328283217613416E-2</v>
      </c>
      <c r="BC24" s="1158">
        <f t="shared" si="44"/>
        <v>-735877.2605738634</v>
      </c>
      <c r="BD24" s="1158">
        <f t="shared" si="45"/>
        <v>-773648.57701800019</v>
      </c>
    </row>
    <row r="25" spans="1:56">
      <c r="A25" s="880" t="str">
        <f>'Resi Price Out'!A28</f>
        <v>90 Gal Tote wk</v>
      </c>
      <c r="B25" s="881">
        <f>'Resi Price Out'!B28</f>
        <v>1174</v>
      </c>
      <c r="C25" s="882">
        <f t="shared" si="10"/>
        <v>1159.0585981970291</v>
      </c>
      <c r="D25" s="1024">
        <v>1</v>
      </c>
      <c r="E25" s="882">
        <f>D25*$E$1</f>
        <v>52</v>
      </c>
      <c r="F25" s="882">
        <f t="shared" ref="F25:F30" si="46">C25</f>
        <v>1159.0585981970291</v>
      </c>
      <c r="G25" s="882"/>
      <c r="H25" s="883">
        <f>'Resi Price Out'!D28</f>
        <v>29.03</v>
      </c>
      <c r="I25" s="882">
        <f t="shared" ref="I25:I31" si="47">B25*H25</f>
        <v>34081.22</v>
      </c>
      <c r="J25" s="882">
        <f t="shared" si="29"/>
        <v>408974.64</v>
      </c>
      <c r="K25" s="882">
        <f t="shared" si="30"/>
        <v>403769.65326791711</v>
      </c>
      <c r="L25" s="884">
        <f>+L15*'Meeks +'!H11</f>
        <v>40.799999999999997</v>
      </c>
      <c r="M25" s="885">
        <f t="shared" si="31"/>
        <v>41.22717951417097</v>
      </c>
      <c r="N25" s="886">
        <f t="shared" ref="N25:N31" si="48">ROUND(((C25*E25*L25)/2000),2)</f>
        <v>1229.53</v>
      </c>
      <c r="O25" s="887">
        <f t="shared" si="33"/>
        <v>1242.4032850014373</v>
      </c>
      <c r="P25" s="888"/>
      <c r="Q25" s="889">
        <f>+Q15*'Meeks +'!E11</f>
        <v>33.68</v>
      </c>
      <c r="R25" s="887">
        <f t="shared" ref="R25:R31" si="49">C25*E25*Q25/3600</f>
        <v>563.8691295939858</v>
      </c>
      <c r="S25" s="887">
        <f t="shared" si="35"/>
        <v>563.8691295939858</v>
      </c>
      <c r="T25" s="890"/>
      <c r="U25" s="887" t="e">
        <f t="shared" ref="U25:U31" si="50">($V$4-$S$5)*O25/($O$5-$O$8)</f>
        <v>#VALUE!</v>
      </c>
      <c r="V25" s="891" t="e">
        <f t="shared" ref="V25:V31" si="51">U25+S25</f>
        <v>#VALUE!</v>
      </c>
      <c r="W25" s="888"/>
      <c r="X25" s="892"/>
      <c r="Y25" s="893">
        <f>($Y$4*(I25)/(($I$6)+$I$7+$I$8+$I$9))</f>
        <v>48838.229360618025</v>
      </c>
      <c r="Z25" s="882">
        <f>($Z$4*I25/($I$5-$I$8-$I$9))</f>
        <v>114249.87471984403</v>
      </c>
      <c r="AA25" s="892"/>
      <c r="AB25" s="882" t="e">
        <f>$AB$4*V25/($V$4+$T$4)</f>
        <v>#VALUE!</v>
      </c>
      <c r="AC25" s="882" t="e">
        <f t="shared" ref="AC25:AC31" si="52">$AC$4*V25/($V$4+$T$4)</f>
        <v>#VALUE!</v>
      </c>
      <c r="AD25" s="882" t="e">
        <f t="shared" ref="AD25:AD31" si="53">$AD$4*V25/($V$4+$T$4)</f>
        <v>#VALUE!</v>
      </c>
      <c r="AE25" s="892"/>
      <c r="AF25" s="892"/>
      <c r="AG25" s="882">
        <f>($AG$4*G25)/($G$7+$G$6)</f>
        <v>0</v>
      </c>
      <c r="AH25" s="892"/>
      <c r="AI25" s="892"/>
      <c r="AJ25" s="894" t="e">
        <f>SUM(X25:AI25)</f>
        <v>#VALUE!</v>
      </c>
      <c r="AK25" s="882">
        <f>($AK$4*F25/($F$5))</f>
        <v>0</v>
      </c>
      <c r="AL25" s="882" t="e">
        <f>$AL$4*O25/($O$5-$O$8)</f>
        <v>#VALUE!</v>
      </c>
      <c r="AM25" s="882" t="e">
        <f>$AM$4*(K25+X25)/($K$5+$X$5)</f>
        <v>#VALUE!</v>
      </c>
      <c r="AN25" s="882" t="e">
        <f>$AN$4*(K25+X25)/($K$5+$X$5)</f>
        <v>#VALUE!</v>
      </c>
      <c r="AO25" s="882" t="e">
        <f>$AO$4*(K25+X25)/($K$5+$X$5)</f>
        <v>#VALUE!</v>
      </c>
      <c r="AP25" s="895" t="e">
        <f>SUM(AJ25:AO25)</f>
        <v>#VALUE!</v>
      </c>
      <c r="AQ25" s="888"/>
      <c r="AR25" s="887">
        <f t="shared" ref="AR25:AR31" si="54">IF(ISERROR(AP25/C25/12), 0,(AP25/C25/12))</f>
        <v>0</v>
      </c>
      <c r="AS25" s="888"/>
      <c r="AT25" s="896">
        <f t="shared" ref="AT25:AT31" si="55">AR25/$AT$4</f>
        <v>0</v>
      </c>
      <c r="AU25" s="897">
        <f t="shared" ref="AU25:AU31" si="56">+AT25*C25*12</f>
        <v>0</v>
      </c>
      <c r="AV25" s="898" t="str">
        <f t="shared" si="42"/>
        <v/>
      </c>
      <c r="AW25" s="899">
        <f t="shared" ref="AW25:AW31" si="57">H25</f>
        <v>29.03</v>
      </c>
      <c r="AX25" s="900">
        <f t="shared" ref="AX25:AX31" si="58">+AW25*C25*12</f>
        <v>403769.65326791711</v>
      </c>
      <c r="AY25" s="901">
        <f>VLOOKUP(A25,'Resi Price Out'!$A$15:$G$41,7,FALSE)</f>
        <v>30.520060061807317</v>
      </c>
      <c r="AZ25" s="902">
        <f t="shared" ref="AZ25:AZ31" si="59">+AY25*C25*12</f>
        <v>424494.4563855303</v>
      </c>
      <c r="BA25" s="903">
        <f t="shared" si="43"/>
        <v>5.1328283217613374E-2</v>
      </c>
      <c r="BC25" s="1158">
        <f t="shared" si="44"/>
        <v>-403769.65326791711</v>
      </c>
      <c r="BD25" s="1158">
        <f t="shared" si="45"/>
        <v>-424494.4563855303</v>
      </c>
    </row>
    <row r="26" spans="1:56">
      <c r="A26" s="880" t="str">
        <f>'Resi Price Out'!A34</f>
        <v>Extras</v>
      </c>
      <c r="B26" s="881">
        <f>'Resi Price Out'!B34</f>
        <v>0</v>
      </c>
      <c r="C26" s="882">
        <f t="shared" ref="C26:C31" si="60">B26*$K$2</f>
        <v>0</v>
      </c>
      <c r="D26" s="1024"/>
      <c r="E26" s="882">
        <v>12</v>
      </c>
      <c r="F26" s="882">
        <f t="shared" si="46"/>
        <v>0</v>
      </c>
      <c r="G26" s="882"/>
      <c r="H26" s="904">
        <f>'Resi Price Out'!D34</f>
        <v>3.63</v>
      </c>
      <c r="I26" s="882">
        <f t="shared" si="47"/>
        <v>0</v>
      </c>
      <c r="J26" s="882">
        <f t="shared" ref="J26:J31" si="61">I26*12</f>
        <v>0</v>
      </c>
      <c r="K26" s="882">
        <f t="shared" ref="K26:K31" si="62">J26*$K$2</f>
        <v>0</v>
      </c>
      <c r="L26" s="884">
        <v>0</v>
      </c>
      <c r="M26" s="885">
        <f t="shared" ref="M26:M31" si="63">L26*$O$2</f>
        <v>0</v>
      </c>
      <c r="N26" s="886">
        <f t="shared" si="48"/>
        <v>0</v>
      </c>
      <c r="O26" s="887">
        <f t="shared" ref="O26:O31" si="64">$O$2*N26</f>
        <v>0</v>
      </c>
      <c r="P26" s="888"/>
      <c r="Q26" s="889">
        <v>0</v>
      </c>
      <c r="R26" s="887">
        <f t="shared" si="49"/>
        <v>0</v>
      </c>
      <c r="S26" s="887">
        <f t="shared" ref="S26:S31" si="65">R26*$S$2</f>
        <v>0</v>
      </c>
      <c r="T26" s="890"/>
      <c r="U26" s="887" t="e">
        <f>($V$4-$S$5)*O26/($O$5-$O$8)</f>
        <v>#VALUE!</v>
      </c>
      <c r="V26" s="891" t="e">
        <f t="shared" si="51"/>
        <v>#VALUE!</v>
      </c>
      <c r="W26" s="888"/>
      <c r="X26" s="892"/>
      <c r="Y26" s="893">
        <f t="shared" si="36"/>
        <v>0</v>
      </c>
      <c r="Z26" s="882">
        <f t="shared" si="13"/>
        <v>0</v>
      </c>
      <c r="AA26" s="892"/>
      <c r="AB26" s="882" t="e">
        <f t="shared" si="37"/>
        <v>#VALUE!</v>
      </c>
      <c r="AC26" s="882" t="e">
        <f t="shared" si="52"/>
        <v>#VALUE!</v>
      </c>
      <c r="AD26" s="882" t="e">
        <f t="shared" si="53"/>
        <v>#VALUE!</v>
      </c>
      <c r="AE26" s="892"/>
      <c r="AF26" s="892"/>
      <c r="AG26" s="882">
        <f t="shared" si="16"/>
        <v>0</v>
      </c>
      <c r="AH26" s="892"/>
      <c r="AI26" s="892"/>
      <c r="AJ26" s="894" t="e">
        <f t="shared" si="38"/>
        <v>#VALUE!</v>
      </c>
      <c r="AK26" s="882">
        <f t="shared" si="17"/>
        <v>0</v>
      </c>
      <c r="AL26" s="882" t="e">
        <f t="shared" si="18"/>
        <v>#VALUE!</v>
      </c>
      <c r="AM26" s="882" t="e">
        <f t="shared" si="39"/>
        <v>#VALUE!</v>
      </c>
      <c r="AN26" s="882" t="e">
        <f t="shared" si="19"/>
        <v>#VALUE!</v>
      </c>
      <c r="AO26" s="882" t="e">
        <f t="shared" si="20"/>
        <v>#VALUE!</v>
      </c>
      <c r="AP26" s="895" t="e">
        <f t="shared" si="21"/>
        <v>#VALUE!</v>
      </c>
      <c r="AQ26" s="888"/>
      <c r="AR26" s="887">
        <f t="shared" si="54"/>
        <v>0</v>
      </c>
      <c r="AS26" s="888"/>
      <c r="AT26" s="896">
        <f t="shared" si="55"/>
        <v>0</v>
      </c>
      <c r="AU26" s="897">
        <f t="shared" si="56"/>
        <v>0</v>
      </c>
      <c r="AV26" s="898" t="str">
        <f t="shared" si="42"/>
        <v/>
      </c>
      <c r="AW26" s="899">
        <f t="shared" si="57"/>
        <v>3.63</v>
      </c>
      <c r="AX26" s="900">
        <f t="shared" si="58"/>
        <v>0</v>
      </c>
      <c r="AY26" s="901">
        <f>VLOOKUP(A26,'Resi Price Out'!$A$15:$G$41,7,FALSE)</f>
        <v>3.8163216680799366</v>
      </c>
      <c r="AZ26" s="902">
        <f t="shared" si="59"/>
        <v>0</v>
      </c>
      <c r="BA26" s="903">
        <f t="shared" si="43"/>
        <v>5.1328283217613409E-2</v>
      </c>
      <c r="BC26" s="1158">
        <f t="shared" si="44"/>
        <v>0</v>
      </c>
      <c r="BD26" s="1158">
        <f t="shared" si="45"/>
        <v>0</v>
      </c>
    </row>
    <row r="27" spans="1:56">
      <c r="A27" s="880" t="str">
        <f>'Resi Price Out'!A35</f>
        <v>Mini Can Rental</v>
      </c>
      <c r="B27" s="881">
        <f>'Resi Price Out'!B35</f>
        <v>32.818750000000001</v>
      </c>
      <c r="C27" s="882">
        <f t="shared" si="60"/>
        <v>32.401068457903541</v>
      </c>
      <c r="D27" s="1024"/>
      <c r="E27" s="882">
        <v>12</v>
      </c>
      <c r="F27" s="882">
        <f t="shared" si="46"/>
        <v>32.401068457903541</v>
      </c>
      <c r="G27" s="882"/>
      <c r="H27" s="904">
        <f>'Resi Price Out'!D35</f>
        <v>0.4</v>
      </c>
      <c r="I27" s="882">
        <f t="shared" si="47"/>
        <v>13.127500000000001</v>
      </c>
      <c r="J27" s="882">
        <f t="shared" si="61"/>
        <v>157.53000000000003</v>
      </c>
      <c r="K27" s="882">
        <f t="shared" si="62"/>
        <v>155.525128597937</v>
      </c>
      <c r="L27" s="884">
        <v>0</v>
      </c>
      <c r="M27" s="885">
        <f t="shared" si="63"/>
        <v>0</v>
      </c>
      <c r="N27" s="886">
        <f t="shared" si="48"/>
        <v>0</v>
      </c>
      <c r="O27" s="887">
        <f t="shared" si="64"/>
        <v>0</v>
      </c>
      <c r="P27" s="888"/>
      <c r="Q27" s="889">
        <v>0</v>
      </c>
      <c r="R27" s="887">
        <f t="shared" si="49"/>
        <v>0</v>
      </c>
      <c r="S27" s="887">
        <f t="shared" si="65"/>
        <v>0</v>
      </c>
      <c r="T27" s="890"/>
      <c r="U27" s="887" t="e">
        <f t="shared" si="50"/>
        <v>#VALUE!</v>
      </c>
      <c r="V27" s="891" t="e">
        <f t="shared" si="51"/>
        <v>#VALUE!</v>
      </c>
      <c r="W27" s="888"/>
      <c r="X27" s="892"/>
      <c r="Y27" s="893">
        <f t="shared" si="36"/>
        <v>18.811646294689954</v>
      </c>
      <c r="Z27" s="882">
        <f t="shared" si="13"/>
        <v>44.007087492312557</v>
      </c>
      <c r="AA27" s="892"/>
      <c r="AB27" s="882" t="e">
        <f t="shared" si="37"/>
        <v>#VALUE!</v>
      </c>
      <c r="AC27" s="882" t="e">
        <f t="shared" si="52"/>
        <v>#VALUE!</v>
      </c>
      <c r="AD27" s="882" t="e">
        <f t="shared" si="53"/>
        <v>#VALUE!</v>
      </c>
      <c r="AE27" s="892"/>
      <c r="AF27" s="892"/>
      <c r="AG27" s="882">
        <f t="shared" si="16"/>
        <v>0</v>
      </c>
      <c r="AH27" s="892"/>
      <c r="AI27" s="892"/>
      <c r="AJ27" s="894" t="e">
        <f t="shared" si="38"/>
        <v>#VALUE!</v>
      </c>
      <c r="AK27" s="882">
        <f t="shared" si="17"/>
        <v>0</v>
      </c>
      <c r="AL27" s="882" t="e">
        <f t="shared" si="18"/>
        <v>#VALUE!</v>
      </c>
      <c r="AM27" s="882" t="e">
        <f t="shared" si="39"/>
        <v>#VALUE!</v>
      </c>
      <c r="AN27" s="882" t="e">
        <f t="shared" si="19"/>
        <v>#VALUE!</v>
      </c>
      <c r="AO27" s="882" t="e">
        <f t="shared" si="20"/>
        <v>#VALUE!</v>
      </c>
      <c r="AP27" s="895" t="e">
        <f t="shared" si="21"/>
        <v>#VALUE!</v>
      </c>
      <c r="AQ27" s="888"/>
      <c r="AR27" s="887">
        <f t="shared" si="54"/>
        <v>0</v>
      </c>
      <c r="AS27" s="888"/>
      <c r="AT27" s="896">
        <f t="shared" si="55"/>
        <v>0</v>
      </c>
      <c r="AU27" s="897">
        <f t="shared" si="56"/>
        <v>0</v>
      </c>
      <c r="AV27" s="898" t="str">
        <f t="shared" si="42"/>
        <v/>
      </c>
      <c r="AW27" s="899">
        <f t="shared" si="57"/>
        <v>0.4</v>
      </c>
      <c r="AX27" s="900">
        <f t="shared" si="58"/>
        <v>155.525128597937</v>
      </c>
      <c r="AY27" s="901">
        <f>VLOOKUP(A27,'Resi Price Out'!$A$15:$G$41,7,FALSE)</f>
        <v>0.42053131328704541</v>
      </c>
      <c r="AZ27" s="902">
        <f t="shared" si="59"/>
        <v>163.50796644606766</v>
      </c>
      <c r="BA27" s="903">
        <f t="shared" si="43"/>
        <v>5.1328283217613457E-2</v>
      </c>
      <c r="BC27" s="1158">
        <f t="shared" si="44"/>
        <v>-155.525128597937</v>
      </c>
      <c r="BD27" s="1158">
        <f t="shared" si="45"/>
        <v>-163.50796644606766</v>
      </c>
    </row>
    <row r="28" spans="1:56">
      <c r="A28" s="880" t="str">
        <f>'Resi Price Out'!A36</f>
        <v>1 Can Rental</v>
      </c>
      <c r="B28" s="881">
        <f>'Resi Price Out'!B36</f>
        <v>0</v>
      </c>
      <c r="C28" s="882">
        <f t="shared" si="60"/>
        <v>0</v>
      </c>
      <c r="D28" s="1024"/>
      <c r="E28" s="882">
        <v>12</v>
      </c>
      <c r="F28" s="882">
        <f t="shared" si="46"/>
        <v>0</v>
      </c>
      <c r="G28" s="882">
        <f>F28</f>
        <v>0</v>
      </c>
      <c r="H28" s="904">
        <f>'Resi Price Out'!D36</f>
        <v>0.5</v>
      </c>
      <c r="I28" s="882">
        <f t="shared" si="47"/>
        <v>0</v>
      </c>
      <c r="J28" s="882">
        <f t="shared" si="61"/>
        <v>0</v>
      </c>
      <c r="K28" s="882">
        <f t="shared" si="62"/>
        <v>0</v>
      </c>
      <c r="L28" s="884">
        <v>0</v>
      </c>
      <c r="M28" s="885">
        <f t="shared" si="63"/>
        <v>0</v>
      </c>
      <c r="N28" s="886">
        <f t="shared" si="48"/>
        <v>0</v>
      </c>
      <c r="O28" s="887">
        <f t="shared" si="64"/>
        <v>0</v>
      </c>
      <c r="P28" s="888"/>
      <c r="Q28" s="889">
        <v>0</v>
      </c>
      <c r="R28" s="887">
        <f t="shared" si="49"/>
        <v>0</v>
      </c>
      <c r="S28" s="887">
        <f t="shared" si="65"/>
        <v>0</v>
      </c>
      <c r="T28" s="890"/>
      <c r="U28" s="887" t="e">
        <f t="shared" si="50"/>
        <v>#VALUE!</v>
      </c>
      <c r="V28" s="891" t="e">
        <f t="shared" si="51"/>
        <v>#VALUE!</v>
      </c>
      <c r="W28" s="888"/>
      <c r="X28" s="892"/>
      <c r="Y28" s="893">
        <f t="shared" si="36"/>
        <v>0</v>
      </c>
      <c r="Z28" s="882">
        <f t="shared" si="13"/>
        <v>0</v>
      </c>
      <c r="AA28" s="892"/>
      <c r="AB28" s="882" t="e">
        <f t="shared" si="37"/>
        <v>#VALUE!</v>
      </c>
      <c r="AC28" s="882" t="e">
        <f t="shared" si="52"/>
        <v>#VALUE!</v>
      </c>
      <c r="AD28" s="882" t="e">
        <f t="shared" si="53"/>
        <v>#VALUE!</v>
      </c>
      <c r="AE28" s="892"/>
      <c r="AF28" s="892"/>
      <c r="AG28" s="882">
        <f t="shared" si="16"/>
        <v>0</v>
      </c>
      <c r="AH28" s="892"/>
      <c r="AI28" s="892"/>
      <c r="AJ28" s="894" t="e">
        <f t="shared" si="38"/>
        <v>#VALUE!</v>
      </c>
      <c r="AK28" s="882">
        <f t="shared" si="17"/>
        <v>0</v>
      </c>
      <c r="AL28" s="882" t="e">
        <f t="shared" si="18"/>
        <v>#VALUE!</v>
      </c>
      <c r="AM28" s="882" t="e">
        <f t="shared" si="39"/>
        <v>#VALUE!</v>
      </c>
      <c r="AN28" s="882" t="e">
        <f t="shared" si="19"/>
        <v>#VALUE!</v>
      </c>
      <c r="AO28" s="882" t="e">
        <f t="shared" si="20"/>
        <v>#VALUE!</v>
      </c>
      <c r="AP28" s="895" t="e">
        <f t="shared" si="21"/>
        <v>#VALUE!</v>
      </c>
      <c r="AQ28" s="888"/>
      <c r="AR28" s="887">
        <f t="shared" si="54"/>
        <v>0</v>
      </c>
      <c r="AS28" s="888"/>
      <c r="AT28" s="896">
        <f t="shared" si="55"/>
        <v>0</v>
      </c>
      <c r="AU28" s="897">
        <f t="shared" si="56"/>
        <v>0</v>
      </c>
      <c r="AV28" s="898" t="str">
        <f t="shared" si="42"/>
        <v/>
      </c>
      <c r="AW28" s="899">
        <f t="shared" si="57"/>
        <v>0.5</v>
      </c>
      <c r="AX28" s="900">
        <f t="shared" si="58"/>
        <v>0</v>
      </c>
      <c r="AY28" s="901">
        <f>VLOOKUP(A28,'Resi Price Out'!$A$15:$G$41,7,FALSE)</f>
        <v>0.5256641416088067</v>
      </c>
      <c r="AZ28" s="902">
        <f t="shared" si="59"/>
        <v>0</v>
      </c>
      <c r="BA28" s="903">
        <f t="shared" si="43"/>
        <v>5.1328283217613402E-2</v>
      </c>
      <c r="BC28" s="1158">
        <f t="shared" si="44"/>
        <v>0</v>
      </c>
      <c r="BD28" s="1158">
        <f t="shared" si="45"/>
        <v>0</v>
      </c>
    </row>
    <row r="29" spans="1:56">
      <c r="A29" s="880" t="str">
        <f>'Resi Price Out'!A37</f>
        <v>32 Gal Toter Rental</v>
      </c>
      <c r="B29" s="881">
        <f>'Resi Price Out'!B37</f>
        <v>270.26537216828478</v>
      </c>
      <c r="C29" s="882">
        <f t="shared" si="60"/>
        <v>266.82572692212142</v>
      </c>
      <c r="D29" s="1024"/>
      <c r="E29" s="882">
        <v>12</v>
      </c>
      <c r="F29" s="882">
        <f t="shared" si="46"/>
        <v>266.82572692212142</v>
      </c>
      <c r="G29" s="882">
        <f>F29</f>
        <v>266.82572692212142</v>
      </c>
      <c r="H29" s="904">
        <f>'Resi Price Out'!D37</f>
        <v>1.03</v>
      </c>
      <c r="I29" s="882">
        <f t="shared" si="47"/>
        <v>278.37333333333333</v>
      </c>
      <c r="J29" s="882">
        <f t="shared" si="61"/>
        <v>3340.48</v>
      </c>
      <c r="K29" s="882">
        <f t="shared" si="62"/>
        <v>3297.9659847574208</v>
      </c>
      <c r="L29" s="884">
        <v>0</v>
      </c>
      <c r="M29" s="885">
        <f t="shared" si="63"/>
        <v>0</v>
      </c>
      <c r="N29" s="886">
        <f t="shared" si="48"/>
        <v>0</v>
      </c>
      <c r="O29" s="887">
        <f t="shared" si="64"/>
        <v>0</v>
      </c>
      <c r="P29" s="888"/>
      <c r="Q29" s="889">
        <v>0</v>
      </c>
      <c r="R29" s="887">
        <f t="shared" si="49"/>
        <v>0</v>
      </c>
      <c r="S29" s="887">
        <f t="shared" si="65"/>
        <v>0</v>
      </c>
      <c r="T29" s="890"/>
      <c r="U29" s="887" t="e">
        <f t="shared" si="50"/>
        <v>#VALUE!</v>
      </c>
      <c r="V29" s="891" t="e">
        <f t="shared" si="51"/>
        <v>#VALUE!</v>
      </c>
      <c r="W29" s="888"/>
      <c r="X29" s="892"/>
      <c r="Y29" s="893">
        <f>($Y$4*(I29)/(($I$6)+$I$7+$I$8+$I$9))</f>
        <v>398.90768878617331</v>
      </c>
      <c r="Z29" s="882">
        <f>($Z$4*I29/($I$5-$I$8-$I$9))</f>
        <v>933.18603203402677</v>
      </c>
      <c r="AA29" s="892"/>
      <c r="AB29" s="882" t="e">
        <f>$AB$4*V29/($V$4+$T$4)</f>
        <v>#VALUE!</v>
      </c>
      <c r="AC29" s="882" t="e">
        <f t="shared" si="52"/>
        <v>#VALUE!</v>
      </c>
      <c r="AD29" s="882" t="e">
        <f t="shared" si="53"/>
        <v>#VALUE!</v>
      </c>
      <c r="AE29" s="892"/>
      <c r="AF29" s="892"/>
      <c r="AG29" s="882">
        <f>($AG$4*G29)/($G$7+$G$6)</f>
        <v>1172.7386068674246</v>
      </c>
      <c r="AH29" s="892"/>
      <c r="AI29" s="892"/>
      <c r="AJ29" s="894" t="e">
        <f>SUM(X29:AI29)</f>
        <v>#VALUE!</v>
      </c>
      <c r="AK29" s="882">
        <f>($AK$4*F29/($F$5))</f>
        <v>0</v>
      </c>
      <c r="AL29" s="882" t="e">
        <f>$AL$4*O29/($O$5-$O$8)</f>
        <v>#VALUE!</v>
      </c>
      <c r="AM29" s="882" t="e">
        <f>$AM$4*(K29+X29)/($K$5+$X$5)</f>
        <v>#VALUE!</v>
      </c>
      <c r="AN29" s="882" t="e">
        <f>$AN$4*(K29+X29)/($K$5+$X$5)</f>
        <v>#VALUE!</v>
      </c>
      <c r="AO29" s="882" t="e">
        <f>$AO$4*(K29+X29)/($K$5+$X$5)</f>
        <v>#VALUE!</v>
      </c>
      <c r="AP29" s="895" t="e">
        <f>SUM(AJ29:AO29)</f>
        <v>#VALUE!</v>
      </c>
      <c r="AQ29" s="888"/>
      <c r="AR29" s="887">
        <f t="shared" si="54"/>
        <v>0</v>
      </c>
      <c r="AS29" s="888"/>
      <c r="AT29" s="896">
        <f t="shared" si="55"/>
        <v>0</v>
      </c>
      <c r="AU29" s="897">
        <f t="shared" si="56"/>
        <v>0</v>
      </c>
      <c r="AV29" s="898" t="str">
        <f t="shared" si="42"/>
        <v/>
      </c>
      <c r="AW29" s="899">
        <f t="shared" si="57"/>
        <v>1.03</v>
      </c>
      <c r="AX29" s="900">
        <f t="shared" si="58"/>
        <v>3297.9659847574208</v>
      </c>
      <c r="AY29" s="901">
        <f>VLOOKUP(A29,'Resi Price Out'!$A$15:$G$41,7,FALSE)</f>
        <v>1.0828681317141418</v>
      </c>
      <c r="AZ29" s="902">
        <f t="shared" si="59"/>
        <v>3467.2449168651046</v>
      </c>
      <c r="BA29" s="903">
        <f t="shared" si="43"/>
        <v>5.1328283217613332E-2</v>
      </c>
      <c r="BC29" s="1158">
        <f t="shared" si="44"/>
        <v>-3297.9659847574208</v>
      </c>
      <c r="BD29" s="1158">
        <f t="shared" si="45"/>
        <v>-3467.2449168651046</v>
      </c>
    </row>
    <row r="30" spans="1:56">
      <c r="A30" s="880" t="str">
        <f>'Resi Price Out'!A38</f>
        <v>60 Gal Toter Rental</v>
      </c>
      <c r="B30" s="881">
        <f>'Resi Price Out'!B38</f>
        <v>3054.4375000000005</v>
      </c>
      <c r="C30" s="882">
        <f t="shared" si="60"/>
        <v>3015.5639242167281</v>
      </c>
      <c r="D30" s="1024"/>
      <c r="E30" s="882">
        <v>12</v>
      </c>
      <c r="F30" s="882">
        <f t="shared" si="46"/>
        <v>3015.5639242167281</v>
      </c>
      <c r="G30" s="882">
        <f>F30</f>
        <v>3015.5639242167281</v>
      </c>
      <c r="H30" s="904">
        <f>'Resi Price Out'!D38</f>
        <v>1.76</v>
      </c>
      <c r="I30" s="882">
        <f t="shared" si="47"/>
        <v>5375.81</v>
      </c>
      <c r="J30" s="882">
        <f t="shared" si="61"/>
        <v>64509.72</v>
      </c>
      <c r="K30" s="882">
        <f t="shared" si="62"/>
        <v>63688.710079457291</v>
      </c>
      <c r="L30" s="884">
        <v>0</v>
      </c>
      <c r="M30" s="885">
        <f t="shared" si="63"/>
        <v>0</v>
      </c>
      <c r="N30" s="886">
        <f t="shared" si="48"/>
        <v>0</v>
      </c>
      <c r="O30" s="887">
        <f t="shared" si="64"/>
        <v>0</v>
      </c>
      <c r="P30" s="888"/>
      <c r="Q30" s="889">
        <v>0</v>
      </c>
      <c r="R30" s="887">
        <f t="shared" si="49"/>
        <v>0</v>
      </c>
      <c r="S30" s="887">
        <f t="shared" si="65"/>
        <v>0</v>
      </c>
      <c r="T30" s="890"/>
      <c r="U30" s="887" t="e">
        <f t="shared" si="50"/>
        <v>#VALUE!</v>
      </c>
      <c r="V30" s="891" t="e">
        <f t="shared" si="51"/>
        <v>#VALUE!</v>
      </c>
      <c r="W30" s="888"/>
      <c r="X30" s="892"/>
      <c r="Y30" s="893">
        <f>($Y$4*(I30)/(($I$6)+$I$7+$I$8+$I$9))</f>
        <v>7703.5106659651265</v>
      </c>
      <c r="Z30" s="882">
        <f>($Z$4*I30/($I$5-$I$8-$I$9))</f>
        <v>18021.233365991146</v>
      </c>
      <c r="AA30" s="892"/>
      <c r="AB30" s="882" t="e">
        <f>$AB$4*V30/($V$4+$T$4)</f>
        <v>#VALUE!</v>
      </c>
      <c r="AC30" s="882" t="e">
        <f t="shared" si="52"/>
        <v>#VALUE!</v>
      </c>
      <c r="AD30" s="882" t="e">
        <f t="shared" si="53"/>
        <v>#VALUE!</v>
      </c>
      <c r="AE30" s="892"/>
      <c r="AF30" s="892"/>
      <c r="AG30" s="882">
        <f>($AG$4*G30)/($G$7+$G$6)</f>
        <v>13253.850279728762</v>
      </c>
      <c r="AH30" s="892"/>
      <c r="AI30" s="892"/>
      <c r="AJ30" s="894" t="e">
        <f>SUM(X30:AI30)</f>
        <v>#VALUE!</v>
      </c>
      <c r="AK30" s="882">
        <f>($AK$4*F30/($F$5))</f>
        <v>0</v>
      </c>
      <c r="AL30" s="882" t="e">
        <f>$AL$4*O30/($O$5-$O$8)</f>
        <v>#VALUE!</v>
      </c>
      <c r="AM30" s="882" t="e">
        <f>$AM$4*(K30+X30)/($K$5+$X$5)</f>
        <v>#VALUE!</v>
      </c>
      <c r="AN30" s="882" t="e">
        <f>$AN$4*(K30+X30)/($K$5+$X$5)</f>
        <v>#VALUE!</v>
      </c>
      <c r="AO30" s="882" t="e">
        <f>$AO$4*(K30+X30)/($K$5+$X$5)</f>
        <v>#VALUE!</v>
      </c>
      <c r="AP30" s="895" t="e">
        <f>SUM(AJ30:AO30)</f>
        <v>#VALUE!</v>
      </c>
      <c r="AQ30" s="888"/>
      <c r="AR30" s="887">
        <f t="shared" si="54"/>
        <v>0</v>
      </c>
      <c r="AS30" s="888"/>
      <c r="AT30" s="896">
        <f t="shared" si="55"/>
        <v>0</v>
      </c>
      <c r="AU30" s="897">
        <f t="shared" si="56"/>
        <v>0</v>
      </c>
      <c r="AV30" s="898" t="str">
        <f t="shared" si="42"/>
        <v/>
      </c>
      <c r="AW30" s="899">
        <f t="shared" si="57"/>
        <v>1.76</v>
      </c>
      <c r="AX30" s="900">
        <f t="shared" si="58"/>
        <v>63688.710079457298</v>
      </c>
      <c r="AY30" s="901">
        <f>VLOOKUP(A30,'Resi Price Out'!$A$15:$G$41,7,FALSE)</f>
        <v>1.8503377784629995</v>
      </c>
      <c r="AZ30" s="902">
        <f t="shared" si="59"/>
        <v>66957.742228180141</v>
      </c>
      <c r="BA30" s="903">
        <f t="shared" si="43"/>
        <v>5.1328283217613353E-2</v>
      </c>
      <c r="BC30" s="1158">
        <f t="shared" si="44"/>
        <v>-63688.710079457298</v>
      </c>
      <c r="BD30" s="1158">
        <f t="shared" si="45"/>
        <v>-66957.742228180141</v>
      </c>
    </row>
    <row r="31" spans="1:56">
      <c r="A31" s="880" t="str">
        <f>'Resi Price Out'!A39</f>
        <v>90 Gal Toter Rental</v>
      </c>
      <c r="B31" s="881">
        <f>'Resi Price Out'!B39</f>
        <v>1222.9015151515155</v>
      </c>
      <c r="C31" s="882">
        <f t="shared" si="60"/>
        <v>1207.3377477721795</v>
      </c>
      <c r="D31" s="1024"/>
      <c r="E31" s="882">
        <v>12</v>
      </c>
      <c r="F31" s="882">
        <f>C31</f>
        <v>1207.3377477721795</v>
      </c>
      <c r="G31" s="882">
        <f>F31</f>
        <v>1207.3377477721795</v>
      </c>
      <c r="H31" s="904">
        <f>'Resi Price Out'!D39</f>
        <v>1.76</v>
      </c>
      <c r="I31" s="882">
        <f t="shared" si="47"/>
        <v>2152.3066666666673</v>
      </c>
      <c r="J31" s="882">
        <f t="shared" si="61"/>
        <v>25827.680000000008</v>
      </c>
      <c r="K31" s="882">
        <f t="shared" si="62"/>
        <v>25498.973232948429</v>
      </c>
      <c r="L31" s="884">
        <v>0</v>
      </c>
      <c r="M31" s="885">
        <f t="shared" si="63"/>
        <v>0</v>
      </c>
      <c r="N31" s="886">
        <f t="shared" si="48"/>
        <v>0</v>
      </c>
      <c r="O31" s="887">
        <f t="shared" si="64"/>
        <v>0</v>
      </c>
      <c r="P31" s="888"/>
      <c r="Q31" s="889">
        <v>0</v>
      </c>
      <c r="R31" s="887">
        <f t="shared" si="49"/>
        <v>0</v>
      </c>
      <c r="S31" s="887">
        <f t="shared" si="65"/>
        <v>0</v>
      </c>
      <c r="T31" s="890"/>
      <c r="U31" s="887" t="e">
        <f t="shared" si="50"/>
        <v>#VALUE!</v>
      </c>
      <c r="V31" s="891" t="e">
        <f t="shared" si="51"/>
        <v>#VALUE!</v>
      </c>
      <c r="W31" s="888"/>
      <c r="X31" s="892"/>
      <c r="Y31" s="893">
        <f>($Y$4*(I31)/(($I$6)+$I$7+$I$8+$I$9))</f>
        <v>3084.2454184754515</v>
      </c>
      <c r="Z31" s="882">
        <f>($Z$4*I31/($I$5-$I$8-$I$9))</f>
        <v>7215.1398050114358</v>
      </c>
      <c r="AA31" s="892"/>
      <c r="AB31" s="882" t="e">
        <f>$AB$4*V31/($V$4+$T$4)</f>
        <v>#VALUE!</v>
      </c>
      <c r="AC31" s="882" t="e">
        <f t="shared" si="52"/>
        <v>#VALUE!</v>
      </c>
      <c r="AD31" s="882" t="e">
        <f t="shared" si="53"/>
        <v>#VALUE!</v>
      </c>
      <c r="AE31" s="892"/>
      <c r="AF31" s="892"/>
      <c r="AG31" s="882">
        <f>($AG$4*G31)/($G$7+$G$6)</f>
        <v>5306.4282993748075</v>
      </c>
      <c r="AH31" s="892"/>
      <c r="AI31" s="892"/>
      <c r="AJ31" s="894" t="e">
        <f>SUM(X31:AI31)</f>
        <v>#VALUE!</v>
      </c>
      <c r="AK31" s="882">
        <f>($AK$4*F31/($F$5))</f>
        <v>0</v>
      </c>
      <c r="AL31" s="882" t="e">
        <f>$AL$4*O31/($O$5-$O$8)</f>
        <v>#VALUE!</v>
      </c>
      <c r="AM31" s="882" t="e">
        <f>$AM$4*(K31+X31)/($K$5+$X$5)</f>
        <v>#VALUE!</v>
      </c>
      <c r="AN31" s="882" t="e">
        <f>$AN$4*(K31+X31)/($K$5+$X$5)</f>
        <v>#VALUE!</v>
      </c>
      <c r="AO31" s="882" t="e">
        <f>$AO$4*(K31+X31)/($K$5+$X$5)</f>
        <v>#VALUE!</v>
      </c>
      <c r="AP31" s="895" t="e">
        <f>SUM(AJ31:AO31)</f>
        <v>#VALUE!</v>
      </c>
      <c r="AQ31" s="888"/>
      <c r="AR31" s="887">
        <f t="shared" si="54"/>
        <v>0</v>
      </c>
      <c r="AS31" s="888"/>
      <c r="AT31" s="896">
        <f t="shared" si="55"/>
        <v>0</v>
      </c>
      <c r="AU31" s="897">
        <f t="shared" si="56"/>
        <v>0</v>
      </c>
      <c r="AV31" s="898" t="str">
        <f t="shared" si="42"/>
        <v/>
      </c>
      <c r="AW31" s="899">
        <f t="shared" si="57"/>
        <v>1.76</v>
      </c>
      <c r="AX31" s="900">
        <f t="shared" si="58"/>
        <v>25498.973232948432</v>
      </c>
      <c r="AY31" s="901">
        <f>VLOOKUP(A31,'Resi Price Out'!$A$15:$G$41,7,FALSE)</f>
        <v>1.8503377784629995</v>
      </c>
      <c r="AZ31" s="902">
        <f t="shared" si="59"/>
        <v>26807.791752807549</v>
      </c>
      <c r="BA31" s="903">
        <f t="shared" si="43"/>
        <v>5.1328283217613353E-2</v>
      </c>
      <c r="BC31" s="1158">
        <f t="shared" si="44"/>
        <v>-25498.973232948432</v>
      </c>
      <c r="BD31" s="1158">
        <f t="shared" si="45"/>
        <v>-26807.791752807549</v>
      </c>
    </row>
    <row r="32" spans="1:56" s="162" customFormat="1" ht="12" thickBot="1">
      <c r="A32" s="162" t="s">
        <v>27</v>
      </c>
      <c r="B32" s="907">
        <f>SUM(B12:B31)</f>
        <v>15034.423137319802</v>
      </c>
      <c r="C32" s="907">
        <f>SUM(C12:C31)</f>
        <v>14843.081265964965</v>
      </c>
      <c r="D32" s="1127"/>
      <c r="E32" s="907"/>
      <c r="F32" s="907">
        <f>SUM(F12:F31)</f>
        <v>14843.081265964965</v>
      </c>
      <c r="G32" s="907"/>
      <c r="H32" s="908"/>
      <c r="I32" s="907">
        <f>SUM(I12:I31)</f>
        <v>172548.07749999998</v>
      </c>
      <c r="J32" s="907">
        <f>SUM(J12:J31)</f>
        <v>2070576.93</v>
      </c>
      <c r="K32" s="907">
        <f>SUM(K12:K31)</f>
        <v>2044224.8670740277</v>
      </c>
      <c r="L32" s="909"/>
      <c r="M32" s="910"/>
      <c r="N32" s="911">
        <f>SUM(N12:N31)</f>
        <v>6534.4899999999989</v>
      </c>
      <c r="O32" s="911">
        <f>SUM(O12:O31)</f>
        <v>6602.9066731263501</v>
      </c>
      <c r="P32" s="912"/>
      <c r="Q32" s="911">
        <f>SUM(Q12:Q31)</f>
        <v>426.7575422994978</v>
      </c>
      <c r="R32" s="911">
        <f>SUM(R12:R31)</f>
        <v>3166.7865634144705</v>
      </c>
      <c r="S32" s="911">
        <f>SUM(S12:S31)</f>
        <v>3166.7865634144705</v>
      </c>
      <c r="T32" s="909"/>
      <c r="U32" s="911" t="e">
        <f>SUM(U12:U31)</f>
        <v>#VALUE!</v>
      </c>
      <c r="V32" s="911" t="e">
        <f>SUM(V12:V31)</f>
        <v>#VALUE!</v>
      </c>
      <c r="W32" s="912"/>
      <c r="X32" s="907">
        <f t="shared" ref="X32:AP32" si="66">SUM(X12:X31)</f>
        <v>0</v>
      </c>
      <c r="Y32" s="907">
        <f t="shared" si="66"/>
        <v>247260.5905738906</v>
      </c>
      <c r="Z32" s="907">
        <f t="shared" si="66"/>
        <v>578429.88712038298</v>
      </c>
      <c r="AA32" s="907">
        <f t="shared" si="66"/>
        <v>0</v>
      </c>
      <c r="AB32" s="907" t="e">
        <f t="shared" si="66"/>
        <v>#VALUE!</v>
      </c>
      <c r="AC32" s="907" t="e">
        <f t="shared" si="66"/>
        <v>#VALUE!</v>
      </c>
      <c r="AD32" s="907" t="e">
        <f t="shared" si="66"/>
        <v>#VALUE!</v>
      </c>
      <c r="AE32" s="907">
        <f t="shared" si="66"/>
        <v>0</v>
      </c>
      <c r="AF32" s="907">
        <f t="shared" si="66"/>
        <v>0</v>
      </c>
      <c r="AG32" s="907">
        <f t="shared" si="66"/>
        <v>19733.017185970995</v>
      </c>
      <c r="AH32" s="907">
        <f t="shared" si="66"/>
        <v>0</v>
      </c>
      <c r="AI32" s="907">
        <f t="shared" si="66"/>
        <v>0</v>
      </c>
      <c r="AJ32" s="913" t="e">
        <f t="shared" si="66"/>
        <v>#VALUE!</v>
      </c>
      <c r="AK32" s="907">
        <f t="shared" si="66"/>
        <v>0</v>
      </c>
      <c r="AL32" s="907" t="e">
        <f t="shared" si="66"/>
        <v>#VALUE!</v>
      </c>
      <c r="AM32" s="907" t="e">
        <f t="shared" si="66"/>
        <v>#VALUE!</v>
      </c>
      <c r="AN32" s="907" t="e">
        <f t="shared" si="66"/>
        <v>#VALUE!</v>
      </c>
      <c r="AO32" s="907" t="e">
        <f t="shared" si="66"/>
        <v>#VALUE!</v>
      </c>
      <c r="AP32" s="914" t="e">
        <f t="shared" si="66"/>
        <v>#VALUE!</v>
      </c>
      <c r="AQ32" s="912"/>
      <c r="AR32" s="911"/>
      <c r="AS32" s="912"/>
      <c r="AT32" s="915"/>
      <c r="AU32" s="916">
        <f>SUM(AU12:AU31)</f>
        <v>0</v>
      </c>
      <c r="AV32" s="909"/>
      <c r="AW32" s="908"/>
      <c r="AX32" s="916">
        <f>SUM(AX12:AX31)</f>
        <v>2044224.8670740277</v>
      </c>
      <c r="AY32" s="908"/>
      <c r="AZ32" s="916">
        <f>SUM(AZ12:AZ31)</f>
        <v>2149151.4200116908</v>
      </c>
      <c r="BA32" s="909"/>
      <c r="BC32" s="1159">
        <f>SUM(BC12:BC31)</f>
        <v>-2044224.8670740277</v>
      </c>
      <c r="BD32" s="1159">
        <f>SUM(BD12:BD31)</f>
        <v>-2149151.4200116908</v>
      </c>
    </row>
    <row r="33" spans="1:58">
      <c r="B33" s="917"/>
      <c r="C33" s="918"/>
      <c r="D33" s="1128"/>
      <c r="E33" s="918"/>
      <c r="F33" s="918"/>
      <c r="G33" s="918"/>
      <c r="H33" s="919"/>
      <c r="I33" s="918"/>
      <c r="J33" s="918"/>
      <c r="K33" s="918"/>
      <c r="L33" s="920"/>
      <c r="M33" s="921"/>
      <c r="N33" s="922"/>
      <c r="O33" s="923"/>
      <c r="P33" s="888"/>
      <c r="Q33" s="923"/>
      <c r="R33" s="923"/>
      <c r="S33" s="923"/>
      <c r="T33" s="920"/>
      <c r="U33" s="923"/>
      <c r="V33" s="924"/>
      <c r="W33" s="888"/>
      <c r="X33" s="918"/>
      <c r="Y33" s="918"/>
      <c r="Z33" s="918"/>
      <c r="AA33" s="918"/>
      <c r="AB33" s="918"/>
      <c r="AC33" s="918"/>
      <c r="AD33" s="918"/>
      <c r="AE33" s="918"/>
      <c r="AF33" s="918"/>
      <c r="AG33" s="918"/>
      <c r="AH33" s="918"/>
      <c r="AI33" s="918"/>
      <c r="AJ33" s="925"/>
      <c r="AK33" s="918"/>
      <c r="AL33" s="918"/>
      <c r="AM33" s="918"/>
      <c r="AN33" s="918"/>
      <c r="AO33" s="918"/>
      <c r="AP33" s="914"/>
      <c r="AQ33" s="888"/>
      <c r="AR33" s="923"/>
      <c r="AS33" s="888"/>
      <c r="AT33" s="923"/>
      <c r="AU33" s="926"/>
      <c r="AV33" s="920"/>
      <c r="AW33" s="927"/>
      <c r="AX33" s="926"/>
      <c r="AY33" s="928"/>
      <c r="AZ33" s="926"/>
      <c r="BA33" s="920"/>
    </row>
    <row r="34" spans="1:58" ht="12" thickBot="1">
      <c r="A34" s="877" t="s">
        <v>779</v>
      </c>
      <c r="B34" s="918"/>
      <c r="C34" s="918"/>
      <c r="D34" s="1128"/>
      <c r="E34" s="918"/>
      <c r="F34" s="918"/>
      <c r="G34" s="918"/>
      <c r="H34" s="927"/>
      <c r="I34" s="918"/>
      <c r="J34" s="918"/>
      <c r="K34" s="918"/>
      <c r="L34" s="920"/>
      <c r="M34" s="921"/>
      <c r="N34" s="920"/>
      <c r="O34" s="920"/>
      <c r="P34" s="888"/>
      <c r="Q34" s="920"/>
      <c r="R34" s="920"/>
      <c r="S34" s="920"/>
      <c r="T34" s="920"/>
      <c r="U34" s="920"/>
      <c r="V34" s="920"/>
      <c r="W34" s="888"/>
      <c r="X34" s="918"/>
      <c r="Y34" s="918"/>
      <c r="Z34" s="918"/>
      <c r="AA34" s="918"/>
      <c r="AB34" s="918"/>
      <c r="AC34" s="918"/>
      <c r="AD34" s="918"/>
      <c r="AE34" s="918"/>
      <c r="AF34" s="918"/>
      <c r="AG34" s="918"/>
      <c r="AH34" s="918"/>
      <c r="AI34" s="918"/>
      <c r="AJ34" s="925"/>
      <c r="AK34" s="918"/>
      <c r="AL34" s="918"/>
      <c r="AM34" s="918"/>
      <c r="AN34" s="918"/>
      <c r="AO34" s="918"/>
      <c r="AP34" s="914"/>
      <c r="AQ34" s="888"/>
      <c r="AR34" s="920"/>
      <c r="AS34" s="888"/>
      <c r="AT34" s="929"/>
      <c r="AU34" s="920"/>
      <c r="AV34" s="929"/>
      <c r="AW34" s="927"/>
      <c r="AX34" s="920"/>
      <c r="AY34" s="930"/>
      <c r="AZ34" s="920"/>
      <c r="BA34" s="920"/>
      <c r="BC34" s="1158"/>
    </row>
    <row r="35" spans="1:58" ht="12" thickTop="1">
      <c r="A35" s="931" t="str">
        <f>+'Comm Price Out'!A9</f>
        <v xml:space="preserve">32 Gal Toter 1xweek </v>
      </c>
      <c r="B35" s="1133">
        <f>+'Comm Price Out'!B9</f>
        <v>9</v>
      </c>
      <c r="C35" s="933">
        <f>B35*$K$3</f>
        <v>9.1563955500535776</v>
      </c>
      <c r="D35" s="957">
        <v>1</v>
      </c>
      <c r="E35" s="933">
        <f t="shared" ref="E35:E98" si="67">D35*$E$1</f>
        <v>52</v>
      </c>
      <c r="F35" s="933">
        <f>C35</f>
        <v>9.1563955500535776</v>
      </c>
      <c r="G35" s="933"/>
      <c r="H35" s="934">
        <f>+'Comm Price Out'!D9</f>
        <v>3.19</v>
      </c>
      <c r="I35" s="935">
        <f>B35*H35*D35*$E$2</f>
        <v>124.3143</v>
      </c>
      <c r="J35" s="935">
        <f>I35*12</f>
        <v>1491.7716</v>
      </c>
      <c r="K35" s="935">
        <f>J35*$K$3</f>
        <v>1517.6945377707007</v>
      </c>
      <c r="L35" s="1142">
        <f>+'Meeks +'!F24*$S$1</f>
        <v>17.399999999999999</v>
      </c>
      <c r="M35" s="937">
        <f>L35*$O$3</f>
        <v>17.127018465752332</v>
      </c>
      <c r="N35" s="938">
        <f>ROUND(((C35*E35*L35)/2000),2)</f>
        <v>4.1399999999999997</v>
      </c>
      <c r="O35" s="939">
        <f t="shared" ref="O35:O85" si="68">$O$3*N35</f>
        <v>4.0750492211617617</v>
      </c>
      <c r="P35" s="888"/>
      <c r="Q35" s="940">
        <f>+'Meeks +'!C24</f>
        <v>9</v>
      </c>
      <c r="R35" s="941">
        <f>C35*E35*Q35/3600</f>
        <v>1.1903314215069649</v>
      </c>
      <c r="S35" s="941">
        <f>R35*$S$3</f>
        <v>1.1903314215069649</v>
      </c>
      <c r="T35" s="942"/>
      <c r="U35" s="941" t="e">
        <f>($V$4-$S$5)*O35/($O$5-$O$8)</f>
        <v>#VALUE!</v>
      </c>
      <c r="V35" s="943" t="e">
        <f t="shared" ref="V35:V85" si="69">U35+S35</f>
        <v>#VALUE!</v>
      </c>
      <c r="W35" s="888"/>
      <c r="X35" s="892"/>
      <c r="Y35" s="935">
        <f t="shared" ref="Y35:Y85" si="70">($Y$4*(I35)/(($I$6)+$I$7+$I$8+$I$9))</f>
        <v>178.14181230028373</v>
      </c>
      <c r="Z35" s="935">
        <f t="shared" ref="Z35:Z85" si="71">($Z$4*I35/($I$5-$I$8-$I$9))</f>
        <v>416.73664266963175</v>
      </c>
      <c r="AA35" s="944"/>
      <c r="AB35" s="933" t="e">
        <f t="shared" ref="AB35:AB85" si="72">$AB$4*V35/($V$4+$T$4)</f>
        <v>#VALUE!</v>
      </c>
      <c r="AC35" s="933" t="e">
        <f t="shared" ref="AC35:AC85" si="73">$AC$4*V35/($V$4+$T$4)</f>
        <v>#VALUE!</v>
      </c>
      <c r="AD35" s="933" t="e">
        <f t="shared" ref="AD35:AD85" si="74">$AD$4*V35/($V$4+$T$4)</f>
        <v>#VALUE!</v>
      </c>
      <c r="AE35" s="892"/>
      <c r="AF35" s="935">
        <f>($AF$4*G35)/($G$7)</f>
        <v>0</v>
      </c>
      <c r="AG35" s="935">
        <f t="shared" ref="AG35:AG85" si="75">($AG$4*G35)/($G$7+$G$6)</f>
        <v>0</v>
      </c>
      <c r="AH35" s="892"/>
      <c r="AI35" s="892"/>
      <c r="AJ35" s="945" t="e">
        <f>SUM(X35:AI35)</f>
        <v>#VALUE!</v>
      </c>
      <c r="AK35" s="933">
        <f t="shared" ref="AK35:AK85" si="76">($AK$4*F35/($F$5))</f>
        <v>0</v>
      </c>
      <c r="AL35" s="933" t="e">
        <f t="shared" ref="AL35:AL85" si="77">$AL$4*O35/($O$5-$O$8)</f>
        <v>#VALUE!</v>
      </c>
      <c r="AM35" s="933" t="e">
        <f t="shared" ref="AM35:AM85" si="78">$AM$4*(K35+X35)/($K$5+$X$5)</f>
        <v>#VALUE!</v>
      </c>
      <c r="AN35" s="933" t="e">
        <f t="shared" ref="AN35:AN85" si="79">$AN$4*(K35+X35)/($K$5+$X$5)</f>
        <v>#VALUE!</v>
      </c>
      <c r="AO35" s="933" t="e">
        <f t="shared" ref="AO35:AO85" si="80">$AO$4*(K35+X35)/($K$5+$X$5)</f>
        <v>#VALUE!</v>
      </c>
      <c r="AP35" s="946" t="e">
        <f>SUM(AJ35:AO35)</f>
        <v>#VALUE!</v>
      </c>
      <c r="AQ35" s="888"/>
      <c r="AR35" s="941">
        <f>IF(ISERROR(AP35/C35/E35), 0,(AP35/C35/E35))</f>
        <v>0</v>
      </c>
      <c r="AS35" s="888"/>
      <c r="AT35" s="947">
        <f t="shared" ref="AT35:AT51" si="81">AR35/$AT$4</f>
        <v>0</v>
      </c>
      <c r="AU35" s="948">
        <f>+AT35*C35*E35</f>
        <v>0</v>
      </c>
      <c r="AV35" s="949" t="str">
        <f t="shared" ref="AV35:AV98" si="82">IF(AT35=0,"",(+AT35-AW35)/AW35)</f>
        <v/>
      </c>
      <c r="AW35" s="950">
        <f t="shared" ref="AW35:AW85" si="83">H35</f>
        <v>3.19</v>
      </c>
      <c r="AX35" s="951">
        <f>+AW35*C35*E35</f>
        <v>1518.8628938428874</v>
      </c>
      <c r="AY35" s="952">
        <f>VLOOKUP(A35,'Comm Price Out'!$A$8:$G$77,7,FALSE)</f>
        <v>3.3537372234641869</v>
      </c>
      <c r="AZ35" s="953">
        <f>+AY35*C35*E35</f>
        <v>1596.8235186267793</v>
      </c>
      <c r="BA35" s="954">
        <f t="shared" ref="BA35:BA98" si="84">IF(AW35=0,"",(+AY35-AW35)/AW35)</f>
        <v>5.1328283217613464E-2</v>
      </c>
      <c r="BB35" s="126"/>
      <c r="BC35" s="1158">
        <f t="shared" ref="BC35:BC98" si="85">+AU35-AX35</f>
        <v>-1518.8628938428874</v>
      </c>
      <c r="BD35" s="1158">
        <f t="shared" ref="BD35:BD98" si="86">+AU35-AZ35</f>
        <v>-1596.8235186267793</v>
      </c>
      <c r="BE35" s="955"/>
      <c r="BF35" s="956"/>
    </row>
    <row r="36" spans="1:58">
      <c r="A36" s="931" t="str">
        <f>+'Comm Price Out'!A10</f>
        <v xml:space="preserve">64 Gal Toter 1xweek  </v>
      </c>
      <c r="B36" s="1133">
        <f>+'Comm Price Out'!B10</f>
        <v>9</v>
      </c>
      <c r="C36" s="933">
        <f>B36*$K$3</f>
        <v>9.1563955500535776</v>
      </c>
      <c r="D36" s="957">
        <v>1</v>
      </c>
      <c r="E36" s="933">
        <f t="shared" si="67"/>
        <v>52</v>
      </c>
      <c r="F36" s="933">
        <f t="shared" ref="F36:F85" si="87">C36</f>
        <v>9.1563955500535776</v>
      </c>
      <c r="G36" s="933"/>
      <c r="H36" s="934">
        <f>+'Comm Price Out'!D10</f>
        <v>6.21</v>
      </c>
      <c r="I36" s="935">
        <f t="shared" ref="I36:I82" si="88">B36*H36*D36*$E$2</f>
        <v>242.00370000000001</v>
      </c>
      <c r="J36" s="1141">
        <f>I36*12</f>
        <v>2904.0444000000002</v>
      </c>
      <c r="K36" s="935">
        <f>J36*$K$3</f>
        <v>2954.5088023686685</v>
      </c>
      <c r="L36" s="1142">
        <f>+L35*(1+((L24-L23)/L23))</f>
        <v>24.052941176470586</v>
      </c>
      <c r="M36" s="937">
        <f>L36*$O$3</f>
        <v>23.675584349716459</v>
      </c>
      <c r="N36" s="938">
        <f>ROUND(((C36*E36*L36)/2000),2)</f>
        <v>5.73</v>
      </c>
      <c r="O36" s="939">
        <f>$O$3*N36</f>
        <v>5.6401043568253382</v>
      </c>
      <c r="P36" s="888"/>
      <c r="Q36" s="940">
        <f>+$Q$35*(1+(('Meeks +'!C10-'Meeks +'!$C$6)/'Meeks +'!$C$6))</f>
        <v>13.5</v>
      </c>
      <c r="R36" s="941">
        <f t="shared" ref="R36:R85" si="89">C36*E36*Q36/3600</f>
        <v>1.7854971322604476</v>
      </c>
      <c r="S36" s="941">
        <f t="shared" ref="S36:S85" si="90">R36*$S$3</f>
        <v>1.7854971322604476</v>
      </c>
      <c r="T36" s="942"/>
      <c r="U36" s="941" t="e">
        <f t="shared" ref="U36:U85" si="91">($V$4-$S$5)*O36/($O$5-$O$8)</f>
        <v>#VALUE!</v>
      </c>
      <c r="V36" s="943" t="e">
        <f t="shared" si="69"/>
        <v>#VALUE!</v>
      </c>
      <c r="W36" s="888"/>
      <c r="X36" s="892"/>
      <c r="Y36" s="935">
        <f t="shared" si="70"/>
        <v>346.79017378832668</v>
      </c>
      <c r="Z36" s="935">
        <f t="shared" si="71"/>
        <v>811.26474952301351</v>
      </c>
      <c r="AA36" s="944"/>
      <c r="AB36" s="933" t="e">
        <f t="shared" si="72"/>
        <v>#VALUE!</v>
      </c>
      <c r="AC36" s="933" t="e">
        <f t="shared" si="73"/>
        <v>#VALUE!</v>
      </c>
      <c r="AD36" s="933" t="e">
        <f t="shared" si="74"/>
        <v>#VALUE!</v>
      </c>
      <c r="AE36" s="892"/>
      <c r="AF36" s="935">
        <f t="shared" ref="AF36:AF85" si="92">($AF$4*G36)/($G$7)</f>
        <v>0</v>
      </c>
      <c r="AG36" s="935">
        <f t="shared" si="75"/>
        <v>0</v>
      </c>
      <c r="AH36" s="892"/>
      <c r="AI36" s="892"/>
      <c r="AJ36" s="945" t="e">
        <f t="shared" ref="AJ36:AJ85" si="93">SUM(X36:AI36)</f>
        <v>#VALUE!</v>
      </c>
      <c r="AK36" s="933">
        <f t="shared" si="76"/>
        <v>0</v>
      </c>
      <c r="AL36" s="933" t="e">
        <f t="shared" si="77"/>
        <v>#VALUE!</v>
      </c>
      <c r="AM36" s="933" t="e">
        <f t="shared" si="78"/>
        <v>#VALUE!</v>
      </c>
      <c r="AN36" s="933" t="e">
        <f t="shared" si="79"/>
        <v>#VALUE!</v>
      </c>
      <c r="AO36" s="933" t="e">
        <f t="shared" si="80"/>
        <v>#VALUE!</v>
      </c>
      <c r="AP36" s="946" t="e">
        <f t="shared" ref="AP36:AP85" si="94">SUM(AJ36:AO36)</f>
        <v>#VALUE!</v>
      </c>
      <c r="AQ36" s="888"/>
      <c r="AR36" s="941">
        <f>IF(ISERROR(AP36/C36/E36), 0,(AP36/C36/E36))</f>
        <v>0</v>
      </c>
      <c r="AS36" s="888"/>
      <c r="AT36" s="947">
        <f t="shared" si="81"/>
        <v>0</v>
      </c>
      <c r="AU36" s="948">
        <f>+AT36*C36*E36</f>
        <v>0</v>
      </c>
      <c r="AV36" s="949" t="str">
        <f t="shared" si="82"/>
        <v/>
      </c>
      <c r="AW36" s="950">
        <f t="shared" si="83"/>
        <v>6.21</v>
      </c>
      <c r="AX36" s="951">
        <f t="shared" ref="AX36:AX85" si="95">+AW36*C36*E36</f>
        <v>2956.7832510233011</v>
      </c>
      <c r="AY36" s="952">
        <f>VLOOKUP(A36,'Comm Price Out'!$A$8:$G$77,7,FALSE)</f>
        <v>6.5287486387813791</v>
      </c>
      <c r="AZ36" s="953">
        <f t="shared" ref="AZ36:AZ85" si="96">+AY36*C36*E36</f>
        <v>3108.5498591449214</v>
      </c>
      <c r="BA36" s="954">
        <f t="shared" si="84"/>
        <v>5.1328283217613388E-2</v>
      </c>
      <c r="BB36" s="126"/>
      <c r="BC36" s="1158">
        <f t="shared" si="85"/>
        <v>-2956.7832510233011</v>
      </c>
      <c r="BD36" s="1158">
        <f t="shared" si="86"/>
        <v>-3108.5498591449214</v>
      </c>
      <c r="BE36" s="955"/>
      <c r="BF36" s="956"/>
    </row>
    <row r="37" spans="1:58">
      <c r="A37" s="931" t="str">
        <f>+'Comm Price Out'!A11</f>
        <v>96 Gal Toter 1xweek</v>
      </c>
      <c r="B37" s="1133">
        <f>+'Comm Price Out'!B11</f>
        <v>54</v>
      </c>
      <c r="C37" s="933">
        <f>B37*$K$3</f>
        <v>54.938373300321466</v>
      </c>
      <c r="D37" s="957">
        <v>1</v>
      </c>
      <c r="E37" s="933">
        <f t="shared" si="67"/>
        <v>52</v>
      </c>
      <c r="F37" s="933">
        <f t="shared" si="87"/>
        <v>54.938373300321466</v>
      </c>
      <c r="G37" s="933"/>
      <c r="H37" s="934">
        <f>+'Comm Price Out'!D11</f>
        <v>7.79</v>
      </c>
      <c r="I37" s="935">
        <f t="shared" si="88"/>
        <v>1821.4578000000001</v>
      </c>
      <c r="J37" s="935">
        <f t="shared" ref="J37:J83" si="97">I37*12</f>
        <v>21857.493600000002</v>
      </c>
      <c r="K37" s="935">
        <f t="shared" ref="K37:K83" si="98">J37*$K$3</f>
        <v>22237.31745937384</v>
      </c>
      <c r="L37" s="1142">
        <f>+L36*(1+((L25-L24)/L24))</f>
        <v>34.799999999999997</v>
      </c>
      <c r="M37" s="937">
        <f t="shared" ref="M37:M85" si="99">L37*$O$3</f>
        <v>34.254036931504665</v>
      </c>
      <c r="N37" s="938">
        <f t="shared" ref="N37:N83" si="100">ROUND(((C37*E37*L37)/2000),2)</f>
        <v>49.71</v>
      </c>
      <c r="O37" s="939">
        <f t="shared" si="68"/>
        <v>48.93011999612348</v>
      </c>
      <c r="P37" s="888"/>
      <c r="Q37" s="940">
        <f>+$Q$35*(1+(('Meeks +'!C11-'Meeks +'!$C$6)/'Meeks +'!$C$6))</f>
        <v>18</v>
      </c>
      <c r="R37" s="941">
        <f t="shared" si="89"/>
        <v>14.283977058083581</v>
      </c>
      <c r="S37" s="941">
        <f t="shared" si="90"/>
        <v>14.283977058083581</v>
      </c>
      <c r="T37" s="942"/>
      <c r="U37" s="941" t="e">
        <f t="shared" si="91"/>
        <v>#VALUE!</v>
      </c>
      <c r="V37" s="943" t="e">
        <f t="shared" si="69"/>
        <v>#VALUE!</v>
      </c>
      <c r="W37" s="888"/>
      <c r="X37" s="892"/>
      <c r="Y37" s="935">
        <f t="shared" si="70"/>
        <v>2610.1405350831546</v>
      </c>
      <c r="Z37" s="935">
        <f t="shared" si="71"/>
        <v>6106.0409650089623</v>
      </c>
      <c r="AA37" s="944"/>
      <c r="AB37" s="933" t="e">
        <f t="shared" si="72"/>
        <v>#VALUE!</v>
      </c>
      <c r="AC37" s="933" t="e">
        <f t="shared" si="73"/>
        <v>#VALUE!</v>
      </c>
      <c r="AD37" s="933" t="e">
        <f t="shared" si="74"/>
        <v>#VALUE!</v>
      </c>
      <c r="AE37" s="892"/>
      <c r="AF37" s="935">
        <f t="shared" si="92"/>
        <v>0</v>
      </c>
      <c r="AG37" s="935">
        <f t="shared" si="75"/>
        <v>0</v>
      </c>
      <c r="AH37" s="892"/>
      <c r="AI37" s="892"/>
      <c r="AJ37" s="945" t="e">
        <f t="shared" si="93"/>
        <v>#VALUE!</v>
      </c>
      <c r="AK37" s="933">
        <f t="shared" si="76"/>
        <v>0</v>
      </c>
      <c r="AL37" s="933" t="e">
        <f t="shared" si="77"/>
        <v>#VALUE!</v>
      </c>
      <c r="AM37" s="933" t="e">
        <f t="shared" si="78"/>
        <v>#VALUE!</v>
      </c>
      <c r="AN37" s="933" t="e">
        <f t="shared" si="79"/>
        <v>#VALUE!</v>
      </c>
      <c r="AO37" s="933" t="e">
        <f t="shared" si="80"/>
        <v>#VALUE!</v>
      </c>
      <c r="AP37" s="946" t="e">
        <f t="shared" si="94"/>
        <v>#VALUE!</v>
      </c>
      <c r="AQ37" s="888"/>
      <c r="AR37" s="941">
        <f>IF(ISERROR(AP37/C37/E37), 0,(AP37/C37/E37))</f>
        <v>0</v>
      </c>
      <c r="AS37" s="888"/>
      <c r="AT37" s="947">
        <f t="shared" si="81"/>
        <v>0</v>
      </c>
      <c r="AU37" s="948">
        <f>+AT37*C37*E37</f>
        <v>0</v>
      </c>
      <c r="AV37" s="949" t="str">
        <f t="shared" si="82"/>
        <v/>
      </c>
      <c r="AW37" s="950">
        <f t="shared" si="83"/>
        <v>7.79</v>
      </c>
      <c r="AX37" s="951">
        <f t="shared" si="95"/>
        <v>22254.43625649422</v>
      </c>
      <c r="AY37" s="952">
        <f>VLOOKUP(A37,'Comm Price Out'!$A$8:$G$77,7,FALSE)</f>
        <v>8.1898473262652089</v>
      </c>
      <c r="AZ37" s="953">
        <f t="shared" si="96"/>
        <v>23396.718263515879</v>
      </c>
      <c r="BA37" s="954">
        <f t="shared" si="84"/>
        <v>5.1328283217613464E-2</v>
      </c>
      <c r="BB37" s="126"/>
      <c r="BC37" s="1158">
        <f t="shared" si="85"/>
        <v>-22254.43625649422</v>
      </c>
      <c r="BD37" s="1158">
        <f t="shared" si="86"/>
        <v>-23396.718263515879</v>
      </c>
    </row>
    <row r="38" spans="1:58">
      <c r="A38" s="931" t="str">
        <f>+'Comm Price Out'!A12</f>
        <v>1 yd  on call</v>
      </c>
      <c r="B38" s="1133">
        <f>+'Comm Price Out'!B12</f>
        <v>0</v>
      </c>
      <c r="C38" s="933">
        <f>B38*$K$3</f>
        <v>0</v>
      </c>
      <c r="D38" s="957">
        <f>1/$E$2</f>
        <v>0.23094688221709006</v>
      </c>
      <c r="E38" s="933">
        <f t="shared" si="67"/>
        <v>12.009237875288683</v>
      </c>
      <c r="F38" s="933">
        <f t="shared" si="87"/>
        <v>0</v>
      </c>
      <c r="G38" s="933"/>
      <c r="H38" s="934">
        <f>+'Comm Price Out'!D12</f>
        <v>19.62</v>
      </c>
      <c r="I38" s="935">
        <f t="shared" si="88"/>
        <v>0</v>
      </c>
      <c r="J38" s="935">
        <f t="shared" si="97"/>
        <v>0</v>
      </c>
      <c r="K38" s="935">
        <f t="shared" si="98"/>
        <v>0</v>
      </c>
      <c r="L38" s="1142">
        <f>+'Meeks +'!F25*$S$1</f>
        <v>105</v>
      </c>
      <c r="M38" s="937">
        <f>L38*$O$3</f>
        <v>103.35269763816063</v>
      </c>
      <c r="N38" s="938">
        <f>ROUND(((C38*E38*L38)/2000),2)</f>
        <v>0</v>
      </c>
      <c r="O38" s="939">
        <f t="shared" si="68"/>
        <v>0</v>
      </c>
      <c r="P38" s="888"/>
      <c r="Q38" s="1142">
        <f>+'Meeks +'!C25</f>
        <v>80</v>
      </c>
      <c r="R38" s="941">
        <f t="shared" si="89"/>
        <v>0</v>
      </c>
      <c r="S38" s="941">
        <f t="shared" si="90"/>
        <v>0</v>
      </c>
      <c r="T38" s="942"/>
      <c r="U38" s="941" t="e">
        <f t="shared" si="91"/>
        <v>#VALUE!</v>
      </c>
      <c r="V38" s="943" t="e">
        <f t="shared" si="69"/>
        <v>#VALUE!</v>
      </c>
      <c r="W38" s="888"/>
      <c r="X38" s="892"/>
      <c r="Y38" s="935">
        <f t="shared" si="70"/>
        <v>0</v>
      </c>
      <c r="Z38" s="935">
        <f t="shared" si="71"/>
        <v>0</v>
      </c>
      <c r="AA38" s="944"/>
      <c r="AB38" s="933" t="e">
        <f t="shared" si="72"/>
        <v>#VALUE!</v>
      </c>
      <c r="AC38" s="933" t="e">
        <f t="shared" si="73"/>
        <v>#VALUE!</v>
      </c>
      <c r="AD38" s="933" t="e">
        <f t="shared" si="74"/>
        <v>#VALUE!</v>
      </c>
      <c r="AE38" s="892"/>
      <c r="AF38" s="935">
        <f t="shared" si="92"/>
        <v>0</v>
      </c>
      <c r="AG38" s="935">
        <f t="shared" si="75"/>
        <v>0</v>
      </c>
      <c r="AH38" s="892"/>
      <c r="AI38" s="892"/>
      <c r="AJ38" s="945" t="e">
        <f t="shared" si="93"/>
        <v>#VALUE!</v>
      </c>
      <c r="AK38" s="933">
        <f t="shared" si="76"/>
        <v>0</v>
      </c>
      <c r="AL38" s="933" t="e">
        <f t="shared" si="77"/>
        <v>#VALUE!</v>
      </c>
      <c r="AM38" s="933" t="e">
        <f t="shared" si="78"/>
        <v>#VALUE!</v>
      </c>
      <c r="AN38" s="933" t="e">
        <f t="shared" si="79"/>
        <v>#VALUE!</v>
      </c>
      <c r="AO38" s="933" t="e">
        <f t="shared" si="80"/>
        <v>#VALUE!</v>
      </c>
      <c r="AP38" s="946" t="e">
        <f t="shared" si="94"/>
        <v>#VALUE!</v>
      </c>
      <c r="AQ38" s="888"/>
      <c r="AR38" s="941">
        <f>IF(ISERROR(AP38/C38/E38), 0,(AP38/C38/E38))</f>
        <v>0</v>
      </c>
      <c r="AS38" s="888"/>
      <c r="AT38" s="947">
        <f t="shared" si="81"/>
        <v>0</v>
      </c>
      <c r="AU38" s="948">
        <f>+AT38*C38*E38</f>
        <v>0</v>
      </c>
      <c r="AV38" s="949" t="str">
        <f t="shared" si="82"/>
        <v/>
      </c>
      <c r="AW38" s="950">
        <f t="shared" si="83"/>
        <v>19.62</v>
      </c>
      <c r="AX38" s="951">
        <f t="shared" si="95"/>
        <v>0</v>
      </c>
      <c r="AY38" s="952">
        <f>VLOOKUP(A38,'Comm Price Out'!$A$8:$G$77,7,FALSE)</f>
        <v>20.627060916729576</v>
      </c>
      <c r="AZ38" s="953">
        <f t="shared" si="96"/>
        <v>0</v>
      </c>
      <c r="BA38" s="954">
        <f t="shared" si="84"/>
        <v>5.1328283217613402E-2</v>
      </c>
      <c r="BB38" s="126"/>
      <c r="BC38" s="1158">
        <f t="shared" si="85"/>
        <v>0</v>
      </c>
      <c r="BD38" s="1158">
        <f t="shared" si="86"/>
        <v>0</v>
      </c>
    </row>
    <row r="39" spans="1:58">
      <c r="A39" s="931" t="str">
        <f>+'Comm Price Out'!A13</f>
        <v>1 yd  1xweek</v>
      </c>
      <c r="B39" s="1133">
        <f>+'Comm Price Out'!B13</f>
        <v>17</v>
      </c>
      <c r="C39" s="933">
        <f t="shared" ref="C39:C51" si="101">B39*$K$3</f>
        <v>17.295413816767869</v>
      </c>
      <c r="D39" s="957">
        <v>1</v>
      </c>
      <c r="E39" s="933">
        <f t="shared" si="67"/>
        <v>52</v>
      </c>
      <c r="F39" s="933">
        <f t="shared" si="87"/>
        <v>17.295413816767869</v>
      </c>
      <c r="G39" s="933"/>
      <c r="H39" s="934">
        <f>+'Comm Price Out'!D13</f>
        <v>16.16</v>
      </c>
      <c r="I39" s="935">
        <f t="shared" si="88"/>
        <v>1189.5376000000001</v>
      </c>
      <c r="J39" s="935">
        <f t="shared" si="97"/>
        <v>14274.451200000001</v>
      </c>
      <c r="K39" s="935">
        <f t="shared" si="98"/>
        <v>14522.502383015219</v>
      </c>
      <c r="L39" s="936">
        <f>+L38</f>
        <v>105</v>
      </c>
      <c r="M39" s="937">
        <f t="shared" si="99"/>
        <v>103.35269763816063</v>
      </c>
      <c r="N39" s="938">
        <f t="shared" si="100"/>
        <v>47.22</v>
      </c>
      <c r="O39" s="939">
        <f t="shared" si="68"/>
        <v>46.479184594989952</v>
      </c>
      <c r="P39" s="888"/>
      <c r="Q39" s="936">
        <f>+Q38</f>
        <v>80</v>
      </c>
      <c r="R39" s="941">
        <f t="shared" si="89"/>
        <v>19.985811521598428</v>
      </c>
      <c r="S39" s="941">
        <f t="shared" si="90"/>
        <v>19.985811521598428</v>
      </c>
      <c r="T39" s="942"/>
      <c r="U39" s="941" t="e">
        <f t="shared" si="91"/>
        <v>#VALUE!</v>
      </c>
      <c r="V39" s="943" t="e">
        <f>U39+S39</f>
        <v>#VALUE!</v>
      </c>
      <c r="W39" s="888"/>
      <c r="X39" s="892"/>
      <c r="Y39" s="935">
        <f t="shared" si="70"/>
        <v>1704.601834731242</v>
      </c>
      <c r="Z39" s="935">
        <f t="shared" si="71"/>
        <v>3987.6659865622164</v>
      </c>
      <c r="AA39" s="944"/>
      <c r="AB39" s="933" t="e">
        <f t="shared" si="72"/>
        <v>#VALUE!</v>
      </c>
      <c r="AC39" s="933" t="e">
        <f t="shared" si="73"/>
        <v>#VALUE!</v>
      </c>
      <c r="AD39" s="933" t="e">
        <f t="shared" si="74"/>
        <v>#VALUE!</v>
      </c>
      <c r="AE39" s="892"/>
      <c r="AF39" s="935">
        <f t="shared" si="92"/>
        <v>0</v>
      </c>
      <c r="AG39" s="935">
        <f t="shared" si="75"/>
        <v>0</v>
      </c>
      <c r="AH39" s="892"/>
      <c r="AI39" s="892"/>
      <c r="AJ39" s="945" t="e">
        <f t="shared" si="93"/>
        <v>#VALUE!</v>
      </c>
      <c r="AK39" s="933">
        <f t="shared" si="76"/>
        <v>0</v>
      </c>
      <c r="AL39" s="933" t="e">
        <f t="shared" si="77"/>
        <v>#VALUE!</v>
      </c>
      <c r="AM39" s="957" t="e">
        <f t="shared" si="78"/>
        <v>#VALUE!</v>
      </c>
      <c r="AN39" s="933" t="e">
        <f t="shared" si="79"/>
        <v>#VALUE!</v>
      </c>
      <c r="AO39" s="933" t="e">
        <f t="shared" si="80"/>
        <v>#VALUE!</v>
      </c>
      <c r="AP39" s="946" t="e">
        <f t="shared" si="94"/>
        <v>#VALUE!</v>
      </c>
      <c r="AQ39" s="888"/>
      <c r="AR39" s="941">
        <f t="shared" ref="AR39:AR84" si="102">IF(ISERROR(AP39/C39/E39), 0,(AP39/C39/E39))</f>
        <v>0</v>
      </c>
      <c r="AS39" s="888"/>
      <c r="AT39" s="947">
        <f t="shared" si="81"/>
        <v>0</v>
      </c>
      <c r="AU39" s="948">
        <f t="shared" ref="AU39:AU51" si="103">+AT39*C39*E39</f>
        <v>0</v>
      </c>
      <c r="AV39" s="949" t="str">
        <f t="shared" si="82"/>
        <v/>
      </c>
      <c r="AW39" s="950">
        <f t="shared" si="83"/>
        <v>16.16</v>
      </c>
      <c r="AX39" s="951">
        <f t="shared" si="95"/>
        <v>14533.682138506376</v>
      </c>
      <c r="AY39" s="952">
        <f>VLOOKUP(A39,'Comm Price Out'!$A$8:$G$77,7,FALSE)</f>
        <v>16.989465056796632</v>
      </c>
      <c r="AZ39" s="953">
        <f t="shared" si="96"/>
        <v>15279.6710915064</v>
      </c>
      <c r="BA39" s="954">
        <f t="shared" si="84"/>
        <v>5.1328283217613374E-2</v>
      </c>
      <c r="BB39" s="126"/>
      <c r="BC39" s="1158">
        <f t="shared" si="85"/>
        <v>-14533.682138506376</v>
      </c>
      <c r="BD39" s="1158">
        <f t="shared" si="86"/>
        <v>-15279.6710915064</v>
      </c>
    </row>
    <row r="40" spans="1:58">
      <c r="A40" s="931" t="str">
        <f>+'Comm Price Out'!A14</f>
        <v>1 yd  2xweek</v>
      </c>
      <c r="B40" s="1133">
        <f>+'Comm Price Out'!B14</f>
        <v>1</v>
      </c>
      <c r="C40" s="933">
        <f t="shared" si="101"/>
        <v>1.0173772833392865</v>
      </c>
      <c r="D40" s="957">
        <v>2</v>
      </c>
      <c r="E40" s="933">
        <f t="shared" si="67"/>
        <v>104</v>
      </c>
      <c r="F40" s="933">
        <f t="shared" si="87"/>
        <v>1.0173772833392865</v>
      </c>
      <c r="G40" s="933"/>
      <c r="H40" s="934">
        <f>+'Comm Price Out'!D14</f>
        <v>16.16</v>
      </c>
      <c r="I40" s="935">
        <f t="shared" si="88"/>
        <v>139.94560000000001</v>
      </c>
      <c r="J40" s="935">
        <f t="shared" si="97"/>
        <v>1679.3472000000002</v>
      </c>
      <c r="K40" s="935">
        <f t="shared" si="98"/>
        <v>1708.5296921194374</v>
      </c>
      <c r="L40" s="936">
        <f>+L39</f>
        <v>105</v>
      </c>
      <c r="M40" s="937">
        <f t="shared" si="99"/>
        <v>103.35269763816063</v>
      </c>
      <c r="N40" s="938">
        <f>ROUND(((C40*E40*L40)/2000),2)</f>
        <v>5.55</v>
      </c>
      <c r="O40" s="939">
        <f>$O$3*N40</f>
        <v>5.4629283037313483</v>
      </c>
      <c r="P40" s="888"/>
      <c r="Q40" s="936">
        <f>+Q39</f>
        <v>80</v>
      </c>
      <c r="R40" s="941">
        <f t="shared" si="89"/>
        <v>2.3512719437174621</v>
      </c>
      <c r="S40" s="941">
        <f>R40*$S$3</f>
        <v>2.3512719437174621</v>
      </c>
      <c r="T40" s="942"/>
      <c r="U40" s="941" t="e">
        <f>($V$4-$S$5)*O40/($O$5-$O$8)</f>
        <v>#VALUE!</v>
      </c>
      <c r="V40" s="943" t="e">
        <f>U40+S40</f>
        <v>#VALUE!</v>
      </c>
      <c r="W40" s="888"/>
      <c r="X40" s="892"/>
      <c r="Y40" s="935">
        <f t="shared" si="70"/>
        <v>200.54139232132258</v>
      </c>
      <c r="Z40" s="935">
        <f t="shared" si="71"/>
        <v>469.13717488967251</v>
      </c>
      <c r="AA40" s="944"/>
      <c r="AB40" s="933" t="e">
        <f t="shared" si="72"/>
        <v>#VALUE!</v>
      </c>
      <c r="AC40" s="933" t="e">
        <f t="shared" si="73"/>
        <v>#VALUE!</v>
      </c>
      <c r="AD40" s="933" t="e">
        <f t="shared" si="74"/>
        <v>#VALUE!</v>
      </c>
      <c r="AE40" s="892"/>
      <c r="AF40" s="935">
        <f t="shared" si="92"/>
        <v>0</v>
      </c>
      <c r="AG40" s="935">
        <f t="shared" si="75"/>
        <v>0</v>
      </c>
      <c r="AH40" s="892"/>
      <c r="AI40" s="892"/>
      <c r="AJ40" s="945" t="e">
        <f t="shared" si="93"/>
        <v>#VALUE!</v>
      </c>
      <c r="AK40" s="933">
        <f t="shared" si="76"/>
        <v>0</v>
      </c>
      <c r="AL40" s="933" t="e">
        <f t="shared" si="77"/>
        <v>#VALUE!</v>
      </c>
      <c r="AM40" s="957" t="e">
        <f t="shared" si="78"/>
        <v>#VALUE!</v>
      </c>
      <c r="AN40" s="933" t="e">
        <f t="shared" si="79"/>
        <v>#VALUE!</v>
      </c>
      <c r="AO40" s="933" t="e">
        <f t="shared" si="80"/>
        <v>#VALUE!</v>
      </c>
      <c r="AP40" s="946" t="e">
        <f t="shared" si="94"/>
        <v>#VALUE!</v>
      </c>
      <c r="AQ40" s="888"/>
      <c r="AR40" s="941">
        <f t="shared" si="102"/>
        <v>0</v>
      </c>
      <c r="AS40" s="888"/>
      <c r="AT40" s="947">
        <f t="shared" si="81"/>
        <v>0</v>
      </c>
      <c r="AU40" s="948">
        <f>+AT40*C40*E40</f>
        <v>0</v>
      </c>
      <c r="AV40" s="949" t="str">
        <f t="shared" si="82"/>
        <v/>
      </c>
      <c r="AW40" s="950">
        <f t="shared" si="83"/>
        <v>16.16</v>
      </c>
      <c r="AX40" s="951">
        <f t="shared" si="95"/>
        <v>1709.8449574713384</v>
      </c>
      <c r="AY40" s="952">
        <f>VLOOKUP(A40,'Comm Price Out'!$A$8:$G$77,7,FALSE)</f>
        <v>16.989465056796632</v>
      </c>
      <c r="AZ40" s="953">
        <f t="shared" si="96"/>
        <v>1797.6083637066354</v>
      </c>
      <c r="BA40" s="954">
        <f t="shared" si="84"/>
        <v>5.1328283217613374E-2</v>
      </c>
      <c r="BB40" s="126"/>
      <c r="BC40" s="1158">
        <f t="shared" si="85"/>
        <v>-1709.8449574713384</v>
      </c>
      <c r="BD40" s="1158">
        <f t="shared" si="86"/>
        <v>-1797.6083637066354</v>
      </c>
    </row>
    <row r="41" spans="1:58">
      <c r="A41" s="931" t="str">
        <f>+'Comm Price Out'!A15</f>
        <v>1 yd  3xweek</v>
      </c>
      <c r="B41" s="1133">
        <f>+'Comm Price Out'!B15</f>
        <v>0</v>
      </c>
      <c r="C41" s="933">
        <f t="shared" si="101"/>
        <v>0</v>
      </c>
      <c r="D41" s="957">
        <v>3</v>
      </c>
      <c r="E41" s="933">
        <f t="shared" si="67"/>
        <v>156</v>
      </c>
      <c r="F41" s="933">
        <f t="shared" si="87"/>
        <v>0</v>
      </c>
      <c r="G41" s="933"/>
      <c r="H41" s="934">
        <f>+'Comm Price Out'!D15</f>
        <v>16.16</v>
      </c>
      <c r="I41" s="935">
        <f t="shared" si="88"/>
        <v>0</v>
      </c>
      <c r="J41" s="935">
        <f t="shared" si="97"/>
        <v>0</v>
      </c>
      <c r="K41" s="935">
        <f t="shared" si="98"/>
        <v>0</v>
      </c>
      <c r="L41" s="936">
        <f>+L40</f>
        <v>105</v>
      </c>
      <c r="M41" s="937">
        <f t="shared" si="99"/>
        <v>103.35269763816063</v>
      </c>
      <c r="N41" s="938">
        <f t="shared" si="100"/>
        <v>0</v>
      </c>
      <c r="O41" s="939">
        <f t="shared" si="68"/>
        <v>0</v>
      </c>
      <c r="P41" s="888"/>
      <c r="Q41" s="936">
        <f>+Q40</f>
        <v>80</v>
      </c>
      <c r="R41" s="941">
        <f t="shared" si="89"/>
        <v>0</v>
      </c>
      <c r="S41" s="941">
        <f t="shared" si="90"/>
        <v>0</v>
      </c>
      <c r="T41" s="942"/>
      <c r="U41" s="941" t="e">
        <f t="shared" si="91"/>
        <v>#VALUE!</v>
      </c>
      <c r="V41" s="943" t="e">
        <f t="shared" si="69"/>
        <v>#VALUE!</v>
      </c>
      <c r="W41" s="888"/>
      <c r="X41" s="892"/>
      <c r="Y41" s="935">
        <f t="shared" si="70"/>
        <v>0</v>
      </c>
      <c r="Z41" s="935">
        <f t="shared" si="71"/>
        <v>0</v>
      </c>
      <c r="AA41" s="944"/>
      <c r="AB41" s="933" t="e">
        <f t="shared" si="72"/>
        <v>#VALUE!</v>
      </c>
      <c r="AC41" s="933" t="e">
        <f t="shared" si="73"/>
        <v>#VALUE!</v>
      </c>
      <c r="AD41" s="933" t="e">
        <f t="shared" si="74"/>
        <v>#VALUE!</v>
      </c>
      <c r="AE41" s="892"/>
      <c r="AF41" s="935">
        <f t="shared" si="92"/>
        <v>0</v>
      </c>
      <c r="AG41" s="935">
        <f t="shared" si="75"/>
        <v>0</v>
      </c>
      <c r="AH41" s="892"/>
      <c r="AI41" s="892"/>
      <c r="AJ41" s="945" t="e">
        <f t="shared" si="93"/>
        <v>#VALUE!</v>
      </c>
      <c r="AK41" s="933">
        <f t="shared" si="76"/>
        <v>0</v>
      </c>
      <c r="AL41" s="933" t="e">
        <f t="shared" si="77"/>
        <v>#VALUE!</v>
      </c>
      <c r="AM41" s="933" t="e">
        <f t="shared" si="78"/>
        <v>#VALUE!</v>
      </c>
      <c r="AN41" s="933" t="e">
        <f t="shared" si="79"/>
        <v>#VALUE!</v>
      </c>
      <c r="AO41" s="933" t="e">
        <f t="shared" si="80"/>
        <v>#VALUE!</v>
      </c>
      <c r="AP41" s="946" t="e">
        <f t="shared" si="94"/>
        <v>#VALUE!</v>
      </c>
      <c r="AQ41" s="888"/>
      <c r="AR41" s="941">
        <f t="shared" si="102"/>
        <v>0</v>
      </c>
      <c r="AS41" s="888"/>
      <c r="AT41" s="947">
        <f t="shared" si="81"/>
        <v>0</v>
      </c>
      <c r="AU41" s="948">
        <f t="shared" si="103"/>
        <v>0</v>
      </c>
      <c r="AV41" s="949" t="str">
        <f t="shared" si="82"/>
        <v/>
      </c>
      <c r="AW41" s="950">
        <f t="shared" si="83"/>
        <v>16.16</v>
      </c>
      <c r="AX41" s="951">
        <f t="shared" si="95"/>
        <v>0</v>
      </c>
      <c r="AY41" s="952">
        <f>VLOOKUP(A41,'Comm Price Out'!$A$8:$G$77,7,FALSE)</f>
        <v>16.989465056796632</v>
      </c>
      <c r="AZ41" s="953">
        <f t="shared" si="96"/>
        <v>0</v>
      </c>
      <c r="BA41" s="954">
        <f t="shared" si="84"/>
        <v>5.1328283217613374E-2</v>
      </c>
      <c r="BB41" s="126"/>
      <c r="BC41" s="1158">
        <f t="shared" si="85"/>
        <v>0</v>
      </c>
      <c r="BD41" s="1158">
        <f t="shared" si="86"/>
        <v>0</v>
      </c>
    </row>
    <row r="42" spans="1:58">
      <c r="A42" s="931" t="str">
        <f>+'Comm Price Out'!A16</f>
        <v>1 yd  4xweek</v>
      </c>
      <c r="B42" s="1133">
        <f>+'Comm Price Out'!B16</f>
        <v>0</v>
      </c>
      <c r="C42" s="933">
        <f t="shared" si="101"/>
        <v>0</v>
      </c>
      <c r="D42" s="957">
        <v>4</v>
      </c>
      <c r="E42" s="933">
        <f t="shared" si="67"/>
        <v>208</v>
      </c>
      <c r="F42" s="933">
        <f t="shared" si="87"/>
        <v>0</v>
      </c>
      <c r="G42" s="933"/>
      <c r="H42" s="934">
        <f>+'Comm Price Out'!D16</f>
        <v>16.16</v>
      </c>
      <c r="I42" s="935">
        <f t="shared" si="88"/>
        <v>0</v>
      </c>
      <c r="J42" s="935">
        <f t="shared" si="97"/>
        <v>0</v>
      </c>
      <c r="K42" s="935">
        <f t="shared" si="98"/>
        <v>0</v>
      </c>
      <c r="L42" s="936">
        <f>+L41</f>
        <v>105</v>
      </c>
      <c r="M42" s="937">
        <f t="shared" si="99"/>
        <v>103.35269763816063</v>
      </c>
      <c r="N42" s="938">
        <f t="shared" si="100"/>
        <v>0</v>
      </c>
      <c r="O42" s="939">
        <f t="shared" si="68"/>
        <v>0</v>
      </c>
      <c r="P42" s="888"/>
      <c r="Q42" s="936">
        <f>+Q41</f>
        <v>80</v>
      </c>
      <c r="R42" s="941">
        <f t="shared" si="89"/>
        <v>0</v>
      </c>
      <c r="S42" s="941">
        <f t="shared" si="90"/>
        <v>0</v>
      </c>
      <c r="T42" s="942"/>
      <c r="U42" s="941" t="e">
        <f t="shared" si="91"/>
        <v>#VALUE!</v>
      </c>
      <c r="V42" s="943" t="e">
        <f t="shared" si="69"/>
        <v>#VALUE!</v>
      </c>
      <c r="W42" s="888"/>
      <c r="X42" s="892"/>
      <c r="Y42" s="935">
        <f t="shared" si="70"/>
        <v>0</v>
      </c>
      <c r="Z42" s="935">
        <f t="shared" si="71"/>
        <v>0</v>
      </c>
      <c r="AA42" s="944"/>
      <c r="AB42" s="933" t="e">
        <f t="shared" si="72"/>
        <v>#VALUE!</v>
      </c>
      <c r="AC42" s="933" t="e">
        <f t="shared" si="73"/>
        <v>#VALUE!</v>
      </c>
      <c r="AD42" s="933" t="e">
        <f t="shared" si="74"/>
        <v>#VALUE!</v>
      </c>
      <c r="AE42" s="892"/>
      <c r="AF42" s="935">
        <f t="shared" si="92"/>
        <v>0</v>
      </c>
      <c r="AG42" s="935">
        <f t="shared" si="75"/>
        <v>0</v>
      </c>
      <c r="AH42" s="892"/>
      <c r="AI42" s="892"/>
      <c r="AJ42" s="945" t="e">
        <f t="shared" si="93"/>
        <v>#VALUE!</v>
      </c>
      <c r="AK42" s="933">
        <f t="shared" si="76"/>
        <v>0</v>
      </c>
      <c r="AL42" s="933" t="e">
        <f t="shared" si="77"/>
        <v>#VALUE!</v>
      </c>
      <c r="AM42" s="933" t="e">
        <f t="shared" si="78"/>
        <v>#VALUE!</v>
      </c>
      <c r="AN42" s="933" t="e">
        <f t="shared" si="79"/>
        <v>#VALUE!</v>
      </c>
      <c r="AO42" s="933" t="e">
        <f t="shared" si="80"/>
        <v>#VALUE!</v>
      </c>
      <c r="AP42" s="946" t="e">
        <f t="shared" si="94"/>
        <v>#VALUE!</v>
      </c>
      <c r="AQ42" s="888"/>
      <c r="AR42" s="941">
        <f t="shared" si="102"/>
        <v>0</v>
      </c>
      <c r="AS42" s="888"/>
      <c r="AT42" s="947">
        <f t="shared" si="81"/>
        <v>0</v>
      </c>
      <c r="AU42" s="948">
        <f t="shared" si="103"/>
        <v>0</v>
      </c>
      <c r="AV42" s="949" t="str">
        <f t="shared" si="82"/>
        <v/>
      </c>
      <c r="AW42" s="950">
        <f t="shared" si="83"/>
        <v>16.16</v>
      </c>
      <c r="AX42" s="951">
        <f t="shared" si="95"/>
        <v>0</v>
      </c>
      <c r="AY42" s="952">
        <f>VLOOKUP(A42,'Comm Price Out'!$A$8:$G$77,7,FALSE)</f>
        <v>16.989465056796632</v>
      </c>
      <c r="AZ42" s="953">
        <f t="shared" si="96"/>
        <v>0</v>
      </c>
      <c r="BA42" s="954">
        <f t="shared" si="84"/>
        <v>5.1328283217613374E-2</v>
      </c>
      <c r="BB42" s="126"/>
      <c r="BC42" s="1158">
        <f t="shared" si="85"/>
        <v>0</v>
      </c>
      <c r="BD42" s="1158">
        <f t="shared" si="86"/>
        <v>0</v>
      </c>
    </row>
    <row r="43" spans="1:58">
      <c r="A43" s="931" t="str">
        <f>+'Comm Price Out'!A17</f>
        <v>1.25 yd on call</v>
      </c>
      <c r="B43" s="1133">
        <f>+'Comm Price Out'!B17</f>
        <v>2</v>
      </c>
      <c r="C43" s="933">
        <f t="shared" si="101"/>
        <v>2.0347545666785729</v>
      </c>
      <c r="D43" s="957">
        <f>1/$E$2</f>
        <v>0.23094688221709006</v>
      </c>
      <c r="E43" s="933">
        <f t="shared" si="67"/>
        <v>12.009237875288683</v>
      </c>
      <c r="F43" s="933">
        <f t="shared" si="87"/>
        <v>2.0347545666785729</v>
      </c>
      <c r="G43" s="933"/>
      <c r="H43" s="934">
        <f>+'Comm Price Out'!D17</f>
        <v>22.74</v>
      </c>
      <c r="I43" s="935">
        <f t="shared" si="88"/>
        <v>45.48</v>
      </c>
      <c r="J43" s="935">
        <f t="shared" si="97"/>
        <v>545.76</v>
      </c>
      <c r="K43" s="935">
        <f t="shared" si="98"/>
        <v>555.24382615524894</v>
      </c>
      <c r="L43" s="936">
        <f>+L38*1.25</f>
        <v>131.25</v>
      </c>
      <c r="M43" s="937">
        <f t="shared" si="99"/>
        <v>129.19087204770079</v>
      </c>
      <c r="N43" s="938">
        <f t="shared" si="100"/>
        <v>1.6</v>
      </c>
      <c r="O43" s="939">
        <f t="shared" si="68"/>
        <v>1.5748982497243527</v>
      </c>
      <c r="P43" s="888"/>
      <c r="Q43" s="936">
        <f>+Q38*1.25</f>
        <v>100</v>
      </c>
      <c r="R43" s="941">
        <f t="shared" si="89"/>
        <v>0.67877365580758131</v>
      </c>
      <c r="S43" s="941">
        <f t="shared" si="90"/>
        <v>0.67877365580758131</v>
      </c>
      <c r="T43" s="942"/>
      <c r="U43" s="941" t="e">
        <f t="shared" si="91"/>
        <v>#VALUE!</v>
      </c>
      <c r="V43" s="943" t="e">
        <f t="shared" si="69"/>
        <v>#VALUE!</v>
      </c>
      <c r="W43" s="888"/>
      <c r="X43" s="892"/>
      <c r="Y43" s="935">
        <f t="shared" si="70"/>
        <v>65.17262795524654</v>
      </c>
      <c r="Z43" s="935">
        <f t="shared" si="71"/>
        <v>152.46180454392496</v>
      </c>
      <c r="AA43" s="944"/>
      <c r="AB43" s="933" t="e">
        <f t="shared" si="72"/>
        <v>#VALUE!</v>
      </c>
      <c r="AC43" s="933" t="e">
        <f t="shared" si="73"/>
        <v>#VALUE!</v>
      </c>
      <c r="AD43" s="933" t="e">
        <f t="shared" si="74"/>
        <v>#VALUE!</v>
      </c>
      <c r="AE43" s="892"/>
      <c r="AF43" s="935">
        <f t="shared" si="92"/>
        <v>0</v>
      </c>
      <c r="AG43" s="935">
        <f t="shared" si="75"/>
        <v>0</v>
      </c>
      <c r="AH43" s="892"/>
      <c r="AI43" s="892"/>
      <c r="AJ43" s="945" t="e">
        <f t="shared" si="93"/>
        <v>#VALUE!</v>
      </c>
      <c r="AK43" s="933">
        <f t="shared" si="76"/>
        <v>0</v>
      </c>
      <c r="AL43" s="933" t="e">
        <f t="shared" si="77"/>
        <v>#VALUE!</v>
      </c>
      <c r="AM43" s="933" t="e">
        <f t="shared" si="78"/>
        <v>#VALUE!</v>
      </c>
      <c r="AN43" s="933" t="e">
        <f t="shared" si="79"/>
        <v>#VALUE!</v>
      </c>
      <c r="AO43" s="933" t="e">
        <f t="shared" si="80"/>
        <v>#VALUE!</v>
      </c>
      <c r="AP43" s="946" t="e">
        <f t="shared" si="94"/>
        <v>#VALUE!</v>
      </c>
      <c r="AQ43" s="888"/>
      <c r="AR43" s="941">
        <f t="shared" si="102"/>
        <v>0</v>
      </c>
      <c r="AS43" s="888"/>
      <c r="AT43" s="947">
        <f t="shared" si="81"/>
        <v>0</v>
      </c>
      <c r="AU43" s="948">
        <f t="shared" si="103"/>
        <v>0</v>
      </c>
      <c r="AV43" s="949" t="str">
        <f t="shared" si="82"/>
        <v/>
      </c>
      <c r="AW43" s="950">
        <f t="shared" si="83"/>
        <v>22.74</v>
      </c>
      <c r="AX43" s="951">
        <f t="shared" si="95"/>
        <v>555.6712655903184</v>
      </c>
      <c r="AY43" s="952">
        <f>VLOOKUP(A43,'Comm Price Out'!$A$8:$G$77,7,FALSE)</f>
        <v>23.907205160368527</v>
      </c>
      <c r="AZ43" s="953">
        <f t="shared" si="96"/>
        <v>584.1929176864279</v>
      </c>
      <c r="BA43" s="954">
        <f t="shared" si="84"/>
        <v>5.1328283217613381E-2</v>
      </c>
      <c r="BB43" s="126"/>
      <c r="BC43" s="1158">
        <f t="shared" si="85"/>
        <v>-555.6712655903184</v>
      </c>
      <c r="BD43" s="1158">
        <f t="shared" si="86"/>
        <v>-584.1929176864279</v>
      </c>
    </row>
    <row r="44" spans="1:58">
      <c r="A44" s="931" t="str">
        <f>+'Comm Price Out'!A18</f>
        <v>1.25 yd 1xweek</v>
      </c>
      <c r="B44" s="1133">
        <f>+'Comm Price Out'!B18</f>
        <v>15</v>
      </c>
      <c r="C44" s="933">
        <f>B44*$K$3</f>
        <v>15.260659250089297</v>
      </c>
      <c r="D44" s="957">
        <v>1</v>
      </c>
      <c r="E44" s="933">
        <f t="shared" si="67"/>
        <v>52</v>
      </c>
      <c r="F44" s="933">
        <f>C44</f>
        <v>15.260659250089297</v>
      </c>
      <c r="G44" s="933"/>
      <c r="H44" s="934">
        <f>+'Comm Price Out'!D18</f>
        <v>19.05</v>
      </c>
      <c r="I44" s="935">
        <f t="shared" si="88"/>
        <v>1237.2975000000001</v>
      </c>
      <c r="J44" s="935">
        <f>I44*12</f>
        <v>14847.570000000002</v>
      </c>
      <c r="K44" s="935">
        <f>J44*$K$3</f>
        <v>15105.580430789891</v>
      </c>
      <c r="L44" s="936">
        <f>+L43</f>
        <v>131.25</v>
      </c>
      <c r="M44" s="937">
        <f>L44*$O$3</f>
        <v>129.19087204770079</v>
      </c>
      <c r="N44" s="938">
        <f>ROUND(((C44*E44*L44)/2000),2)</f>
        <v>52.08</v>
      </c>
      <c r="O44" s="939">
        <f>$O$3*N44</f>
        <v>51.262938028527678</v>
      </c>
      <c r="P44" s="888"/>
      <c r="Q44" s="936">
        <f>+Q43</f>
        <v>100</v>
      </c>
      <c r="R44" s="941">
        <f>C44*E44*Q44/3600</f>
        <v>22.043174472351208</v>
      </c>
      <c r="S44" s="941">
        <f>R44*$S$3</f>
        <v>22.043174472351208</v>
      </c>
      <c r="T44" s="942"/>
      <c r="U44" s="941" t="e">
        <f>($V$4-$S$5)*O44/($O$5-$O$8)</f>
        <v>#VALUE!</v>
      </c>
      <c r="V44" s="943" t="e">
        <f>U44+S44</f>
        <v>#VALUE!</v>
      </c>
      <c r="W44" s="888"/>
      <c r="X44" s="892"/>
      <c r="Y44" s="935">
        <f>($Y$4*(I44)/(($I$6)+$I$7+$I$8+$I$9))</f>
        <v>1773.0415487567429</v>
      </c>
      <c r="Z44" s="935">
        <f>($Z$4*I44/($I$5-$I$8-$I$9))</f>
        <v>4147.7706597996266</v>
      </c>
      <c r="AA44" s="944"/>
      <c r="AB44" s="933" t="e">
        <f>$AB$4*V44/($V$4+$T$4)</f>
        <v>#VALUE!</v>
      </c>
      <c r="AC44" s="933" t="e">
        <f>$AC$4*V44/($V$4+$T$4)</f>
        <v>#VALUE!</v>
      </c>
      <c r="AD44" s="933" t="e">
        <f>$AD$4*V44/($V$4+$T$4)</f>
        <v>#VALUE!</v>
      </c>
      <c r="AE44" s="892"/>
      <c r="AF44" s="935">
        <f>($AF$4*G44)/($G$7)</f>
        <v>0</v>
      </c>
      <c r="AG44" s="935">
        <f>($AG$4*G44)/($G$7+$G$6)</f>
        <v>0</v>
      </c>
      <c r="AH44" s="892"/>
      <c r="AI44" s="892"/>
      <c r="AJ44" s="945" t="e">
        <f>SUM(X44:AI44)</f>
        <v>#VALUE!</v>
      </c>
      <c r="AK44" s="933">
        <f>($AK$4*F44/($F$5))</f>
        <v>0</v>
      </c>
      <c r="AL44" s="933" t="e">
        <f>$AL$4*O44/($O$5-$O$8)</f>
        <v>#VALUE!</v>
      </c>
      <c r="AM44" s="933" t="e">
        <f>$AM$4*(K44+X44)/($K$5+$X$5)</f>
        <v>#VALUE!</v>
      </c>
      <c r="AN44" s="933" t="e">
        <f>$AN$4*(K44+X44)/($K$5+$X$5)</f>
        <v>#VALUE!</v>
      </c>
      <c r="AO44" s="933" t="e">
        <f>$AO$4*(K44+X44)/($K$5+$X$5)</f>
        <v>#VALUE!</v>
      </c>
      <c r="AP44" s="946" t="e">
        <f>SUM(AJ44:AO44)</f>
        <v>#VALUE!</v>
      </c>
      <c r="AQ44" s="888"/>
      <c r="AR44" s="941">
        <f>IF(ISERROR(AP44/C44/E44), 0,(AP44/C44/E44))</f>
        <v>0</v>
      </c>
      <c r="AS44" s="888"/>
      <c r="AT44" s="947">
        <f t="shared" si="81"/>
        <v>0</v>
      </c>
      <c r="AU44" s="948">
        <f>+AT44*C44*E44</f>
        <v>0</v>
      </c>
      <c r="AV44" s="949" t="str">
        <f t="shared" si="82"/>
        <v/>
      </c>
      <c r="AW44" s="950">
        <f>H44</f>
        <v>19.05</v>
      </c>
      <c r="AX44" s="951">
        <f>+AW44*C44*E44</f>
        <v>15117.209053138458</v>
      </c>
      <c r="AY44" s="952">
        <f>VLOOKUP(A44,'Comm Price Out'!$A$8:$G$77,7,FALSE)</f>
        <v>20.027803795295537</v>
      </c>
      <c r="AZ44" s="953">
        <f>+AY44*C44*E44</f>
        <v>15893.14944087782</v>
      </c>
      <c r="BA44" s="954">
        <f t="shared" si="84"/>
        <v>5.132828321761343E-2</v>
      </c>
      <c r="BB44" s="126"/>
      <c r="BC44" s="1158">
        <f t="shared" si="85"/>
        <v>-15117.209053138458</v>
      </c>
      <c r="BD44" s="1158">
        <f t="shared" si="86"/>
        <v>-15893.14944087782</v>
      </c>
    </row>
    <row r="45" spans="1:58">
      <c r="A45" s="931" t="str">
        <f>+'Comm Price Out'!A19</f>
        <v>1.25 yd 2xweek</v>
      </c>
      <c r="B45" s="1133">
        <f>+'Comm Price Out'!B19</f>
        <v>0</v>
      </c>
      <c r="C45" s="933">
        <f t="shared" si="101"/>
        <v>0</v>
      </c>
      <c r="D45" s="957">
        <v>2</v>
      </c>
      <c r="E45" s="933">
        <f t="shared" si="67"/>
        <v>104</v>
      </c>
      <c r="F45" s="933">
        <f t="shared" si="87"/>
        <v>0</v>
      </c>
      <c r="G45" s="933"/>
      <c r="H45" s="934">
        <f>+'Comm Price Out'!D19</f>
        <v>19.05</v>
      </c>
      <c r="I45" s="935">
        <f t="shared" si="88"/>
        <v>0</v>
      </c>
      <c r="J45" s="935">
        <f t="shared" si="97"/>
        <v>0</v>
      </c>
      <c r="K45" s="935">
        <f t="shared" si="98"/>
        <v>0</v>
      </c>
      <c r="L45" s="936">
        <f>+L44</f>
        <v>131.25</v>
      </c>
      <c r="M45" s="937">
        <f t="shared" si="99"/>
        <v>129.19087204770079</v>
      </c>
      <c r="N45" s="938">
        <f t="shared" si="100"/>
        <v>0</v>
      </c>
      <c r="O45" s="939">
        <f t="shared" si="68"/>
        <v>0</v>
      </c>
      <c r="P45" s="888"/>
      <c r="Q45" s="936">
        <f>+Q44</f>
        <v>100</v>
      </c>
      <c r="R45" s="941">
        <f t="shared" si="89"/>
        <v>0</v>
      </c>
      <c r="S45" s="941">
        <f t="shared" si="90"/>
        <v>0</v>
      </c>
      <c r="T45" s="942"/>
      <c r="U45" s="941" t="e">
        <f t="shared" si="91"/>
        <v>#VALUE!</v>
      </c>
      <c r="V45" s="943" t="e">
        <f t="shared" si="69"/>
        <v>#VALUE!</v>
      </c>
      <c r="W45" s="888"/>
      <c r="X45" s="892"/>
      <c r="Y45" s="935">
        <f t="shared" si="70"/>
        <v>0</v>
      </c>
      <c r="Z45" s="935">
        <f t="shared" si="71"/>
        <v>0</v>
      </c>
      <c r="AA45" s="944"/>
      <c r="AB45" s="933" t="e">
        <f t="shared" si="72"/>
        <v>#VALUE!</v>
      </c>
      <c r="AC45" s="933" t="e">
        <f t="shared" si="73"/>
        <v>#VALUE!</v>
      </c>
      <c r="AD45" s="933" t="e">
        <f t="shared" si="74"/>
        <v>#VALUE!</v>
      </c>
      <c r="AE45" s="892"/>
      <c r="AF45" s="935">
        <f t="shared" si="92"/>
        <v>0</v>
      </c>
      <c r="AG45" s="935">
        <f t="shared" si="75"/>
        <v>0</v>
      </c>
      <c r="AH45" s="892"/>
      <c r="AI45" s="892"/>
      <c r="AJ45" s="945" t="e">
        <f t="shared" si="93"/>
        <v>#VALUE!</v>
      </c>
      <c r="AK45" s="933">
        <f t="shared" si="76"/>
        <v>0</v>
      </c>
      <c r="AL45" s="933" t="e">
        <f t="shared" si="77"/>
        <v>#VALUE!</v>
      </c>
      <c r="AM45" s="933" t="e">
        <f t="shared" si="78"/>
        <v>#VALUE!</v>
      </c>
      <c r="AN45" s="933" t="e">
        <f t="shared" si="79"/>
        <v>#VALUE!</v>
      </c>
      <c r="AO45" s="933" t="e">
        <f t="shared" si="80"/>
        <v>#VALUE!</v>
      </c>
      <c r="AP45" s="946" t="e">
        <f t="shared" si="94"/>
        <v>#VALUE!</v>
      </c>
      <c r="AQ45" s="888"/>
      <c r="AR45" s="941">
        <f t="shared" si="102"/>
        <v>0</v>
      </c>
      <c r="AS45" s="888"/>
      <c r="AT45" s="947">
        <f t="shared" si="81"/>
        <v>0</v>
      </c>
      <c r="AU45" s="948">
        <f t="shared" si="103"/>
        <v>0</v>
      </c>
      <c r="AV45" s="949" t="str">
        <f t="shared" si="82"/>
        <v/>
      </c>
      <c r="AW45" s="950">
        <f t="shared" si="83"/>
        <v>19.05</v>
      </c>
      <c r="AX45" s="951">
        <f t="shared" si="95"/>
        <v>0</v>
      </c>
      <c r="AY45" s="952">
        <f>VLOOKUP(A45,'Comm Price Out'!$A$8:$G$77,7,FALSE)</f>
        <v>20.027803795295537</v>
      </c>
      <c r="AZ45" s="953">
        <f t="shared" si="96"/>
        <v>0</v>
      </c>
      <c r="BA45" s="954">
        <f t="shared" si="84"/>
        <v>5.132828321761343E-2</v>
      </c>
      <c r="BB45" s="126"/>
      <c r="BC45" s="1158">
        <f t="shared" si="85"/>
        <v>0</v>
      </c>
      <c r="BD45" s="1158">
        <f t="shared" si="86"/>
        <v>0</v>
      </c>
    </row>
    <row r="46" spans="1:58">
      <c r="A46" s="931" t="str">
        <f>+'Comm Price Out'!A20</f>
        <v>1.25 yd 3xweek</v>
      </c>
      <c r="B46" s="1133">
        <f>+'Comm Price Out'!B20</f>
        <v>0</v>
      </c>
      <c r="C46" s="933">
        <f t="shared" si="101"/>
        <v>0</v>
      </c>
      <c r="D46" s="957">
        <v>3</v>
      </c>
      <c r="E46" s="933">
        <f t="shared" si="67"/>
        <v>156</v>
      </c>
      <c r="F46" s="933">
        <f t="shared" si="87"/>
        <v>0</v>
      </c>
      <c r="G46" s="933"/>
      <c r="H46" s="934">
        <f>+'Comm Price Out'!D20</f>
        <v>19.05</v>
      </c>
      <c r="I46" s="935">
        <f t="shared" si="88"/>
        <v>0</v>
      </c>
      <c r="J46" s="935">
        <f t="shared" si="97"/>
        <v>0</v>
      </c>
      <c r="K46" s="935">
        <f t="shared" si="98"/>
        <v>0</v>
      </c>
      <c r="L46" s="936">
        <f>+L45</f>
        <v>131.25</v>
      </c>
      <c r="M46" s="937">
        <f t="shared" si="99"/>
        <v>129.19087204770079</v>
      </c>
      <c r="N46" s="938">
        <f t="shared" si="100"/>
        <v>0</v>
      </c>
      <c r="O46" s="939">
        <f t="shared" si="68"/>
        <v>0</v>
      </c>
      <c r="P46" s="888"/>
      <c r="Q46" s="936">
        <f>+Q45</f>
        <v>100</v>
      </c>
      <c r="R46" s="941">
        <f t="shared" si="89"/>
        <v>0</v>
      </c>
      <c r="S46" s="941">
        <f t="shared" si="90"/>
        <v>0</v>
      </c>
      <c r="T46" s="942"/>
      <c r="U46" s="941" t="e">
        <f t="shared" si="91"/>
        <v>#VALUE!</v>
      </c>
      <c r="V46" s="943" t="e">
        <f t="shared" si="69"/>
        <v>#VALUE!</v>
      </c>
      <c r="W46" s="888"/>
      <c r="X46" s="892"/>
      <c r="Y46" s="935">
        <f t="shared" si="70"/>
        <v>0</v>
      </c>
      <c r="Z46" s="935">
        <f t="shared" si="71"/>
        <v>0</v>
      </c>
      <c r="AA46" s="944"/>
      <c r="AB46" s="933" t="e">
        <f t="shared" si="72"/>
        <v>#VALUE!</v>
      </c>
      <c r="AC46" s="933" t="e">
        <f t="shared" si="73"/>
        <v>#VALUE!</v>
      </c>
      <c r="AD46" s="933" t="e">
        <f t="shared" si="74"/>
        <v>#VALUE!</v>
      </c>
      <c r="AE46" s="892"/>
      <c r="AF46" s="935">
        <f t="shared" si="92"/>
        <v>0</v>
      </c>
      <c r="AG46" s="935">
        <f t="shared" si="75"/>
        <v>0</v>
      </c>
      <c r="AH46" s="892"/>
      <c r="AI46" s="892"/>
      <c r="AJ46" s="945" t="e">
        <f t="shared" si="93"/>
        <v>#VALUE!</v>
      </c>
      <c r="AK46" s="933">
        <f t="shared" si="76"/>
        <v>0</v>
      </c>
      <c r="AL46" s="933" t="e">
        <f t="shared" si="77"/>
        <v>#VALUE!</v>
      </c>
      <c r="AM46" s="933" t="e">
        <f t="shared" si="78"/>
        <v>#VALUE!</v>
      </c>
      <c r="AN46" s="933" t="e">
        <f t="shared" si="79"/>
        <v>#VALUE!</v>
      </c>
      <c r="AO46" s="933" t="e">
        <f t="shared" si="80"/>
        <v>#VALUE!</v>
      </c>
      <c r="AP46" s="946" t="e">
        <f t="shared" si="94"/>
        <v>#VALUE!</v>
      </c>
      <c r="AQ46" s="888"/>
      <c r="AR46" s="941">
        <f t="shared" si="102"/>
        <v>0</v>
      </c>
      <c r="AS46" s="888"/>
      <c r="AT46" s="947">
        <f t="shared" si="81"/>
        <v>0</v>
      </c>
      <c r="AU46" s="948">
        <f t="shared" si="103"/>
        <v>0</v>
      </c>
      <c r="AV46" s="949" t="str">
        <f t="shared" si="82"/>
        <v/>
      </c>
      <c r="AW46" s="950">
        <f t="shared" si="83"/>
        <v>19.05</v>
      </c>
      <c r="AX46" s="951">
        <f t="shared" si="95"/>
        <v>0</v>
      </c>
      <c r="AY46" s="952">
        <f>VLOOKUP(A46,'Comm Price Out'!$A$8:$G$77,7,FALSE)</f>
        <v>20.027803795295537</v>
      </c>
      <c r="AZ46" s="953">
        <f t="shared" si="96"/>
        <v>0</v>
      </c>
      <c r="BA46" s="954">
        <f t="shared" si="84"/>
        <v>5.132828321761343E-2</v>
      </c>
      <c r="BB46" s="126"/>
      <c r="BC46" s="1158">
        <f t="shared" si="85"/>
        <v>0</v>
      </c>
      <c r="BD46" s="1158">
        <f t="shared" si="86"/>
        <v>0</v>
      </c>
    </row>
    <row r="47" spans="1:58">
      <c r="A47" s="931" t="str">
        <f>+'Comm Price Out'!A21</f>
        <v>1.5 yd On Call</v>
      </c>
      <c r="B47" s="1133">
        <f>+'Comm Price Out'!B21</f>
        <v>0</v>
      </c>
      <c r="C47" s="933">
        <f t="shared" si="101"/>
        <v>0</v>
      </c>
      <c r="D47" s="957">
        <f>1/$E$2</f>
        <v>0.23094688221709006</v>
      </c>
      <c r="E47" s="933">
        <f t="shared" si="67"/>
        <v>12.009237875288683</v>
      </c>
      <c r="F47" s="933">
        <f t="shared" si="87"/>
        <v>0</v>
      </c>
      <c r="G47" s="933"/>
      <c r="H47" s="934">
        <f>+'Comm Price Out'!D21</f>
        <v>0</v>
      </c>
      <c r="I47" s="935">
        <f t="shared" si="88"/>
        <v>0</v>
      </c>
      <c r="J47" s="935">
        <f t="shared" si="97"/>
        <v>0</v>
      </c>
      <c r="K47" s="935">
        <f t="shared" si="98"/>
        <v>0</v>
      </c>
      <c r="L47" s="1142">
        <f>+'Meeks +'!F26*$S$1</f>
        <v>150</v>
      </c>
      <c r="M47" s="937">
        <f t="shared" si="99"/>
        <v>147.64671091165806</v>
      </c>
      <c r="N47" s="938">
        <f t="shared" si="100"/>
        <v>0</v>
      </c>
      <c r="O47" s="939">
        <f t="shared" si="68"/>
        <v>0</v>
      </c>
      <c r="P47" s="888"/>
      <c r="Q47" s="1142">
        <f>+'Meeks +'!C26</f>
        <v>80</v>
      </c>
      <c r="R47" s="941">
        <f t="shared" si="89"/>
        <v>0</v>
      </c>
      <c r="S47" s="941">
        <f t="shared" si="90"/>
        <v>0</v>
      </c>
      <c r="T47" s="942"/>
      <c r="U47" s="941" t="e">
        <f t="shared" si="91"/>
        <v>#VALUE!</v>
      </c>
      <c r="V47" s="943" t="e">
        <f t="shared" si="69"/>
        <v>#VALUE!</v>
      </c>
      <c r="W47" s="888"/>
      <c r="X47" s="892"/>
      <c r="Y47" s="935">
        <f t="shared" si="70"/>
        <v>0</v>
      </c>
      <c r="Z47" s="935">
        <f t="shared" si="71"/>
        <v>0</v>
      </c>
      <c r="AA47" s="944"/>
      <c r="AB47" s="933" t="e">
        <f t="shared" si="72"/>
        <v>#VALUE!</v>
      </c>
      <c r="AC47" s="933" t="e">
        <f t="shared" si="73"/>
        <v>#VALUE!</v>
      </c>
      <c r="AD47" s="933" t="e">
        <f t="shared" si="74"/>
        <v>#VALUE!</v>
      </c>
      <c r="AE47" s="892"/>
      <c r="AF47" s="935">
        <f t="shared" si="92"/>
        <v>0</v>
      </c>
      <c r="AG47" s="935">
        <f t="shared" si="75"/>
        <v>0</v>
      </c>
      <c r="AH47" s="892"/>
      <c r="AI47" s="892"/>
      <c r="AJ47" s="945" t="e">
        <f t="shared" si="93"/>
        <v>#VALUE!</v>
      </c>
      <c r="AK47" s="933">
        <f t="shared" si="76"/>
        <v>0</v>
      </c>
      <c r="AL47" s="933" t="e">
        <f t="shared" si="77"/>
        <v>#VALUE!</v>
      </c>
      <c r="AM47" s="933" t="e">
        <f t="shared" si="78"/>
        <v>#VALUE!</v>
      </c>
      <c r="AN47" s="933" t="e">
        <f t="shared" si="79"/>
        <v>#VALUE!</v>
      </c>
      <c r="AO47" s="933" t="e">
        <f t="shared" si="80"/>
        <v>#VALUE!</v>
      </c>
      <c r="AP47" s="946" t="e">
        <f t="shared" si="94"/>
        <v>#VALUE!</v>
      </c>
      <c r="AQ47" s="888"/>
      <c r="AR47" s="941">
        <f t="shared" si="102"/>
        <v>0</v>
      </c>
      <c r="AS47" s="888"/>
      <c r="AT47" s="947">
        <f t="shared" si="81"/>
        <v>0</v>
      </c>
      <c r="AU47" s="948">
        <f t="shared" si="103"/>
        <v>0</v>
      </c>
      <c r="AV47" s="949" t="str">
        <f t="shared" si="82"/>
        <v/>
      </c>
      <c r="AW47" s="950">
        <f t="shared" si="83"/>
        <v>0</v>
      </c>
      <c r="AX47" s="951">
        <f t="shared" si="95"/>
        <v>0</v>
      </c>
      <c r="AY47" s="952">
        <f>VLOOKUP(A47,'Comm Price Out'!$A$8:$G$77,7,FALSE)</f>
        <v>0</v>
      </c>
      <c r="AZ47" s="953">
        <f t="shared" si="96"/>
        <v>0</v>
      </c>
      <c r="BA47" s="954" t="str">
        <f t="shared" si="84"/>
        <v/>
      </c>
      <c r="BB47" s="126"/>
      <c r="BC47" s="1158">
        <f t="shared" si="85"/>
        <v>0</v>
      </c>
      <c r="BD47" s="1158">
        <f t="shared" si="86"/>
        <v>0</v>
      </c>
    </row>
    <row r="48" spans="1:58">
      <c r="A48" s="931" t="str">
        <f>+'Comm Price Out'!A22</f>
        <v>1.5 yd 1xweek</v>
      </c>
      <c r="B48" s="1133">
        <f>+'Comm Price Out'!B22</f>
        <v>0</v>
      </c>
      <c r="C48" s="933">
        <f t="shared" si="101"/>
        <v>0</v>
      </c>
      <c r="D48" s="957">
        <v>1</v>
      </c>
      <c r="E48" s="933">
        <f t="shared" si="67"/>
        <v>52</v>
      </c>
      <c r="F48" s="933">
        <f t="shared" si="87"/>
        <v>0</v>
      </c>
      <c r="G48" s="933"/>
      <c r="H48" s="934">
        <f>+'Comm Price Out'!D22</f>
        <v>0</v>
      </c>
      <c r="I48" s="935">
        <f t="shared" si="88"/>
        <v>0</v>
      </c>
      <c r="J48" s="935">
        <f t="shared" si="97"/>
        <v>0</v>
      </c>
      <c r="K48" s="935">
        <f t="shared" si="98"/>
        <v>0</v>
      </c>
      <c r="L48" s="936">
        <f>+L47</f>
        <v>150</v>
      </c>
      <c r="M48" s="937">
        <f t="shared" si="99"/>
        <v>147.64671091165806</v>
      </c>
      <c r="N48" s="938">
        <f t="shared" si="100"/>
        <v>0</v>
      </c>
      <c r="O48" s="939">
        <f t="shared" si="68"/>
        <v>0</v>
      </c>
      <c r="P48" s="888"/>
      <c r="Q48" s="936">
        <f>+Q47</f>
        <v>80</v>
      </c>
      <c r="R48" s="941">
        <f t="shared" si="89"/>
        <v>0</v>
      </c>
      <c r="S48" s="941">
        <f t="shared" si="90"/>
        <v>0</v>
      </c>
      <c r="T48" s="942"/>
      <c r="U48" s="941" t="e">
        <f t="shared" si="91"/>
        <v>#VALUE!</v>
      </c>
      <c r="V48" s="943" t="e">
        <f t="shared" si="69"/>
        <v>#VALUE!</v>
      </c>
      <c r="W48" s="888"/>
      <c r="X48" s="892"/>
      <c r="Y48" s="935">
        <f t="shared" si="70"/>
        <v>0</v>
      </c>
      <c r="Z48" s="935">
        <f t="shared" si="71"/>
        <v>0</v>
      </c>
      <c r="AA48" s="944"/>
      <c r="AB48" s="933" t="e">
        <f t="shared" si="72"/>
        <v>#VALUE!</v>
      </c>
      <c r="AC48" s="933" t="e">
        <f t="shared" si="73"/>
        <v>#VALUE!</v>
      </c>
      <c r="AD48" s="933" t="e">
        <f t="shared" si="74"/>
        <v>#VALUE!</v>
      </c>
      <c r="AE48" s="892"/>
      <c r="AF48" s="935">
        <f t="shared" si="92"/>
        <v>0</v>
      </c>
      <c r="AG48" s="935">
        <f t="shared" si="75"/>
        <v>0</v>
      </c>
      <c r="AH48" s="892"/>
      <c r="AI48" s="892"/>
      <c r="AJ48" s="945" t="e">
        <f t="shared" si="93"/>
        <v>#VALUE!</v>
      </c>
      <c r="AK48" s="933">
        <f t="shared" si="76"/>
        <v>0</v>
      </c>
      <c r="AL48" s="933" t="e">
        <f t="shared" si="77"/>
        <v>#VALUE!</v>
      </c>
      <c r="AM48" s="933" t="e">
        <f t="shared" si="78"/>
        <v>#VALUE!</v>
      </c>
      <c r="AN48" s="933" t="e">
        <f t="shared" si="79"/>
        <v>#VALUE!</v>
      </c>
      <c r="AO48" s="933" t="e">
        <f t="shared" si="80"/>
        <v>#VALUE!</v>
      </c>
      <c r="AP48" s="946" t="e">
        <f t="shared" si="94"/>
        <v>#VALUE!</v>
      </c>
      <c r="AQ48" s="888"/>
      <c r="AR48" s="941">
        <f t="shared" si="102"/>
        <v>0</v>
      </c>
      <c r="AS48" s="888"/>
      <c r="AT48" s="947">
        <f t="shared" si="81"/>
        <v>0</v>
      </c>
      <c r="AU48" s="948">
        <f t="shared" si="103"/>
        <v>0</v>
      </c>
      <c r="AV48" s="949" t="str">
        <f t="shared" si="82"/>
        <v/>
      </c>
      <c r="AW48" s="950">
        <f t="shared" si="83"/>
        <v>0</v>
      </c>
      <c r="AX48" s="951">
        <f t="shared" si="95"/>
        <v>0</v>
      </c>
      <c r="AY48" s="952">
        <f>VLOOKUP(A48,'Comm Price Out'!$A$8:$G$77,7,FALSE)</f>
        <v>0</v>
      </c>
      <c r="AZ48" s="953">
        <f t="shared" si="96"/>
        <v>0</v>
      </c>
      <c r="BA48" s="954" t="str">
        <f t="shared" si="84"/>
        <v/>
      </c>
      <c r="BC48" s="1158">
        <f t="shared" si="85"/>
        <v>0</v>
      </c>
      <c r="BD48" s="1158">
        <f t="shared" si="86"/>
        <v>0</v>
      </c>
    </row>
    <row r="49" spans="1:56">
      <c r="A49" s="931" t="str">
        <f>+'Comm Price Out'!A23</f>
        <v>1.5 yd 2xweek</v>
      </c>
      <c r="B49" s="1133">
        <f>+'Comm Price Out'!B23</f>
        <v>0</v>
      </c>
      <c r="C49" s="933">
        <f t="shared" si="101"/>
        <v>0</v>
      </c>
      <c r="D49" s="957">
        <v>2</v>
      </c>
      <c r="E49" s="933">
        <f t="shared" si="67"/>
        <v>104</v>
      </c>
      <c r="F49" s="933">
        <f t="shared" si="87"/>
        <v>0</v>
      </c>
      <c r="G49" s="933"/>
      <c r="H49" s="934">
        <f>+'Comm Price Out'!D23</f>
        <v>0</v>
      </c>
      <c r="I49" s="935">
        <f t="shared" si="88"/>
        <v>0</v>
      </c>
      <c r="J49" s="935">
        <f t="shared" si="97"/>
        <v>0</v>
      </c>
      <c r="K49" s="935">
        <f t="shared" si="98"/>
        <v>0</v>
      </c>
      <c r="L49" s="936">
        <f>+L48</f>
        <v>150</v>
      </c>
      <c r="M49" s="937">
        <f t="shared" si="99"/>
        <v>147.64671091165806</v>
      </c>
      <c r="N49" s="938">
        <f t="shared" si="100"/>
        <v>0</v>
      </c>
      <c r="O49" s="939">
        <f t="shared" si="68"/>
        <v>0</v>
      </c>
      <c r="P49" s="888"/>
      <c r="Q49" s="936">
        <f>+Q48</f>
        <v>80</v>
      </c>
      <c r="R49" s="941">
        <f t="shared" si="89"/>
        <v>0</v>
      </c>
      <c r="S49" s="941">
        <f t="shared" si="90"/>
        <v>0</v>
      </c>
      <c r="T49" s="942"/>
      <c r="U49" s="941" t="e">
        <f t="shared" si="91"/>
        <v>#VALUE!</v>
      </c>
      <c r="V49" s="943" t="e">
        <f t="shared" si="69"/>
        <v>#VALUE!</v>
      </c>
      <c r="W49" s="888"/>
      <c r="X49" s="892"/>
      <c r="Y49" s="935">
        <f t="shared" si="70"/>
        <v>0</v>
      </c>
      <c r="Z49" s="935">
        <f t="shared" si="71"/>
        <v>0</v>
      </c>
      <c r="AA49" s="944"/>
      <c r="AB49" s="933" t="e">
        <f t="shared" si="72"/>
        <v>#VALUE!</v>
      </c>
      <c r="AC49" s="933" t="e">
        <f t="shared" si="73"/>
        <v>#VALUE!</v>
      </c>
      <c r="AD49" s="933" t="e">
        <f t="shared" si="74"/>
        <v>#VALUE!</v>
      </c>
      <c r="AE49" s="892"/>
      <c r="AF49" s="935">
        <f t="shared" si="92"/>
        <v>0</v>
      </c>
      <c r="AG49" s="935">
        <f t="shared" si="75"/>
        <v>0</v>
      </c>
      <c r="AH49" s="892"/>
      <c r="AI49" s="892"/>
      <c r="AJ49" s="945" t="e">
        <f t="shared" si="93"/>
        <v>#VALUE!</v>
      </c>
      <c r="AK49" s="933">
        <f t="shared" si="76"/>
        <v>0</v>
      </c>
      <c r="AL49" s="933" t="e">
        <f t="shared" si="77"/>
        <v>#VALUE!</v>
      </c>
      <c r="AM49" s="933" t="e">
        <f t="shared" si="78"/>
        <v>#VALUE!</v>
      </c>
      <c r="AN49" s="933" t="e">
        <f t="shared" si="79"/>
        <v>#VALUE!</v>
      </c>
      <c r="AO49" s="933" t="e">
        <f t="shared" si="80"/>
        <v>#VALUE!</v>
      </c>
      <c r="AP49" s="946" t="e">
        <f t="shared" si="94"/>
        <v>#VALUE!</v>
      </c>
      <c r="AQ49" s="888"/>
      <c r="AR49" s="941">
        <f t="shared" si="102"/>
        <v>0</v>
      </c>
      <c r="AS49" s="888"/>
      <c r="AT49" s="947">
        <f t="shared" si="81"/>
        <v>0</v>
      </c>
      <c r="AU49" s="948">
        <f t="shared" si="103"/>
        <v>0</v>
      </c>
      <c r="AV49" s="949" t="str">
        <f t="shared" si="82"/>
        <v/>
      </c>
      <c r="AW49" s="950">
        <f t="shared" si="83"/>
        <v>0</v>
      </c>
      <c r="AX49" s="951">
        <f t="shared" si="95"/>
        <v>0</v>
      </c>
      <c r="AY49" s="952">
        <f>VLOOKUP(A49,'Comm Price Out'!$A$8:$G$77,7,FALSE)</f>
        <v>0</v>
      </c>
      <c r="AZ49" s="953">
        <f t="shared" si="96"/>
        <v>0</v>
      </c>
      <c r="BA49" s="954" t="str">
        <f t="shared" si="84"/>
        <v/>
      </c>
      <c r="BC49" s="1158">
        <f t="shared" si="85"/>
        <v>0</v>
      </c>
      <c r="BD49" s="1158">
        <f t="shared" si="86"/>
        <v>0</v>
      </c>
    </row>
    <row r="50" spans="1:56">
      <c r="A50" s="931" t="str">
        <f>+'Comm Price Out'!A24</f>
        <v>1.5 yd 3xweek</v>
      </c>
      <c r="B50" s="1133">
        <f>+'Comm Price Out'!B24</f>
        <v>0</v>
      </c>
      <c r="C50" s="933">
        <f t="shared" si="101"/>
        <v>0</v>
      </c>
      <c r="D50" s="957">
        <v>3</v>
      </c>
      <c r="E50" s="933">
        <f t="shared" si="67"/>
        <v>156</v>
      </c>
      <c r="F50" s="933">
        <f t="shared" si="87"/>
        <v>0</v>
      </c>
      <c r="G50" s="933"/>
      <c r="H50" s="934">
        <f>+'Comm Price Out'!D24</f>
        <v>0</v>
      </c>
      <c r="I50" s="935">
        <f t="shared" si="88"/>
        <v>0</v>
      </c>
      <c r="J50" s="935">
        <f t="shared" si="97"/>
        <v>0</v>
      </c>
      <c r="K50" s="935">
        <f t="shared" si="98"/>
        <v>0</v>
      </c>
      <c r="L50" s="936">
        <f>+L49</f>
        <v>150</v>
      </c>
      <c r="M50" s="937">
        <f t="shared" si="99"/>
        <v>147.64671091165806</v>
      </c>
      <c r="N50" s="938">
        <f t="shared" si="100"/>
        <v>0</v>
      </c>
      <c r="O50" s="939">
        <f t="shared" si="68"/>
        <v>0</v>
      </c>
      <c r="P50" s="888"/>
      <c r="Q50" s="936">
        <f>+Q49</f>
        <v>80</v>
      </c>
      <c r="R50" s="941">
        <f t="shared" si="89"/>
        <v>0</v>
      </c>
      <c r="S50" s="941">
        <f t="shared" si="90"/>
        <v>0</v>
      </c>
      <c r="T50" s="942"/>
      <c r="U50" s="941" t="e">
        <f t="shared" si="91"/>
        <v>#VALUE!</v>
      </c>
      <c r="V50" s="943" t="e">
        <f t="shared" si="69"/>
        <v>#VALUE!</v>
      </c>
      <c r="W50" s="888"/>
      <c r="X50" s="892"/>
      <c r="Y50" s="935">
        <f t="shared" si="70"/>
        <v>0</v>
      </c>
      <c r="Z50" s="935">
        <f t="shared" si="71"/>
        <v>0</v>
      </c>
      <c r="AA50" s="944"/>
      <c r="AB50" s="933" t="e">
        <f t="shared" si="72"/>
        <v>#VALUE!</v>
      </c>
      <c r="AC50" s="933" t="e">
        <f t="shared" si="73"/>
        <v>#VALUE!</v>
      </c>
      <c r="AD50" s="933" t="e">
        <f t="shared" si="74"/>
        <v>#VALUE!</v>
      </c>
      <c r="AE50" s="892"/>
      <c r="AF50" s="935">
        <f t="shared" si="92"/>
        <v>0</v>
      </c>
      <c r="AG50" s="935">
        <f t="shared" si="75"/>
        <v>0</v>
      </c>
      <c r="AH50" s="892"/>
      <c r="AI50" s="892"/>
      <c r="AJ50" s="945" t="e">
        <f t="shared" si="93"/>
        <v>#VALUE!</v>
      </c>
      <c r="AK50" s="933">
        <f t="shared" si="76"/>
        <v>0</v>
      </c>
      <c r="AL50" s="933" t="e">
        <f t="shared" si="77"/>
        <v>#VALUE!</v>
      </c>
      <c r="AM50" s="933" t="e">
        <f t="shared" si="78"/>
        <v>#VALUE!</v>
      </c>
      <c r="AN50" s="933" t="e">
        <f t="shared" si="79"/>
        <v>#VALUE!</v>
      </c>
      <c r="AO50" s="933" t="e">
        <f t="shared" si="80"/>
        <v>#VALUE!</v>
      </c>
      <c r="AP50" s="946" t="e">
        <f t="shared" si="94"/>
        <v>#VALUE!</v>
      </c>
      <c r="AQ50" s="888"/>
      <c r="AR50" s="941">
        <f t="shared" si="102"/>
        <v>0</v>
      </c>
      <c r="AS50" s="888"/>
      <c r="AT50" s="947">
        <f t="shared" si="81"/>
        <v>0</v>
      </c>
      <c r="AU50" s="948">
        <f t="shared" si="103"/>
        <v>0</v>
      </c>
      <c r="AV50" s="949" t="str">
        <f t="shared" si="82"/>
        <v/>
      </c>
      <c r="AW50" s="950">
        <f t="shared" si="83"/>
        <v>0</v>
      </c>
      <c r="AX50" s="951">
        <f t="shared" si="95"/>
        <v>0</v>
      </c>
      <c r="AY50" s="952">
        <f>VLOOKUP(A50,'Comm Price Out'!$A$8:$G$77,7,FALSE)</f>
        <v>0</v>
      </c>
      <c r="AZ50" s="953">
        <f t="shared" si="96"/>
        <v>0</v>
      </c>
      <c r="BA50" s="954" t="str">
        <f t="shared" si="84"/>
        <v/>
      </c>
      <c r="BC50" s="1158">
        <f t="shared" si="85"/>
        <v>0</v>
      </c>
      <c r="BD50" s="1158">
        <f t="shared" si="86"/>
        <v>0</v>
      </c>
    </row>
    <row r="51" spans="1:56">
      <c r="A51" s="931" t="str">
        <f>+'Comm Price Out'!A25</f>
        <v>1.5 yd 4xweek</v>
      </c>
      <c r="B51" s="1133">
        <f>+'Comm Price Out'!B25</f>
        <v>0</v>
      </c>
      <c r="C51" s="933">
        <f t="shared" si="101"/>
        <v>0</v>
      </c>
      <c r="D51" s="957">
        <v>4</v>
      </c>
      <c r="E51" s="933">
        <f t="shared" si="67"/>
        <v>208</v>
      </c>
      <c r="F51" s="933">
        <f t="shared" si="87"/>
        <v>0</v>
      </c>
      <c r="G51" s="933"/>
      <c r="H51" s="934">
        <f>+'Comm Price Out'!D25</f>
        <v>0</v>
      </c>
      <c r="I51" s="935">
        <f t="shared" si="88"/>
        <v>0</v>
      </c>
      <c r="J51" s="935">
        <f t="shared" si="97"/>
        <v>0</v>
      </c>
      <c r="K51" s="935">
        <f t="shared" si="98"/>
        <v>0</v>
      </c>
      <c r="L51" s="936">
        <f>+L50</f>
        <v>150</v>
      </c>
      <c r="M51" s="937">
        <f t="shared" si="99"/>
        <v>147.64671091165806</v>
      </c>
      <c r="N51" s="938">
        <f t="shared" si="100"/>
        <v>0</v>
      </c>
      <c r="O51" s="939">
        <f t="shared" si="68"/>
        <v>0</v>
      </c>
      <c r="P51" s="888"/>
      <c r="Q51" s="936">
        <f>+Q50</f>
        <v>80</v>
      </c>
      <c r="R51" s="941">
        <f t="shared" si="89"/>
        <v>0</v>
      </c>
      <c r="S51" s="941">
        <f t="shared" si="90"/>
        <v>0</v>
      </c>
      <c r="T51" s="942"/>
      <c r="U51" s="941" t="e">
        <f t="shared" si="91"/>
        <v>#VALUE!</v>
      </c>
      <c r="V51" s="943" t="e">
        <f t="shared" si="69"/>
        <v>#VALUE!</v>
      </c>
      <c r="W51" s="888"/>
      <c r="X51" s="892"/>
      <c r="Y51" s="935">
        <f t="shared" si="70"/>
        <v>0</v>
      </c>
      <c r="Z51" s="935">
        <f t="shared" si="71"/>
        <v>0</v>
      </c>
      <c r="AA51" s="944"/>
      <c r="AB51" s="933" t="e">
        <f t="shared" si="72"/>
        <v>#VALUE!</v>
      </c>
      <c r="AC51" s="933" t="e">
        <f t="shared" si="73"/>
        <v>#VALUE!</v>
      </c>
      <c r="AD51" s="933" t="e">
        <f t="shared" si="74"/>
        <v>#VALUE!</v>
      </c>
      <c r="AE51" s="892"/>
      <c r="AF51" s="935">
        <f t="shared" si="92"/>
        <v>0</v>
      </c>
      <c r="AG51" s="935">
        <f t="shared" si="75"/>
        <v>0</v>
      </c>
      <c r="AH51" s="892"/>
      <c r="AI51" s="892"/>
      <c r="AJ51" s="945" t="e">
        <f t="shared" si="93"/>
        <v>#VALUE!</v>
      </c>
      <c r="AK51" s="933">
        <f t="shared" si="76"/>
        <v>0</v>
      </c>
      <c r="AL51" s="933" t="e">
        <f t="shared" si="77"/>
        <v>#VALUE!</v>
      </c>
      <c r="AM51" s="933" t="e">
        <f t="shared" si="78"/>
        <v>#VALUE!</v>
      </c>
      <c r="AN51" s="933" t="e">
        <f t="shared" si="79"/>
        <v>#VALUE!</v>
      </c>
      <c r="AO51" s="933" t="e">
        <f t="shared" si="80"/>
        <v>#VALUE!</v>
      </c>
      <c r="AP51" s="946" t="e">
        <f t="shared" si="94"/>
        <v>#VALUE!</v>
      </c>
      <c r="AQ51" s="888"/>
      <c r="AR51" s="941">
        <f t="shared" si="102"/>
        <v>0</v>
      </c>
      <c r="AS51" s="888"/>
      <c r="AT51" s="947">
        <f t="shared" si="81"/>
        <v>0</v>
      </c>
      <c r="AU51" s="948">
        <f t="shared" si="103"/>
        <v>0</v>
      </c>
      <c r="AV51" s="949" t="str">
        <f t="shared" si="82"/>
        <v/>
      </c>
      <c r="AW51" s="950">
        <f t="shared" si="83"/>
        <v>0</v>
      </c>
      <c r="AX51" s="951">
        <f t="shared" si="95"/>
        <v>0</v>
      </c>
      <c r="AY51" s="952">
        <f>VLOOKUP(A51,'Comm Price Out'!$A$8:$G$77,7,FALSE)</f>
        <v>0</v>
      </c>
      <c r="AZ51" s="953">
        <f t="shared" si="96"/>
        <v>0</v>
      </c>
      <c r="BA51" s="954" t="str">
        <f t="shared" si="84"/>
        <v/>
      </c>
      <c r="BC51" s="1158">
        <f t="shared" si="85"/>
        <v>0</v>
      </c>
      <c r="BD51" s="1158">
        <f t="shared" si="86"/>
        <v>0</v>
      </c>
    </row>
    <row r="52" spans="1:56">
      <c r="A52" s="931" t="str">
        <f>+'Comm Price Out'!A26</f>
        <v>2 yd Comp Week</v>
      </c>
      <c r="B52" s="1133">
        <f>+'Comm Price Out'!B26</f>
        <v>0</v>
      </c>
      <c r="C52" s="933">
        <f>B52*$K$3</f>
        <v>0</v>
      </c>
      <c r="D52" s="957">
        <v>1</v>
      </c>
      <c r="E52" s="933">
        <f t="shared" si="67"/>
        <v>52</v>
      </c>
      <c r="F52" s="933">
        <f t="shared" si="87"/>
        <v>0</v>
      </c>
      <c r="G52" s="933"/>
      <c r="H52" s="934">
        <f>+'Comm Price Out'!D26</f>
        <v>0</v>
      </c>
      <c r="I52" s="935">
        <f t="shared" si="88"/>
        <v>0</v>
      </c>
      <c r="J52" s="935">
        <f t="shared" si="97"/>
        <v>0</v>
      </c>
      <c r="K52" s="935">
        <f t="shared" si="98"/>
        <v>0</v>
      </c>
      <c r="L52" s="1142">
        <f>+'Meeks +'!F32/3*2*$S$1</f>
        <v>520.4</v>
      </c>
      <c r="M52" s="937">
        <f t="shared" si="99"/>
        <v>512.23565572284565</v>
      </c>
      <c r="N52" s="938">
        <f t="shared" si="100"/>
        <v>0</v>
      </c>
      <c r="O52" s="939">
        <f t="shared" si="68"/>
        <v>0</v>
      </c>
      <c r="P52" s="888"/>
      <c r="Q52" s="1142">
        <f>+'Meeks +'!C32/3*2</f>
        <v>80</v>
      </c>
      <c r="R52" s="941">
        <f t="shared" si="89"/>
        <v>0</v>
      </c>
      <c r="S52" s="941">
        <f t="shared" si="90"/>
        <v>0</v>
      </c>
      <c r="T52" s="942"/>
      <c r="U52" s="941" t="e">
        <f t="shared" si="91"/>
        <v>#VALUE!</v>
      </c>
      <c r="V52" s="943" t="e">
        <f t="shared" si="69"/>
        <v>#VALUE!</v>
      </c>
      <c r="W52" s="888"/>
      <c r="X52" s="892"/>
      <c r="Y52" s="935">
        <f t="shared" si="70"/>
        <v>0</v>
      </c>
      <c r="Z52" s="935">
        <f t="shared" si="71"/>
        <v>0</v>
      </c>
      <c r="AA52" s="944"/>
      <c r="AB52" s="933" t="e">
        <f t="shared" si="72"/>
        <v>#VALUE!</v>
      </c>
      <c r="AC52" s="933" t="e">
        <f t="shared" si="73"/>
        <v>#VALUE!</v>
      </c>
      <c r="AD52" s="933" t="e">
        <f t="shared" si="74"/>
        <v>#VALUE!</v>
      </c>
      <c r="AE52" s="892"/>
      <c r="AF52" s="935">
        <f t="shared" si="92"/>
        <v>0</v>
      </c>
      <c r="AG52" s="935">
        <f t="shared" si="75"/>
        <v>0</v>
      </c>
      <c r="AH52" s="892"/>
      <c r="AI52" s="892"/>
      <c r="AJ52" s="945" t="e">
        <f t="shared" si="93"/>
        <v>#VALUE!</v>
      </c>
      <c r="AK52" s="933">
        <f t="shared" si="76"/>
        <v>0</v>
      </c>
      <c r="AL52" s="933" t="e">
        <f t="shared" si="77"/>
        <v>#VALUE!</v>
      </c>
      <c r="AM52" s="933" t="e">
        <f t="shared" si="78"/>
        <v>#VALUE!</v>
      </c>
      <c r="AN52" s="933" t="e">
        <f t="shared" si="79"/>
        <v>#VALUE!</v>
      </c>
      <c r="AO52" s="933" t="e">
        <f t="shared" si="80"/>
        <v>#VALUE!</v>
      </c>
      <c r="AP52" s="946" t="e">
        <f t="shared" si="94"/>
        <v>#VALUE!</v>
      </c>
      <c r="AQ52" s="888"/>
      <c r="AR52" s="941">
        <f t="shared" si="102"/>
        <v>0</v>
      </c>
      <c r="AS52" s="888"/>
      <c r="AT52" s="947">
        <f t="shared" ref="AT52:AT60" si="104">AR52/$AT$4</f>
        <v>0</v>
      </c>
      <c r="AU52" s="948">
        <f>+AT52*C52*E52</f>
        <v>0</v>
      </c>
      <c r="AV52" s="949" t="str">
        <f t="shared" si="82"/>
        <v/>
      </c>
      <c r="AW52" s="950">
        <f t="shared" si="83"/>
        <v>0</v>
      </c>
      <c r="AX52" s="951">
        <f t="shared" si="95"/>
        <v>0</v>
      </c>
      <c r="AY52" s="952">
        <f>VLOOKUP(A52,'Comm Price Out'!$A$8:$G$77,7,FALSE)</f>
        <v>0</v>
      </c>
      <c r="AZ52" s="953">
        <f t="shared" si="96"/>
        <v>0</v>
      </c>
      <c r="BA52" s="954" t="str">
        <f t="shared" si="84"/>
        <v/>
      </c>
      <c r="BB52" s="126"/>
      <c r="BC52" s="1158">
        <f t="shared" si="85"/>
        <v>0</v>
      </c>
      <c r="BD52" s="1158">
        <f t="shared" si="86"/>
        <v>0</v>
      </c>
    </row>
    <row r="53" spans="1:56">
      <c r="A53" s="931" t="str">
        <f>+'Comm Price Out'!A27</f>
        <v>2 yd Comp Week (5x Comp)</v>
      </c>
      <c r="B53" s="1133">
        <f>+'Comm Price Out'!B27</f>
        <v>0</v>
      </c>
      <c r="C53" s="933">
        <f>B53*$K$3</f>
        <v>0</v>
      </c>
      <c r="D53" s="957">
        <v>1</v>
      </c>
      <c r="E53" s="933">
        <f t="shared" si="67"/>
        <v>52</v>
      </c>
      <c r="F53" s="933">
        <f t="shared" si="87"/>
        <v>0</v>
      </c>
      <c r="G53" s="933"/>
      <c r="H53" s="934">
        <f>+'Comm Price Out'!D27</f>
        <v>0</v>
      </c>
      <c r="I53" s="935">
        <f t="shared" si="88"/>
        <v>0</v>
      </c>
      <c r="J53" s="935">
        <f t="shared" si="97"/>
        <v>0</v>
      </c>
      <c r="K53" s="935">
        <f t="shared" si="98"/>
        <v>0</v>
      </c>
      <c r="L53" s="936">
        <f>+L52/3.5*5</f>
        <v>743.42857142857144</v>
      </c>
      <c r="M53" s="937">
        <f t="shared" si="99"/>
        <v>731.76522246120817</v>
      </c>
      <c r="N53" s="938">
        <f t="shared" si="100"/>
        <v>0</v>
      </c>
      <c r="O53" s="939">
        <f t="shared" si="68"/>
        <v>0</v>
      </c>
      <c r="P53" s="888"/>
      <c r="Q53" s="936">
        <f>+Q52/3.5*5</f>
        <v>114.28571428571429</v>
      </c>
      <c r="R53" s="941">
        <f t="shared" si="89"/>
        <v>0</v>
      </c>
      <c r="S53" s="941">
        <f t="shared" si="90"/>
        <v>0</v>
      </c>
      <c r="T53" s="942"/>
      <c r="U53" s="941" t="e">
        <f t="shared" si="91"/>
        <v>#VALUE!</v>
      </c>
      <c r="V53" s="943" t="e">
        <f t="shared" si="69"/>
        <v>#VALUE!</v>
      </c>
      <c r="W53" s="888"/>
      <c r="X53" s="892"/>
      <c r="Y53" s="935">
        <f t="shared" si="70"/>
        <v>0</v>
      </c>
      <c r="Z53" s="935">
        <f t="shared" si="71"/>
        <v>0</v>
      </c>
      <c r="AA53" s="944"/>
      <c r="AB53" s="933" t="e">
        <f t="shared" si="72"/>
        <v>#VALUE!</v>
      </c>
      <c r="AC53" s="933" t="e">
        <f t="shared" si="73"/>
        <v>#VALUE!</v>
      </c>
      <c r="AD53" s="933" t="e">
        <f t="shared" si="74"/>
        <v>#VALUE!</v>
      </c>
      <c r="AE53" s="892"/>
      <c r="AF53" s="935">
        <f t="shared" si="92"/>
        <v>0</v>
      </c>
      <c r="AG53" s="935">
        <f t="shared" si="75"/>
        <v>0</v>
      </c>
      <c r="AH53" s="892"/>
      <c r="AI53" s="892"/>
      <c r="AJ53" s="945" t="e">
        <f t="shared" si="93"/>
        <v>#VALUE!</v>
      </c>
      <c r="AK53" s="933">
        <f t="shared" si="76"/>
        <v>0</v>
      </c>
      <c r="AL53" s="933" t="e">
        <f t="shared" si="77"/>
        <v>#VALUE!</v>
      </c>
      <c r="AM53" s="933" t="e">
        <f t="shared" si="78"/>
        <v>#VALUE!</v>
      </c>
      <c r="AN53" s="933" t="e">
        <f t="shared" si="79"/>
        <v>#VALUE!</v>
      </c>
      <c r="AO53" s="933" t="e">
        <f t="shared" si="80"/>
        <v>#VALUE!</v>
      </c>
      <c r="AP53" s="946" t="e">
        <f t="shared" si="94"/>
        <v>#VALUE!</v>
      </c>
      <c r="AQ53" s="888"/>
      <c r="AR53" s="941">
        <f t="shared" si="102"/>
        <v>0</v>
      </c>
      <c r="AS53" s="888"/>
      <c r="AT53" s="947">
        <f t="shared" si="104"/>
        <v>0</v>
      </c>
      <c r="AU53" s="948">
        <f>+AT53*C53*E53</f>
        <v>0</v>
      </c>
      <c r="AV53" s="949" t="str">
        <f t="shared" si="82"/>
        <v/>
      </c>
      <c r="AW53" s="950">
        <f t="shared" si="83"/>
        <v>0</v>
      </c>
      <c r="AX53" s="951">
        <f t="shared" si="95"/>
        <v>0</v>
      </c>
      <c r="AY53" s="952">
        <f>VLOOKUP(A53,'Comm Price Out'!$A$8:$G$77,7,FALSE)</f>
        <v>0</v>
      </c>
      <c r="AZ53" s="953">
        <f t="shared" si="96"/>
        <v>0</v>
      </c>
      <c r="BA53" s="954" t="str">
        <f t="shared" si="84"/>
        <v/>
      </c>
      <c r="BB53" s="126"/>
      <c r="BC53" s="1158">
        <f t="shared" si="85"/>
        <v>0</v>
      </c>
      <c r="BD53" s="1158">
        <f t="shared" si="86"/>
        <v>0</v>
      </c>
    </row>
    <row r="54" spans="1:56">
      <c r="A54" s="931" t="str">
        <f>+'Comm Price Out'!A28</f>
        <v>2yd On Call</v>
      </c>
      <c r="B54" s="1133">
        <f>+'Comm Price Out'!B28</f>
        <v>5</v>
      </c>
      <c r="C54" s="933">
        <f t="shared" ref="C54:C85" si="105">B54*$K$3</f>
        <v>5.0868864166964318</v>
      </c>
      <c r="D54" s="957">
        <f>1/$E$2</f>
        <v>0.23094688221709006</v>
      </c>
      <c r="E54" s="933">
        <f t="shared" si="67"/>
        <v>12.009237875288683</v>
      </c>
      <c r="F54" s="933">
        <f t="shared" si="87"/>
        <v>5.0868864166964318</v>
      </c>
      <c r="G54" s="933"/>
      <c r="H54" s="934">
        <f>+'Comm Price Out'!D28</f>
        <v>33.47</v>
      </c>
      <c r="I54" s="935">
        <f t="shared" si="88"/>
        <v>167.35</v>
      </c>
      <c r="J54" s="935">
        <f t="shared" si="97"/>
        <v>2008.1999999999998</v>
      </c>
      <c r="K54" s="935">
        <f t="shared" si="98"/>
        <v>2043.0970604019549</v>
      </c>
      <c r="L54" s="936">
        <f>+'Meeks +'!F27*$S$1</f>
        <v>194.4</v>
      </c>
      <c r="M54" s="937">
        <f t="shared" si="99"/>
        <v>191.35013734150886</v>
      </c>
      <c r="N54" s="938">
        <f t="shared" si="100"/>
        <v>5.94</v>
      </c>
      <c r="O54" s="939">
        <f t="shared" si="68"/>
        <v>5.8468097521016595</v>
      </c>
      <c r="P54" s="888"/>
      <c r="Q54" s="936">
        <f>+'Meeks +'!C27</f>
        <v>80</v>
      </c>
      <c r="R54" s="941">
        <f t="shared" si="89"/>
        <v>1.3575473116151624</v>
      </c>
      <c r="S54" s="941">
        <f t="shared" si="90"/>
        <v>1.3575473116151624</v>
      </c>
      <c r="T54" s="942"/>
      <c r="U54" s="941" t="e">
        <f t="shared" si="91"/>
        <v>#VALUE!</v>
      </c>
      <c r="V54" s="943" t="e">
        <f t="shared" si="69"/>
        <v>#VALUE!</v>
      </c>
      <c r="W54" s="888"/>
      <c r="X54" s="892"/>
      <c r="Y54" s="935">
        <f t="shared" si="70"/>
        <v>239.81176975177019</v>
      </c>
      <c r="Z54" s="935">
        <f t="shared" si="71"/>
        <v>561.00446328992609</v>
      </c>
      <c r="AA54" s="944"/>
      <c r="AB54" s="933" t="e">
        <f t="shared" si="72"/>
        <v>#VALUE!</v>
      </c>
      <c r="AC54" s="933" t="e">
        <f t="shared" si="73"/>
        <v>#VALUE!</v>
      </c>
      <c r="AD54" s="933" t="e">
        <f t="shared" si="74"/>
        <v>#VALUE!</v>
      </c>
      <c r="AE54" s="892"/>
      <c r="AF54" s="935">
        <f t="shared" si="92"/>
        <v>0</v>
      </c>
      <c r="AG54" s="935">
        <f t="shared" si="75"/>
        <v>0</v>
      </c>
      <c r="AH54" s="892"/>
      <c r="AI54" s="892"/>
      <c r="AJ54" s="945" t="e">
        <f t="shared" si="93"/>
        <v>#VALUE!</v>
      </c>
      <c r="AK54" s="933">
        <f t="shared" si="76"/>
        <v>0</v>
      </c>
      <c r="AL54" s="933" t="e">
        <f t="shared" si="77"/>
        <v>#VALUE!</v>
      </c>
      <c r="AM54" s="933" t="e">
        <f t="shared" si="78"/>
        <v>#VALUE!</v>
      </c>
      <c r="AN54" s="933" t="e">
        <f t="shared" si="79"/>
        <v>#VALUE!</v>
      </c>
      <c r="AO54" s="933" t="e">
        <f t="shared" si="80"/>
        <v>#VALUE!</v>
      </c>
      <c r="AP54" s="946" t="e">
        <f t="shared" si="94"/>
        <v>#VALUE!</v>
      </c>
      <c r="AQ54" s="888"/>
      <c r="AR54" s="941">
        <f t="shared" si="102"/>
        <v>0</v>
      </c>
      <c r="AS54" s="888"/>
      <c r="AT54" s="947">
        <f t="shared" si="104"/>
        <v>0</v>
      </c>
      <c r="AU54" s="948">
        <f t="shared" ref="AU54:AU66" si="106">+AT54*C54*E54</f>
        <v>0</v>
      </c>
      <c r="AV54" s="949" t="str">
        <f t="shared" si="82"/>
        <v/>
      </c>
      <c r="AW54" s="950">
        <f t="shared" si="83"/>
        <v>33.47</v>
      </c>
      <c r="AX54" s="951">
        <f t="shared" si="95"/>
        <v>2044.6698833891769</v>
      </c>
      <c r="AY54" s="952">
        <f>VLOOKUP(A54,'Comm Price Out'!$A$8:$G$77,7,FALSE)</f>
        <v>35.187957639293522</v>
      </c>
      <c r="AZ54" s="953">
        <f t="shared" si="96"/>
        <v>2149.6192782503017</v>
      </c>
      <c r="BA54" s="954">
        <f t="shared" si="84"/>
        <v>5.1328283217613485E-2</v>
      </c>
      <c r="BB54" s="126"/>
      <c r="BC54" s="1158">
        <f t="shared" si="85"/>
        <v>-2044.6698833891769</v>
      </c>
      <c r="BD54" s="1158">
        <f t="shared" si="86"/>
        <v>-2149.6192782503017</v>
      </c>
    </row>
    <row r="55" spans="1:56">
      <c r="A55" s="931" t="str">
        <f>+'Comm Price Out'!A29</f>
        <v>2 yd 1xweek</v>
      </c>
      <c r="B55" s="1133">
        <f>+'Comm Price Out'!B29</f>
        <v>22</v>
      </c>
      <c r="C55" s="933">
        <f t="shared" si="105"/>
        <v>22.382300233464303</v>
      </c>
      <c r="D55" s="957">
        <v>1</v>
      </c>
      <c r="E55" s="933">
        <f t="shared" si="67"/>
        <v>52</v>
      </c>
      <c r="F55" s="933">
        <f t="shared" si="87"/>
        <v>22.382300233464303</v>
      </c>
      <c r="G55" s="933"/>
      <c r="H55" s="934">
        <f>+'Comm Price Out'!D29</f>
        <v>29.44</v>
      </c>
      <c r="I55" s="935">
        <f t="shared" si="88"/>
        <v>2804.4544000000005</v>
      </c>
      <c r="J55" s="935">
        <f t="shared" si="97"/>
        <v>33653.452800000006</v>
      </c>
      <c r="K55" s="935">
        <f t="shared" si="98"/>
        <v>34238.258384650908</v>
      </c>
      <c r="L55" s="936">
        <f t="shared" ref="L55:L60" si="107">+L54</f>
        <v>194.4</v>
      </c>
      <c r="M55" s="937">
        <f t="shared" si="99"/>
        <v>191.35013734150886</v>
      </c>
      <c r="N55" s="938">
        <f t="shared" si="100"/>
        <v>113.13</v>
      </c>
      <c r="O55" s="939">
        <f t="shared" si="68"/>
        <v>111.3551493695725</v>
      </c>
      <c r="P55" s="888"/>
      <c r="Q55" s="936">
        <f t="shared" ref="Q55:Q60" si="108">+Q54</f>
        <v>80</v>
      </c>
      <c r="R55" s="941">
        <f t="shared" si="89"/>
        <v>25.863991380892084</v>
      </c>
      <c r="S55" s="941">
        <f t="shared" si="90"/>
        <v>25.863991380892084</v>
      </c>
      <c r="T55" s="942"/>
      <c r="U55" s="941" t="e">
        <f t="shared" si="91"/>
        <v>#VALUE!</v>
      </c>
      <c r="V55" s="943" t="e">
        <f t="shared" si="69"/>
        <v>#VALUE!</v>
      </c>
      <c r="W55" s="888"/>
      <c r="X55" s="892"/>
      <c r="Y55" s="935">
        <f t="shared" si="70"/>
        <v>4018.7700797857119</v>
      </c>
      <c r="Z55" s="935">
        <f t="shared" si="71"/>
        <v>9401.3231878880924</v>
      </c>
      <c r="AA55" s="944"/>
      <c r="AB55" s="933" t="e">
        <f t="shared" si="72"/>
        <v>#VALUE!</v>
      </c>
      <c r="AC55" s="933" t="e">
        <f t="shared" si="73"/>
        <v>#VALUE!</v>
      </c>
      <c r="AD55" s="933" t="e">
        <f t="shared" si="74"/>
        <v>#VALUE!</v>
      </c>
      <c r="AE55" s="892"/>
      <c r="AF55" s="935">
        <f t="shared" si="92"/>
        <v>0</v>
      </c>
      <c r="AG55" s="935">
        <f t="shared" si="75"/>
        <v>0</v>
      </c>
      <c r="AH55" s="892"/>
      <c r="AI55" s="892"/>
      <c r="AJ55" s="945" t="e">
        <f t="shared" si="93"/>
        <v>#VALUE!</v>
      </c>
      <c r="AK55" s="933">
        <f t="shared" si="76"/>
        <v>0</v>
      </c>
      <c r="AL55" s="933" t="e">
        <f t="shared" si="77"/>
        <v>#VALUE!</v>
      </c>
      <c r="AM55" s="933" t="e">
        <f t="shared" si="78"/>
        <v>#VALUE!</v>
      </c>
      <c r="AN55" s="933" t="e">
        <f t="shared" si="79"/>
        <v>#VALUE!</v>
      </c>
      <c r="AO55" s="933" t="e">
        <f t="shared" si="80"/>
        <v>#VALUE!</v>
      </c>
      <c r="AP55" s="946" t="e">
        <f t="shared" si="94"/>
        <v>#VALUE!</v>
      </c>
      <c r="AQ55" s="888"/>
      <c r="AR55" s="941">
        <f t="shared" si="102"/>
        <v>0</v>
      </c>
      <c r="AS55" s="888"/>
      <c r="AT55" s="947">
        <f t="shared" si="104"/>
        <v>0</v>
      </c>
      <c r="AU55" s="948">
        <f t="shared" si="106"/>
        <v>0</v>
      </c>
      <c r="AV55" s="949" t="str">
        <f t="shared" si="82"/>
        <v/>
      </c>
      <c r="AW55" s="950">
        <f t="shared" si="83"/>
        <v>29.44</v>
      </c>
      <c r="AX55" s="951">
        <f t="shared" si="95"/>
        <v>34264.615781405832</v>
      </c>
      <c r="AY55" s="952">
        <f>VLOOKUP(A55,'Comm Price Out'!$A$8:$G$77,7,FALSE)</f>
        <v>30.951104657926539</v>
      </c>
      <c r="AZ55" s="953">
        <f t="shared" si="96"/>
        <v>36023.359684576535</v>
      </c>
      <c r="BA55" s="954">
        <f t="shared" si="84"/>
        <v>5.1328283217613374E-2</v>
      </c>
      <c r="BB55" s="126"/>
      <c r="BC55" s="1158">
        <f t="shared" si="85"/>
        <v>-34264.615781405832</v>
      </c>
      <c r="BD55" s="1158">
        <f t="shared" si="86"/>
        <v>-36023.359684576535</v>
      </c>
    </row>
    <row r="56" spans="1:56">
      <c r="A56" s="931" t="str">
        <f>+'Comm Price Out'!A30</f>
        <v>2 yd 2xweek</v>
      </c>
      <c r="B56" s="1133">
        <f>+'Comm Price Out'!B30</f>
        <v>1</v>
      </c>
      <c r="C56" s="933">
        <f t="shared" si="105"/>
        <v>1.0173772833392865</v>
      </c>
      <c r="D56" s="957">
        <v>2</v>
      </c>
      <c r="E56" s="933">
        <f t="shared" si="67"/>
        <v>104</v>
      </c>
      <c r="F56" s="933">
        <f t="shared" si="87"/>
        <v>1.0173772833392865</v>
      </c>
      <c r="G56" s="933"/>
      <c r="H56" s="934">
        <f>+'Comm Price Out'!D30</f>
        <v>29.44</v>
      </c>
      <c r="I56" s="935">
        <f t="shared" si="88"/>
        <v>254.9504</v>
      </c>
      <c r="J56" s="935">
        <f t="shared" si="97"/>
        <v>3059.4048000000003</v>
      </c>
      <c r="K56" s="935">
        <f t="shared" si="98"/>
        <v>3112.5689440591732</v>
      </c>
      <c r="L56" s="936">
        <f t="shared" si="107"/>
        <v>194.4</v>
      </c>
      <c r="M56" s="937">
        <f t="shared" si="99"/>
        <v>191.35013734150886</v>
      </c>
      <c r="N56" s="938">
        <f t="shared" si="100"/>
        <v>10.28</v>
      </c>
      <c r="O56" s="939">
        <f t="shared" si="68"/>
        <v>10.118721254478965</v>
      </c>
      <c r="P56" s="888"/>
      <c r="Q56" s="936">
        <f t="shared" si="108"/>
        <v>80</v>
      </c>
      <c r="R56" s="941">
        <f t="shared" si="89"/>
        <v>2.3512719437174621</v>
      </c>
      <c r="S56" s="941">
        <f t="shared" si="90"/>
        <v>2.3512719437174621</v>
      </c>
      <c r="T56" s="942"/>
      <c r="U56" s="941" t="e">
        <f t="shared" si="91"/>
        <v>#VALUE!</v>
      </c>
      <c r="V56" s="943" t="e">
        <f t="shared" si="69"/>
        <v>#VALUE!</v>
      </c>
      <c r="W56" s="888"/>
      <c r="X56" s="892"/>
      <c r="Y56" s="935">
        <f t="shared" si="70"/>
        <v>365.34273452597375</v>
      </c>
      <c r="Z56" s="935">
        <f t="shared" si="71"/>
        <v>854.66574435346274</v>
      </c>
      <c r="AA56" s="944"/>
      <c r="AB56" s="933" t="e">
        <f t="shared" si="72"/>
        <v>#VALUE!</v>
      </c>
      <c r="AC56" s="933" t="e">
        <f t="shared" si="73"/>
        <v>#VALUE!</v>
      </c>
      <c r="AD56" s="933" t="e">
        <f t="shared" si="74"/>
        <v>#VALUE!</v>
      </c>
      <c r="AE56" s="892"/>
      <c r="AF56" s="935">
        <f t="shared" si="92"/>
        <v>0</v>
      </c>
      <c r="AG56" s="935">
        <f t="shared" si="75"/>
        <v>0</v>
      </c>
      <c r="AH56" s="892"/>
      <c r="AI56" s="892"/>
      <c r="AJ56" s="945" t="e">
        <f t="shared" si="93"/>
        <v>#VALUE!</v>
      </c>
      <c r="AK56" s="933">
        <f t="shared" si="76"/>
        <v>0</v>
      </c>
      <c r="AL56" s="933" t="e">
        <f t="shared" si="77"/>
        <v>#VALUE!</v>
      </c>
      <c r="AM56" s="933" t="e">
        <f t="shared" si="78"/>
        <v>#VALUE!</v>
      </c>
      <c r="AN56" s="933" t="e">
        <f t="shared" si="79"/>
        <v>#VALUE!</v>
      </c>
      <c r="AO56" s="933" t="e">
        <f t="shared" si="80"/>
        <v>#VALUE!</v>
      </c>
      <c r="AP56" s="946" t="e">
        <f t="shared" si="94"/>
        <v>#VALUE!</v>
      </c>
      <c r="AQ56" s="888"/>
      <c r="AR56" s="941">
        <f t="shared" si="102"/>
        <v>0</v>
      </c>
      <c r="AS56" s="888"/>
      <c r="AT56" s="947">
        <f t="shared" si="104"/>
        <v>0</v>
      </c>
      <c r="AU56" s="948">
        <f t="shared" si="106"/>
        <v>0</v>
      </c>
      <c r="AV56" s="949" t="str">
        <f t="shared" si="82"/>
        <v/>
      </c>
      <c r="AW56" s="950">
        <f t="shared" si="83"/>
        <v>29.44</v>
      </c>
      <c r="AX56" s="951">
        <f t="shared" si="95"/>
        <v>3114.9650710368937</v>
      </c>
      <c r="AY56" s="952">
        <f>VLOOKUP(A56,'Comm Price Out'!$A$8:$G$77,7,FALSE)</f>
        <v>30.951104657926539</v>
      </c>
      <c r="AZ56" s="953">
        <f t="shared" si="96"/>
        <v>3274.8508804160488</v>
      </c>
      <c r="BA56" s="954">
        <f t="shared" si="84"/>
        <v>5.1328283217613374E-2</v>
      </c>
      <c r="BB56" s="126"/>
      <c r="BC56" s="1158">
        <f t="shared" si="85"/>
        <v>-3114.9650710368937</v>
      </c>
      <c r="BD56" s="1158">
        <f t="shared" si="86"/>
        <v>-3274.8508804160488</v>
      </c>
    </row>
    <row r="57" spans="1:56">
      <c r="A57" s="931" t="str">
        <f>+'Comm Price Out'!A31</f>
        <v>2 yd 3xweek</v>
      </c>
      <c r="B57" s="1133">
        <f>+'Comm Price Out'!B31</f>
        <v>0</v>
      </c>
      <c r="C57" s="933">
        <f t="shared" si="105"/>
        <v>0</v>
      </c>
      <c r="D57" s="957">
        <v>3</v>
      </c>
      <c r="E57" s="933">
        <f t="shared" si="67"/>
        <v>156</v>
      </c>
      <c r="F57" s="933">
        <f t="shared" si="87"/>
        <v>0</v>
      </c>
      <c r="G57" s="933"/>
      <c r="H57" s="934">
        <f>+'Comm Price Out'!D31</f>
        <v>29.44</v>
      </c>
      <c r="I57" s="935">
        <f t="shared" si="88"/>
        <v>0</v>
      </c>
      <c r="J57" s="935">
        <f t="shared" si="97"/>
        <v>0</v>
      </c>
      <c r="K57" s="935">
        <f t="shared" si="98"/>
        <v>0</v>
      </c>
      <c r="L57" s="936">
        <f t="shared" si="107"/>
        <v>194.4</v>
      </c>
      <c r="M57" s="937">
        <f t="shared" si="99"/>
        <v>191.35013734150886</v>
      </c>
      <c r="N57" s="938">
        <f t="shared" si="100"/>
        <v>0</v>
      </c>
      <c r="O57" s="939">
        <f t="shared" si="68"/>
        <v>0</v>
      </c>
      <c r="P57" s="888"/>
      <c r="Q57" s="936">
        <f t="shared" si="108"/>
        <v>80</v>
      </c>
      <c r="R57" s="941">
        <f t="shared" si="89"/>
        <v>0</v>
      </c>
      <c r="S57" s="941">
        <f t="shared" si="90"/>
        <v>0</v>
      </c>
      <c r="T57" s="942"/>
      <c r="U57" s="941" t="e">
        <f t="shared" si="91"/>
        <v>#VALUE!</v>
      </c>
      <c r="V57" s="943" t="e">
        <f t="shared" si="69"/>
        <v>#VALUE!</v>
      </c>
      <c r="W57" s="888"/>
      <c r="X57" s="892"/>
      <c r="Y57" s="935">
        <f t="shared" si="70"/>
        <v>0</v>
      </c>
      <c r="Z57" s="935">
        <f t="shared" si="71"/>
        <v>0</v>
      </c>
      <c r="AA57" s="944"/>
      <c r="AB57" s="933" t="e">
        <f t="shared" si="72"/>
        <v>#VALUE!</v>
      </c>
      <c r="AC57" s="933" t="e">
        <f t="shared" si="73"/>
        <v>#VALUE!</v>
      </c>
      <c r="AD57" s="933" t="e">
        <f t="shared" si="74"/>
        <v>#VALUE!</v>
      </c>
      <c r="AE57" s="892"/>
      <c r="AF57" s="935">
        <f t="shared" si="92"/>
        <v>0</v>
      </c>
      <c r="AG57" s="935">
        <f t="shared" si="75"/>
        <v>0</v>
      </c>
      <c r="AH57" s="892"/>
      <c r="AI57" s="892"/>
      <c r="AJ57" s="945" t="e">
        <f t="shared" si="93"/>
        <v>#VALUE!</v>
      </c>
      <c r="AK57" s="933">
        <f t="shared" si="76"/>
        <v>0</v>
      </c>
      <c r="AL57" s="933" t="e">
        <f t="shared" si="77"/>
        <v>#VALUE!</v>
      </c>
      <c r="AM57" s="933" t="e">
        <f t="shared" si="78"/>
        <v>#VALUE!</v>
      </c>
      <c r="AN57" s="933" t="e">
        <f t="shared" si="79"/>
        <v>#VALUE!</v>
      </c>
      <c r="AO57" s="933" t="e">
        <f t="shared" si="80"/>
        <v>#VALUE!</v>
      </c>
      <c r="AP57" s="946" t="e">
        <f t="shared" si="94"/>
        <v>#VALUE!</v>
      </c>
      <c r="AQ57" s="888"/>
      <c r="AR57" s="941">
        <f t="shared" si="102"/>
        <v>0</v>
      </c>
      <c r="AS57" s="888"/>
      <c r="AT57" s="947">
        <f t="shared" si="104"/>
        <v>0</v>
      </c>
      <c r="AU57" s="948">
        <f t="shared" si="106"/>
        <v>0</v>
      </c>
      <c r="AV57" s="949" t="str">
        <f t="shared" si="82"/>
        <v/>
      </c>
      <c r="AW57" s="950">
        <f t="shared" si="83"/>
        <v>29.44</v>
      </c>
      <c r="AX57" s="951">
        <f t="shared" si="95"/>
        <v>0</v>
      </c>
      <c r="AY57" s="952">
        <f>VLOOKUP(A57,'Comm Price Out'!$A$8:$G$77,7,FALSE)</f>
        <v>30.951104657926539</v>
      </c>
      <c r="AZ57" s="953">
        <f t="shared" si="96"/>
        <v>0</v>
      </c>
      <c r="BA57" s="954">
        <f t="shared" si="84"/>
        <v>5.1328283217613374E-2</v>
      </c>
      <c r="BB57" s="126"/>
      <c r="BC57" s="1158">
        <f t="shared" si="85"/>
        <v>0</v>
      </c>
      <c r="BD57" s="1158">
        <f t="shared" si="86"/>
        <v>0</v>
      </c>
    </row>
    <row r="58" spans="1:56">
      <c r="A58" s="931" t="str">
        <f>+'Comm Price Out'!A32</f>
        <v>2 yd 4xweek</v>
      </c>
      <c r="B58" s="1133">
        <f>+'Comm Price Out'!B32</f>
        <v>0</v>
      </c>
      <c r="C58" s="933">
        <f t="shared" si="105"/>
        <v>0</v>
      </c>
      <c r="D58" s="957">
        <v>4</v>
      </c>
      <c r="E58" s="933">
        <f t="shared" si="67"/>
        <v>208</v>
      </c>
      <c r="F58" s="933">
        <f t="shared" si="87"/>
        <v>0</v>
      </c>
      <c r="G58" s="933"/>
      <c r="H58" s="934">
        <f>+'Comm Price Out'!D32</f>
        <v>29.44</v>
      </c>
      <c r="I58" s="935">
        <f t="shared" si="88"/>
        <v>0</v>
      </c>
      <c r="J58" s="935">
        <f t="shared" si="97"/>
        <v>0</v>
      </c>
      <c r="K58" s="935">
        <f t="shared" si="98"/>
        <v>0</v>
      </c>
      <c r="L58" s="936">
        <f t="shared" si="107"/>
        <v>194.4</v>
      </c>
      <c r="M58" s="937">
        <f t="shared" si="99"/>
        <v>191.35013734150886</v>
      </c>
      <c r="N58" s="938">
        <f t="shared" si="100"/>
        <v>0</v>
      </c>
      <c r="O58" s="939">
        <f t="shared" si="68"/>
        <v>0</v>
      </c>
      <c r="P58" s="888"/>
      <c r="Q58" s="936">
        <f t="shared" si="108"/>
        <v>80</v>
      </c>
      <c r="R58" s="941">
        <f t="shared" si="89"/>
        <v>0</v>
      </c>
      <c r="S58" s="941">
        <f t="shared" si="90"/>
        <v>0</v>
      </c>
      <c r="T58" s="942"/>
      <c r="U58" s="941" t="e">
        <f t="shared" si="91"/>
        <v>#VALUE!</v>
      </c>
      <c r="V58" s="943" t="e">
        <f t="shared" si="69"/>
        <v>#VALUE!</v>
      </c>
      <c r="W58" s="888"/>
      <c r="X58" s="892"/>
      <c r="Y58" s="935">
        <f t="shared" si="70"/>
        <v>0</v>
      </c>
      <c r="Z58" s="935">
        <f t="shared" si="71"/>
        <v>0</v>
      </c>
      <c r="AA58" s="944"/>
      <c r="AB58" s="933" t="e">
        <f t="shared" si="72"/>
        <v>#VALUE!</v>
      </c>
      <c r="AC58" s="933" t="e">
        <f t="shared" si="73"/>
        <v>#VALUE!</v>
      </c>
      <c r="AD58" s="933" t="e">
        <f t="shared" si="74"/>
        <v>#VALUE!</v>
      </c>
      <c r="AE58" s="892"/>
      <c r="AF58" s="935">
        <f t="shared" si="92"/>
        <v>0</v>
      </c>
      <c r="AG58" s="935">
        <f t="shared" si="75"/>
        <v>0</v>
      </c>
      <c r="AH58" s="892"/>
      <c r="AI58" s="892"/>
      <c r="AJ58" s="945" t="e">
        <f t="shared" si="93"/>
        <v>#VALUE!</v>
      </c>
      <c r="AK58" s="933">
        <f t="shared" si="76"/>
        <v>0</v>
      </c>
      <c r="AL58" s="933" t="e">
        <f t="shared" si="77"/>
        <v>#VALUE!</v>
      </c>
      <c r="AM58" s="933" t="e">
        <f t="shared" si="78"/>
        <v>#VALUE!</v>
      </c>
      <c r="AN58" s="933" t="e">
        <f t="shared" si="79"/>
        <v>#VALUE!</v>
      </c>
      <c r="AO58" s="933" t="e">
        <f t="shared" si="80"/>
        <v>#VALUE!</v>
      </c>
      <c r="AP58" s="946" t="e">
        <f t="shared" si="94"/>
        <v>#VALUE!</v>
      </c>
      <c r="AQ58" s="888"/>
      <c r="AR58" s="941">
        <f t="shared" si="102"/>
        <v>0</v>
      </c>
      <c r="AS58" s="888"/>
      <c r="AT58" s="947">
        <f t="shared" si="104"/>
        <v>0</v>
      </c>
      <c r="AU58" s="948">
        <f t="shared" si="106"/>
        <v>0</v>
      </c>
      <c r="AV58" s="949" t="str">
        <f t="shared" si="82"/>
        <v/>
      </c>
      <c r="AW58" s="950">
        <f t="shared" si="83"/>
        <v>29.44</v>
      </c>
      <c r="AX58" s="951">
        <f t="shared" si="95"/>
        <v>0</v>
      </c>
      <c r="AY58" s="952">
        <f>VLOOKUP(A58,'Comm Price Out'!$A$8:$G$77,7,FALSE)</f>
        <v>30.951104657926539</v>
      </c>
      <c r="AZ58" s="953">
        <f t="shared" si="96"/>
        <v>0</v>
      </c>
      <c r="BA58" s="954">
        <f t="shared" si="84"/>
        <v>5.1328283217613374E-2</v>
      </c>
      <c r="BB58" s="126"/>
      <c r="BC58" s="1158">
        <f t="shared" si="85"/>
        <v>0</v>
      </c>
      <c r="BD58" s="1158">
        <f t="shared" si="86"/>
        <v>0</v>
      </c>
    </row>
    <row r="59" spans="1:56">
      <c r="A59" s="931" t="str">
        <f>+'Comm Price Out'!A33</f>
        <v>2 yd 5xweek</v>
      </c>
      <c r="B59" s="1133">
        <f>+'Comm Price Out'!B33</f>
        <v>0</v>
      </c>
      <c r="C59" s="933">
        <f t="shared" si="105"/>
        <v>0</v>
      </c>
      <c r="D59" s="957">
        <v>5</v>
      </c>
      <c r="E59" s="933">
        <f t="shared" si="67"/>
        <v>260</v>
      </c>
      <c r="F59" s="933">
        <f t="shared" si="87"/>
        <v>0</v>
      </c>
      <c r="G59" s="933"/>
      <c r="H59" s="934">
        <f>+'Comm Price Out'!D33</f>
        <v>29.44</v>
      </c>
      <c r="I59" s="935">
        <f t="shared" si="88"/>
        <v>0</v>
      </c>
      <c r="J59" s="935">
        <f t="shared" si="97"/>
        <v>0</v>
      </c>
      <c r="K59" s="935">
        <f t="shared" si="98"/>
        <v>0</v>
      </c>
      <c r="L59" s="936">
        <f t="shared" si="107"/>
        <v>194.4</v>
      </c>
      <c r="M59" s="937">
        <f t="shared" si="99"/>
        <v>191.35013734150886</v>
      </c>
      <c r="N59" s="938">
        <f t="shared" si="100"/>
        <v>0</v>
      </c>
      <c r="O59" s="939">
        <f t="shared" si="68"/>
        <v>0</v>
      </c>
      <c r="P59" s="888"/>
      <c r="Q59" s="936">
        <f t="shared" si="108"/>
        <v>80</v>
      </c>
      <c r="R59" s="941">
        <f t="shared" si="89"/>
        <v>0</v>
      </c>
      <c r="S59" s="941">
        <f t="shared" si="90"/>
        <v>0</v>
      </c>
      <c r="T59" s="942"/>
      <c r="U59" s="941" t="e">
        <f t="shared" si="91"/>
        <v>#VALUE!</v>
      </c>
      <c r="V59" s="943" t="e">
        <f t="shared" si="69"/>
        <v>#VALUE!</v>
      </c>
      <c r="W59" s="888"/>
      <c r="X59" s="892"/>
      <c r="Y59" s="935">
        <f t="shared" si="70"/>
        <v>0</v>
      </c>
      <c r="Z59" s="935">
        <f t="shared" si="71"/>
        <v>0</v>
      </c>
      <c r="AA59" s="944"/>
      <c r="AB59" s="933" t="e">
        <f t="shared" si="72"/>
        <v>#VALUE!</v>
      </c>
      <c r="AC59" s="933" t="e">
        <f t="shared" si="73"/>
        <v>#VALUE!</v>
      </c>
      <c r="AD59" s="933" t="e">
        <f t="shared" si="74"/>
        <v>#VALUE!</v>
      </c>
      <c r="AE59" s="892"/>
      <c r="AF59" s="935">
        <f t="shared" si="92"/>
        <v>0</v>
      </c>
      <c r="AG59" s="935">
        <f t="shared" si="75"/>
        <v>0</v>
      </c>
      <c r="AH59" s="892"/>
      <c r="AI59" s="892"/>
      <c r="AJ59" s="945" t="e">
        <f t="shared" si="93"/>
        <v>#VALUE!</v>
      </c>
      <c r="AK59" s="933">
        <f t="shared" si="76"/>
        <v>0</v>
      </c>
      <c r="AL59" s="933" t="e">
        <f t="shared" si="77"/>
        <v>#VALUE!</v>
      </c>
      <c r="AM59" s="933" t="e">
        <f t="shared" si="78"/>
        <v>#VALUE!</v>
      </c>
      <c r="AN59" s="933" t="e">
        <f t="shared" si="79"/>
        <v>#VALUE!</v>
      </c>
      <c r="AO59" s="933" t="e">
        <f t="shared" si="80"/>
        <v>#VALUE!</v>
      </c>
      <c r="AP59" s="946" t="e">
        <f t="shared" si="94"/>
        <v>#VALUE!</v>
      </c>
      <c r="AQ59" s="888"/>
      <c r="AR59" s="941">
        <f t="shared" si="102"/>
        <v>0</v>
      </c>
      <c r="AS59" s="888"/>
      <c r="AT59" s="947">
        <f t="shared" si="104"/>
        <v>0</v>
      </c>
      <c r="AU59" s="948">
        <f t="shared" si="106"/>
        <v>0</v>
      </c>
      <c r="AV59" s="949" t="str">
        <f t="shared" si="82"/>
        <v/>
      </c>
      <c r="AW59" s="950">
        <f t="shared" si="83"/>
        <v>29.44</v>
      </c>
      <c r="AX59" s="951">
        <f t="shared" si="95"/>
        <v>0</v>
      </c>
      <c r="AY59" s="952">
        <f>VLOOKUP(A59,'Comm Price Out'!$A$8:$G$77,7,FALSE)</f>
        <v>30.951104657926539</v>
      </c>
      <c r="AZ59" s="953">
        <f t="shared" si="96"/>
        <v>0</v>
      </c>
      <c r="BA59" s="954">
        <f t="shared" si="84"/>
        <v>5.1328283217613374E-2</v>
      </c>
      <c r="BB59" s="126"/>
      <c r="BC59" s="1158">
        <f t="shared" si="85"/>
        <v>0</v>
      </c>
      <c r="BD59" s="1158">
        <f t="shared" si="86"/>
        <v>0</v>
      </c>
    </row>
    <row r="60" spans="1:56">
      <c r="A60" s="931" t="str">
        <f>+'Comm Price Out'!A34</f>
        <v>2 yd 6xweek</v>
      </c>
      <c r="B60" s="1133">
        <f>+'Comm Price Out'!B34</f>
        <v>0</v>
      </c>
      <c r="C60" s="933">
        <f t="shared" si="105"/>
        <v>0</v>
      </c>
      <c r="D60" s="957">
        <v>6</v>
      </c>
      <c r="E60" s="933">
        <f t="shared" si="67"/>
        <v>312</v>
      </c>
      <c r="F60" s="933">
        <f t="shared" si="87"/>
        <v>0</v>
      </c>
      <c r="G60" s="933"/>
      <c r="H60" s="934">
        <f>+'Comm Price Out'!D34</f>
        <v>29.44</v>
      </c>
      <c r="I60" s="935">
        <f t="shared" si="88"/>
        <v>0</v>
      </c>
      <c r="J60" s="935">
        <f t="shared" si="97"/>
        <v>0</v>
      </c>
      <c r="K60" s="935">
        <f t="shared" si="98"/>
        <v>0</v>
      </c>
      <c r="L60" s="936">
        <f t="shared" si="107"/>
        <v>194.4</v>
      </c>
      <c r="M60" s="937">
        <f t="shared" si="99"/>
        <v>191.35013734150886</v>
      </c>
      <c r="N60" s="938">
        <f t="shared" si="100"/>
        <v>0</v>
      </c>
      <c r="O60" s="939">
        <f t="shared" si="68"/>
        <v>0</v>
      </c>
      <c r="P60" s="888"/>
      <c r="Q60" s="936">
        <f t="shared" si="108"/>
        <v>80</v>
      </c>
      <c r="R60" s="941">
        <f t="shared" si="89"/>
        <v>0</v>
      </c>
      <c r="S60" s="941">
        <f t="shared" si="90"/>
        <v>0</v>
      </c>
      <c r="T60" s="942"/>
      <c r="U60" s="941" t="e">
        <f t="shared" si="91"/>
        <v>#VALUE!</v>
      </c>
      <c r="V60" s="943" t="e">
        <f t="shared" si="69"/>
        <v>#VALUE!</v>
      </c>
      <c r="W60" s="888"/>
      <c r="X60" s="892"/>
      <c r="Y60" s="935">
        <f t="shared" si="70"/>
        <v>0</v>
      </c>
      <c r="Z60" s="935">
        <f t="shared" si="71"/>
        <v>0</v>
      </c>
      <c r="AA60" s="944"/>
      <c r="AB60" s="933" t="e">
        <f t="shared" si="72"/>
        <v>#VALUE!</v>
      </c>
      <c r="AC60" s="933" t="e">
        <f t="shared" si="73"/>
        <v>#VALUE!</v>
      </c>
      <c r="AD60" s="933" t="e">
        <f t="shared" si="74"/>
        <v>#VALUE!</v>
      </c>
      <c r="AE60" s="892"/>
      <c r="AF60" s="935">
        <f t="shared" si="92"/>
        <v>0</v>
      </c>
      <c r="AG60" s="935">
        <f t="shared" si="75"/>
        <v>0</v>
      </c>
      <c r="AH60" s="892"/>
      <c r="AI60" s="892"/>
      <c r="AJ60" s="945" t="e">
        <f t="shared" si="93"/>
        <v>#VALUE!</v>
      </c>
      <c r="AK60" s="933">
        <f t="shared" si="76"/>
        <v>0</v>
      </c>
      <c r="AL60" s="933" t="e">
        <f t="shared" si="77"/>
        <v>#VALUE!</v>
      </c>
      <c r="AM60" s="933" t="e">
        <f t="shared" si="78"/>
        <v>#VALUE!</v>
      </c>
      <c r="AN60" s="933" t="e">
        <f t="shared" si="79"/>
        <v>#VALUE!</v>
      </c>
      <c r="AO60" s="933" t="e">
        <f t="shared" si="80"/>
        <v>#VALUE!</v>
      </c>
      <c r="AP60" s="946" t="e">
        <f t="shared" si="94"/>
        <v>#VALUE!</v>
      </c>
      <c r="AQ60" s="888"/>
      <c r="AR60" s="941">
        <f t="shared" si="102"/>
        <v>0</v>
      </c>
      <c r="AS60" s="888"/>
      <c r="AT60" s="947">
        <f t="shared" si="104"/>
        <v>0</v>
      </c>
      <c r="AU60" s="948">
        <f t="shared" si="106"/>
        <v>0</v>
      </c>
      <c r="AV60" s="949" t="str">
        <f t="shared" si="82"/>
        <v/>
      </c>
      <c r="AW60" s="950">
        <f t="shared" si="83"/>
        <v>29.44</v>
      </c>
      <c r="AX60" s="951">
        <f t="shared" si="95"/>
        <v>0</v>
      </c>
      <c r="AY60" s="952">
        <f>VLOOKUP(A60,'Comm Price Out'!$A$8:$G$77,7,FALSE)</f>
        <v>30.951104657926539</v>
      </c>
      <c r="AZ60" s="953">
        <f t="shared" si="96"/>
        <v>0</v>
      </c>
      <c r="BA60" s="954">
        <f t="shared" si="84"/>
        <v>5.1328283217613374E-2</v>
      </c>
      <c r="BB60" s="126"/>
      <c r="BC60" s="1158">
        <f t="shared" si="85"/>
        <v>0</v>
      </c>
      <c r="BD60" s="1158">
        <f t="shared" si="86"/>
        <v>0</v>
      </c>
    </row>
    <row r="61" spans="1:56">
      <c r="A61" s="931" t="str">
        <f>+'Comm Price Out'!A35</f>
        <v>3 yd Comp Week</v>
      </c>
      <c r="B61" s="1133">
        <f>+'Comm Price Out'!B35</f>
        <v>0</v>
      </c>
      <c r="C61" s="933">
        <f t="shared" si="105"/>
        <v>0</v>
      </c>
      <c r="D61" s="957">
        <v>1</v>
      </c>
      <c r="E61" s="933">
        <f t="shared" si="67"/>
        <v>52</v>
      </c>
      <c r="F61" s="933">
        <f t="shared" si="87"/>
        <v>0</v>
      </c>
      <c r="G61" s="933"/>
      <c r="H61" s="934">
        <f>+'Comm Price Out'!D35</f>
        <v>149.47</v>
      </c>
      <c r="I61" s="935">
        <f t="shared" si="88"/>
        <v>0</v>
      </c>
      <c r="J61" s="935">
        <f t="shared" si="97"/>
        <v>0</v>
      </c>
      <c r="K61" s="935">
        <f t="shared" si="98"/>
        <v>0</v>
      </c>
      <c r="L61" s="1142">
        <f>+'Meeks +'!F32*$S$1</f>
        <v>780.6</v>
      </c>
      <c r="M61" s="937">
        <f t="shared" si="99"/>
        <v>768.35348358426859</v>
      </c>
      <c r="N61" s="938">
        <f t="shared" si="100"/>
        <v>0</v>
      </c>
      <c r="O61" s="939">
        <f t="shared" si="68"/>
        <v>0</v>
      </c>
      <c r="P61" s="888"/>
      <c r="Q61" s="1142">
        <f>+'Meeks +'!C32</f>
        <v>120</v>
      </c>
      <c r="R61" s="941">
        <f t="shared" si="89"/>
        <v>0</v>
      </c>
      <c r="S61" s="941">
        <f t="shared" si="90"/>
        <v>0</v>
      </c>
      <c r="T61" s="942"/>
      <c r="U61" s="941" t="e">
        <f t="shared" si="91"/>
        <v>#VALUE!</v>
      </c>
      <c r="V61" s="943" t="e">
        <f t="shared" si="69"/>
        <v>#VALUE!</v>
      </c>
      <c r="W61" s="888"/>
      <c r="X61" s="892"/>
      <c r="Y61" s="935">
        <f t="shared" si="70"/>
        <v>0</v>
      </c>
      <c r="Z61" s="935">
        <f t="shared" si="71"/>
        <v>0</v>
      </c>
      <c r="AA61" s="944"/>
      <c r="AB61" s="933" t="e">
        <f t="shared" si="72"/>
        <v>#VALUE!</v>
      </c>
      <c r="AC61" s="933" t="e">
        <f t="shared" si="73"/>
        <v>#VALUE!</v>
      </c>
      <c r="AD61" s="933" t="e">
        <f t="shared" si="74"/>
        <v>#VALUE!</v>
      </c>
      <c r="AE61" s="892"/>
      <c r="AF61" s="935">
        <f t="shared" si="92"/>
        <v>0</v>
      </c>
      <c r="AG61" s="935">
        <f t="shared" si="75"/>
        <v>0</v>
      </c>
      <c r="AH61" s="892"/>
      <c r="AI61" s="892"/>
      <c r="AJ61" s="945" t="e">
        <f t="shared" si="93"/>
        <v>#VALUE!</v>
      </c>
      <c r="AK61" s="933">
        <f t="shared" si="76"/>
        <v>0</v>
      </c>
      <c r="AL61" s="933" t="e">
        <f t="shared" si="77"/>
        <v>#VALUE!</v>
      </c>
      <c r="AM61" s="933" t="e">
        <f t="shared" si="78"/>
        <v>#VALUE!</v>
      </c>
      <c r="AN61" s="933" t="e">
        <f t="shared" si="79"/>
        <v>#VALUE!</v>
      </c>
      <c r="AO61" s="933" t="e">
        <f t="shared" si="80"/>
        <v>#VALUE!</v>
      </c>
      <c r="AP61" s="946" t="e">
        <f t="shared" si="94"/>
        <v>#VALUE!</v>
      </c>
      <c r="AQ61" s="888"/>
      <c r="AR61" s="941">
        <f t="shared" si="102"/>
        <v>0</v>
      </c>
      <c r="AS61" s="888"/>
      <c r="AT61" s="947">
        <f>AR61/$AT$4</f>
        <v>0</v>
      </c>
      <c r="AU61" s="948">
        <f t="shared" si="106"/>
        <v>0</v>
      </c>
      <c r="AV61" s="949" t="str">
        <f t="shared" si="82"/>
        <v/>
      </c>
      <c r="AW61" s="950">
        <f t="shared" si="83"/>
        <v>149.47</v>
      </c>
      <c r="AX61" s="951">
        <f t="shared" si="95"/>
        <v>0</v>
      </c>
      <c r="AY61" s="952">
        <f>VLOOKUP(A61,'Comm Price Out'!$A$8:$G$77,7,FALSE)</f>
        <v>157.14203849253667</v>
      </c>
      <c r="AZ61" s="953">
        <f t="shared" si="96"/>
        <v>0</v>
      </c>
      <c r="BA61" s="954">
        <f t="shared" si="84"/>
        <v>5.1328283217613381E-2</v>
      </c>
      <c r="BB61" s="126"/>
      <c r="BC61" s="1158">
        <f t="shared" si="85"/>
        <v>0</v>
      </c>
      <c r="BD61" s="1158">
        <f t="shared" si="86"/>
        <v>0</v>
      </c>
    </row>
    <row r="62" spans="1:56">
      <c r="A62" s="931" t="str">
        <f>+'Comm Price Out'!A36</f>
        <v>3 yd Comp Week (5x Comp)</v>
      </c>
      <c r="B62" s="1133">
        <f>+'Comm Price Out'!B36</f>
        <v>0</v>
      </c>
      <c r="C62" s="933">
        <f t="shared" si="105"/>
        <v>0</v>
      </c>
      <c r="D62" s="957">
        <v>1</v>
      </c>
      <c r="E62" s="933">
        <f t="shared" si="67"/>
        <v>52</v>
      </c>
      <c r="F62" s="933">
        <f t="shared" si="87"/>
        <v>0</v>
      </c>
      <c r="G62" s="933"/>
      <c r="H62" s="934">
        <f>+'Comm Price Out'!D36</f>
        <v>156.4</v>
      </c>
      <c r="I62" s="935">
        <f t="shared" si="88"/>
        <v>0</v>
      </c>
      <c r="J62" s="935">
        <f t="shared" si="97"/>
        <v>0</v>
      </c>
      <c r="K62" s="935">
        <f t="shared" si="98"/>
        <v>0</v>
      </c>
      <c r="L62" s="936">
        <f>+L61/3.5*5</f>
        <v>1115.1428571428571</v>
      </c>
      <c r="M62" s="937">
        <f t="shared" si="99"/>
        <v>1097.6478336918121</v>
      </c>
      <c r="N62" s="938">
        <f t="shared" si="100"/>
        <v>0</v>
      </c>
      <c r="O62" s="939">
        <f t="shared" si="68"/>
        <v>0</v>
      </c>
      <c r="P62" s="888"/>
      <c r="Q62" s="936">
        <f>+Q61/3.5*5</f>
        <v>171.42857142857142</v>
      </c>
      <c r="R62" s="941">
        <f t="shared" si="89"/>
        <v>0</v>
      </c>
      <c r="S62" s="941">
        <f t="shared" si="90"/>
        <v>0</v>
      </c>
      <c r="T62" s="942"/>
      <c r="U62" s="941" t="e">
        <f t="shared" si="91"/>
        <v>#VALUE!</v>
      </c>
      <c r="V62" s="943" t="e">
        <f t="shared" si="69"/>
        <v>#VALUE!</v>
      </c>
      <c r="W62" s="888"/>
      <c r="X62" s="892"/>
      <c r="Y62" s="935">
        <f t="shared" si="70"/>
        <v>0</v>
      </c>
      <c r="Z62" s="935">
        <f t="shared" si="71"/>
        <v>0</v>
      </c>
      <c r="AA62" s="944"/>
      <c r="AB62" s="933" t="e">
        <f t="shared" si="72"/>
        <v>#VALUE!</v>
      </c>
      <c r="AC62" s="933" t="e">
        <f t="shared" si="73"/>
        <v>#VALUE!</v>
      </c>
      <c r="AD62" s="933" t="e">
        <f t="shared" si="74"/>
        <v>#VALUE!</v>
      </c>
      <c r="AE62" s="892"/>
      <c r="AF62" s="935">
        <f t="shared" si="92"/>
        <v>0</v>
      </c>
      <c r="AG62" s="935">
        <f t="shared" si="75"/>
        <v>0</v>
      </c>
      <c r="AH62" s="892"/>
      <c r="AI62" s="892"/>
      <c r="AJ62" s="945" t="e">
        <f t="shared" si="93"/>
        <v>#VALUE!</v>
      </c>
      <c r="AK62" s="933">
        <f t="shared" si="76"/>
        <v>0</v>
      </c>
      <c r="AL62" s="933" t="e">
        <f t="shared" si="77"/>
        <v>#VALUE!</v>
      </c>
      <c r="AM62" s="933" t="e">
        <f t="shared" si="78"/>
        <v>#VALUE!</v>
      </c>
      <c r="AN62" s="933" t="e">
        <f t="shared" si="79"/>
        <v>#VALUE!</v>
      </c>
      <c r="AO62" s="933" t="e">
        <f t="shared" si="80"/>
        <v>#VALUE!</v>
      </c>
      <c r="AP62" s="946" t="e">
        <f t="shared" si="94"/>
        <v>#VALUE!</v>
      </c>
      <c r="AQ62" s="888"/>
      <c r="AR62" s="941">
        <f t="shared" si="102"/>
        <v>0</v>
      </c>
      <c r="AS62" s="888"/>
      <c r="AT62" s="947">
        <f t="shared" ref="AT62:AT67" si="109">AR62/$AT$4</f>
        <v>0</v>
      </c>
      <c r="AU62" s="948">
        <f t="shared" si="106"/>
        <v>0</v>
      </c>
      <c r="AV62" s="949" t="str">
        <f t="shared" si="82"/>
        <v/>
      </c>
      <c r="AW62" s="950">
        <f t="shared" si="83"/>
        <v>156.4</v>
      </c>
      <c r="AX62" s="951">
        <f t="shared" si="95"/>
        <v>0</v>
      </c>
      <c r="AY62" s="952">
        <f>VLOOKUP(A62,'Comm Price Out'!$A$8:$G$77,7,FALSE)</f>
        <v>164.42774349523475</v>
      </c>
      <c r="AZ62" s="953">
        <f t="shared" si="96"/>
        <v>0</v>
      </c>
      <c r="BA62" s="954">
        <f t="shared" si="84"/>
        <v>5.1328283217613457E-2</v>
      </c>
      <c r="BC62" s="1158">
        <f t="shared" si="85"/>
        <v>0</v>
      </c>
      <c r="BD62" s="1158">
        <f t="shared" si="86"/>
        <v>0</v>
      </c>
    </row>
    <row r="63" spans="1:56">
      <c r="A63" s="931" t="str">
        <f>+'Comm Price Out'!A37</f>
        <v>3 yd  On Call</v>
      </c>
      <c r="B63" s="1133">
        <f>+'Comm Price Out'!B37</f>
        <v>2</v>
      </c>
      <c r="C63" s="933">
        <f t="shared" si="105"/>
        <v>2.0347545666785729</v>
      </c>
      <c r="D63" s="957">
        <f>1/$E$2</f>
        <v>0.23094688221709006</v>
      </c>
      <c r="E63" s="933">
        <f t="shared" si="67"/>
        <v>12.009237875288683</v>
      </c>
      <c r="F63" s="933">
        <f t="shared" si="87"/>
        <v>2.0347545666785729</v>
      </c>
      <c r="G63" s="933"/>
      <c r="H63" s="934">
        <f>+'Comm Price Out'!D37</f>
        <v>46.75</v>
      </c>
      <c r="I63" s="935">
        <f t="shared" si="88"/>
        <v>93.5</v>
      </c>
      <c r="J63" s="935">
        <f t="shared" si="97"/>
        <v>1122</v>
      </c>
      <c r="K63" s="935">
        <f t="shared" si="98"/>
        <v>1141.4973119066794</v>
      </c>
      <c r="L63" s="936">
        <f>+'Meeks +'!F28*$S$1</f>
        <v>283.8</v>
      </c>
      <c r="M63" s="937">
        <f t="shared" si="99"/>
        <v>279.34757704485708</v>
      </c>
      <c r="N63" s="938">
        <f t="shared" si="100"/>
        <v>3.47</v>
      </c>
      <c r="O63" s="939">
        <f t="shared" si="68"/>
        <v>3.4155605790896901</v>
      </c>
      <c r="P63" s="888"/>
      <c r="Q63" s="936">
        <f>+'Meeks +'!C28</f>
        <v>120</v>
      </c>
      <c r="R63" s="941">
        <f t="shared" si="89"/>
        <v>0.81452838696909768</v>
      </c>
      <c r="S63" s="941">
        <f t="shared" si="90"/>
        <v>0.81452838696909768</v>
      </c>
      <c r="T63" s="942"/>
      <c r="U63" s="941" t="e">
        <f t="shared" si="91"/>
        <v>#VALUE!</v>
      </c>
      <c r="V63" s="943" t="e">
        <f t="shared" si="69"/>
        <v>#VALUE!</v>
      </c>
      <c r="W63" s="888"/>
      <c r="X63" s="892"/>
      <c r="Y63" s="935">
        <f t="shared" si="70"/>
        <v>133.98506406806402</v>
      </c>
      <c r="Z63" s="935">
        <f t="shared" si="71"/>
        <v>313.43840643924761</v>
      </c>
      <c r="AA63" s="944"/>
      <c r="AB63" s="933" t="e">
        <f t="shared" si="72"/>
        <v>#VALUE!</v>
      </c>
      <c r="AC63" s="933" t="e">
        <f t="shared" si="73"/>
        <v>#VALUE!</v>
      </c>
      <c r="AD63" s="933" t="e">
        <f t="shared" si="74"/>
        <v>#VALUE!</v>
      </c>
      <c r="AE63" s="892"/>
      <c r="AF63" s="935">
        <f t="shared" si="92"/>
        <v>0</v>
      </c>
      <c r="AG63" s="935">
        <f t="shared" si="75"/>
        <v>0</v>
      </c>
      <c r="AH63" s="892"/>
      <c r="AI63" s="892"/>
      <c r="AJ63" s="945" t="e">
        <f t="shared" si="93"/>
        <v>#VALUE!</v>
      </c>
      <c r="AK63" s="933">
        <f t="shared" si="76"/>
        <v>0</v>
      </c>
      <c r="AL63" s="933" t="e">
        <f t="shared" si="77"/>
        <v>#VALUE!</v>
      </c>
      <c r="AM63" s="933" t="e">
        <f t="shared" si="78"/>
        <v>#VALUE!</v>
      </c>
      <c r="AN63" s="933" t="e">
        <f t="shared" si="79"/>
        <v>#VALUE!</v>
      </c>
      <c r="AO63" s="933" t="e">
        <f t="shared" si="80"/>
        <v>#VALUE!</v>
      </c>
      <c r="AP63" s="946" t="e">
        <f t="shared" si="94"/>
        <v>#VALUE!</v>
      </c>
      <c r="AQ63" s="888"/>
      <c r="AR63" s="941">
        <f t="shared" si="102"/>
        <v>0</v>
      </c>
      <c r="AS63" s="888"/>
      <c r="AT63" s="947">
        <f t="shared" si="109"/>
        <v>0</v>
      </c>
      <c r="AU63" s="948">
        <f t="shared" si="106"/>
        <v>0</v>
      </c>
      <c r="AV63" s="949" t="str">
        <f t="shared" si="82"/>
        <v/>
      </c>
      <c r="AW63" s="950">
        <f t="shared" si="83"/>
        <v>46.75</v>
      </c>
      <c r="AX63" s="951">
        <f t="shared" si="95"/>
        <v>1142.3760627241595</v>
      </c>
      <c r="AY63" s="952">
        <f>VLOOKUP(A63,'Comm Price Out'!$A$8:$G$77,7,FALSE)</f>
        <v>49.149597240423425</v>
      </c>
      <c r="AZ63" s="953">
        <f t="shared" si="96"/>
        <v>1201.0122648126871</v>
      </c>
      <c r="BA63" s="954">
        <f t="shared" si="84"/>
        <v>5.1328283217613374E-2</v>
      </c>
      <c r="BC63" s="1158">
        <f t="shared" si="85"/>
        <v>-1142.3760627241595</v>
      </c>
      <c r="BD63" s="1158">
        <f t="shared" si="86"/>
        <v>-1201.0122648126871</v>
      </c>
    </row>
    <row r="64" spans="1:56">
      <c r="A64" s="931" t="str">
        <f>+'Comm Price Out'!A38</f>
        <v>3 yd 1xweek</v>
      </c>
      <c r="B64" s="1133">
        <f>+'Comm Price Out'!B38</f>
        <v>18</v>
      </c>
      <c r="C64" s="933">
        <f t="shared" si="105"/>
        <v>18.312791100107155</v>
      </c>
      <c r="D64" s="957">
        <v>1</v>
      </c>
      <c r="E64" s="933">
        <f t="shared" si="67"/>
        <v>52</v>
      </c>
      <c r="F64" s="933">
        <f t="shared" si="87"/>
        <v>18.312791100107155</v>
      </c>
      <c r="G64" s="933"/>
      <c r="H64" s="934">
        <f>+'Comm Price Out'!D38</f>
        <v>43.29</v>
      </c>
      <c r="I64" s="935">
        <f t="shared" si="88"/>
        <v>3374.0226000000002</v>
      </c>
      <c r="J64" s="935">
        <f t="shared" si="97"/>
        <v>40488.271200000003</v>
      </c>
      <c r="K64" s="935">
        <f t="shared" si="98"/>
        <v>41191.847360560278</v>
      </c>
      <c r="L64" s="936">
        <f>+L63</f>
        <v>283.8</v>
      </c>
      <c r="M64" s="937">
        <f t="shared" si="99"/>
        <v>279.34757704485708</v>
      </c>
      <c r="N64" s="938">
        <f t="shared" si="100"/>
        <v>135.13</v>
      </c>
      <c r="O64" s="939">
        <f t="shared" si="68"/>
        <v>133.01000030328234</v>
      </c>
      <c r="P64" s="888"/>
      <c r="Q64" s="936">
        <f>+Q63</f>
        <v>120</v>
      </c>
      <c r="R64" s="941">
        <f t="shared" si="89"/>
        <v>31.742171240185737</v>
      </c>
      <c r="S64" s="941">
        <f t="shared" si="90"/>
        <v>31.742171240185737</v>
      </c>
      <c r="T64" s="942"/>
      <c r="U64" s="941" t="e">
        <f t="shared" si="91"/>
        <v>#VALUE!</v>
      </c>
      <c r="V64" s="943" t="e">
        <f t="shared" si="69"/>
        <v>#VALUE!</v>
      </c>
      <c r="W64" s="888"/>
      <c r="X64" s="892"/>
      <c r="Y64" s="935">
        <f t="shared" si="70"/>
        <v>4834.9586548459465</v>
      </c>
      <c r="Z64" s="935">
        <f t="shared" si="71"/>
        <v>11310.676652770129</v>
      </c>
      <c r="AA64" s="944"/>
      <c r="AB64" s="933" t="e">
        <f t="shared" si="72"/>
        <v>#VALUE!</v>
      </c>
      <c r="AC64" s="933" t="e">
        <f t="shared" si="73"/>
        <v>#VALUE!</v>
      </c>
      <c r="AD64" s="933" t="e">
        <f t="shared" si="74"/>
        <v>#VALUE!</v>
      </c>
      <c r="AE64" s="892"/>
      <c r="AF64" s="935">
        <f t="shared" si="92"/>
        <v>0</v>
      </c>
      <c r="AG64" s="935">
        <f t="shared" si="75"/>
        <v>0</v>
      </c>
      <c r="AH64" s="892"/>
      <c r="AI64" s="892"/>
      <c r="AJ64" s="945" t="e">
        <f t="shared" si="93"/>
        <v>#VALUE!</v>
      </c>
      <c r="AK64" s="933">
        <f t="shared" si="76"/>
        <v>0</v>
      </c>
      <c r="AL64" s="933" t="e">
        <f t="shared" si="77"/>
        <v>#VALUE!</v>
      </c>
      <c r="AM64" s="933" t="e">
        <f t="shared" si="78"/>
        <v>#VALUE!</v>
      </c>
      <c r="AN64" s="933" t="e">
        <f t="shared" si="79"/>
        <v>#VALUE!</v>
      </c>
      <c r="AO64" s="933" t="e">
        <f t="shared" si="80"/>
        <v>#VALUE!</v>
      </c>
      <c r="AP64" s="946" t="e">
        <f t="shared" si="94"/>
        <v>#VALUE!</v>
      </c>
      <c r="AQ64" s="888"/>
      <c r="AR64" s="941">
        <f t="shared" si="102"/>
        <v>0</v>
      </c>
      <c r="AS64" s="888"/>
      <c r="AT64" s="947">
        <f t="shared" si="109"/>
        <v>0</v>
      </c>
      <c r="AU64" s="948">
        <f t="shared" si="106"/>
        <v>0</v>
      </c>
      <c r="AV64" s="949" t="str">
        <f t="shared" si="82"/>
        <v/>
      </c>
      <c r="AW64" s="950">
        <f t="shared" si="83"/>
        <v>43.29</v>
      </c>
      <c r="AX64" s="951">
        <f t="shared" si="95"/>
        <v>41223.557789629216</v>
      </c>
      <c r="AY64" s="952">
        <f>VLOOKUP(A64,'Comm Price Out'!$A$8:$G$77,7,FALSE)</f>
        <v>45.512001380490481</v>
      </c>
      <c r="AZ64" s="953">
        <f t="shared" si="96"/>
        <v>43339.492239092957</v>
      </c>
      <c r="BA64" s="954">
        <f t="shared" si="84"/>
        <v>5.132828321761336E-2</v>
      </c>
      <c r="BC64" s="1158">
        <f t="shared" si="85"/>
        <v>-41223.557789629216</v>
      </c>
      <c r="BD64" s="1158">
        <f t="shared" si="86"/>
        <v>-43339.492239092957</v>
      </c>
    </row>
    <row r="65" spans="1:56">
      <c r="A65" s="931" t="str">
        <f>+'Comm Price Out'!A39</f>
        <v>3 yd 2xweek</v>
      </c>
      <c r="B65" s="1133">
        <f>+'Comm Price Out'!B39</f>
        <v>2</v>
      </c>
      <c r="C65" s="933">
        <f t="shared" si="105"/>
        <v>2.0347545666785729</v>
      </c>
      <c r="D65" s="957">
        <v>2</v>
      </c>
      <c r="E65" s="933">
        <f t="shared" si="67"/>
        <v>104</v>
      </c>
      <c r="F65" s="933">
        <f t="shared" si="87"/>
        <v>2.0347545666785729</v>
      </c>
      <c r="G65" s="933"/>
      <c r="H65" s="934">
        <f>+'Comm Price Out'!D39</f>
        <v>43.29</v>
      </c>
      <c r="I65" s="935">
        <f t="shared" si="88"/>
        <v>749.78279999999995</v>
      </c>
      <c r="J65" s="935">
        <f t="shared" si="97"/>
        <v>8997.3935999999994</v>
      </c>
      <c r="K65" s="935">
        <f t="shared" si="98"/>
        <v>9153.7438579022819</v>
      </c>
      <c r="L65" s="936">
        <f>+L64</f>
        <v>283.8</v>
      </c>
      <c r="M65" s="937">
        <f t="shared" si="99"/>
        <v>279.34757704485708</v>
      </c>
      <c r="N65" s="938">
        <f t="shared" si="100"/>
        <v>30.03</v>
      </c>
      <c r="O65" s="939">
        <f t="shared" si="68"/>
        <v>29.558871524513943</v>
      </c>
      <c r="P65" s="888"/>
      <c r="Q65" s="936">
        <f>+Q64</f>
        <v>120</v>
      </c>
      <c r="R65" s="941">
        <f t="shared" si="89"/>
        <v>7.0538158311523853</v>
      </c>
      <c r="S65" s="941">
        <f t="shared" si="90"/>
        <v>7.0538158311523853</v>
      </c>
      <c r="T65" s="942"/>
      <c r="U65" s="941" t="e">
        <f t="shared" si="91"/>
        <v>#VALUE!</v>
      </c>
      <c r="V65" s="943" t="e">
        <f t="shared" si="69"/>
        <v>#VALUE!</v>
      </c>
      <c r="W65" s="888"/>
      <c r="X65" s="892"/>
      <c r="Y65" s="935">
        <f t="shared" si="70"/>
        <v>1074.4352566324324</v>
      </c>
      <c r="Z65" s="935">
        <f t="shared" si="71"/>
        <v>2513.4837006155844</v>
      </c>
      <c r="AA65" s="944"/>
      <c r="AB65" s="933" t="e">
        <f t="shared" si="72"/>
        <v>#VALUE!</v>
      </c>
      <c r="AC65" s="933" t="e">
        <f t="shared" si="73"/>
        <v>#VALUE!</v>
      </c>
      <c r="AD65" s="933" t="e">
        <f t="shared" si="74"/>
        <v>#VALUE!</v>
      </c>
      <c r="AE65" s="892"/>
      <c r="AF65" s="935">
        <f t="shared" si="92"/>
        <v>0</v>
      </c>
      <c r="AG65" s="935">
        <f t="shared" si="75"/>
        <v>0</v>
      </c>
      <c r="AH65" s="892"/>
      <c r="AI65" s="892"/>
      <c r="AJ65" s="945" t="e">
        <f t="shared" si="93"/>
        <v>#VALUE!</v>
      </c>
      <c r="AK65" s="933">
        <f t="shared" si="76"/>
        <v>0</v>
      </c>
      <c r="AL65" s="933" t="e">
        <f t="shared" si="77"/>
        <v>#VALUE!</v>
      </c>
      <c r="AM65" s="933" t="e">
        <f t="shared" si="78"/>
        <v>#VALUE!</v>
      </c>
      <c r="AN65" s="933" t="e">
        <f t="shared" si="79"/>
        <v>#VALUE!</v>
      </c>
      <c r="AO65" s="933" t="e">
        <f t="shared" si="80"/>
        <v>#VALUE!</v>
      </c>
      <c r="AP65" s="946" t="e">
        <f t="shared" si="94"/>
        <v>#VALUE!</v>
      </c>
      <c r="AQ65" s="888"/>
      <c r="AR65" s="941">
        <f t="shared" si="102"/>
        <v>0</v>
      </c>
      <c r="AS65" s="888"/>
      <c r="AT65" s="947">
        <f t="shared" si="109"/>
        <v>0</v>
      </c>
      <c r="AU65" s="948">
        <f t="shared" si="106"/>
        <v>0</v>
      </c>
      <c r="AV65" s="949" t="str">
        <f t="shared" si="82"/>
        <v/>
      </c>
      <c r="AW65" s="950">
        <f t="shared" si="83"/>
        <v>43.29</v>
      </c>
      <c r="AX65" s="951">
        <f t="shared" si="95"/>
        <v>9160.790619917605</v>
      </c>
      <c r="AY65" s="952">
        <f>VLOOKUP(A65,'Comm Price Out'!$A$8:$G$77,7,FALSE)</f>
        <v>45.512001380490481</v>
      </c>
      <c r="AZ65" s="953">
        <f t="shared" si="96"/>
        <v>9630.9982753539898</v>
      </c>
      <c r="BA65" s="954">
        <f t="shared" si="84"/>
        <v>5.132828321761336E-2</v>
      </c>
      <c r="BC65" s="1158">
        <f t="shared" si="85"/>
        <v>-9160.790619917605</v>
      </c>
      <c r="BD65" s="1158">
        <f t="shared" si="86"/>
        <v>-9630.9982753539898</v>
      </c>
    </row>
    <row r="66" spans="1:56">
      <c r="A66" s="931" t="str">
        <f>+'Comm Price Out'!A40</f>
        <v>3 yd 3xweek</v>
      </c>
      <c r="B66" s="1133">
        <f>+'Comm Price Out'!B40</f>
        <v>2</v>
      </c>
      <c r="C66" s="933">
        <f t="shared" si="105"/>
        <v>2.0347545666785729</v>
      </c>
      <c r="D66" s="957">
        <v>3</v>
      </c>
      <c r="E66" s="933">
        <f t="shared" si="67"/>
        <v>156</v>
      </c>
      <c r="F66" s="933">
        <f t="shared" si="87"/>
        <v>2.0347545666785729</v>
      </c>
      <c r="G66" s="933"/>
      <c r="H66" s="934">
        <f>+'Comm Price Out'!D40</f>
        <v>43.29</v>
      </c>
      <c r="I66" s="935">
        <f t="shared" si="88"/>
        <v>1124.6742000000002</v>
      </c>
      <c r="J66" s="935">
        <f t="shared" si="97"/>
        <v>13496.090400000001</v>
      </c>
      <c r="K66" s="935">
        <f t="shared" si="98"/>
        <v>13730.615786853425</v>
      </c>
      <c r="L66" s="936">
        <f>+L65</f>
        <v>283.8</v>
      </c>
      <c r="M66" s="937">
        <f t="shared" si="99"/>
        <v>279.34757704485708</v>
      </c>
      <c r="N66" s="938">
        <f t="shared" si="100"/>
        <v>45.04</v>
      </c>
      <c r="O66" s="939">
        <f t="shared" si="68"/>
        <v>44.333385729740527</v>
      </c>
      <c r="P66" s="888"/>
      <c r="Q66" s="936">
        <f>+Q65</f>
        <v>120</v>
      </c>
      <c r="R66" s="941">
        <f t="shared" si="89"/>
        <v>10.580723746728577</v>
      </c>
      <c r="S66" s="941">
        <f t="shared" si="90"/>
        <v>10.580723746728577</v>
      </c>
      <c r="T66" s="942"/>
      <c r="U66" s="941" t="e">
        <f t="shared" si="91"/>
        <v>#VALUE!</v>
      </c>
      <c r="V66" s="943" t="e">
        <f t="shared" si="69"/>
        <v>#VALUE!</v>
      </c>
      <c r="W66" s="888"/>
      <c r="X66" s="892"/>
      <c r="Y66" s="935">
        <f t="shared" si="70"/>
        <v>1611.6528849486488</v>
      </c>
      <c r="Z66" s="935">
        <f t="shared" si="71"/>
        <v>3770.2255509233769</v>
      </c>
      <c r="AA66" s="944"/>
      <c r="AB66" s="933" t="e">
        <f t="shared" si="72"/>
        <v>#VALUE!</v>
      </c>
      <c r="AC66" s="933" t="e">
        <f t="shared" si="73"/>
        <v>#VALUE!</v>
      </c>
      <c r="AD66" s="933" t="e">
        <f t="shared" si="74"/>
        <v>#VALUE!</v>
      </c>
      <c r="AE66" s="892"/>
      <c r="AF66" s="935">
        <f t="shared" si="92"/>
        <v>0</v>
      </c>
      <c r="AG66" s="935">
        <f t="shared" si="75"/>
        <v>0</v>
      </c>
      <c r="AH66" s="892"/>
      <c r="AI66" s="892"/>
      <c r="AJ66" s="945" t="e">
        <f t="shared" si="93"/>
        <v>#VALUE!</v>
      </c>
      <c r="AK66" s="933">
        <f t="shared" si="76"/>
        <v>0</v>
      </c>
      <c r="AL66" s="933" t="e">
        <f t="shared" si="77"/>
        <v>#VALUE!</v>
      </c>
      <c r="AM66" s="933" t="e">
        <f t="shared" si="78"/>
        <v>#VALUE!</v>
      </c>
      <c r="AN66" s="933" t="e">
        <f t="shared" si="79"/>
        <v>#VALUE!</v>
      </c>
      <c r="AO66" s="933" t="e">
        <f t="shared" si="80"/>
        <v>#VALUE!</v>
      </c>
      <c r="AP66" s="946" t="e">
        <f t="shared" si="94"/>
        <v>#VALUE!</v>
      </c>
      <c r="AQ66" s="888"/>
      <c r="AR66" s="941">
        <f t="shared" si="102"/>
        <v>0</v>
      </c>
      <c r="AS66" s="888"/>
      <c r="AT66" s="947">
        <f t="shared" si="109"/>
        <v>0</v>
      </c>
      <c r="AU66" s="948">
        <f t="shared" si="106"/>
        <v>0</v>
      </c>
      <c r="AV66" s="949" t="str">
        <f t="shared" si="82"/>
        <v/>
      </c>
      <c r="AW66" s="950">
        <f t="shared" si="83"/>
        <v>43.29</v>
      </c>
      <c r="AX66" s="951">
        <f t="shared" si="95"/>
        <v>13741.185929876407</v>
      </c>
      <c r="AY66" s="952">
        <f>VLOOKUP(A66,'Comm Price Out'!$A$8:$G$77,7,FALSE)</f>
        <v>45.512001380490481</v>
      </c>
      <c r="AZ66" s="953">
        <f t="shared" si="96"/>
        <v>14446.497413030986</v>
      </c>
      <c r="BA66" s="954">
        <f t="shared" si="84"/>
        <v>5.132828321761336E-2</v>
      </c>
      <c r="BC66" s="1158">
        <f t="shared" si="85"/>
        <v>-13741.185929876407</v>
      </c>
      <c r="BD66" s="1158">
        <f t="shared" si="86"/>
        <v>-14446.497413030986</v>
      </c>
    </row>
    <row r="67" spans="1:56" s="160" customFormat="1">
      <c r="A67" s="931" t="str">
        <f>+'Comm Price Out'!A41</f>
        <v>4 yd Comp Week</v>
      </c>
      <c r="B67" s="1133">
        <f>+'Comm Price Out'!B41</f>
        <v>0</v>
      </c>
      <c r="C67" s="935">
        <f t="shared" si="105"/>
        <v>0</v>
      </c>
      <c r="D67" s="957">
        <v>1</v>
      </c>
      <c r="E67" s="933">
        <f t="shared" si="67"/>
        <v>52</v>
      </c>
      <c r="F67" s="933">
        <f t="shared" si="87"/>
        <v>0</v>
      </c>
      <c r="G67" s="935"/>
      <c r="H67" s="958">
        <f>+'Comm Price Out'!D41</f>
        <v>260.44</v>
      </c>
      <c r="I67" s="935">
        <f t="shared" si="88"/>
        <v>0</v>
      </c>
      <c r="J67" s="935">
        <f>I67*12</f>
        <v>0</v>
      </c>
      <c r="K67" s="935">
        <f t="shared" si="98"/>
        <v>0</v>
      </c>
      <c r="L67" s="1142">
        <f>+'Meeks +'!F33*$S$1</f>
        <v>1011.5999999999999</v>
      </c>
      <c r="M67" s="937">
        <f t="shared" si="99"/>
        <v>995.7294183882218</v>
      </c>
      <c r="N67" s="938">
        <f t="shared" si="100"/>
        <v>0</v>
      </c>
      <c r="O67" s="939">
        <f t="shared" si="68"/>
        <v>0</v>
      </c>
      <c r="P67" s="959"/>
      <c r="Q67" s="1142">
        <f>+'Meeks +'!C33</f>
        <v>120</v>
      </c>
      <c r="R67" s="939">
        <f t="shared" si="89"/>
        <v>0</v>
      </c>
      <c r="S67" s="939">
        <f t="shared" si="90"/>
        <v>0</v>
      </c>
      <c r="T67" s="960"/>
      <c r="U67" s="939" t="e">
        <f t="shared" si="91"/>
        <v>#VALUE!</v>
      </c>
      <c r="V67" s="961" t="e">
        <f t="shared" si="69"/>
        <v>#VALUE!</v>
      </c>
      <c r="W67" s="959"/>
      <c r="X67" s="944"/>
      <c r="Y67" s="935">
        <f t="shared" si="70"/>
        <v>0</v>
      </c>
      <c r="Z67" s="935">
        <f t="shared" si="71"/>
        <v>0</v>
      </c>
      <c r="AA67" s="944"/>
      <c r="AB67" s="935" t="e">
        <f t="shared" si="72"/>
        <v>#VALUE!</v>
      </c>
      <c r="AC67" s="935" t="e">
        <f t="shared" si="73"/>
        <v>#VALUE!</v>
      </c>
      <c r="AD67" s="935" t="e">
        <f t="shared" si="74"/>
        <v>#VALUE!</v>
      </c>
      <c r="AE67" s="944"/>
      <c r="AF67" s="935">
        <f t="shared" si="92"/>
        <v>0</v>
      </c>
      <c r="AG67" s="935">
        <f t="shared" si="75"/>
        <v>0</v>
      </c>
      <c r="AH67" s="944"/>
      <c r="AI67" s="944"/>
      <c r="AJ67" s="962" t="e">
        <f t="shared" si="93"/>
        <v>#VALUE!</v>
      </c>
      <c r="AK67" s="935">
        <f t="shared" si="76"/>
        <v>0</v>
      </c>
      <c r="AL67" s="935" t="e">
        <f t="shared" si="77"/>
        <v>#VALUE!</v>
      </c>
      <c r="AM67" s="935" t="e">
        <f t="shared" si="78"/>
        <v>#VALUE!</v>
      </c>
      <c r="AN67" s="935" t="e">
        <f t="shared" si="79"/>
        <v>#VALUE!</v>
      </c>
      <c r="AO67" s="935" t="e">
        <f t="shared" si="80"/>
        <v>#VALUE!</v>
      </c>
      <c r="AP67" s="946" t="e">
        <f t="shared" si="94"/>
        <v>#VALUE!</v>
      </c>
      <c r="AQ67" s="959"/>
      <c r="AR67" s="941">
        <f t="shared" si="102"/>
        <v>0</v>
      </c>
      <c r="AS67" s="959"/>
      <c r="AT67" s="963">
        <f t="shared" si="109"/>
        <v>0</v>
      </c>
      <c r="AU67" s="948">
        <f>+AT67*C67*D67*E67</f>
        <v>0</v>
      </c>
      <c r="AV67" s="964" t="str">
        <f t="shared" si="82"/>
        <v/>
      </c>
      <c r="AW67" s="965">
        <f t="shared" si="83"/>
        <v>260.44</v>
      </c>
      <c r="AX67" s="951">
        <f t="shared" si="95"/>
        <v>0</v>
      </c>
      <c r="AY67" s="952">
        <f>VLOOKUP(A67,'Comm Price Out'!$A$8:$G$77,7,FALSE)</f>
        <v>273.80793808119523</v>
      </c>
      <c r="AZ67" s="953">
        <f t="shared" si="96"/>
        <v>0</v>
      </c>
      <c r="BA67" s="966">
        <f t="shared" si="84"/>
        <v>5.1328283217613402E-2</v>
      </c>
      <c r="BC67" s="1158">
        <f t="shared" si="85"/>
        <v>0</v>
      </c>
      <c r="BD67" s="1158">
        <f t="shared" si="86"/>
        <v>0</v>
      </c>
    </row>
    <row r="68" spans="1:56">
      <c r="A68" s="931" t="str">
        <f>+'Comm Price Out'!A42</f>
        <v>4 yd Comp Week (5x Comp)</v>
      </c>
      <c r="B68" s="1133">
        <f>+'Comm Price Out'!B42</f>
        <v>0</v>
      </c>
      <c r="C68" s="933">
        <f t="shared" si="105"/>
        <v>0</v>
      </c>
      <c r="D68" s="957">
        <v>1</v>
      </c>
      <c r="E68" s="933">
        <f t="shared" si="67"/>
        <v>52</v>
      </c>
      <c r="F68" s="933">
        <f t="shared" si="87"/>
        <v>0</v>
      </c>
      <c r="G68" s="933"/>
      <c r="H68" s="934">
        <f>+'Comm Price Out'!D42</f>
        <v>208.77</v>
      </c>
      <c r="I68" s="935">
        <f t="shared" si="88"/>
        <v>0</v>
      </c>
      <c r="J68" s="935">
        <f t="shared" si="97"/>
        <v>0</v>
      </c>
      <c r="K68" s="935">
        <f t="shared" si="98"/>
        <v>0</v>
      </c>
      <c r="L68" s="936">
        <f>+L67/3.5*5</f>
        <v>1445.1428571428571</v>
      </c>
      <c r="M68" s="937">
        <f t="shared" si="99"/>
        <v>1422.4705976974599</v>
      </c>
      <c r="N68" s="938">
        <f t="shared" si="100"/>
        <v>0</v>
      </c>
      <c r="O68" s="939">
        <f t="shared" si="68"/>
        <v>0</v>
      </c>
      <c r="P68" s="888"/>
      <c r="Q68" s="936">
        <f>+Q67/3.5*5</f>
        <v>171.42857142857142</v>
      </c>
      <c r="R68" s="941">
        <f t="shared" si="89"/>
        <v>0</v>
      </c>
      <c r="S68" s="941">
        <f t="shared" si="90"/>
        <v>0</v>
      </c>
      <c r="T68" s="942"/>
      <c r="U68" s="941" t="e">
        <f t="shared" si="91"/>
        <v>#VALUE!</v>
      </c>
      <c r="V68" s="943" t="e">
        <f t="shared" si="69"/>
        <v>#VALUE!</v>
      </c>
      <c r="W68" s="888"/>
      <c r="X68" s="892"/>
      <c r="Y68" s="935">
        <f t="shared" si="70"/>
        <v>0</v>
      </c>
      <c r="Z68" s="935">
        <f t="shared" si="71"/>
        <v>0</v>
      </c>
      <c r="AA68" s="944"/>
      <c r="AB68" s="933" t="e">
        <f t="shared" si="72"/>
        <v>#VALUE!</v>
      </c>
      <c r="AC68" s="933" t="e">
        <f t="shared" si="73"/>
        <v>#VALUE!</v>
      </c>
      <c r="AD68" s="933" t="e">
        <f t="shared" si="74"/>
        <v>#VALUE!</v>
      </c>
      <c r="AE68" s="892"/>
      <c r="AF68" s="935">
        <f t="shared" si="92"/>
        <v>0</v>
      </c>
      <c r="AG68" s="935">
        <f t="shared" si="75"/>
        <v>0</v>
      </c>
      <c r="AH68" s="892"/>
      <c r="AI68" s="892"/>
      <c r="AJ68" s="945" t="e">
        <f t="shared" si="93"/>
        <v>#VALUE!</v>
      </c>
      <c r="AK68" s="933">
        <f t="shared" si="76"/>
        <v>0</v>
      </c>
      <c r="AL68" s="933" t="e">
        <f t="shared" si="77"/>
        <v>#VALUE!</v>
      </c>
      <c r="AM68" s="933" t="e">
        <f t="shared" si="78"/>
        <v>#VALUE!</v>
      </c>
      <c r="AN68" s="933" t="e">
        <f t="shared" si="79"/>
        <v>#VALUE!</v>
      </c>
      <c r="AO68" s="933" t="e">
        <f t="shared" si="80"/>
        <v>#VALUE!</v>
      </c>
      <c r="AP68" s="946" t="e">
        <f t="shared" si="94"/>
        <v>#VALUE!</v>
      </c>
      <c r="AQ68" s="888"/>
      <c r="AR68" s="941">
        <f t="shared" si="102"/>
        <v>0</v>
      </c>
      <c r="AS68" s="888"/>
      <c r="AT68" s="947">
        <f t="shared" ref="AT68:AT77" si="110">AR68/$AT$4</f>
        <v>0</v>
      </c>
      <c r="AU68" s="948">
        <f>+AT68*C68*E68</f>
        <v>0</v>
      </c>
      <c r="AV68" s="949" t="str">
        <f t="shared" si="82"/>
        <v/>
      </c>
      <c r="AW68" s="950">
        <f t="shared" si="83"/>
        <v>208.77</v>
      </c>
      <c r="AX68" s="951">
        <f t="shared" si="95"/>
        <v>0</v>
      </c>
      <c r="AY68" s="952">
        <f>VLOOKUP(A68,'Comm Price Out'!$A$8:$G$77,7,FALSE)</f>
        <v>219.48580568734116</v>
      </c>
      <c r="AZ68" s="953">
        <f t="shared" si="96"/>
        <v>0</v>
      </c>
      <c r="BA68" s="954">
        <f t="shared" si="84"/>
        <v>5.1328283217613374E-2</v>
      </c>
      <c r="BB68" s="126"/>
      <c r="BC68" s="1158">
        <f t="shared" si="85"/>
        <v>0</v>
      </c>
      <c r="BD68" s="1158">
        <f t="shared" si="86"/>
        <v>0</v>
      </c>
    </row>
    <row r="69" spans="1:56">
      <c r="A69" s="931" t="str">
        <f>+'Comm Price Out'!A43</f>
        <v>4 yd On Call</v>
      </c>
      <c r="B69" s="1133">
        <f>+'Comm Price Out'!B43</f>
        <v>8</v>
      </c>
      <c r="C69" s="933">
        <f t="shared" si="105"/>
        <v>8.1390182667142916</v>
      </c>
      <c r="D69" s="957">
        <f>1/$E$2</f>
        <v>0.23094688221709006</v>
      </c>
      <c r="E69" s="933">
        <f t="shared" si="67"/>
        <v>12.009237875288683</v>
      </c>
      <c r="F69" s="933">
        <f t="shared" si="87"/>
        <v>8.1390182667142916</v>
      </c>
      <c r="G69" s="933"/>
      <c r="H69" s="934">
        <f>+'Comm Price Out'!D43</f>
        <v>61.18</v>
      </c>
      <c r="I69" s="935">
        <f t="shared" si="88"/>
        <v>489.44</v>
      </c>
      <c r="J69" s="935">
        <f t="shared" si="97"/>
        <v>5873.28</v>
      </c>
      <c r="K69" s="935">
        <f t="shared" si="98"/>
        <v>5975.3416506909643</v>
      </c>
      <c r="L69" s="936">
        <f>+'Meeks +'!F29*$S$1</f>
        <v>367.8</v>
      </c>
      <c r="M69" s="937">
        <f t="shared" si="99"/>
        <v>362.02973515538559</v>
      </c>
      <c r="N69" s="938">
        <f t="shared" si="100"/>
        <v>17.98</v>
      </c>
      <c r="O69" s="939">
        <f t="shared" si="68"/>
        <v>17.697919081277412</v>
      </c>
      <c r="P69" s="888"/>
      <c r="Q69" s="936">
        <f>+'Meeks +'!C29</f>
        <v>120</v>
      </c>
      <c r="R69" s="941">
        <f t="shared" si="89"/>
        <v>3.2581135478763907</v>
      </c>
      <c r="S69" s="941">
        <f t="shared" si="90"/>
        <v>3.2581135478763907</v>
      </c>
      <c r="T69" s="942"/>
      <c r="U69" s="941" t="e">
        <f t="shared" si="91"/>
        <v>#VALUE!</v>
      </c>
      <c r="V69" s="943" t="e">
        <f t="shared" si="69"/>
        <v>#VALUE!</v>
      </c>
      <c r="W69" s="888"/>
      <c r="X69" s="892"/>
      <c r="Y69" s="935">
        <f t="shared" si="70"/>
        <v>701.36523804784224</v>
      </c>
      <c r="Z69" s="935">
        <f t="shared" si="71"/>
        <v>1640.7411085307529</v>
      </c>
      <c r="AA69" s="944"/>
      <c r="AB69" s="933" t="e">
        <f t="shared" si="72"/>
        <v>#VALUE!</v>
      </c>
      <c r="AC69" s="933" t="e">
        <f t="shared" si="73"/>
        <v>#VALUE!</v>
      </c>
      <c r="AD69" s="933" t="e">
        <f t="shared" si="74"/>
        <v>#VALUE!</v>
      </c>
      <c r="AE69" s="892"/>
      <c r="AF69" s="935">
        <f t="shared" si="92"/>
        <v>0</v>
      </c>
      <c r="AG69" s="935">
        <f t="shared" si="75"/>
        <v>0</v>
      </c>
      <c r="AH69" s="892"/>
      <c r="AI69" s="892"/>
      <c r="AJ69" s="945" t="e">
        <f t="shared" si="93"/>
        <v>#VALUE!</v>
      </c>
      <c r="AK69" s="933">
        <f t="shared" si="76"/>
        <v>0</v>
      </c>
      <c r="AL69" s="933" t="e">
        <f t="shared" si="77"/>
        <v>#VALUE!</v>
      </c>
      <c r="AM69" s="933" t="e">
        <f t="shared" si="78"/>
        <v>#VALUE!</v>
      </c>
      <c r="AN69" s="933" t="e">
        <f t="shared" si="79"/>
        <v>#VALUE!</v>
      </c>
      <c r="AO69" s="933" t="e">
        <f t="shared" si="80"/>
        <v>#VALUE!</v>
      </c>
      <c r="AP69" s="946" t="e">
        <f t="shared" si="94"/>
        <v>#VALUE!</v>
      </c>
      <c r="AQ69" s="888"/>
      <c r="AR69" s="941">
        <f t="shared" si="102"/>
        <v>0</v>
      </c>
      <c r="AS69" s="888"/>
      <c r="AT69" s="947">
        <f t="shared" si="110"/>
        <v>0</v>
      </c>
      <c r="AU69" s="948">
        <f>+AT69*C69*E69</f>
        <v>0</v>
      </c>
      <c r="AV69" s="949" t="str">
        <f t="shared" si="82"/>
        <v/>
      </c>
      <c r="AW69" s="950">
        <f t="shared" si="83"/>
        <v>61.18</v>
      </c>
      <c r="AX69" s="951">
        <f t="shared" si="95"/>
        <v>5979.9416057723274</v>
      </c>
      <c r="AY69" s="952">
        <f>VLOOKUP(A69,'Comm Price Out'!$A$8:$G$77,7,FALSE)</f>
        <v>64.320264367253586</v>
      </c>
      <c r="AZ69" s="953">
        <f t="shared" si="96"/>
        <v>6286.8817421381991</v>
      </c>
      <c r="BA69" s="954">
        <f t="shared" si="84"/>
        <v>5.1328283217613367E-2</v>
      </c>
      <c r="BB69" s="126"/>
      <c r="BC69" s="1158">
        <f t="shared" si="85"/>
        <v>-5979.9416057723274</v>
      </c>
      <c r="BD69" s="1158">
        <f t="shared" si="86"/>
        <v>-6286.8817421381991</v>
      </c>
    </row>
    <row r="70" spans="1:56">
      <c r="A70" s="931" t="str">
        <f>+'Comm Price Out'!A44</f>
        <v>4 yd 1xweek</v>
      </c>
      <c r="B70" s="1133">
        <f>+'Comm Price Out'!B44</f>
        <v>30</v>
      </c>
      <c r="C70" s="933">
        <f t="shared" si="105"/>
        <v>30.521318500178594</v>
      </c>
      <c r="D70" s="957">
        <v>1</v>
      </c>
      <c r="E70" s="933">
        <f t="shared" si="67"/>
        <v>52</v>
      </c>
      <c r="F70" s="933">
        <f t="shared" si="87"/>
        <v>30.521318500178594</v>
      </c>
      <c r="G70" s="933"/>
      <c r="H70" s="934">
        <f>+'Comm Price Out'!D44</f>
        <v>55.41</v>
      </c>
      <c r="I70" s="935">
        <f t="shared" si="88"/>
        <v>7197.759</v>
      </c>
      <c r="J70" s="935">
        <f t="shared" si="97"/>
        <v>86373.108000000007</v>
      </c>
      <c r="K70" s="935">
        <f t="shared" si="98"/>
        <v>87874.037970610792</v>
      </c>
      <c r="L70" s="936">
        <f t="shared" ref="L70:L75" si="111">+L69</f>
        <v>367.8</v>
      </c>
      <c r="M70" s="937">
        <f t="shared" si="99"/>
        <v>362.02973515538559</v>
      </c>
      <c r="N70" s="938">
        <f t="shared" si="100"/>
        <v>291.87</v>
      </c>
      <c r="O70" s="939">
        <f t="shared" si="68"/>
        <v>287.29097009190423</v>
      </c>
      <c r="P70" s="888"/>
      <c r="Q70" s="936">
        <f t="shared" ref="Q70:Q75" si="112">+Q69</f>
        <v>120</v>
      </c>
      <c r="R70" s="941">
        <f t="shared" si="89"/>
        <v>52.903618733642901</v>
      </c>
      <c r="S70" s="941">
        <f t="shared" si="90"/>
        <v>52.903618733642901</v>
      </c>
      <c r="T70" s="942"/>
      <c r="U70" s="941" t="e">
        <f t="shared" si="91"/>
        <v>#VALUE!</v>
      </c>
      <c r="V70" s="943" t="e">
        <f t="shared" si="69"/>
        <v>#VALUE!</v>
      </c>
      <c r="W70" s="888"/>
      <c r="X70" s="892"/>
      <c r="Y70" s="935">
        <f t="shared" si="70"/>
        <v>10314.355088358121</v>
      </c>
      <c r="Z70" s="935">
        <f t="shared" si="71"/>
        <v>24128.920972125699</v>
      </c>
      <c r="AA70" s="944"/>
      <c r="AB70" s="933" t="e">
        <f t="shared" si="72"/>
        <v>#VALUE!</v>
      </c>
      <c r="AC70" s="933" t="e">
        <f t="shared" si="73"/>
        <v>#VALUE!</v>
      </c>
      <c r="AD70" s="933" t="e">
        <f t="shared" si="74"/>
        <v>#VALUE!</v>
      </c>
      <c r="AE70" s="892"/>
      <c r="AF70" s="935">
        <f t="shared" si="92"/>
        <v>0</v>
      </c>
      <c r="AG70" s="935">
        <f t="shared" si="75"/>
        <v>0</v>
      </c>
      <c r="AH70" s="892"/>
      <c r="AI70" s="892"/>
      <c r="AJ70" s="945" t="e">
        <f t="shared" si="93"/>
        <v>#VALUE!</v>
      </c>
      <c r="AK70" s="933">
        <f t="shared" si="76"/>
        <v>0</v>
      </c>
      <c r="AL70" s="933" t="e">
        <f t="shared" si="77"/>
        <v>#VALUE!</v>
      </c>
      <c r="AM70" s="933" t="e">
        <f t="shared" si="78"/>
        <v>#VALUE!</v>
      </c>
      <c r="AN70" s="933" t="e">
        <f t="shared" si="79"/>
        <v>#VALUE!</v>
      </c>
      <c r="AO70" s="933" t="e">
        <f t="shared" si="80"/>
        <v>#VALUE!</v>
      </c>
      <c r="AP70" s="946" t="e">
        <f t="shared" si="94"/>
        <v>#VALUE!</v>
      </c>
      <c r="AQ70" s="888"/>
      <c r="AR70" s="941">
        <f t="shared" si="102"/>
        <v>0</v>
      </c>
      <c r="AS70" s="888"/>
      <c r="AT70" s="947">
        <f t="shared" si="110"/>
        <v>0</v>
      </c>
      <c r="AU70" s="948">
        <f t="shared" ref="AU70:AU83" si="113">+AT70*C70*E70</f>
        <v>0</v>
      </c>
      <c r="AV70" s="949" t="str">
        <f t="shared" si="82"/>
        <v/>
      </c>
      <c r="AW70" s="950">
        <f t="shared" si="83"/>
        <v>55.41</v>
      </c>
      <c r="AX70" s="951">
        <f t="shared" si="95"/>
        <v>87941.685420934577</v>
      </c>
      <c r="AY70" s="952">
        <f>VLOOKUP(A70,'Comm Price Out'!$A$8:$G$77,7,FALSE)</f>
        <v>58.254100173087956</v>
      </c>
      <c r="AZ70" s="953">
        <f t="shared" si="96"/>
        <v>92455.581156854576</v>
      </c>
      <c r="BA70" s="954">
        <f t="shared" si="84"/>
        <v>5.1328283217613416E-2</v>
      </c>
      <c r="BB70" s="126"/>
      <c r="BC70" s="1158">
        <f t="shared" si="85"/>
        <v>-87941.685420934577</v>
      </c>
      <c r="BD70" s="1158">
        <f t="shared" si="86"/>
        <v>-92455.581156854576</v>
      </c>
    </row>
    <row r="71" spans="1:56">
      <c r="A71" s="931" t="str">
        <f>+'Comm Price Out'!A45</f>
        <v>4 yd 2xweek</v>
      </c>
      <c r="B71" s="1133">
        <f>+'Comm Price Out'!B45</f>
        <v>9</v>
      </c>
      <c r="C71" s="933">
        <f t="shared" si="105"/>
        <v>9.1563955500535776</v>
      </c>
      <c r="D71" s="957">
        <v>2</v>
      </c>
      <c r="E71" s="933">
        <f t="shared" si="67"/>
        <v>104</v>
      </c>
      <c r="F71" s="933">
        <f t="shared" si="87"/>
        <v>9.1563955500535776</v>
      </c>
      <c r="G71" s="933"/>
      <c r="H71" s="934">
        <f>+'Comm Price Out'!D45</f>
        <v>55.41</v>
      </c>
      <c r="I71" s="935">
        <f t="shared" si="88"/>
        <v>4318.6553999999996</v>
      </c>
      <c r="J71" s="935">
        <f t="shared" si="97"/>
        <v>51823.864799999996</v>
      </c>
      <c r="K71" s="935">
        <f t="shared" si="98"/>
        <v>52724.42278236647</v>
      </c>
      <c r="L71" s="936">
        <f t="shared" si="111"/>
        <v>367.8</v>
      </c>
      <c r="M71" s="937">
        <f t="shared" si="99"/>
        <v>362.02973515538559</v>
      </c>
      <c r="N71" s="938">
        <f t="shared" si="100"/>
        <v>175.12</v>
      </c>
      <c r="O71" s="939">
        <f t="shared" si="68"/>
        <v>172.37261343233041</v>
      </c>
      <c r="P71" s="888"/>
      <c r="Q71" s="936">
        <f t="shared" si="112"/>
        <v>120</v>
      </c>
      <c r="R71" s="941">
        <f t="shared" si="89"/>
        <v>31.742171240185737</v>
      </c>
      <c r="S71" s="941">
        <f t="shared" si="90"/>
        <v>31.742171240185737</v>
      </c>
      <c r="T71" s="942"/>
      <c r="U71" s="941" t="e">
        <f t="shared" si="91"/>
        <v>#VALUE!</v>
      </c>
      <c r="V71" s="943" t="e">
        <f t="shared" si="69"/>
        <v>#VALUE!</v>
      </c>
      <c r="W71" s="888"/>
      <c r="X71" s="892"/>
      <c r="Y71" s="935">
        <f t="shared" si="70"/>
        <v>6188.6130530148721</v>
      </c>
      <c r="Z71" s="935">
        <f t="shared" si="71"/>
        <v>14477.352583275419</v>
      </c>
      <c r="AA71" s="944"/>
      <c r="AB71" s="933" t="e">
        <f t="shared" si="72"/>
        <v>#VALUE!</v>
      </c>
      <c r="AC71" s="933" t="e">
        <f t="shared" si="73"/>
        <v>#VALUE!</v>
      </c>
      <c r="AD71" s="933" t="e">
        <f t="shared" si="74"/>
        <v>#VALUE!</v>
      </c>
      <c r="AE71" s="892"/>
      <c r="AF71" s="935">
        <f t="shared" si="92"/>
        <v>0</v>
      </c>
      <c r="AG71" s="935">
        <f t="shared" si="75"/>
        <v>0</v>
      </c>
      <c r="AH71" s="892"/>
      <c r="AI71" s="892"/>
      <c r="AJ71" s="945" t="e">
        <f t="shared" si="93"/>
        <v>#VALUE!</v>
      </c>
      <c r="AK71" s="933">
        <f t="shared" si="76"/>
        <v>0</v>
      </c>
      <c r="AL71" s="933" t="e">
        <f t="shared" si="77"/>
        <v>#VALUE!</v>
      </c>
      <c r="AM71" s="933" t="e">
        <f t="shared" si="78"/>
        <v>#VALUE!</v>
      </c>
      <c r="AN71" s="933" t="e">
        <f t="shared" si="79"/>
        <v>#VALUE!</v>
      </c>
      <c r="AO71" s="933" t="e">
        <f t="shared" si="80"/>
        <v>#VALUE!</v>
      </c>
      <c r="AP71" s="946" t="e">
        <f t="shared" si="94"/>
        <v>#VALUE!</v>
      </c>
      <c r="AQ71" s="888"/>
      <c r="AR71" s="941">
        <f t="shared" si="102"/>
        <v>0</v>
      </c>
      <c r="AS71" s="888"/>
      <c r="AT71" s="947">
        <f t="shared" si="110"/>
        <v>0</v>
      </c>
      <c r="AU71" s="948">
        <f t="shared" si="113"/>
        <v>0</v>
      </c>
      <c r="AV71" s="949" t="str">
        <f t="shared" si="82"/>
        <v/>
      </c>
      <c r="AW71" s="950">
        <f t="shared" si="83"/>
        <v>55.41</v>
      </c>
      <c r="AX71" s="951">
        <f t="shared" si="95"/>
        <v>52765.011252560747</v>
      </c>
      <c r="AY71" s="952">
        <f>VLOOKUP(A71,'Comm Price Out'!$A$8:$G$77,7,FALSE)</f>
        <v>58.254100173087956</v>
      </c>
      <c r="AZ71" s="953">
        <f t="shared" si="96"/>
        <v>55473.348694112748</v>
      </c>
      <c r="BA71" s="954">
        <f t="shared" si="84"/>
        <v>5.1328283217613416E-2</v>
      </c>
      <c r="BB71" s="126"/>
      <c r="BC71" s="1158">
        <f t="shared" si="85"/>
        <v>-52765.011252560747</v>
      </c>
      <c r="BD71" s="1158">
        <f t="shared" si="86"/>
        <v>-55473.348694112748</v>
      </c>
    </row>
    <row r="72" spans="1:56">
      <c r="A72" s="931" t="str">
        <f>+'Comm Price Out'!A46</f>
        <v>4 yd 3xweek</v>
      </c>
      <c r="B72" s="1133">
        <f>+'Comm Price Out'!B46</f>
        <v>3</v>
      </c>
      <c r="C72" s="933">
        <f t="shared" si="105"/>
        <v>3.0521318500178594</v>
      </c>
      <c r="D72" s="957">
        <v>3</v>
      </c>
      <c r="E72" s="933">
        <f t="shared" si="67"/>
        <v>156</v>
      </c>
      <c r="F72" s="933">
        <f t="shared" si="87"/>
        <v>3.0521318500178594</v>
      </c>
      <c r="G72" s="933"/>
      <c r="H72" s="934">
        <f>+'Comm Price Out'!D46</f>
        <v>55.41</v>
      </c>
      <c r="I72" s="935">
        <f t="shared" si="88"/>
        <v>2159.3276999999998</v>
      </c>
      <c r="J72" s="935">
        <f t="shared" si="97"/>
        <v>25911.932399999998</v>
      </c>
      <c r="K72" s="935">
        <f t="shared" si="98"/>
        <v>26362.211391183235</v>
      </c>
      <c r="L72" s="936">
        <f t="shared" si="111"/>
        <v>367.8</v>
      </c>
      <c r="M72" s="937">
        <f t="shared" si="99"/>
        <v>362.02973515538559</v>
      </c>
      <c r="N72" s="938">
        <f t="shared" si="100"/>
        <v>87.56</v>
      </c>
      <c r="O72" s="939">
        <f t="shared" si="68"/>
        <v>86.186306716165205</v>
      </c>
      <c r="P72" s="888"/>
      <c r="Q72" s="936">
        <f t="shared" si="112"/>
        <v>120</v>
      </c>
      <c r="R72" s="941">
        <f t="shared" si="89"/>
        <v>15.87108562009287</v>
      </c>
      <c r="S72" s="941">
        <f t="shared" si="90"/>
        <v>15.87108562009287</v>
      </c>
      <c r="T72" s="942"/>
      <c r="U72" s="941" t="e">
        <f t="shared" si="91"/>
        <v>#VALUE!</v>
      </c>
      <c r="V72" s="943" t="e">
        <f t="shared" si="69"/>
        <v>#VALUE!</v>
      </c>
      <c r="W72" s="888"/>
      <c r="X72" s="892"/>
      <c r="Y72" s="935">
        <f t="shared" si="70"/>
        <v>3094.306526507436</v>
      </c>
      <c r="Z72" s="935">
        <f t="shared" si="71"/>
        <v>7238.6762916377093</v>
      </c>
      <c r="AA72" s="944"/>
      <c r="AB72" s="933" t="e">
        <f t="shared" si="72"/>
        <v>#VALUE!</v>
      </c>
      <c r="AC72" s="933" t="e">
        <f t="shared" si="73"/>
        <v>#VALUE!</v>
      </c>
      <c r="AD72" s="933" t="e">
        <f t="shared" si="74"/>
        <v>#VALUE!</v>
      </c>
      <c r="AE72" s="892"/>
      <c r="AF72" s="935">
        <f t="shared" si="92"/>
        <v>0</v>
      </c>
      <c r="AG72" s="935">
        <f t="shared" si="75"/>
        <v>0</v>
      </c>
      <c r="AH72" s="892"/>
      <c r="AI72" s="892"/>
      <c r="AJ72" s="945" t="e">
        <f t="shared" si="93"/>
        <v>#VALUE!</v>
      </c>
      <c r="AK72" s="933">
        <f t="shared" si="76"/>
        <v>0</v>
      </c>
      <c r="AL72" s="933" t="e">
        <f t="shared" si="77"/>
        <v>#VALUE!</v>
      </c>
      <c r="AM72" s="933" t="e">
        <f t="shared" si="78"/>
        <v>#VALUE!</v>
      </c>
      <c r="AN72" s="933" t="e">
        <f t="shared" si="79"/>
        <v>#VALUE!</v>
      </c>
      <c r="AO72" s="933" t="e">
        <f t="shared" si="80"/>
        <v>#VALUE!</v>
      </c>
      <c r="AP72" s="946" t="e">
        <f t="shared" si="94"/>
        <v>#VALUE!</v>
      </c>
      <c r="AQ72" s="888"/>
      <c r="AR72" s="941">
        <f t="shared" si="102"/>
        <v>0</v>
      </c>
      <c r="AS72" s="888"/>
      <c r="AT72" s="947">
        <f t="shared" si="110"/>
        <v>0</v>
      </c>
      <c r="AU72" s="948">
        <f t="shared" si="113"/>
        <v>0</v>
      </c>
      <c r="AV72" s="949" t="str">
        <f t="shared" si="82"/>
        <v/>
      </c>
      <c r="AW72" s="950">
        <f t="shared" si="83"/>
        <v>55.41</v>
      </c>
      <c r="AX72" s="951">
        <f t="shared" si="95"/>
        <v>26382.505626280374</v>
      </c>
      <c r="AY72" s="952">
        <f>VLOOKUP(A72,'Comm Price Out'!$A$8:$G$77,7,FALSE)</f>
        <v>58.254100173087956</v>
      </c>
      <c r="AZ72" s="953">
        <f t="shared" si="96"/>
        <v>27736.674347056374</v>
      </c>
      <c r="BA72" s="954">
        <f t="shared" si="84"/>
        <v>5.1328283217613416E-2</v>
      </c>
      <c r="BB72" s="126"/>
      <c r="BC72" s="1158">
        <f t="shared" si="85"/>
        <v>-26382.505626280374</v>
      </c>
      <c r="BD72" s="1158">
        <f t="shared" si="86"/>
        <v>-27736.674347056374</v>
      </c>
    </row>
    <row r="73" spans="1:56">
      <c r="A73" s="931" t="str">
        <f>+'Comm Price Out'!A47</f>
        <v>4 yd 4xweek</v>
      </c>
      <c r="B73" s="1133">
        <f>+'Comm Price Out'!B47</f>
        <v>0</v>
      </c>
      <c r="C73" s="933">
        <f t="shared" si="105"/>
        <v>0</v>
      </c>
      <c r="D73" s="957">
        <v>4</v>
      </c>
      <c r="E73" s="933">
        <f t="shared" si="67"/>
        <v>208</v>
      </c>
      <c r="F73" s="933">
        <f t="shared" si="87"/>
        <v>0</v>
      </c>
      <c r="G73" s="933"/>
      <c r="H73" s="934">
        <f>+'Comm Price Out'!D47</f>
        <v>55.41</v>
      </c>
      <c r="I73" s="935">
        <f t="shared" si="88"/>
        <v>0</v>
      </c>
      <c r="J73" s="935">
        <f t="shared" si="97"/>
        <v>0</v>
      </c>
      <c r="K73" s="935">
        <f t="shared" si="98"/>
        <v>0</v>
      </c>
      <c r="L73" s="936">
        <f t="shared" si="111"/>
        <v>367.8</v>
      </c>
      <c r="M73" s="937">
        <f t="shared" si="99"/>
        <v>362.02973515538559</v>
      </c>
      <c r="N73" s="938">
        <f t="shared" si="100"/>
        <v>0</v>
      </c>
      <c r="O73" s="939">
        <f t="shared" si="68"/>
        <v>0</v>
      </c>
      <c r="P73" s="888"/>
      <c r="Q73" s="936">
        <f t="shared" si="112"/>
        <v>120</v>
      </c>
      <c r="R73" s="941">
        <f t="shared" si="89"/>
        <v>0</v>
      </c>
      <c r="S73" s="941">
        <f t="shared" si="90"/>
        <v>0</v>
      </c>
      <c r="T73" s="942"/>
      <c r="U73" s="941" t="e">
        <f t="shared" si="91"/>
        <v>#VALUE!</v>
      </c>
      <c r="V73" s="943" t="e">
        <f t="shared" si="69"/>
        <v>#VALUE!</v>
      </c>
      <c r="W73" s="888"/>
      <c r="X73" s="892"/>
      <c r="Y73" s="935">
        <f t="shared" si="70"/>
        <v>0</v>
      </c>
      <c r="Z73" s="935">
        <f t="shared" si="71"/>
        <v>0</v>
      </c>
      <c r="AA73" s="944"/>
      <c r="AB73" s="933" t="e">
        <f t="shared" si="72"/>
        <v>#VALUE!</v>
      </c>
      <c r="AC73" s="933" t="e">
        <f t="shared" si="73"/>
        <v>#VALUE!</v>
      </c>
      <c r="AD73" s="933" t="e">
        <f t="shared" si="74"/>
        <v>#VALUE!</v>
      </c>
      <c r="AE73" s="892"/>
      <c r="AF73" s="935">
        <f t="shared" si="92"/>
        <v>0</v>
      </c>
      <c r="AG73" s="935">
        <f t="shared" si="75"/>
        <v>0</v>
      </c>
      <c r="AH73" s="892"/>
      <c r="AI73" s="892"/>
      <c r="AJ73" s="945" t="e">
        <f t="shared" si="93"/>
        <v>#VALUE!</v>
      </c>
      <c r="AK73" s="933">
        <f t="shared" si="76"/>
        <v>0</v>
      </c>
      <c r="AL73" s="933" t="e">
        <f t="shared" si="77"/>
        <v>#VALUE!</v>
      </c>
      <c r="AM73" s="933" t="e">
        <f t="shared" si="78"/>
        <v>#VALUE!</v>
      </c>
      <c r="AN73" s="933" t="e">
        <f t="shared" si="79"/>
        <v>#VALUE!</v>
      </c>
      <c r="AO73" s="933" t="e">
        <f t="shared" si="80"/>
        <v>#VALUE!</v>
      </c>
      <c r="AP73" s="946" t="e">
        <f t="shared" si="94"/>
        <v>#VALUE!</v>
      </c>
      <c r="AQ73" s="888"/>
      <c r="AR73" s="941">
        <f t="shared" si="102"/>
        <v>0</v>
      </c>
      <c r="AS73" s="888"/>
      <c r="AT73" s="947">
        <f t="shared" si="110"/>
        <v>0</v>
      </c>
      <c r="AU73" s="948">
        <f t="shared" si="113"/>
        <v>0</v>
      </c>
      <c r="AV73" s="949" t="str">
        <f t="shared" si="82"/>
        <v/>
      </c>
      <c r="AW73" s="950">
        <f t="shared" si="83"/>
        <v>55.41</v>
      </c>
      <c r="AX73" s="951">
        <f>+AW73*C73*E73</f>
        <v>0</v>
      </c>
      <c r="AY73" s="952">
        <f>VLOOKUP(A73,'Comm Price Out'!$A$8:$G$77,7,FALSE)</f>
        <v>58.254100173087956</v>
      </c>
      <c r="AZ73" s="953">
        <f t="shared" si="96"/>
        <v>0</v>
      </c>
      <c r="BA73" s="954">
        <f t="shared" si="84"/>
        <v>5.1328283217613416E-2</v>
      </c>
      <c r="BB73" s="126"/>
      <c r="BC73" s="1158">
        <f t="shared" si="85"/>
        <v>0</v>
      </c>
      <c r="BD73" s="1158">
        <f t="shared" si="86"/>
        <v>0</v>
      </c>
    </row>
    <row r="74" spans="1:56">
      <c r="A74" s="931" t="str">
        <f>+'Comm Price Out'!A48</f>
        <v>4 yd 5xweek</v>
      </c>
      <c r="B74" s="1133">
        <f>+'Comm Price Out'!B48</f>
        <v>0</v>
      </c>
      <c r="C74" s="933">
        <f t="shared" si="105"/>
        <v>0</v>
      </c>
      <c r="D74" s="957">
        <v>5</v>
      </c>
      <c r="E74" s="933">
        <f t="shared" si="67"/>
        <v>260</v>
      </c>
      <c r="F74" s="933">
        <f t="shared" si="87"/>
        <v>0</v>
      </c>
      <c r="G74" s="933"/>
      <c r="H74" s="934">
        <f>+'Comm Price Out'!D48</f>
        <v>55.41</v>
      </c>
      <c r="I74" s="935">
        <f t="shared" si="88"/>
        <v>0</v>
      </c>
      <c r="J74" s="935">
        <f t="shared" si="97"/>
        <v>0</v>
      </c>
      <c r="K74" s="935">
        <f t="shared" si="98"/>
        <v>0</v>
      </c>
      <c r="L74" s="936">
        <f t="shared" si="111"/>
        <v>367.8</v>
      </c>
      <c r="M74" s="937">
        <f t="shared" si="99"/>
        <v>362.02973515538559</v>
      </c>
      <c r="N74" s="938">
        <f t="shared" si="100"/>
        <v>0</v>
      </c>
      <c r="O74" s="939">
        <f t="shared" si="68"/>
        <v>0</v>
      </c>
      <c r="P74" s="888"/>
      <c r="Q74" s="936">
        <f t="shared" si="112"/>
        <v>120</v>
      </c>
      <c r="R74" s="941">
        <f t="shared" si="89"/>
        <v>0</v>
      </c>
      <c r="S74" s="941">
        <f t="shared" si="90"/>
        <v>0</v>
      </c>
      <c r="T74" s="942"/>
      <c r="U74" s="941" t="e">
        <f t="shared" si="91"/>
        <v>#VALUE!</v>
      </c>
      <c r="V74" s="943" t="e">
        <f t="shared" si="69"/>
        <v>#VALUE!</v>
      </c>
      <c r="W74" s="888"/>
      <c r="X74" s="892"/>
      <c r="Y74" s="935">
        <f t="shared" si="70"/>
        <v>0</v>
      </c>
      <c r="Z74" s="935">
        <f t="shared" si="71"/>
        <v>0</v>
      </c>
      <c r="AA74" s="944"/>
      <c r="AB74" s="933" t="e">
        <f t="shared" si="72"/>
        <v>#VALUE!</v>
      </c>
      <c r="AC74" s="933" t="e">
        <f t="shared" si="73"/>
        <v>#VALUE!</v>
      </c>
      <c r="AD74" s="933" t="e">
        <f t="shared" si="74"/>
        <v>#VALUE!</v>
      </c>
      <c r="AE74" s="892"/>
      <c r="AF74" s="935">
        <f t="shared" si="92"/>
        <v>0</v>
      </c>
      <c r="AG74" s="935">
        <f t="shared" si="75"/>
        <v>0</v>
      </c>
      <c r="AH74" s="892"/>
      <c r="AI74" s="892"/>
      <c r="AJ74" s="945" t="e">
        <f t="shared" si="93"/>
        <v>#VALUE!</v>
      </c>
      <c r="AK74" s="933">
        <f t="shared" si="76"/>
        <v>0</v>
      </c>
      <c r="AL74" s="933" t="e">
        <f t="shared" si="77"/>
        <v>#VALUE!</v>
      </c>
      <c r="AM74" s="933" t="e">
        <f t="shared" si="78"/>
        <v>#VALUE!</v>
      </c>
      <c r="AN74" s="933" t="e">
        <f t="shared" si="79"/>
        <v>#VALUE!</v>
      </c>
      <c r="AO74" s="933" t="e">
        <f t="shared" si="80"/>
        <v>#VALUE!</v>
      </c>
      <c r="AP74" s="946" t="e">
        <f t="shared" si="94"/>
        <v>#VALUE!</v>
      </c>
      <c r="AQ74" s="888"/>
      <c r="AR74" s="941">
        <f t="shared" si="102"/>
        <v>0</v>
      </c>
      <c r="AS74" s="888"/>
      <c r="AT74" s="947">
        <f t="shared" si="110"/>
        <v>0</v>
      </c>
      <c r="AU74" s="948">
        <f t="shared" si="113"/>
        <v>0</v>
      </c>
      <c r="AV74" s="949" t="str">
        <f t="shared" si="82"/>
        <v/>
      </c>
      <c r="AW74" s="950">
        <f t="shared" si="83"/>
        <v>55.41</v>
      </c>
      <c r="AX74" s="951">
        <f t="shared" si="95"/>
        <v>0</v>
      </c>
      <c r="AY74" s="952">
        <f>VLOOKUP(A74,'Comm Price Out'!$A$8:$G$77,7,FALSE)</f>
        <v>58.254100173087956</v>
      </c>
      <c r="AZ74" s="953">
        <f t="shared" si="96"/>
        <v>0</v>
      </c>
      <c r="BA74" s="954">
        <f t="shared" si="84"/>
        <v>5.1328283217613416E-2</v>
      </c>
      <c r="BB74" s="126"/>
      <c r="BC74" s="1158">
        <f t="shared" si="85"/>
        <v>0</v>
      </c>
      <c r="BD74" s="1158">
        <f t="shared" si="86"/>
        <v>0</v>
      </c>
    </row>
    <row r="75" spans="1:56">
      <c r="A75" s="931" t="str">
        <f>+'Comm Price Out'!A49</f>
        <v>4 yd 6xweek</v>
      </c>
      <c r="B75" s="1133">
        <f>+'Comm Price Out'!B49</f>
        <v>0</v>
      </c>
      <c r="C75" s="933">
        <f t="shared" si="105"/>
        <v>0</v>
      </c>
      <c r="D75" s="957">
        <v>6</v>
      </c>
      <c r="E75" s="933">
        <f t="shared" si="67"/>
        <v>312</v>
      </c>
      <c r="F75" s="933">
        <f t="shared" si="87"/>
        <v>0</v>
      </c>
      <c r="G75" s="933"/>
      <c r="H75" s="934">
        <f>+'Comm Price Out'!D49</f>
        <v>55.41</v>
      </c>
      <c r="I75" s="935">
        <f t="shared" si="88"/>
        <v>0</v>
      </c>
      <c r="J75" s="935">
        <f t="shared" si="97"/>
        <v>0</v>
      </c>
      <c r="K75" s="935">
        <f t="shared" si="98"/>
        <v>0</v>
      </c>
      <c r="L75" s="936">
        <f t="shared" si="111"/>
        <v>367.8</v>
      </c>
      <c r="M75" s="937">
        <f t="shared" si="99"/>
        <v>362.02973515538559</v>
      </c>
      <c r="N75" s="938">
        <f t="shared" si="100"/>
        <v>0</v>
      </c>
      <c r="O75" s="939">
        <f t="shared" si="68"/>
        <v>0</v>
      </c>
      <c r="P75" s="888"/>
      <c r="Q75" s="936">
        <f t="shared" si="112"/>
        <v>120</v>
      </c>
      <c r="R75" s="941">
        <f t="shared" si="89"/>
        <v>0</v>
      </c>
      <c r="S75" s="941">
        <f t="shared" si="90"/>
        <v>0</v>
      </c>
      <c r="T75" s="942"/>
      <c r="U75" s="941" t="e">
        <f t="shared" si="91"/>
        <v>#VALUE!</v>
      </c>
      <c r="V75" s="943" t="e">
        <f t="shared" si="69"/>
        <v>#VALUE!</v>
      </c>
      <c r="W75" s="888"/>
      <c r="X75" s="892"/>
      <c r="Y75" s="935">
        <f t="shared" si="70"/>
        <v>0</v>
      </c>
      <c r="Z75" s="935">
        <f t="shared" si="71"/>
        <v>0</v>
      </c>
      <c r="AA75" s="944"/>
      <c r="AB75" s="933" t="e">
        <f t="shared" si="72"/>
        <v>#VALUE!</v>
      </c>
      <c r="AC75" s="933" t="e">
        <f t="shared" si="73"/>
        <v>#VALUE!</v>
      </c>
      <c r="AD75" s="933" t="e">
        <f t="shared" si="74"/>
        <v>#VALUE!</v>
      </c>
      <c r="AE75" s="892"/>
      <c r="AF75" s="935">
        <f t="shared" si="92"/>
        <v>0</v>
      </c>
      <c r="AG75" s="935">
        <f t="shared" si="75"/>
        <v>0</v>
      </c>
      <c r="AH75" s="892"/>
      <c r="AI75" s="892"/>
      <c r="AJ75" s="945" t="e">
        <f t="shared" si="93"/>
        <v>#VALUE!</v>
      </c>
      <c r="AK75" s="933">
        <f t="shared" si="76"/>
        <v>0</v>
      </c>
      <c r="AL75" s="933" t="e">
        <f t="shared" si="77"/>
        <v>#VALUE!</v>
      </c>
      <c r="AM75" s="933" t="e">
        <f t="shared" si="78"/>
        <v>#VALUE!</v>
      </c>
      <c r="AN75" s="933" t="e">
        <f t="shared" si="79"/>
        <v>#VALUE!</v>
      </c>
      <c r="AO75" s="933" t="e">
        <f t="shared" si="80"/>
        <v>#VALUE!</v>
      </c>
      <c r="AP75" s="946" t="e">
        <f t="shared" si="94"/>
        <v>#VALUE!</v>
      </c>
      <c r="AQ75" s="888"/>
      <c r="AR75" s="941">
        <f t="shared" si="102"/>
        <v>0</v>
      </c>
      <c r="AS75" s="888"/>
      <c r="AT75" s="947">
        <f t="shared" si="110"/>
        <v>0</v>
      </c>
      <c r="AU75" s="948">
        <f t="shared" si="113"/>
        <v>0</v>
      </c>
      <c r="AV75" s="949" t="str">
        <f t="shared" si="82"/>
        <v/>
      </c>
      <c r="AW75" s="950">
        <f t="shared" si="83"/>
        <v>55.41</v>
      </c>
      <c r="AX75" s="951">
        <f t="shared" si="95"/>
        <v>0</v>
      </c>
      <c r="AY75" s="952">
        <f>VLOOKUP(A75,'Comm Price Out'!$A$8:$G$77,7,FALSE)</f>
        <v>58.254100173087956</v>
      </c>
      <c r="AZ75" s="953">
        <f t="shared" si="96"/>
        <v>0</v>
      </c>
      <c r="BA75" s="954">
        <f t="shared" si="84"/>
        <v>5.1328283217613416E-2</v>
      </c>
      <c r="BB75" s="126"/>
      <c r="BC75" s="1158">
        <f t="shared" si="85"/>
        <v>0</v>
      </c>
      <c r="BD75" s="1158">
        <f t="shared" si="86"/>
        <v>0</v>
      </c>
    </row>
    <row r="76" spans="1:56">
      <c r="A76" s="931" t="str">
        <f>+'Comm Price Out'!A50</f>
        <v>5 yd Comp Week</v>
      </c>
      <c r="B76" s="1133">
        <f>+'Comm Price Out'!B50</f>
        <v>0</v>
      </c>
      <c r="C76" s="933">
        <f t="shared" si="105"/>
        <v>0</v>
      </c>
      <c r="D76" s="957">
        <v>1</v>
      </c>
      <c r="E76" s="933">
        <f t="shared" si="67"/>
        <v>52</v>
      </c>
      <c r="F76" s="933">
        <f t="shared" si="87"/>
        <v>0</v>
      </c>
      <c r="G76" s="933"/>
      <c r="H76" s="934">
        <f>+'Comm Price Out'!D50</f>
        <v>0</v>
      </c>
      <c r="I76" s="935">
        <f t="shared" si="88"/>
        <v>0</v>
      </c>
      <c r="J76" s="935">
        <f t="shared" si="97"/>
        <v>0</v>
      </c>
      <c r="K76" s="935">
        <f t="shared" si="98"/>
        <v>0</v>
      </c>
      <c r="L76" s="1142">
        <f>+'Meeks +'!F34*$S$1</f>
        <v>1227.5999999999999</v>
      </c>
      <c r="M76" s="937">
        <f t="shared" si="99"/>
        <v>1208.3406821010094</v>
      </c>
      <c r="N76" s="938">
        <f t="shared" si="100"/>
        <v>0</v>
      </c>
      <c r="O76" s="939">
        <f t="shared" si="68"/>
        <v>0</v>
      </c>
      <c r="P76" s="888"/>
      <c r="Q76" s="1142">
        <f>+'Meeks +'!C34</f>
        <v>120</v>
      </c>
      <c r="R76" s="941">
        <f t="shared" si="89"/>
        <v>0</v>
      </c>
      <c r="S76" s="941">
        <f t="shared" si="90"/>
        <v>0</v>
      </c>
      <c r="T76" s="942"/>
      <c r="U76" s="941" t="e">
        <f t="shared" si="91"/>
        <v>#VALUE!</v>
      </c>
      <c r="V76" s="943" t="e">
        <f t="shared" si="69"/>
        <v>#VALUE!</v>
      </c>
      <c r="W76" s="888"/>
      <c r="X76" s="892"/>
      <c r="Y76" s="935">
        <f t="shared" si="70"/>
        <v>0</v>
      </c>
      <c r="Z76" s="935">
        <f t="shared" si="71"/>
        <v>0</v>
      </c>
      <c r="AA76" s="944"/>
      <c r="AB76" s="933" t="e">
        <f t="shared" si="72"/>
        <v>#VALUE!</v>
      </c>
      <c r="AC76" s="933" t="e">
        <f t="shared" si="73"/>
        <v>#VALUE!</v>
      </c>
      <c r="AD76" s="933" t="e">
        <f t="shared" si="74"/>
        <v>#VALUE!</v>
      </c>
      <c r="AE76" s="892"/>
      <c r="AF76" s="935">
        <f t="shared" si="92"/>
        <v>0</v>
      </c>
      <c r="AG76" s="935">
        <f t="shared" si="75"/>
        <v>0</v>
      </c>
      <c r="AH76" s="892"/>
      <c r="AI76" s="892"/>
      <c r="AJ76" s="945" t="e">
        <f t="shared" si="93"/>
        <v>#VALUE!</v>
      </c>
      <c r="AK76" s="933">
        <f t="shared" si="76"/>
        <v>0</v>
      </c>
      <c r="AL76" s="933" t="e">
        <f t="shared" si="77"/>
        <v>#VALUE!</v>
      </c>
      <c r="AM76" s="933" t="e">
        <f t="shared" si="78"/>
        <v>#VALUE!</v>
      </c>
      <c r="AN76" s="933" t="e">
        <f t="shared" si="79"/>
        <v>#VALUE!</v>
      </c>
      <c r="AO76" s="933" t="e">
        <f t="shared" si="80"/>
        <v>#VALUE!</v>
      </c>
      <c r="AP76" s="946" t="e">
        <f t="shared" si="94"/>
        <v>#VALUE!</v>
      </c>
      <c r="AQ76" s="888"/>
      <c r="AR76" s="941">
        <f t="shared" si="102"/>
        <v>0</v>
      </c>
      <c r="AS76" s="888"/>
      <c r="AT76" s="947">
        <f t="shared" si="110"/>
        <v>0</v>
      </c>
      <c r="AU76" s="948">
        <f t="shared" si="113"/>
        <v>0</v>
      </c>
      <c r="AV76" s="949" t="str">
        <f t="shared" si="82"/>
        <v/>
      </c>
      <c r="AW76" s="950">
        <f t="shared" si="83"/>
        <v>0</v>
      </c>
      <c r="AX76" s="951">
        <f t="shared" si="95"/>
        <v>0</v>
      </c>
      <c r="AY76" s="952">
        <f>VLOOKUP(A76,'Comm Price Out'!$A$8:$G$77,7,FALSE)</f>
        <v>0</v>
      </c>
      <c r="AZ76" s="953">
        <f t="shared" si="96"/>
        <v>0</v>
      </c>
      <c r="BA76" s="954" t="str">
        <f t="shared" si="84"/>
        <v/>
      </c>
      <c r="BB76" s="126"/>
      <c r="BC76" s="1158">
        <f t="shared" si="85"/>
        <v>0</v>
      </c>
      <c r="BD76" s="1158">
        <f t="shared" si="86"/>
        <v>0</v>
      </c>
    </row>
    <row r="77" spans="1:56">
      <c r="A77" s="931" t="str">
        <f>+'Comm Price Out'!A51</f>
        <v>5 yd Comp Week (5x Comp)</v>
      </c>
      <c r="B77" s="1133">
        <f>+'Comm Price Out'!B51</f>
        <v>0</v>
      </c>
      <c r="C77" s="933">
        <f t="shared" si="105"/>
        <v>0</v>
      </c>
      <c r="D77" s="957">
        <v>1</v>
      </c>
      <c r="E77" s="933">
        <f t="shared" si="67"/>
        <v>52</v>
      </c>
      <c r="F77" s="933">
        <f t="shared" si="87"/>
        <v>0</v>
      </c>
      <c r="G77" s="933"/>
      <c r="H77" s="934">
        <f>+'Comm Price Out'!D51</f>
        <v>0</v>
      </c>
      <c r="I77" s="935">
        <f t="shared" si="88"/>
        <v>0</v>
      </c>
      <c r="J77" s="935">
        <f t="shared" si="97"/>
        <v>0</v>
      </c>
      <c r="K77" s="935">
        <f t="shared" si="98"/>
        <v>0</v>
      </c>
      <c r="L77" s="936">
        <f>+L76/3.5*5</f>
        <v>1753.7142857142858</v>
      </c>
      <c r="M77" s="937">
        <f t="shared" si="99"/>
        <v>1726.2009744300137</v>
      </c>
      <c r="N77" s="938">
        <f t="shared" si="100"/>
        <v>0</v>
      </c>
      <c r="O77" s="939">
        <f t="shared" si="68"/>
        <v>0</v>
      </c>
      <c r="P77" s="888"/>
      <c r="Q77" s="936">
        <f>+Q76/3.5*5</f>
        <v>171.42857142857142</v>
      </c>
      <c r="R77" s="941">
        <f t="shared" si="89"/>
        <v>0</v>
      </c>
      <c r="S77" s="941">
        <f t="shared" si="90"/>
        <v>0</v>
      </c>
      <c r="T77" s="942"/>
      <c r="U77" s="941" t="e">
        <f t="shared" si="91"/>
        <v>#VALUE!</v>
      </c>
      <c r="V77" s="943" t="e">
        <f t="shared" si="69"/>
        <v>#VALUE!</v>
      </c>
      <c r="W77" s="888"/>
      <c r="X77" s="892"/>
      <c r="Y77" s="935">
        <f t="shared" si="70"/>
        <v>0</v>
      </c>
      <c r="Z77" s="935">
        <f t="shared" si="71"/>
        <v>0</v>
      </c>
      <c r="AA77" s="944"/>
      <c r="AB77" s="933" t="e">
        <f t="shared" si="72"/>
        <v>#VALUE!</v>
      </c>
      <c r="AC77" s="933" t="e">
        <f t="shared" si="73"/>
        <v>#VALUE!</v>
      </c>
      <c r="AD77" s="933" t="e">
        <f t="shared" si="74"/>
        <v>#VALUE!</v>
      </c>
      <c r="AE77" s="892"/>
      <c r="AF77" s="935">
        <f t="shared" si="92"/>
        <v>0</v>
      </c>
      <c r="AG77" s="935">
        <f t="shared" si="75"/>
        <v>0</v>
      </c>
      <c r="AH77" s="892"/>
      <c r="AI77" s="892"/>
      <c r="AJ77" s="945" t="e">
        <f t="shared" si="93"/>
        <v>#VALUE!</v>
      </c>
      <c r="AK77" s="933">
        <f t="shared" si="76"/>
        <v>0</v>
      </c>
      <c r="AL77" s="933" t="e">
        <f t="shared" si="77"/>
        <v>#VALUE!</v>
      </c>
      <c r="AM77" s="933" t="e">
        <f t="shared" si="78"/>
        <v>#VALUE!</v>
      </c>
      <c r="AN77" s="933" t="e">
        <f t="shared" si="79"/>
        <v>#VALUE!</v>
      </c>
      <c r="AO77" s="933" t="e">
        <f t="shared" si="80"/>
        <v>#VALUE!</v>
      </c>
      <c r="AP77" s="946" t="e">
        <f t="shared" si="94"/>
        <v>#VALUE!</v>
      </c>
      <c r="AQ77" s="888"/>
      <c r="AR77" s="941">
        <f t="shared" si="102"/>
        <v>0</v>
      </c>
      <c r="AS77" s="888"/>
      <c r="AT77" s="947">
        <f t="shared" si="110"/>
        <v>0</v>
      </c>
      <c r="AU77" s="948">
        <f t="shared" si="113"/>
        <v>0</v>
      </c>
      <c r="AV77" s="949" t="str">
        <f t="shared" si="82"/>
        <v/>
      </c>
      <c r="AW77" s="950">
        <f t="shared" si="83"/>
        <v>0</v>
      </c>
      <c r="AX77" s="951">
        <f t="shared" si="95"/>
        <v>0</v>
      </c>
      <c r="AY77" s="952">
        <f>VLOOKUP(A77,'Comm Price Out'!$A$8:$G$77,7,FALSE)</f>
        <v>0</v>
      </c>
      <c r="AZ77" s="953">
        <f t="shared" si="96"/>
        <v>0</v>
      </c>
      <c r="BA77" s="954" t="str">
        <f t="shared" si="84"/>
        <v/>
      </c>
      <c r="BB77" s="126"/>
      <c r="BC77" s="1158">
        <f t="shared" si="85"/>
        <v>0</v>
      </c>
      <c r="BD77" s="1158">
        <f t="shared" si="86"/>
        <v>0</v>
      </c>
    </row>
    <row r="78" spans="1:56">
      <c r="A78" s="931" t="str">
        <f>+'Comm Price Out'!A52</f>
        <v>6 yd Comp Week</v>
      </c>
      <c r="B78" s="1133">
        <f>+'Comm Price Out'!B52</f>
        <v>0</v>
      </c>
      <c r="C78" s="933">
        <f t="shared" si="105"/>
        <v>0</v>
      </c>
      <c r="D78" s="957">
        <v>1</v>
      </c>
      <c r="E78" s="933">
        <f t="shared" si="67"/>
        <v>52</v>
      </c>
      <c r="F78" s="933">
        <f t="shared" si="87"/>
        <v>0</v>
      </c>
      <c r="G78" s="933"/>
      <c r="H78" s="934">
        <f>+'Comm Price Out'!D52</f>
        <v>333.55</v>
      </c>
      <c r="I78" s="935">
        <f t="shared" si="88"/>
        <v>0</v>
      </c>
      <c r="J78" s="935">
        <f t="shared" si="97"/>
        <v>0</v>
      </c>
      <c r="K78" s="935">
        <f t="shared" si="98"/>
        <v>0</v>
      </c>
      <c r="L78" s="1142">
        <f>+'Meeks +'!F35*$S$1</f>
        <v>1926</v>
      </c>
      <c r="M78" s="937">
        <f t="shared" si="99"/>
        <v>1895.7837681056894</v>
      </c>
      <c r="N78" s="938">
        <f t="shared" si="100"/>
        <v>0</v>
      </c>
      <c r="O78" s="939">
        <f t="shared" si="68"/>
        <v>0</v>
      </c>
      <c r="P78" s="888"/>
      <c r="Q78" s="1142">
        <f>+'Meeks +'!C35</f>
        <v>120</v>
      </c>
      <c r="R78" s="941">
        <f t="shared" si="89"/>
        <v>0</v>
      </c>
      <c r="S78" s="941">
        <f t="shared" si="90"/>
        <v>0</v>
      </c>
      <c r="T78" s="942"/>
      <c r="U78" s="941" t="e">
        <f t="shared" si="91"/>
        <v>#VALUE!</v>
      </c>
      <c r="V78" s="943" t="e">
        <f t="shared" si="69"/>
        <v>#VALUE!</v>
      </c>
      <c r="W78" s="888"/>
      <c r="X78" s="892"/>
      <c r="Y78" s="935">
        <f t="shared" si="70"/>
        <v>0</v>
      </c>
      <c r="Z78" s="935">
        <f t="shared" si="71"/>
        <v>0</v>
      </c>
      <c r="AA78" s="944"/>
      <c r="AB78" s="933" t="e">
        <f t="shared" si="72"/>
        <v>#VALUE!</v>
      </c>
      <c r="AC78" s="933" t="e">
        <f t="shared" si="73"/>
        <v>#VALUE!</v>
      </c>
      <c r="AD78" s="933" t="e">
        <f t="shared" si="74"/>
        <v>#VALUE!</v>
      </c>
      <c r="AE78" s="892"/>
      <c r="AF78" s="935">
        <f t="shared" si="92"/>
        <v>0</v>
      </c>
      <c r="AG78" s="935">
        <f t="shared" si="75"/>
        <v>0</v>
      </c>
      <c r="AH78" s="892"/>
      <c r="AI78" s="892"/>
      <c r="AJ78" s="945" t="e">
        <f t="shared" si="93"/>
        <v>#VALUE!</v>
      </c>
      <c r="AK78" s="933">
        <f t="shared" si="76"/>
        <v>0</v>
      </c>
      <c r="AL78" s="933" t="e">
        <f t="shared" si="77"/>
        <v>#VALUE!</v>
      </c>
      <c r="AM78" s="933" t="e">
        <f t="shared" si="78"/>
        <v>#VALUE!</v>
      </c>
      <c r="AN78" s="933" t="e">
        <f t="shared" si="79"/>
        <v>#VALUE!</v>
      </c>
      <c r="AO78" s="933" t="e">
        <f t="shared" si="80"/>
        <v>#VALUE!</v>
      </c>
      <c r="AP78" s="946" t="e">
        <f t="shared" si="94"/>
        <v>#VALUE!</v>
      </c>
      <c r="AQ78" s="888"/>
      <c r="AR78" s="941">
        <f t="shared" si="102"/>
        <v>0</v>
      </c>
      <c r="AS78" s="888"/>
      <c r="AT78" s="947">
        <f t="shared" ref="AT78:AT83" si="114">AR78/$AT$4</f>
        <v>0</v>
      </c>
      <c r="AU78" s="948">
        <f t="shared" si="113"/>
        <v>0</v>
      </c>
      <c r="AV78" s="949" t="str">
        <f t="shared" si="82"/>
        <v/>
      </c>
      <c r="AW78" s="950">
        <f t="shared" si="83"/>
        <v>333.55</v>
      </c>
      <c r="AX78" s="951">
        <f t="shared" si="95"/>
        <v>0</v>
      </c>
      <c r="AY78" s="952">
        <f>VLOOKUP(A78,'Comm Price Out'!$A$8:$G$77,7,FALSE)</f>
        <v>350.67054886723497</v>
      </c>
      <c r="AZ78" s="953">
        <f t="shared" si="96"/>
        <v>0</v>
      </c>
      <c r="BA78" s="954">
        <f t="shared" si="84"/>
        <v>5.1328283217613423E-2</v>
      </c>
      <c r="BC78" s="1158">
        <f t="shared" si="85"/>
        <v>0</v>
      </c>
      <c r="BD78" s="1158">
        <f t="shared" si="86"/>
        <v>0</v>
      </c>
    </row>
    <row r="79" spans="1:56">
      <c r="A79" s="931" t="str">
        <f>+'Comm Price Out'!A53</f>
        <v>6 yd Comp Week (5x Comp)</v>
      </c>
      <c r="B79" s="1133">
        <f>+'Comm Price Out'!B53</f>
        <v>0</v>
      </c>
      <c r="C79" s="933">
        <f t="shared" si="105"/>
        <v>0</v>
      </c>
      <c r="D79" s="957">
        <v>1</v>
      </c>
      <c r="E79" s="933">
        <f t="shared" si="67"/>
        <v>52</v>
      </c>
      <c r="F79" s="933">
        <f t="shared" si="87"/>
        <v>0</v>
      </c>
      <c r="G79" s="933"/>
      <c r="H79" s="934">
        <f>+'Comm Price Out'!D53</f>
        <v>309.02999999999997</v>
      </c>
      <c r="I79" s="935">
        <f t="shared" si="88"/>
        <v>0</v>
      </c>
      <c r="J79" s="935">
        <f t="shared" si="97"/>
        <v>0</v>
      </c>
      <c r="K79" s="935">
        <f t="shared" si="98"/>
        <v>0</v>
      </c>
      <c r="L79" s="936">
        <f>+L78/3.5*5</f>
        <v>2751.4285714285716</v>
      </c>
      <c r="M79" s="937">
        <f t="shared" si="99"/>
        <v>2708.2625258652706</v>
      </c>
      <c r="N79" s="938">
        <f t="shared" si="100"/>
        <v>0</v>
      </c>
      <c r="O79" s="939">
        <f t="shared" si="68"/>
        <v>0</v>
      </c>
      <c r="P79" s="888"/>
      <c r="Q79" s="936">
        <f>+Q78/3.5*5</f>
        <v>171.42857142857142</v>
      </c>
      <c r="R79" s="941">
        <f t="shared" si="89"/>
        <v>0</v>
      </c>
      <c r="S79" s="941">
        <f t="shared" si="90"/>
        <v>0</v>
      </c>
      <c r="T79" s="942"/>
      <c r="U79" s="941" t="e">
        <f t="shared" si="91"/>
        <v>#VALUE!</v>
      </c>
      <c r="V79" s="943" t="e">
        <f t="shared" si="69"/>
        <v>#VALUE!</v>
      </c>
      <c r="W79" s="888"/>
      <c r="X79" s="892"/>
      <c r="Y79" s="935">
        <f t="shared" si="70"/>
        <v>0</v>
      </c>
      <c r="Z79" s="935">
        <f t="shared" si="71"/>
        <v>0</v>
      </c>
      <c r="AA79" s="944"/>
      <c r="AB79" s="933" t="e">
        <f t="shared" si="72"/>
        <v>#VALUE!</v>
      </c>
      <c r="AC79" s="933" t="e">
        <f t="shared" si="73"/>
        <v>#VALUE!</v>
      </c>
      <c r="AD79" s="933" t="e">
        <f t="shared" si="74"/>
        <v>#VALUE!</v>
      </c>
      <c r="AE79" s="892"/>
      <c r="AF79" s="935">
        <f t="shared" si="92"/>
        <v>0</v>
      </c>
      <c r="AG79" s="935">
        <f t="shared" si="75"/>
        <v>0</v>
      </c>
      <c r="AH79" s="892"/>
      <c r="AI79" s="892"/>
      <c r="AJ79" s="945" t="e">
        <f t="shared" si="93"/>
        <v>#VALUE!</v>
      </c>
      <c r="AK79" s="933">
        <f t="shared" si="76"/>
        <v>0</v>
      </c>
      <c r="AL79" s="933" t="e">
        <f t="shared" si="77"/>
        <v>#VALUE!</v>
      </c>
      <c r="AM79" s="933" t="e">
        <f t="shared" si="78"/>
        <v>#VALUE!</v>
      </c>
      <c r="AN79" s="933" t="e">
        <f t="shared" si="79"/>
        <v>#VALUE!</v>
      </c>
      <c r="AO79" s="933" t="e">
        <f t="shared" si="80"/>
        <v>#VALUE!</v>
      </c>
      <c r="AP79" s="946" t="e">
        <f t="shared" si="94"/>
        <v>#VALUE!</v>
      </c>
      <c r="AQ79" s="888"/>
      <c r="AR79" s="941">
        <f t="shared" si="102"/>
        <v>0</v>
      </c>
      <c r="AS79" s="888"/>
      <c r="AT79" s="947">
        <f t="shared" si="114"/>
        <v>0</v>
      </c>
      <c r="AU79" s="948">
        <f t="shared" si="113"/>
        <v>0</v>
      </c>
      <c r="AV79" s="949" t="str">
        <f t="shared" si="82"/>
        <v/>
      </c>
      <c r="AW79" s="950">
        <f t="shared" si="83"/>
        <v>309.02999999999997</v>
      </c>
      <c r="AX79" s="951">
        <f t="shared" si="95"/>
        <v>0</v>
      </c>
      <c r="AY79" s="952">
        <f>VLOOKUP(A79,'Comm Price Out'!$A$8:$G$77,7,FALSE)</f>
        <v>324.89197936273905</v>
      </c>
      <c r="AZ79" s="953">
        <f t="shared" si="96"/>
        <v>0</v>
      </c>
      <c r="BA79" s="954">
        <f t="shared" si="84"/>
        <v>5.132828321761343E-2</v>
      </c>
      <c r="BC79" s="1158">
        <f t="shared" si="85"/>
        <v>0</v>
      </c>
      <c r="BD79" s="1158">
        <f t="shared" si="86"/>
        <v>0</v>
      </c>
    </row>
    <row r="80" spans="1:56">
      <c r="A80" s="931" t="str">
        <f>+'Comm Price Out'!A54</f>
        <v>6 yd  On Call</v>
      </c>
      <c r="B80" s="1133">
        <f>+'Comm Price Out'!B54</f>
        <v>8</v>
      </c>
      <c r="C80" s="933">
        <f t="shared" si="105"/>
        <v>8.1390182667142916</v>
      </c>
      <c r="D80" s="957">
        <f>1/$E$2</f>
        <v>0.23094688221709006</v>
      </c>
      <c r="E80" s="933">
        <f t="shared" si="67"/>
        <v>12.009237875288683</v>
      </c>
      <c r="F80" s="933">
        <f t="shared" si="87"/>
        <v>8.1390182667142916</v>
      </c>
      <c r="G80" s="933"/>
      <c r="H80" s="934">
        <f>+'Comm Price Out'!D54</f>
        <v>91.19</v>
      </c>
      <c r="I80" s="935">
        <f t="shared" si="88"/>
        <v>729.52</v>
      </c>
      <c r="J80" s="935">
        <f t="shared" si="97"/>
        <v>8754.24</v>
      </c>
      <c r="K80" s="935">
        <f t="shared" si="98"/>
        <v>8906.3649089001156</v>
      </c>
      <c r="L80" s="936">
        <f>+'Meeks +'!F30*$S$1</f>
        <v>504</v>
      </c>
      <c r="M80" s="937">
        <f t="shared" si="99"/>
        <v>496.09294866317106</v>
      </c>
      <c r="N80" s="938">
        <f t="shared" si="100"/>
        <v>24.63</v>
      </c>
      <c r="O80" s="939">
        <f t="shared" si="68"/>
        <v>24.243589931694252</v>
      </c>
      <c r="P80" s="888"/>
      <c r="Q80" s="936">
        <f>+'Meeks +'!C30</f>
        <v>120</v>
      </c>
      <c r="R80" s="941">
        <f t="shared" si="89"/>
        <v>3.2581135478763907</v>
      </c>
      <c r="S80" s="941">
        <f t="shared" si="90"/>
        <v>3.2581135478763907</v>
      </c>
      <c r="T80" s="942"/>
      <c r="U80" s="941" t="e">
        <f t="shared" si="91"/>
        <v>#VALUE!</v>
      </c>
      <c r="V80" s="943" t="e">
        <f t="shared" si="69"/>
        <v>#VALUE!</v>
      </c>
      <c r="W80" s="888"/>
      <c r="X80" s="892"/>
      <c r="Y80" s="935">
        <f t="shared" si="70"/>
        <v>1045.3987587051772</v>
      </c>
      <c r="Z80" s="935">
        <f t="shared" si="71"/>
        <v>2445.5570723589299</v>
      </c>
      <c r="AA80" s="944"/>
      <c r="AB80" s="933" t="e">
        <f t="shared" si="72"/>
        <v>#VALUE!</v>
      </c>
      <c r="AC80" s="933" t="e">
        <f t="shared" si="73"/>
        <v>#VALUE!</v>
      </c>
      <c r="AD80" s="933" t="e">
        <f t="shared" si="74"/>
        <v>#VALUE!</v>
      </c>
      <c r="AE80" s="892"/>
      <c r="AF80" s="935">
        <f t="shared" si="92"/>
        <v>0</v>
      </c>
      <c r="AG80" s="935">
        <f t="shared" si="75"/>
        <v>0</v>
      </c>
      <c r="AH80" s="892"/>
      <c r="AI80" s="892"/>
      <c r="AJ80" s="945" t="e">
        <f t="shared" si="93"/>
        <v>#VALUE!</v>
      </c>
      <c r="AK80" s="933">
        <f t="shared" si="76"/>
        <v>0</v>
      </c>
      <c r="AL80" s="933" t="e">
        <f t="shared" si="77"/>
        <v>#VALUE!</v>
      </c>
      <c r="AM80" s="933" t="e">
        <f t="shared" si="78"/>
        <v>#VALUE!</v>
      </c>
      <c r="AN80" s="933" t="e">
        <f t="shared" si="79"/>
        <v>#VALUE!</v>
      </c>
      <c r="AO80" s="933" t="e">
        <f t="shared" si="80"/>
        <v>#VALUE!</v>
      </c>
      <c r="AP80" s="946" t="e">
        <f t="shared" si="94"/>
        <v>#VALUE!</v>
      </c>
      <c r="AQ80" s="888"/>
      <c r="AR80" s="941">
        <f t="shared" si="102"/>
        <v>0</v>
      </c>
      <c r="AS80" s="888"/>
      <c r="AT80" s="947">
        <f t="shared" si="114"/>
        <v>0</v>
      </c>
      <c r="AU80" s="948">
        <f t="shared" si="113"/>
        <v>0</v>
      </c>
      <c r="AV80" s="949" t="str">
        <f t="shared" si="82"/>
        <v/>
      </c>
      <c r="AW80" s="950">
        <f t="shared" si="83"/>
        <v>91.19</v>
      </c>
      <c r="AX80" s="951">
        <f t="shared" si="95"/>
        <v>8913.2212329254417</v>
      </c>
      <c r="AY80" s="952">
        <f>VLOOKUP(A80,'Comm Price Out'!$A$8:$G$77,7,FALSE)</f>
        <v>95.870626146614157</v>
      </c>
      <c r="AZ80" s="953">
        <f t="shared" si="96"/>
        <v>9370.7215767502839</v>
      </c>
      <c r="BA80" s="954">
        <f t="shared" si="84"/>
        <v>5.1328283217613326E-2</v>
      </c>
      <c r="BC80" s="1158">
        <f t="shared" si="85"/>
        <v>-8913.2212329254417</v>
      </c>
      <c r="BD80" s="1158">
        <f t="shared" si="86"/>
        <v>-9370.7215767502839</v>
      </c>
    </row>
    <row r="81" spans="1:56">
      <c r="A81" s="931" t="str">
        <f>+'Comm Price Out'!A55</f>
        <v>6 yd 1xweek</v>
      </c>
      <c r="B81" s="1133">
        <f>+'Comm Price Out'!B55</f>
        <v>14</v>
      </c>
      <c r="C81" s="933">
        <f t="shared" si="105"/>
        <v>14.243281966750011</v>
      </c>
      <c r="D81" s="957">
        <v>1</v>
      </c>
      <c r="E81" s="933">
        <f t="shared" si="67"/>
        <v>52</v>
      </c>
      <c r="F81" s="933">
        <f t="shared" si="87"/>
        <v>14.243281966750011</v>
      </c>
      <c r="G81" s="933"/>
      <c r="H81" s="934">
        <f>+'Comm Price Out'!D55</f>
        <v>83.11</v>
      </c>
      <c r="I81" s="935">
        <f t="shared" si="88"/>
        <v>5038.1282000000001</v>
      </c>
      <c r="J81" s="935">
        <f t="shared" si="97"/>
        <v>60457.538400000005</v>
      </c>
      <c r="K81" s="935">
        <f t="shared" si="98"/>
        <v>61508.126174772595</v>
      </c>
      <c r="L81" s="936">
        <f>+L80</f>
        <v>504</v>
      </c>
      <c r="M81" s="937">
        <f t="shared" si="99"/>
        <v>496.09294866317106</v>
      </c>
      <c r="N81" s="938">
        <f t="shared" si="100"/>
        <v>186.64</v>
      </c>
      <c r="O81" s="939">
        <f t="shared" si="68"/>
        <v>183.71188083034571</v>
      </c>
      <c r="P81" s="888"/>
      <c r="Q81" s="936">
        <f>+Q80</f>
        <v>120</v>
      </c>
      <c r="R81" s="941">
        <f t="shared" si="89"/>
        <v>24.688355409033353</v>
      </c>
      <c r="S81" s="941">
        <f t="shared" si="90"/>
        <v>24.688355409033353</v>
      </c>
      <c r="T81" s="942"/>
      <c r="U81" s="941" t="e">
        <f t="shared" si="91"/>
        <v>#VALUE!</v>
      </c>
      <c r="V81" s="943" t="e">
        <f t="shared" si="69"/>
        <v>#VALUE!</v>
      </c>
      <c r="W81" s="888"/>
      <c r="X81" s="892"/>
      <c r="Y81" s="935">
        <f t="shared" si="70"/>
        <v>7219.614220963851</v>
      </c>
      <c r="Z81" s="935">
        <f t="shared" si="71"/>
        <v>16889.22860368594</v>
      </c>
      <c r="AA81" s="944"/>
      <c r="AB81" s="933" t="e">
        <f t="shared" si="72"/>
        <v>#VALUE!</v>
      </c>
      <c r="AC81" s="933" t="e">
        <f t="shared" si="73"/>
        <v>#VALUE!</v>
      </c>
      <c r="AD81" s="933" t="e">
        <f t="shared" si="74"/>
        <v>#VALUE!</v>
      </c>
      <c r="AE81" s="892"/>
      <c r="AF81" s="935">
        <f t="shared" si="92"/>
        <v>0</v>
      </c>
      <c r="AG81" s="935">
        <f t="shared" si="75"/>
        <v>0</v>
      </c>
      <c r="AH81" s="892"/>
      <c r="AI81" s="892"/>
      <c r="AJ81" s="945" t="e">
        <f t="shared" si="93"/>
        <v>#VALUE!</v>
      </c>
      <c r="AK81" s="933">
        <f t="shared" si="76"/>
        <v>0</v>
      </c>
      <c r="AL81" s="933" t="e">
        <f t="shared" si="77"/>
        <v>#VALUE!</v>
      </c>
      <c r="AM81" s="933" t="e">
        <f t="shared" si="78"/>
        <v>#VALUE!</v>
      </c>
      <c r="AN81" s="933" t="e">
        <f t="shared" si="79"/>
        <v>#VALUE!</v>
      </c>
      <c r="AO81" s="933" t="e">
        <f t="shared" si="80"/>
        <v>#VALUE!</v>
      </c>
      <c r="AP81" s="946" t="e">
        <f t="shared" si="94"/>
        <v>#VALUE!</v>
      </c>
      <c r="AQ81" s="888"/>
      <c r="AR81" s="941">
        <f t="shared" si="102"/>
        <v>0</v>
      </c>
      <c r="AS81" s="888"/>
      <c r="AT81" s="947">
        <f t="shared" si="114"/>
        <v>0</v>
      </c>
      <c r="AU81" s="948">
        <f t="shared" si="113"/>
        <v>0</v>
      </c>
      <c r="AV81" s="949" t="str">
        <f t="shared" si="82"/>
        <v/>
      </c>
      <c r="AW81" s="950">
        <f t="shared" si="83"/>
        <v>83.11</v>
      </c>
      <c r="AX81" s="951">
        <f t="shared" si="95"/>
        <v>61555.476541342861</v>
      </c>
      <c r="AY81" s="952">
        <f>VLOOKUP(A81,'Comm Price Out'!$A$8:$G$77,7,FALSE)</f>
        <v>87.375893618215855</v>
      </c>
      <c r="AZ81" s="953">
        <f t="shared" si="96"/>
        <v>64715.013474852065</v>
      </c>
      <c r="BA81" s="954">
        <f t="shared" si="84"/>
        <v>5.1328283217613471E-2</v>
      </c>
      <c r="BC81" s="1158">
        <f t="shared" si="85"/>
        <v>-61555.476541342861</v>
      </c>
      <c r="BD81" s="1158">
        <f t="shared" si="86"/>
        <v>-64715.013474852065</v>
      </c>
    </row>
    <row r="82" spans="1:56">
      <c r="A82" s="931" t="str">
        <f>+'Comm Price Out'!A56</f>
        <v>6 yd 2xweek</v>
      </c>
      <c r="B82" s="1133">
        <f>+'Comm Price Out'!B56</f>
        <v>4</v>
      </c>
      <c r="C82" s="933">
        <f t="shared" si="105"/>
        <v>4.0695091333571458</v>
      </c>
      <c r="D82" s="957">
        <v>2</v>
      </c>
      <c r="E82" s="933">
        <f t="shared" si="67"/>
        <v>104</v>
      </c>
      <c r="F82" s="933">
        <f t="shared" si="87"/>
        <v>4.0695091333571458</v>
      </c>
      <c r="G82" s="933"/>
      <c r="H82" s="934">
        <f>+'Comm Price Out'!D56</f>
        <v>83.11</v>
      </c>
      <c r="I82" s="935">
        <f t="shared" si="88"/>
        <v>2878.9304000000002</v>
      </c>
      <c r="J82" s="935">
        <f>I82*12</f>
        <v>34547.164799999999</v>
      </c>
      <c r="K82" s="935">
        <f>J82*$K$3</f>
        <v>35147.500671298621</v>
      </c>
      <c r="L82" s="936">
        <f>+L81</f>
        <v>504</v>
      </c>
      <c r="M82" s="937">
        <f>L82*$O$3</f>
        <v>496.09294866317106</v>
      </c>
      <c r="N82" s="938">
        <f>ROUND(((C82*E82*L82)/2000),2)</f>
        <v>106.65</v>
      </c>
      <c r="O82" s="939">
        <f>$O$3*N82</f>
        <v>104.97681145818889</v>
      </c>
      <c r="P82" s="888"/>
      <c r="Q82" s="936">
        <f>+Q81</f>
        <v>120</v>
      </c>
      <c r="R82" s="941">
        <f>C82*E82*Q82/3600</f>
        <v>14.107631662304771</v>
      </c>
      <c r="S82" s="941">
        <f>R82*$S$3</f>
        <v>14.107631662304771</v>
      </c>
      <c r="T82" s="942"/>
      <c r="U82" s="941" t="e">
        <f>($V$4-$S$5)*O82/($O$5-$O$8)</f>
        <v>#VALUE!</v>
      </c>
      <c r="V82" s="943" t="e">
        <f>U82+S82</f>
        <v>#VALUE!</v>
      </c>
      <c r="W82" s="888"/>
      <c r="X82" s="892"/>
      <c r="Y82" s="935">
        <f t="shared" si="70"/>
        <v>4125.4938405507719</v>
      </c>
      <c r="Z82" s="935">
        <f t="shared" si="71"/>
        <v>9650.9877735348218</v>
      </c>
      <c r="AA82" s="944"/>
      <c r="AB82" s="933" t="e">
        <f t="shared" si="72"/>
        <v>#VALUE!</v>
      </c>
      <c r="AC82" s="933" t="e">
        <f t="shared" si="73"/>
        <v>#VALUE!</v>
      </c>
      <c r="AD82" s="933" t="e">
        <f t="shared" si="74"/>
        <v>#VALUE!</v>
      </c>
      <c r="AE82" s="892"/>
      <c r="AF82" s="935">
        <f t="shared" si="92"/>
        <v>0</v>
      </c>
      <c r="AG82" s="935">
        <f t="shared" si="75"/>
        <v>0</v>
      </c>
      <c r="AH82" s="892"/>
      <c r="AI82" s="892"/>
      <c r="AJ82" s="945" t="e">
        <f t="shared" si="93"/>
        <v>#VALUE!</v>
      </c>
      <c r="AK82" s="933">
        <f>($AK$4*F82/($F$5))</f>
        <v>0</v>
      </c>
      <c r="AL82" s="933" t="e">
        <f>$AL$4*O82/($O$5-$O$8)</f>
        <v>#VALUE!</v>
      </c>
      <c r="AM82" s="933" t="e">
        <f t="shared" si="78"/>
        <v>#VALUE!</v>
      </c>
      <c r="AN82" s="933" t="e">
        <f>$AN$4*(K82+X82)/($K$5+$X$5)</f>
        <v>#VALUE!</v>
      </c>
      <c r="AO82" s="933" t="e">
        <f>$AO$4*(K82+X82)/($K$5+$X$5)</f>
        <v>#VALUE!</v>
      </c>
      <c r="AP82" s="946" t="e">
        <f t="shared" si="94"/>
        <v>#VALUE!</v>
      </c>
      <c r="AQ82" s="888"/>
      <c r="AR82" s="941">
        <f t="shared" si="102"/>
        <v>0</v>
      </c>
      <c r="AS82" s="888"/>
      <c r="AT82" s="947">
        <f>AR82/$AT$4</f>
        <v>0</v>
      </c>
      <c r="AU82" s="948">
        <f>+AT82*C82*E82</f>
        <v>0</v>
      </c>
      <c r="AV82" s="949" t="str">
        <f t="shared" si="82"/>
        <v/>
      </c>
      <c r="AW82" s="950">
        <f>H82</f>
        <v>83.11</v>
      </c>
      <c r="AX82" s="951">
        <f t="shared" si="95"/>
        <v>35174.558023624486</v>
      </c>
      <c r="AY82" s="952">
        <f>VLOOKUP(A82,'Comm Price Out'!$A$8:$G$77,7,FALSE)</f>
        <v>87.375893618215855</v>
      </c>
      <c r="AZ82" s="953">
        <f t="shared" si="96"/>
        <v>36980.007699915463</v>
      </c>
      <c r="BA82" s="954">
        <f t="shared" si="84"/>
        <v>5.1328283217613471E-2</v>
      </c>
      <c r="BC82" s="1158">
        <f t="shared" si="85"/>
        <v>-35174.558023624486</v>
      </c>
      <c r="BD82" s="1158">
        <f t="shared" si="86"/>
        <v>-36980.007699915463</v>
      </c>
    </row>
    <row r="83" spans="1:56">
      <c r="A83" s="931" t="str">
        <f>+'Comm Price Out'!A57</f>
        <v>6 yd 3xweek</v>
      </c>
      <c r="B83" s="1133">
        <f>+'Comm Price Out'!B57</f>
        <v>0</v>
      </c>
      <c r="C83" s="933">
        <f t="shared" si="105"/>
        <v>0</v>
      </c>
      <c r="D83" s="957">
        <v>3</v>
      </c>
      <c r="E83" s="933">
        <f t="shared" si="67"/>
        <v>156</v>
      </c>
      <c r="F83" s="933">
        <f t="shared" si="87"/>
        <v>0</v>
      </c>
      <c r="G83" s="933"/>
      <c r="H83" s="934">
        <f>+'Comm Price Out'!D57</f>
        <v>83.11</v>
      </c>
      <c r="I83" s="935">
        <f t="shared" ref="I83:I92" si="115">B83*H83</f>
        <v>0</v>
      </c>
      <c r="J83" s="935">
        <f t="shared" si="97"/>
        <v>0</v>
      </c>
      <c r="K83" s="935">
        <f t="shared" si="98"/>
        <v>0</v>
      </c>
      <c r="L83" s="936">
        <f>+L82</f>
        <v>504</v>
      </c>
      <c r="M83" s="937">
        <f t="shared" si="99"/>
        <v>496.09294866317106</v>
      </c>
      <c r="N83" s="938">
        <f t="shared" si="100"/>
        <v>0</v>
      </c>
      <c r="O83" s="939">
        <f t="shared" si="68"/>
        <v>0</v>
      </c>
      <c r="P83" s="888"/>
      <c r="Q83" s="936">
        <f>+Q82</f>
        <v>120</v>
      </c>
      <c r="R83" s="941">
        <f t="shared" si="89"/>
        <v>0</v>
      </c>
      <c r="S83" s="941">
        <f t="shared" si="90"/>
        <v>0</v>
      </c>
      <c r="T83" s="942"/>
      <c r="U83" s="941" t="e">
        <f t="shared" si="91"/>
        <v>#VALUE!</v>
      </c>
      <c r="V83" s="943" t="e">
        <f t="shared" si="69"/>
        <v>#VALUE!</v>
      </c>
      <c r="W83" s="888"/>
      <c r="X83" s="892"/>
      <c r="Y83" s="935">
        <f t="shared" si="70"/>
        <v>0</v>
      </c>
      <c r="Z83" s="935">
        <f t="shared" si="71"/>
        <v>0</v>
      </c>
      <c r="AA83" s="944"/>
      <c r="AB83" s="933" t="e">
        <f t="shared" si="72"/>
        <v>#VALUE!</v>
      </c>
      <c r="AC83" s="933" t="e">
        <f t="shared" si="73"/>
        <v>#VALUE!</v>
      </c>
      <c r="AD83" s="933" t="e">
        <f t="shared" si="74"/>
        <v>#VALUE!</v>
      </c>
      <c r="AE83" s="892"/>
      <c r="AF83" s="935">
        <f t="shared" si="92"/>
        <v>0</v>
      </c>
      <c r="AG83" s="935">
        <f t="shared" si="75"/>
        <v>0</v>
      </c>
      <c r="AH83" s="892"/>
      <c r="AI83" s="892"/>
      <c r="AJ83" s="945" t="e">
        <f t="shared" si="93"/>
        <v>#VALUE!</v>
      </c>
      <c r="AK83" s="933">
        <f t="shared" si="76"/>
        <v>0</v>
      </c>
      <c r="AL83" s="933" t="e">
        <f t="shared" si="77"/>
        <v>#VALUE!</v>
      </c>
      <c r="AM83" s="933" t="e">
        <f t="shared" si="78"/>
        <v>#VALUE!</v>
      </c>
      <c r="AN83" s="933" t="e">
        <f t="shared" si="79"/>
        <v>#VALUE!</v>
      </c>
      <c r="AO83" s="933" t="e">
        <f t="shared" si="80"/>
        <v>#VALUE!</v>
      </c>
      <c r="AP83" s="946" t="e">
        <f t="shared" si="94"/>
        <v>#VALUE!</v>
      </c>
      <c r="AQ83" s="888"/>
      <c r="AR83" s="941">
        <f t="shared" si="102"/>
        <v>0</v>
      </c>
      <c r="AS83" s="888"/>
      <c r="AT83" s="947">
        <f t="shared" si="114"/>
        <v>0</v>
      </c>
      <c r="AU83" s="948">
        <f t="shared" si="113"/>
        <v>0</v>
      </c>
      <c r="AV83" s="949" t="str">
        <f t="shared" si="82"/>
        <v/>
      </c>
      <c r="AW83" s="950">
        <f t="shared" si="83"/>
        <v>83.11</v>
      </c>
      <c r="AX83" s="951">
        <f t="shared" si="95"/>
        <v>0</v>
      </c>
      <c r="AY83" s="952">
        <f>VLOOKUP(A83,'Comm Price Out'!$A$8:$G$77,7,FALSE)</f>
        <v>87.375893618215855</v>
      </c>
      <c r="AZ83" s="953">
        <f t="shared" si="96"/>
        <v>0</v>
      </c>
      <c r="BA83" s="954">
        <f t="shared" si="84"/>
        <v>5.1328283217613471E-2</v>
      </c>
      <c r="BC83" s="1158">
        <f t="shared" si="85"/>
        <v>0</v>
      </c>
      <c r="BD83" s="1158">
        <f t="shared" si="86"/>
        <v>0</v>
      </c>
    </row>
    <row r="84" spans="1:56">
      <c r="A84" s="931" t="str">
        <f>+'Comm Price Out'!A58</f>
        <v>6 yd 6xweek</v>
      </c>
      <c r="B84" s="1133">
        <f>+'Comm Price Out'!B58</f>
        <v>0</v>
      </c>
      <c r="C84" s="933">
        <f t="shared" si="105"/>
        <v>0</v>
      </c>
      <c r="D84" s="957">
        <v>6</v>
      </c>
      <c r="E84" s="933">
        <f t="shared" si="67"/>
        <v>312</v>
      </c>
      <c r="F84" s="933">
        <f t="shared" si="87"/>
        <v>0</v>
      </c>
      <c r="G84" s="933"/>
      <c r="H84" s="934">
        <f>+'Comm Price Out'!D58</f>
        <v>83.11</v>
      </c>
      <c r="I84" s="935">
        <f t="shared" si="115"/>
        <v>0</v>
      </c>
      <c r="J84" s="935">
        <f>I84*12</f>
        <v>0</v>
      </c>
      <c r="K84" s="935">
        <f>J84*$K$3</f>
        <v>0</v>
      </c>
      <c r="L84" s="936">
        <f>+L83</f>
        <v>504</v>
      </c>
      <c r="M84" s="937">
        <f>L84*$O$3</f>
        <v>496.09294866317106</v>
      </c>
      <c r="N84" s="938">
        <f>ROUND(((C84*E84*L84)/2000),2)</f>
        <v>0</v>
      </c>
      <c r="O84" s="939">
        <f>$O$3*N84</f>
        <v>0</v>
      </c>
      <c r="P84" s="888"/>
      <c r="Q84" s="936">
        <f>+Q83</f>
        <v>120</v>
      </c>
      <c r="R84" s="941">
        <f>C84*E84*Q84/3600</f>
        <v>0</v>
      </c>
      <c r="S84" s="941">
        <f>R84*$S$3</f>
        <v>0</v>
      </c>
      <c r="T84" s="942"/>
      <c r="U84" s="941" t="e">
        <f>($V$4-$S$5)*O84/($O$5-$O$8)</f>
        <v>#VALUE!</v>
      </c>
      <c r="V84" s="943" t="e">
        <f>U84+S84</f>
        <v>#VALUE!</v>
      </c>
      <c r="W84" s="888"/>
      <c r="X84" s="892"/>
      <c r="Y84" s="935">
        <f t="shared" si="70"/>
        <v>0</v>
      </c>
      <c r="Z84" s="935">
        <f t="shared" si="71"/>
        <v>0</v>
      </c>
      <c r="AA84" s="944"/>
      <c r="AB84" s="933" t="e">
        <f t="shared" si="72"/>
        <v>#VALUE!</v>
      </c>
      <c r="AC84" s="933" t="e">
        <f t="shared" si="73"/>
        <v>#VALUE!</v>
      </c>
      <c r="AD84" s="933" t="e">
        <f t="shared" si="74"/>
        <v>#VALUE!</v>
      </c>
      <c r="AE84" s="892"/>
      <c r="AF84" s="935">
        <f t="shared" si="92"/>
        <v>0</v>
      </c>
      <c r="AG84" s="935">
        <f t="shared" si="75"/>
        <v>0</v>
      </c>
      <c r="AH84" s="892"/>
      <c r="AI84" s="892"/>
      <c r="AJ84" s="945" t="e">
        <f t="shared" si="93"/>
        <v>#VALUE!</v>
      </c>
      <c r="AK84" s="933">
        <f>($AK$4*F84/($F$5))</f>
        <v>0</v>
      </c>
      <c r="AL84" s="933" t="e">
        <f>$AL$4*O84/($O$5-$O$8)</f>
        <v>#VALUE!</v>
      </c>
      <c r="AM84" s="933" t="e">
        <f t="shared" si="78"/>
        <v>#VALUE!</v>
      </c>
      <c r="AN84" s="933" t="e">
        <f>$AN$4*(K84+X84)/($K$5+$X$5)</f>
        <v>#VALUE!</v>
      </c>
      <c r="AO84" s="933" t="e">
        <f>$AO$4*(K84+X84)/($K$5+$X$5)</f>
        <v>#VALUE!</v>
      </c>
      <c r="AP84" s="946" t="e">
        <f t="shared" si="94"/>
        <v>#VALUE!</v>
      </c>
      <c r="AQ84" s="888"/>
      <c r="AR84" s="941">
        <f t="shared" si="102"/>
        <v>0</v>
      </c>
      <c r="AS84" s="888"/>
      <c r="AT84" s="947">
        <f t="shared" ref="AT84:AT92" si="116">AR84/$AT$4</f>
        <v>0</v>
      </c>
      <c r="AU84" s="948">
        <f t="shared" ref="AU84:AU92" si="117">+AT84*C84*E84</f>
        <v>0</v>
      </c>
      <c r="AV84" s="949" t="str">
        <f t="shared" si="82"/>
        <v/>
      </c>
      <c r="AW84" s="950">
        <f>H84</f>
        <v>83.11</v>
      </c>
      <c r="AX84" s="951">
        <f t="shared" si="95"/>
        <v>0</v>
      </c>
      <c r="AY84" s="952">
        <f>VLOOKUP(A84,'Comm Price Out'!$A$8:$G$77,7,FALSE)</f>
        <v>87.375893618215855</v>
      </c>
      <c r="AZ84" s="953">
        <f t="shared" si="96"/>
        <v>0</v>
      </c>
      <c r="BA84" s="954">
        <f t="shared" si="84"/>
        <v>5.1328283217613471E-2</v>
      </c>
      <c r="BC84" s="1158">
        <f t="shared" si="85"/>
        <v>0</v>
      </c>
      <c r="BD84" s="1158">
        <f t="shared" si="86"/>
        <v>0</v>
      </c>
    </row>
    <row r="85" spans="1:56">
      <c r="A85" s="931" t="str">
        <f>+'Comm Price Out'!A59</f>
        <v>8 yd   On Call</v>
      </c>
      <c r="B85" s="1133">
        <f>+'Comm Price Out'!B59</f>
        <v>4</v>
      </c>
      <c r="C85" s="933">
        <f t="shared" si="105"/>
        <v>4.0695091333571458</v>
      </c>
      <c r="D85" s="957">
        <f>1/$E$2</f>
        <v>0.23094688221709006</v>
      </c>
      <c r="E85" s="933">
        <f t="shared" si="67"/>
        <v>12.009237875288683</v>
      </c>
      <c r="F85" s="933">
        <f t="shared" si="87"/>
        <v>4.0695091333571458</v>
      </c>
      <c r="G85" s="933"/>
      <c r="H85" s="934">
        <f>+'Comm Price Out'!D59</f>
        <v>110.83</v>
      </c>
      <c r="I85" s="935">
        <f t="shared" si="115"/>
        <v>443.32</v>
      </c>
      <c r="J85" s="935">
        <f>I85*12</f>
        <v>5319.84</v>
      </c>
      <c r="K85" s="935">
        <f>J85*$K$3</f>
        <v>5412.2843669996701</v>
      </c>
      <c r="L85" s="936">
        <f>+'Meeks +'!F31*$S$1</f>
        <v>588</v>
      </c>
      <c r="M85" s="937">
        <f t="shared" si="99"/>
        <v>578.77510677369958</v>
      </c>
      <c r="N85" s="938">
        <f>ROUND(((C85*E85*L85)/2000),2)</f>
        <v>14.37</v>
      </c>
      <c r="O85" s="939">
        <f t="shared" si="68"/>
        <v>14.144554905336841</v>
      </c>
      <c r="P85" s="888"/>
      <c r="Q85" s="936">
        <f>+'Meeks +'!C31</f>
        <v>120</v>
      </c>
      <c r="R85" s="941">
        <f t="shared" si="89"/>
        <v>1.6290567739381954</v>
      </c>
      <c r="S85" s="941">
        <f t="shared" si="90"/>
        <v>1.6290567739381954</v>
      </c>
      <c r="T85" s="942"/>
      <c r="U85" s="941" t="e">
        <f t="shared" si="91"/>
        <v>#VALUE!</v>
      </c>
      <c r="V85" s="943" t="e">
        <f t="shared" si="69"/>
        <v>#VALUE!</v>
      </c>
      <c r="W85" s="888"/>
      <c r="X85" s="892"/>
      <c r="Y85" s="935">
        <f t="shared" si="70"/>
        <v>635.27549307651486</v>
      </c>
      <c r="Z85" s="935">
        <f t="shared" si="71"/>
        <v>1486.1338432368693</v>
      </c>
      <c r="AA85" s="944"/>
      <c r="AB85" s="933" t="e">
        <f t="shared" si="72"/>
        <v>#VALUE!</v>
      </c>
      <c r="AC85" s="933" t="e">
        <f t="shared" si="73"/>
        <v>#VALUE!</v>
      </c>
      <c r="AD85" s="933" t="e">
        <f t="shared" si="74"/>
        <v>#VALUE!</v>
      </c>
      <c r="AE85" s="892"/>
      <c r="AF85" s="935">
        <f t="shared" si="92"/>
        <v>0</v>
      </c>
      <c r="AG85" s="935">
        <f t="shared" si="75"/>
        <v>0</v>
      </c>
      <c r="AH85" s="892"/>
      <c r="AI85" s="892"/>
      <c r="AJ85" s="945" t="e">
        <f t="shared" si="93"/>
        <v>#VALUE!</v>
      </c>
      <c r="AK85" s="933">
        <f t="shared" si="76"/>
        <v>0</v>
      </c>
      <c r="AL85" s="933" t="e">
        <f t="shared" si="77"/>
        <v>#VALUE!</v>
      </c>
      <c r="AM85" s="933" t="e">
        <f t="shared" si="78"/>
        <v>#VALUE!</v>
      </c>
      <c r="AN85" s="933" t="e">
        <f t="shared" si="79"/>
        <v>#VALUE!</v>
      </c>
      <c r="AO85" s="933" t="e">
        <f t="shared" si="80"/>
        <v>#VALUE!</v>
      </c>
      <c r="AP85" s="946" t="e">
        <f t="shared" si="94"/>
        <v>#VALUE!</v>
      </c>
      <c r="AQ85" s="888"/>
      <c r="AR85" s="941">
        <f t="shared" ref="AR85:AR92" si="118">IF(ISERROR(AP85/C85/E85), 0,(AP85/C85/E85))</f>
        <v>0</v>
      </c>
      <c r="AS85" s="888"/>
      <c r="AT85" s="947">
        <f t="shared" si="116"/>
        <v>0</v>
      </c>
      <c r="AU85" s="948">
        <f t="shared" si="117"/>
        <v>0</v>
      </c>
      <c r="AV85" s="949" t="str">
        <f t="shared" si="82"/>
        <v/>
      </c>
      <c r="AW85" s="950">
        <f t="shared" si="83"/>
        <v>110.83</v>
      </c>
      <c r="AX85" s="951">
        <f t="shared" si="95"/>
        <v>5416.4508676671057</v>
      </c>
      <c r="AY85" s="952">
        <f>VLOOKUP(A85,'Comm Price Out'!$A$8:$G$77,7,FALSE)</f>
        <v>116.51871362900809</v>
      </c>
      <c r="AZ85" s="953">
        <f t="shared" si="96"/>
        <v>5694.4679918370111</v>
      </c>
      <c r="BA85" s="954">
        <f t="shared" si="84"/>
        <v>5.1328283217613388E-2</v>
      </c>
      <c r="BC85" s="1158">
        <f t="shared" si="85"/>
        <v>-5416.4508676671057</v>
      </c>
      <c r="BD85" s="1158">
        <f t="shared" si="86"/>
        <v>-5694.4679918370111</v>
      </c>
    </row>
    <row r="86" spans="1:56">
      <c r="A86" s="931" t="str">
        <f>+'Comm Price Out'!A60</f>
        <v>8 yd  1xweek</v>
      </c>
      <c r="B86" s="1133">
        <f>+'Comm Price Out'!B60</f>
        <v>4</v>
      </c>
      <c r="C86" s="933">
        <f t="shared" ref="C86:C92" si="119">B86*$K$3</f>
        <v>4.0695091333571458</v>
      </c>
      <c r="D86" s="957">
        <v>1</v>
      </c>
      <c r="E86" s="933">
        <f t="shared" si="67"/>
        <v>52</v>
      </c>
      <c r="F86" s="933">
        <f t="shared" ref="F86:F92" si="120">C86</f>
        <v>4.0695091333571458</v>
      </c>
      <c r="G86" s="933"/>
      <c r="H86" s="934">
        <f>+'Comm Price Out'!D60</f>
        <v>108.53</v>
      </c>
      <c r="I86" s="935">
        <f t="shared" si="115"/>
        <v>434.12</v>
      </c>
      <c r="J86" s="935">
        <f t="shared" ref="J86:J92" si="121">I86*12</f>
        <v>5209.4400000000005</v>
      </c>
      <c r="K86" s="935">
        <f t="shared" ref="K86:K92" si="122">J86*$K$3</f>
        <v>5299.9659149190129</v>
      </c>
      <c r="L86" s="936">
        <f>+L85</f>
        <v>588</v>
      </c>
      <c r="M86" s="937">
        <f t="shared" ref="M86:M92" si="123">L86*$O$3</f>
        <v>578.77510677369958</v>
      </c>
      <c r="N86" s="938">
        <f t="shared" ref="N86:N92" si="124">ROUND(((C86*E86*L86)/2000),2)</f>
        <v>62.21</v>
      </c>
      <c r="O86" s="939">
        <f t="shared" ref="O86:O92" si="125">$O$3*N86</f>
        <v>61.234012572094983</v>
      </c>
      <c r="P86" s="888"/>
      <c r="Q86" s="936">
        <f>+Q85</f>
        <v>120</v>
      </c>
      <c r="R86" s="941">
        <f t="shared" ref="R86:R92" si="126">C86*E86*Q86/3600</f>
        <v>7.0538158311523853</v>
      </c>
      <c r="S86" s="941">
        <f t="shared" ref="S86:S92" si="127">R86*$S$3</f>
        <v>7.0538158311523853</v>
      </c>
      <c r="T86" s="942"/>
      <c r="U86" s="941" t="e">
        <f t="shared" ref="U86:U92" si="128">($V$4-$S$5)*O86/($O$5-$O$8)</f>
        <v>#VALUE!</v>
      </c>
      <c r="V86" s="943" t="e">
        <f>U86+S86</f>
        <v>#VALUE!</v>
      </c>
      <c r="W86" s="888"/>
      <c r="X86" s="892"/>
      <c r="Y86" s="935">
        <f t="shared" ref="Y86:Y92" si="129">($Y$4*(I86)/(($I$6)+$I$7+$I$8+$I$9))</f>
        <v>622.09193597035244</v>
      </c>
      <c r="Z86" s="935">
        <f t="shared" ref="Z86:Z92" si="130">($Z$4*I86/($I$5-$I$8-$I$9))</f>
        <v>1455.292844956216</v>
      </c>
      <c r="AA86" s="944"/>
      <c r="AB86" s="933" t="e">
        <f t="shared" ref="AB86:AB92" si="131">$AB$4*V86/($V$4+$T$4)</f>
        <v>#VALUE!</v>
      </c>
      <c r="AC86" s="933" t="e">
        <f t="shared" ref="AC86:AC92" si="132">$AC$4*V86/($V$4+$T$4)</f>
        <v>#VALUE!</v>
      </c>
      <c r="AD86" s="933" t="e">
        <f t="shared" ref="AD86:AD92" si="133">$AD$4*V86/($V$4+$T$4)</f>
        <v>#VALUE!</v>
      </c>
      <c r="AE86" s="892"/>
      <c r="AF86" s="935">
        <f t="shared" ref="AF86:AF92" si="134">($AF$4*G86)/($G$7)</f>
        <v>0</v>
      </c>
      <c r="AG86" s="935">
        <f t="shared" ref="AG86:AG92" si="135">($AG$4*G86)/($G$7+$G$6)</f>
        <v>0</v>
      </c>
      <c r="AH86" s="892"/>
      <c r="AI86" s="892"/>
      <c r="AJ86" s="945" t="e">
        <f t="shared" ref="AJ86:AJ92" si="136">SUM(X86:AI86)</f>
        <v>#VALUE!</v>
      </c>
      <c r="AK86" s="933">
        <f t="shared" ref="AK86:AK92" si="137">($AK$4*F86/($F$5))</f>
        <v>0</v>
      </c>
      <c r="AL86" s="933" t="e">
        <f t="shared" ref="AL86:AL92" si="138">$AL$4*O86/($O$5-$O$8)</f>
        <v>#VALUE!</v>
      </c>
      <c r="AM86" s="933" t="e">
        <f t="shared" ref="AM86:AM92" si="139">$AM$4*(K86+X86)/($K$5+$X$5)</f>
        <v>#VALUE!</v>
      </c>
      <c r="AN86" s="933" t="e">
        <f t="shared" ref="AN86:AN92" si="140">$AN$4*(K86+X86)/($K$5+$X$5)</f>
        <v>#VALUE!</v>
      </c>
      <c r="AO86" s="933" t="e">
        <f t="shared" ref="AO86:AO92" si="141">$AO$4*(K86+X86)/($K$5+$X$5)</f>
        <v>#VALUE!</v>
      </c>
      <c r="AP86" s="946" t="e">
        <f t="shared" ref="AP86:AP92" si="142">SUM(AJ86:AO86)</f>
        <v>#VALUE!</v>
      </c>
      <c r="AQ86" s="888"/>
      <c r="AR86" s="941">
        <f t="shared" si="118"/>
        <v>0</v>
      </c>
      <c r="AS86" s="888"/>
      <c r="AT86" s="947">
        <f t="shared" si="116"/>
        <v>0</v>
      </c>
      <c r="AU86" s="948">
        <f t="shared" si="117"/>
        <v>0</v>
      </c>
      <c r="AV86" s="949" t="str">
        <f t="shared" si="82"/>
        <v/>
      </c>
      <c r="AW86" s="950">
        <f t="shared" ref="AW86:AW92" si="143">H86</f>
        <v>108.53</v>
      </c>
      <c r="AX86" s="951">
        <f t="shared" ref="AX86:AX92" si="144">+AW86*C86*E86</f>
        <v>22966.518964649054</v>
      </c>
      <c r="AY86" s="952">
        <f>VLOOKUP(A86,'Comm Price Out'!$A$8:$G$77,7,FALSE)</f>
        <v>114.10065857760759</v>
      </c>
      <c r="AZ86" s="953">
        <f t="shared" ref="AZ86:AZ92" si="145">+AY86*C86*E86</f>
        <v>24145.350954589248</v>
      </c>
      <c r="BA86" s="954">
        <f t="shared" si="84"/>
        <v>5.1328283217613457E-2</v>
      </c>
      <c r="BC86" s="1158">
        <f t="shared" si="85"/>
        <v>-22966.518964649054</v>
      </c>
      <c r="BD86" s="1158">
        <f t="shared" si="86"/>
        <v>-24145.350954589248</v>
      </c>
    </row>
    <row r="87" spans="1:56">
      <c r="A87" s="931" t="str">
        <f>+'Comm Price Out'!A61</f>
        <v>8 yd  2xweek</v>
      </c>
      <c r="B87" s="1133">
        <f>+'Comm Price Out'!B61</f>
        <v>5</v>
      </c>
      <c r="C87" s="933">
        <f t="shared" si="119"/>
        <v>5.0868864166964318</v>
      </c>
      <c r="D87" s="957">
        <v>2</v>
      </c>
      <c r="E87" s="933">
        <f t="shared" si="67"/>
        <v>104</v>
      </c>
      <c r="F87" s="933">
        <f t="shared" si="120"/>
        <v>5.0868864166964318</v>
      </c>
      <c r="G87" s="933"/>
      <c r="H87" s="934">
        <f>+'Comm Price Out'!D61</f>
        <v>108.53</v>
      </c>
      <c r="I87" s="935">
        <f t="shared" si="115"/>
        <v>542.65</v>
      </c>
      <c r="J87" s="935">
        <f t="shared" si="121"/>
        <v>6511.7999999999993</v>
      </c>
      <c r="K87" s="935">
        <f t="shared" si="122"/>
        <v>6624.957393648765</v>
      </c>
      <c r="L87" s="936">
        <f>+L86</f>
        <v>588</v>
      </c>
      <c r="M87" s="937">
        <f t="shared" si="123"/>
        <v>578.77510677369958</v>
      </c>
      <c r="N87" s="938">
        <f t="shared" si="124"/>
        <v>155.54</v>
      </c>
      <c r="O87" s="939">
        <f t="shared" si="125"/>
        <v>153.09979610132862</v>
      </c>
      <c r="P87" s="888"/>
      <c r="Q87" s="936">
        <f>+Q86</f>
        <v>120</v>
      </c>
      <c r="R87" s="941">
        <f t="shared" si="126"/>
        <v>17.634539577880965</v>
      </c>
      <c r="S87" s="941">
        <f t="shared" si="127"/>
        <v>17.634539577880965</v>
      </c>
      <c r="T87" s="942"/>
      <c r="U87" s="941" t="e">
        <f t="shared" si="128"/>
        <v>#VALUE!</v>
      </c>
      <c r="V87" s="943" t="e">
        <f>U87+S87</f>
        <v>#VALUE!</v>
      </c>
      <c r="W87" s="888"/>
      <c r="X87" s="892"/>
      <c r="Y87" s="935">
        <f t="shared" si="129"/>
        <v>777.61491996294058</v>
      </c>
      <c r="Z87" s="935">
        <f t="shared" si="130"/>
        <v>1819.1160561952699</v>
      </c>
      <c r="AA87" s="944"/>
      <c r="AB87" s="933" t="e">
        <f t="shared" si="131"/>
        <v>#VALUE!</v>
      </c>
      <c r="AC87" s="933" t="e">
        <f t="shared" si="132"/>
        <v>#VALUE!</v>
      </c>
      <c r="AD87" s="933" t="e">
        <f t="shared" si="133"/>
        <v>#VALUE!</v>
      </c>
      <c r="AE87" s="892"/>
      <c r="AF87" s="935">
        <f t="shared" si="134"/>
        <v>0</v>
      </c>
      <c r="AG87" s="935">
        <f t="shared" si="135"/>
        <v>0</v>
      </c>
      <c r="AH87" s="892"/>
      <c r="AI87" s="892"/>
      <c r="AJ87" s="945" t="e">
        <f t="shared" si="136"/>
        <v>#VALUE!</v>
      </c>
      <c r="AK87" s="933">
        <f t="shared" si="137"/>
        <v>0</v>
      </c>
      <c r="AL87" s="933" t="e">
        <f t="shared" si="138"/>
        <v>#VALUE!</v>
      </c>
      <c r="AM87" s="933" t="e">
        <f t="shared" si="139"/>
        <v>#VALUE!</v>
      </c>
      <c r="AN87" s="933" t="e">
        <f t="shared" si="140"/>
        <v>#VALUE!</v>
      </c>
      <c r="AO87" s="933" t="e">
        <f t="shared" si="141"/>
        <v>#VALUE!</v>
      </c>
      <c r="AP87" s="946" t="e">
        <f t="shared" si="142"/>
        <v>#VALUE!</v>
      </c>
      <c r="AQ87" s="888"/>
      <c r="AR87" s="941">
        <f t="shared" si="118"/>
        <v>0</v>
      </c>
      <c r="AS87" s="888"/>
      <c r="AT87" s="947">
        <f t="shared" si="116"/>
        <v>0</v>
      </c>
      <c r="AU87" s="948">
        <f t="shared" si="117"/>
        <v>0</v>
      </c>
      <c r="AV87" s="949" t="str">
        <f t="shared" si="82"/>
        <v/>
      </c>
      <c r="AW87" s="950">
        <f t="shared" si="143"/>
        <v>108.53</v>
      </c>
      <c r="AX87" s="951">
        <f t="shared" si="144"/>
        <v>57416.297411622625</v>
      </c>
      <c r="AY87" s="952">
        <f>VLOOKUP(A87,'Comm Price Out'!$A$8:$G$77,7,FALSE)</f>
        <v>114.10065857760759</v>
      </c>
      <c r="AZ87" s="953">
        <f t="shared" si="145"/>
        <v>60363.377386473127</v>
      </c>
      <c r="BA87" s="954">
        <f t="shared" si="84"/>
        <v>5.1328283217613457E-2</v>
      </c>
      <c r="BC87" s="1158">
        <f t="shared" si="85"/>
        <v>-57416.297411622625</v>
      </c>
      <c r="BD87" s="1158">
        <f t="shared" si="86"/>
        <v>-60363.377386473127</v>
      </c>
    </row>
    <row r="88" spans="1:56">
      <c r="A88" s="931" t="str">
        <f>+'Comm Price Out'!A62</f>
        <v>8 yd  3xweek</v>
      </c>
      <c r="B88" s="1133">
        <f>+'Comm Price Out'!B62</f>
        <v>0</v>
      </c>
      <c r="C88" s="933">
        <f t="shared" si="119"/>
        <v>0</v>
      </c>
      <c r="D88" s="957">
        <v>3</v>
      </c>
      <c r="E88" s="933">
        <f t="shared" si="67"/>
        <v>156</v>
      </c>
      <c r="F88" s="933">
        <f t="shared" si="120"/>
        <v>0</v>
      </c>
      <c r="G88" s="933"/>
      <c r="H88" s="934">
        <f>+'Comm Price Out'!D62</f>
        <v>108.53</v>
      </c>
      <c r="I88" s="935">
        <f t="shared" si="115"/>
        <v>0</v>
      </c>
      <c r="J88" s="935">
        <f t="shared" si="121"/>
        <v>0</v>
      </c>
      <c r="K88" s="935">
        <f t="shared" si="122"/>
        <v>0</v>
      </c>
      <c r="L88" s="936">
        <f>+L87</f>
        <v>588</v>
      </c>
      <c r="M88" s="937">
        <f t="shared" si="123"/>
        <v>578.77510677369958</v>
      </c>
      <c r="N88" s="938">
        <f t="shared" si="124"/>
        <v>0</v>
      </c>
      <c r="O88" s="939">
        <f>$O$3*N88</f>
        <v>0</v>
      </c>
      <c r="P88" s="888"/>
      <c r="Q88" s="936">
        <f>+Q87</f>
        <v>120</v>
      </c>
      <c r="R88" s="941">
        <f t="shared" si="126"/>
        <v>0</v>
      </c>
      <c r="S88" s="941">
        <f t="shared" si="127"/>
        <v>0</v>
      </c>
      <c r="T88" s="942"/>
      <c r="U88" s="941" t="e">
        <f t="shared" si="128"/>
        <v>#VALUE!</v>
      </c>
      <c r="V88" s="943" t="e">
        <f>U88+S88</f>
        <v>#VALUE!</v>
      </c>
      <c r="W88" s="888"/>
      <c r="X88" s="892"/>
      <c r="Y88" s="935">
        <f t="shared" si="129"/>
        <v>0</v>
      </c>
      <c r="Z88" s="935">
        <f t="shared" si="130"/>
        <v>0</v>
      </c>
      <c r="AA88" s="944"/>
      <c r="AB88" s="933" t="e">
        <f t="shared" si="131"/>
        <v>#VALUE!</v>
      </c>
      <c r="AC88" s="933" t="e">
        <f t="shared" si="132"/>
        <v>#VALUE!</v>
      </c>
      <c r="AD88" s="933" t="e">
        <f t="shared" si="133"/>
        <v>#VALUE!</v>
      </c>
      <c r="AE88" s="892"/>
      <c r="AF88" s="935">
        <f t="shared" si="134"/>
        <v>0</v>
      </c>
      <c r="AG88" s="935">
        <f t="shared" si="135"/>
        <v>0</v>
      </c>
      <c r="AH88" s="892"/>
      <c r="AI88" s="892"/>
      <c r="AJ88" s="945" t="e">
        <f t="shared" si="136"/>
        <v>#VALUE!</v>
      </c>
      <c r="AK88" s="933">
        <f t="shared" si="137"/>
        <v>0</v>
      </c>
      <c r="AL88" s="933" t="e">
        <f t="shared" si="138"/>
        <v>#VALUE!</v>
      </c>
      <c r="AM88" s="933" t="e">
        <f t="shared" si="139"/>
        <v>#VALUE!</v>
      </c>
      <c r="AN88" s="933" t="e">
        <f t="shared" si="140"/>
        <v>#VALUE!</v>
      </c>
      <c r="AO88" s="933" t="e">
        <f t="shared" si="141"/>
        <v>#VALUE!</v>
      </c>
      <c r="AP88" s="946" t="e">
        <f t="shared" si="142"/>
        <v>#VALUE!</v>
      </c>
      <c r="AQ88" s="888"/>
      <c r="AR88" s="941">
        <f t="shared" si="118"/>
        <v>0</v>
      </c>
      <c r="AS88" s="888"/>
      <c r="AT88" s="947">
        <f t="shared" si="116"/>
        <v>0</v>
      </c>
      <c r="AU88" s="948">
        <f t="shared" si="117"/>
        <v>0</v>
      </c>
      <c r="AV88" s="949" t="str">
        <f t="shared" si="82"/>
        <v/>
      </c>
      <c r="AW88" s="950">
        <f t="shared" si="143"/>
        <v>108.53</v>
      </c>
      <c r="AX88" s="951">
        <f t="shared" si="144"/>
        <v>0</v>
      </c>
      <c r="AY88" s="952">
        <f>VLOOKUP(A88,'Comm Price Out'!$A$8:$G$77,7,FALSE)</f>
        <v>114.10065857760759</v>
      </c>
      <c r="AZ88" s="953">
        <f t="shared" si="145"/>
        <v>0</v>
      </c>
      <c r="BA88" s="954">
        <f t="shared" si="84"/>
        <v>5.1328283217613457E-2</v>
      </c>
      <c r="BC88" s="1158">
        <f t="shared" si="85"/>
        <v>0</v>
      </c>
      <c r="BD88" s="1158">
        <f t="shared" si="86"/>
        <v>0</v>
      </c>
    </row>
    <row r="89" spans="1:56">
      <c r="A89" s="931" t="str">
        <f>+'Comm Price Out'!A63</f>
        <v>8 yd  4xweek</v>
      </c>
      <c r="B89" s="1133">
        <f>+'Comm Price Out'!B63</f>
        <v>0</v>
      </c>
      <c r="C89" s="933">
        <f t="shared" si="119"/>
        <v>0</v>
      </c>
      <c r="D89" s="957">
        <v>4</v>
      </c>
      <c r="E89" s="933">
        <f t="shared" si="67"/>
        <v>208</v>
      </c>
      <c r="F89" s="933">
        <f t="shared" si="120"/>
        <v>0</v>
      </c>
      <c r="G89" s="933"/>
      <c r="H89" s="934">
        <f>+'Comm Price Out'!D63</f>
        <v>108.53</v>
      </c>
      <c r="I89" s="935">
        <f t="shared" si="115"/>
        <v>0</v>
      </c>
      <c r="J89" s="935">
        <f t="shared" si="121"/>
        <v>0</v>
      </c>
      <c r="K89" s="935">
        <f t="shared" si="122"/>
        <v>0</v>
      </c>
      <c r="L89" s="936">
        <f>+L88</f>
        <v>588</v>
      </c>
      <c r="M89" s="937">
        <f t="shared" si="123"/>
        <v>578.77510677369958</v>
      </c>
      <c r="N89" s="938">
        <f>ROUND(((C89*E89*L89)/2000),2)</f>
        <v>0</v>
      </c>
      <c r="O89" s="939">
        <f t="shared" si="125"/>
        <v>0</v>
      </c>
      <c r="P89" s="888"/>
      <c r="Q89" s="936">
        <f>+Q88</f>
        <v>120</v>
      </c>
      <c r="R89" s="941">
        <f t="shared" si="126"/>
        <v>0</v>
      </c>
      <c r="S89" s="941">
        <f t="shared" si="127"/>
        <v>0</v>
      </c>
      <c r="T89" s="942"/>
      <c r="U89" s="941" t="e">
        <f t="shared" si="128"/>
        <v>#VALUE!</v>
      </c>
      <c r="V89" s="943" t="e">
        <f>U89+S89</f>
        <v>#VALUE!</v>
      </c>
      <c r="W89" s="888"/>
      <c r="X89" s="892"/>
      <c r="Y89" s="935">
        <f t="shared" si="129"/>
        <v>0</v>
      </c>
      <c r="Z89" s="935">
        <f t="shared" si="130"/>
        <v>0</v>
      </c>
      <c r="AA89" s="944"/>
      <c r="AB89" s="933" t="e">
        <f t="shared" si="131"/>
        <v>#VALUE!</v>
      </c>
      <c r="AC89" s="933" t="e">
        <f t="shared" si="132"/>
        <v>#VALUE!</v>
      </c>
      <c r="AD89" s="933" t="e">
        <f t="shared" si="133"/>
        <v>#VALUE!</v>
      </c>
      <c r="AE89" s="892"/>
      <c r="AF89" s="935">
        <f t="shared" si="134"/>
        <v>0</v>
      </c>
      <c r="AG89" s="935">
        <f t="shared" si="135"/>
        <v>0</v>
      </c>
      <c r="AH89" s="892"/>
      <c r="AI89" s="892"/>
      <c r="AJ89" s="945" t="e">
        <f t="shared" si="136"/>
        <v>#VALUE!</v>
      </c>
      <c r="AK89" s="933">
        <f t="shared" si="137"/>
        <v>0</v>
      </c>
      <c r="AL89" s="933" t="e">
        <f t="shared" si="138"/>
        <v>#VALUE!</v>
      </c>
      <c r="AM89" s="933" t="e">
        <f t="shared" si="139"/>
        <v>#VALUE!</v>
      </c>
      <c r="AN89" s="933" t="e">
        <f t="shared" si="140"/>
        <v>#VALUE!</v>
      </c>
      <c r="AO89" s="933" t="e">
        <f t="shared" si="141"/>
        <v>#VALUE!</v>
      </c>
      <c r="AP89" s="946" t="e">
        <f t="shared" si="142"/>
        <v>#VALUE!</v>
      </c>
      <c r="AQ89" s="888"/>
      <c r="AR89" s="941">
        <f t="shared" si="118"/>
        <v>0</v>
      </c>
      <c r="AS89" s="888"/>
      <c r="AT89" s="947">
        <f t="shared" si="116"/>
        <v>0</v>
      </c>
      <c r="AU89" s="948">
        <f t="shared" si="117"/>
        <v>0</v>
      </c>
      <c r="AV89" s="949" t="str">
        <f t="shared" si="82"/>
        <v/>
      </c>
      <c r="AW89" s="950">
        <f t="shared" si="143"/>
        <v>108.53</v>
      </c>
      <c r="AX89" s="951">
        <f t="shared" si="144"/>
        <v>0</v>
      </c>
      <c r="AY89" s="952">
        <f>VLOOKUP(A89,'Comm Price Out'!$A$8:$G$77,7,FALSE)</f>
        <v>114.10065857760759</v>
      </c>
      <c r="AZ89" s="953">
        <f t="shared" si="145"/>
        <v>0</v>
      </c>
      <c r="BA89" s="954">
        <f t="shared" si="84"/>
        <v>5.1328283217613457E-2</v>
      </c>
      <c r="BC89" s="1158">
        <f t="shared" si="85"/>
        <v>0</v>
      </c>
      <c r="BD89" s="1158">
        <f t="shared" si="86"/>
        <v>0</v>
      </c>
    </row>
    <row r="90" spans="1:56">
      <c r="A90" s="931" t="str">
        <f>+'Comm Price Out'!A64</f>
        <v>8 yd  5xweek</v>
      </c>
      <c r="B90" s="1133">
        <f>+'Comm Price Out'!B64</f>
        <v>0</v>
      </c>
      <c r="C90" s="933">
        <f t="shared" si="119"/>
        <v>0</v>
      </c>
      <c r="D90" s="957">
        <v>5</v>
      </c>
      <c r="E90" s="933">
        <f>D90*$E$1</f>
        <v>260</v>
      </c>
      <c r="F90" s="933">
        <f t="shared" si="120"/>
        <v>0</v>
      </c>
      <c r="G90" s="933"/>
      <c r="H90" s="934">
        <f>+'Comm Price Out'!D64</f>
        <v>108.53</v>
      </c>
      <c r="I90" s="935">
        <f t="shared" si="115"/>
        <v>0</v>
      </c>
      <c r="J90" s="935">
        <f t="shared" si="121"/>
        <v>0</v>
      </c>
      <c r="K90" s="935">
        <f t="shared" si="122"/>
        <v>0</v>
      </c>
      <c r="L90" s="936">
        <f>+L89</f>
        <v>588</v>
      </c>
      <c r="M90" s="937">
        <f t="shared" si="123"/>
        <v>578.77510677369958</v>
      </c>
      <c r="N90" s="938">
        <f t="shared" si="124"/>
        <v>0</v>
      </c>
      <c r="O90" s="939">
        <f t="shared" si="125"/>
        <v>0</v>
      </c>
      <c r="P90" s="888"/>
      <c r="Q90" s="936">
        <f>+Q89</f>
        <v>120</v>
      </c>
      <c r="R90" s="941">
        <f t="shared" si="126"/>
        <v>0</v>
      </c>
      <c r="S90" s="941">
        <f t="shared" si="127"/>
        <v>0</v>
      </c>
      <c r="T90" s="942"/>
      <c r="U90" s="941" t="e">
        <f t="shared" si="128"/>
        <v>#VALUE!</v>
      </c>
      <c r="V90" s="943" t="e">
        <f>U90+S90</f>
        <v>#VALUE!</v>
      </c>
      <c r="W90" s="888"/>
      <c r="X90" s="892"/>
      <c r="Y90" s="935">
        <f t="shared" si="129"/>
        <v>0</v>
      </c>
      <c r="Z90" s="935">
        <f t="shared" si="130"/>
        <v>0</v>
      </c>
      <c r="AA90" s="944"/>
      <c r="AB90" s="933" t="e">
        <f t="shared" si="131"/>
        <v>#VALUE!</v>
      </c>
      <c r="AC90" s="933" t="e">
        <f t="shared" si="132"/>
        <v>#VALUE!</v>
      </c>
      <c r="AD90" s="933" t="e">
        <f t="shared" si="133"/>
        <v>#VALUE!</v>
      </c>
      <c r="AE90" s="892"/>
      <c r="AF90" s="935">
        <f t="shared" si="134"/>
        <v>0</v>
      </c>
      <c r="AG90" s="935">
        <f t="shared" si="135"/>
        <v>0</v>
      </c>
      <c r="AH90" s="892"/>
      <c r="AI90" s="892"/>
      <c r="AJ90" s="945" t="e">
        <f t="shared" si="136"/>
        <v>#VALUE!</v>
      </c>
      <c r="AK90" s="933">
        <f t="shared" si="137"/>
        <v>0</v>
      </c>
      <c r="AL90" s="933" t="e">
        <f t="shared" si="138"/>
        <v>#VALUE!</v>
      </c>
      <c r="AM90" s="933" t="e">
        <f t="shared" si="139"/>
        <v>#VALUE!</v>
      </c>
      <c r="AN90" s="933" t="e">
        <f t="shared" si="140"/>
        <v>#VALUE!</v>
      </c>
      <c r="AO90" s="933" t="e">
        <f t="shared" si="141"/>
        <v>#VALUE!</v>
      </c>
      <c r="AP90" s="946" t="e">
        <f t="shared" si="142"/>
        <v>#VALUE!</v>
      </c>
      <c r="AQ90" s="888"/>
      <c r="AR90" s="941">
        <f t="shared" si="118"/>
        <v>0</v>
      </c>
      <c r="AS90" s="888"/>
      <c r="AT90" s="947">
        <f t="shared" si="116"/>
        <v>0</v>
      </c>
      <c r="AU90" s="948">
        <f t="shared" si="117"/>
        <v>0</v>
      </c>
      <c r="AV90" s="949" t="str">
        <f t="shared" si="82"/>
        <v/>
      </c>
      <c r="AW90" s="950">
        <f t="shared" si="143"/>
        <v>108.53</v>
      </c>
      <c r="AX90" s="951">
        <f t="shared" si="144"/>
        <v>0</v>
      </c>
      <c r="AY90" s="952">
        <f>VLOOKUP(A90,'Comm Price Out'!$A$8:$G$77,7,FALSE)</f>
        <v>114.10065857760759</v>
      </c>
      <c r="AZ90" s="953">
        <f t="shared" si="145"/>
        <v>0</v>
      </c>
      <c r="BA90" s="954">
        <f t="shared" si="84"/>
        <v>5.1328283217613457E-2</v>
      </c>
      <c r="BC90" s="1158">
        <f t="shared" si="85"/>
        <v>0</v>
      </c>
      <c r="BD90" s="1158">
        <f t="shared" si="86"/>
        <v>0</v>
      </c>
    </row>
    <row r="91" spans="1:56">
      <c r="A91" s="931" t="str">
        <f>+'Comm Price Out'!A65</f>
        <v>32 Gal Toter Rent</v>
      </c>
      <c r="B91" s="1133">
        <f>+'Comm Price Out'!B65</f>
        <v>1.9634502923976613</v>
      </c>
      <c r="C91" s="933">
        <f t="shared" si="119"/>
        <v>1.9975697244512602</v>
      </c>
      <c r="D91" s="957">
        <v>0</v>
      </c>
      <c r="E91" s="933">
        <f t="shared" si="67"/>
        <v>0</v>
      </c>
      <c r="F91" s="933">
        <f t="shared" si="120"/>
        <v>1.9975697244512602</v>
      </c>
      <c r="G91" s="933">
        <f t="shared" ref="G91:G102" si="146">F91*1.5</f>
        <v>2.9963545866768904</v>
      </c>
      <c r="H91" s="934">
        <f>+'Comm Price Out'!D65</f>
        <v>1.1399999999999999</v>
      </c>
      <c r="I91" s="935">
        <f t="shared" si="115"/>
        <v>2.2383333333333337</v>
      </c>
      <c r="J91" s="935">
        <f t="shared" si="121"/>
        <v>26.860000000000007</v>
      </c>
      <c r="K91" s="935">
        <f t="shared" si="122"/>
        <v>27.326753830493242</v>
      </c>
      <c r="L91" s="936">
        <v>0</v>
      </c>
      <c r="M91" s="937">
        <f t="shared" si="123"/>
        <v>0</v>
      </c>
      <c r="N91" s="938">
        <f t="shared" si="124"/>
        <v>0</v>
      </c>
      <c r="O91" s="939">
        <f t="shared" si="125"/>
        <v>0</v>
      </c>
      <c r="P91" s="888"/>
      <c r="Q91" s="936">
        <v>0</v>
      </c>
      <c r="R91" s="941">
        <f t="shared" si="126"/>
        <v>0</v>
      </c>
      <c r="S91" s="941">
        <f t="shared" si="127"/>
        <v>0</v>
      </c>
      <c r="T91" s="942"/>
      <c r="U91" s="941" t="e">
        <f t="shared" si="128"/>
        <v>#VALUE!</v>
      </c>
      <c r="V91" s="943" t="e">
        <f t="shared" ref="V91:V102" si="147">U91+S91</f>
        <v>#VALUE!</v>
      </c>
      <c r="W91" s="888"/>
      <c r="X91" s="892"/>
      <c r="Y91" s="935">
        <f t="shared" si="129"/>
        <v>3.2075212307203209</v>
      </c>
      <c r="Z91" s="935">
        <f t="shared" si="130"/>
        <v>7.5035254874850219</v>
      </c>
      <c r="AA91" s="944"/>
      <c r="AB91" s="933" t="e">
        <f t="shared" si="131"/>
        <v>#VALUE!</v>
      </c>
      <c r="AC91" s="933" t="e">
        <f t="shared" si="132"/>
        <v>#VALUE!</v>
      </c>
      <c r="AD91" s="933" t="e">
        <f t="shared" si="133"/>
        <v>#VALUE!</v>
      </c>
      <c r="AE91" s="892"/>
      <c r="AF91" s="935">
        <f t="shared" si="134"/>
        <v>35.524396604834529</v>
      </c>
      <c r="AG91" s="935">
        <f t="shared" si="135"/>
        <v>13.16942239488732</v>
      </c>
      <c r="AH91" s="892"/>
      <c r="AI91" s="892"/>
      <c r="AJ91" s="945" t="e">
        <f t="shared" si="136"/>
        <v>#VALUE!</v>
      </c>
      <c r="AK91" s="933">
        <f t="shared" si="137"/>
        <v>0</v>
      </c>
      <c r="AL91" s="933" t="e">
        <f t="shared" si="138"/>
        <v>#VALUE!</v>
      </c>
      <c r="AM91" s="933" t="e">
        <f t="shared" si="139"/>
        <v>#VALUE!</v>
      </c>
      <c r="AN91" s="933" t="e">
        <f t="shared" si="140"/>
        <v>#VALUE!</v>
      </c>
      <c r="AO91" s="933" t="e">
        <f t="shared" si="141"/>
        <v>#VALUE!</v>
      </c>
      <c r="AP91" s="946" t="e">
        <f t="shared" si="142"/>
        <v>#VALUE!</v>
      </c>
      <c r="AQ91" s="888"/>
      <c r="AR91" s="941">
        <f t="shared" si="118"/>
        <v>0</v>
      </c>
      <c r="AS91" s="888"/>
      <c r="AT91" s="947">
        <f t="shared" si="116"/>
        <v>0</v>
      </c>
      <c r="AU91" s="948">
        <f t="shared" si="117"/>
        <v>0</v>
      </c>
      <c r="AV91" s="949" t="str">
        <f t="shared" si="82"/>
        <v/>
      </c>
      <c r="AW91" s="950">
        <f t="shared" si="143"/>
        <v>1.1399999999999999</v>
      </c>
      <c r="AX91" s="951">
        <f t="shared" si="144"/>
        <v>0</v>
      </c>
      <c r="AY91" s="952">
        <f>VLOOKUP(A91,'Comm Price Out'!$A$8:$G$77,7,FALSE)</f>
        <v>1.1985142428680793</v>
      </c>
      <c r="AZ91" s="953">
        <f t="shared" si="145"/>
        <v>0</v>
      </c>
      <c r="BA91" s="954">
        <f t="shared" si="84"/>
        <v>5.1328283217613499E-2</v>
      </c>
      <c r="BC91" s="1158">
        <f t="shared" si="85"/>
        <v>0</v>
      </c>
      <c r="BD91" s="1158">
        <f t="shared" si="86"/>
        <v>0</v>
      </c>
    </row>
    <row r="92" spans="1:56">
      <c r="A92" s="931" t="str">
        <f>+'Comm Price Out'!A66</f>
        <v>64 Gal Toter Rent</v>
      </c>
      <c r="B92" s="1133">
        <f>+'Comm Price Out'!B66</f>
        <v>5.5506628787878824</v>
      </c>
      <c r="C92" s="933">
        <f t="shared" si="119"/>
        <v>5.6471183203534387</v>
      </c>
      <c r="D92" s="957">
        <v>0</v>
      </c>
      <c r="E92" s="933">
        <f t="shared" si="67"/>
        <v>0</v>
      </c>
      <c r="F92" s="933">
        <f t="shared" si="120"/>
        <v>5.6471183203534387</v>
      </c>
      <c r="G92" s="933">
        <f t="shared" si="146"/>
        <v>8.4706774805301581</v>
      </c>
      <c r="H92" s="934">
        <f>+'Comm Price Out'!D66</f>
        <v>1.76</v>
      </c>
      <c r="I92" s="935">
        <f t="shared" si="115"/>
        <v>9.7691666666666723</v>
      </c>
      <c r="J92" s="935">
        <f t="shared" si="121"/>
        <v>117.23000000000008</v>
      </c>
      <c r="K92" s="935">
        <f t="shared" si="122"/>
        <v>119.26713892586463</v>
      </c>
      <c r="L92" s="936">
        <v>0</v>
      </c>
      <c r="M92" s="937">
        <f t="shared" si="123"/>
        <v>0</v>
      </c>
      <c r="N92" s="938">
        <f t="shared" si="124"/>
        <v>0</v>
      </c>
      <c r="O92" s="939">
        <f t="shared" si="125"/>
        <v>0</v>
      </c>
      <c r="P92" s="888"/>
      <c r="Q92" s="936">
        <v>0</v>
      </c>
      <c r="R92" s="941">
        <f t="shared" si="126"/>
        <v>0</v>
      </c>
      <c r="S92" s="941">
        <f t="shared" si="127"/>
        <v>0</v>
      </c>
      <c r="T92" s="942"/>
      <c r="U92" s="941" t="e">
        <f t="shared" si="128"/>
        <v>#VALUE!</v>
      </c>
      <c r="V92" s="943" t="e">
        <f t="shared" si="147"/>
        <v>#VALUE!</v>
      </c>
      <c r="W92" s="888"/>
      <c r="X92" s="892"/>
      <c r="Y92" s="935">
        <f t="shared" si="129"/>
        <v>13.999170285828123</v>
      </c>
      <c r="Z92" s="935">
        <f t="shared" si="130"/>
        <v>32.749005692400203</v>
      </c>
      <c r="AA92" s="944"/>
      <c r="AB92" s="933" t="e">
        <f t="shared" si="131"/>
        <v>#VALUE!</v>
      </c>
      <c r="AC92" s="933" t="e">
        <f t="shared" si="132"/>
        <v>#VALUE!</v>
      </c>
      <c r="AD92" s="933" t="e">
        <f t="shared" si="133"/>
        <v>#VALUE!</v>
      </c>
      <c r="AE92" s="892"/>
      <c r="AF92" s="935">
        <f t="shared" si="134"/>
        <v>100.42726841075397</v>
      </c>
      <c r="AG92" s="935">
        <f t="shared" si="135"/>
        <v>37.229882674093169</v>
      </c>
      <c r="AH92" s="892"/>
      <c r="AI92" s="892"/>
      <c r="AJ92" s="945" t="e">
        <f t="shared" si="136"/>
        <v>#VALUE!</v>
      </c>
      <c r="AK92" s="933">
        <f t="shared" si="137"/>
        <v>0</v>
      </c>
      <c r="AL92" s="933" t="e">
        <f t="shared" si="138"/>
        <v>#VALUE!</v>
      </c>
      <c r="AM92" s="933" t="e">
        <f t="shared" si="139"/>
        <v>#VALUE!</v>
      </c>
      <c r="AN92" s="933" t="e">
        <f t="shared" si="140"/>
        <v>#VALUE!</v>
      </c>
      <c r="AO92" s="933" t="e">
        <f t="shared" si="141"/>
        <v>#VALUE!</v>
      </c>
      <c r="AP92" s="946" t="e">
        <f t="shared" si="142"/>
        <v>#VALUE!</v>
      </c>
      <c r="AQ92" s="888"/>
      <c r="AR92" s="941">
        <f t="shared" si="118"/>
        <v>0</v>
      </c>
      <c r="AS92" s="888"/>
      <c r="AT92" s="947">
        <f t="shared" si="116"/>
        <v>0</v>
      </c>
      <c r="AU92" s="948">
        <f t="shared" si="117"/>
        <v>0</v>
      </c>
      <c r="AV92" s="949" t="str">
        <f t="shared" si="82"/>
        <v/>
      </c>
      <c r="AW92" s="950">
        <f t="shared" si="143"/>
        <v>1.76</v>
      </c>
      <c r="AX92" s="951">
        <f t="shared" si="144"/>
        <v>0</v>
      </c>
      <c r="AY92" s="952">
        <f>VLOOKUP(A92,'Comm Price Out'!$A$8:$G$77,7,FALSE)</f>
        <v>1.8503377784629995</v>
      </c>
      <c r="AZ92" s="953">
        <f t="shared" si="145"/>
        <v>0</v>
      </c>
      <c r="BA92" s="954">
        <f t="shared" si="84"/>
        <v>5.1328283217613353E-2</v>
      </c>
      <c r="BC92" s="1158">
        <f t="shared" si="85"/>
        <v>0</v>
      </c>
      <c r="BD92" s="1158">
        <f t="shared" si="86"/>
        <v>0</v>
      </c>
    </row>
    <row r="93" spans="1:56">
      <c r="A93" s="931" t="str">
        <f>+'Comm Price Out'!A67</f>
        <v>96 Gal Toter Rent</v>
      </c>
      <c r="B93" s="1133">
        <f>+'Comm Price Out'!B67</f>
        <v>64.510890151515127</v>
      </c>
      <c r="C93" s="933">
        <f t="shared" ref="C93:C102" si="148">B93*$K$3</f>
        <v>65.631914168147588</v>
      </c>
      <c r="D93" s="957">
        <v>0</v>
      </c>
      <c r="E93" s="933">
        <f t="shared" si="67"/>
        <v>0</v>
      </c>
      <c r="F93" s="933">
        <f t="shared" ref="F93:F102" si="149">C93</f>
        <v>65.631914168147588</v>
      </c>
      <c r="G93" s="933">
        <f>F93*1.5</f>
        <v>98.447871252221375</v>
      </c>
      <c r="H93" s="934">
        <f>+'Comm Price Out'!D67</f>
        <v>1.76</v>
      </c>
      <c r="I93" s="935">
        <f t="shared" ref="I93:I102" si="150">B93*H93</f>
        <v>113.53916666666663</v>
      </c>
      <c r="J93" s="935">
        <f t="shared" ref="J93:J102" si="151">I93*12</f>
        <v>1362.4699999999996</v>
      </c>
      <c r="K93" s="935">
        <f t="shared" ref="K93:K102" si="152">J93*$K$3</f>
        <v>1386.1460272312772</v>
      </c>
      <c r="L93" s="936">
        <v>0</v>
      </c>
      <c r="M93" s="937">
        <f t="shared" ref="M93:M102" si="153">L93*$O$3</f>
        <v>0</v>
      </c>
      <c r="N93" s="938">
        <f t="shared" ref="N93:N102" si="154">ROUND(((C93*E93*L93)/2000),2)</f>
        <v>0</v>
      </c>
      <c r="O93" s="939">
        <f t="shared" ref="O93:O102" si="155">$O$3*N93</f>
        <v>0</v>
      </c>
      <c r="P93" s="888"/>
      <c r="Q93" s="936">
        <v>0</v>
      </c>
      <c r="R93" s="941">
        <f t="shared" ref="R93:R102" si="156">C93*E93*Q93/3600</f>
        <v>0</v>
      </c>
      <c r="S93" s="941">
        <f>R93*$S$3</f>
        <v>0</v>
      </c>
      <c r="T93" s="942"/>
      <c r="U93" s="941" t="e">
        <f t="shared" ref="U93:U102" si="157">($V$4-$S$5)*O93/($O$5-$O$8)</f>
        <v>#VALUE!</v>
      </c>
      <c r="V93" s="943" t="e">
        <f t="shared" si="147"/>
        <v>#VALUE!</v>
      </c>
      <c r="W93" s="888"/>
      <c r="X93" s="892"/>
      <c r="Y93" s="935">
        <f t="shared" ref="Y93:Y102" si="158">($Y$4*(I93)/(($I$6)+$I$7+$I$8+$I$9))</f>
        <v>162.70109647131471</v>
      </c>
      <c r="Z93" s="935">
        <f t="shared" ref="Z93:Z102" si="159">($Z$4*I93/($I$5-$I$8-$I$9))</f>
        <v>380.6153526036378</v>
      </c>
      <c r="AA93" s="944"/>
      <c r="AB93" s="933" t="e">
        <f t="shared" ref="AB93:AB102" si="160">$AB$4*V93/($V$4+$T$4)</f>
        <v>#VALUE!</v>
      </c>
      <c r="AC93" s="933" t="e">
        <f t="shared" ref="AC93:AC102" si="161">$AC$4*V93/($V$4+$T$4)</f>
        <v>#VALUE!</v>
      </c>
      <c r="AD93" s="933" t="e">
        <f t="shared" ref="AD93:AD102" si="162">$AD$4*V93/($V$4+$T$4)</f>
        <v>#VALUE!</v>
      </c>
      <c r="AE93" s="892"/>
      <c r="AF93" s="935">
        <f t="shared" ref="AF93:AF102" si="163">($AF$4*G93)/($G$7)</f>
        <v>1167.1853654491156</v>
      </c>
      <c r="AG93" s="935">
        <f t="shared" ref="AG93:AG102" si="164">($AG$4*G93)/($G$7+$G$6)</f>
        <v>432.69298171945456</v>
      </c>
      <c r="AH93" s="892"/>
      <c r="AI93" s="892"/>
      <c r="AJ93" s="945" t="e">
        <f t="shared" ref="AJ93:AJ102" si="165">SUM(X93:AI93)</f>
        <v>#VALUE!</v>
      </c>
      <c r="AK93" s="933">
        <f t="shared" ref="AK93:AK102" si="166">($AK$4*F93/($F$5))</f>
        <v>0</v>
      </c>
      <c r="AL93" s="933" t="e">
        <f t="shared" ref="AL93:AL102" si="167">$AL$4*O93/($O$5-$O$8)</f>
        <v>#VALUE!</v>
      </c>
      <c r="AM93" s="933" t="e">
        <f t="shared" ref="AM93:AM102" si="168">$AM$4*(K93+X93)/($K$5+$X$5)</f>
        <v>#VALUE!</v>
      </c>
      <c r="AN93" s="933" t="e">
        <f t="shared" ref="AN93:AN102" si="169">$AN$4*(K93+X93)/($K$5+$X$5)</f>
        <v>#VALUE!</v>
      </c>
      <c r="AO93" s="933" t="e">
        <f t="shared" ref="AO93:AO102" si="170">$AO$4*(K93+X93)/($K$5+$X$5)</f>
        <v>#VALUE!</v>
      </c>
      <c r="AP93" s="946" t="e">
        <f t="shared" ref="AP93:AP102" si="171">SUM(AJ93:AO93)</f>
        <v>#VALUE!</v>
      </c>
      <c r="AQ93" s="888"/>
      <c r="AR93" s="941">
        <f t="shared" ref="AR93:AR102" si="172">IF(ISERROR(AP93/C93/E93), 0,(AP93/C93/E93))</f>
        <v>0</v>
      </c>
      <c r="AS93" s="888"/>
      <c r="AT93" s="947">
        <f t="shared" ref="AT93:AT102" si="173">AR93/$AT$4</f>
        <v>0</v>
      </c>
      <c r="AU93" s="948">
        <f t="shared" ref="AU93:AU102" si="174">+AT93*C93*E93</f>
        <v>0</v>
      </c>
      <c r="AV93" s="949" t="str">
        <f t="shared" si="82"/>
        <v/>
      </c>
      <c r="AW93" s="950">
        <f t="shared" ref="AW93:AW102" si="175">H93</f>
        <v>1.76</v>
      </c>
      <c r="AX93" s="951">
        <f t="shared" ref="AX93:AX102" si="176">+AW93*C93*E93</f>
        <v>0</v>
      </c>
      <c r="AY93" s="952">
        <f>VLOOKUP(A93,'Comm Price Out'!$A$8:$G$77,7,FALSE)</f>
        <v>1.8503377784629995</v>
      </c>
      <c r="AZ93" s="953">
        <f t="shared" ref="AZ93:AZ102" si="177">+AY93*C93*E93</f>
        <v>0</v>
      </c>
      <c r="BA93" s="954">
        <f t="shared" si="84"/>
        <v>5.1328283217613353E-2</v>
      </c>
      <c r="BC93" s="1158">
        <f t="shared" si="85"/>
        <v>0</v>
      </c>
      <c r="BD93" s="1158">
        <f t="shared" si="86"/>
        <v>0</v>
      </c>
    </row>
    <row r="94" spans="1:56">
      <c r="A94" s="931" t="str">
        <f>+'Comm Price Out'!A68</f>
        <v>1 yd Rent</v>
      </c>
      <c r="B94" s="1133">
        <f>+'Comm Price Out'!B68</f>
        <v>16.569672131147538</v>
      </c>
      <c r="C94" s="933">
        <f t="shared" si="148"/>
        <v>16.857608018609568</v>
      </c>
      <c r="D94" s="957">
        <v>0</v>
      </c>
      <c r="E94" s="933">
        <f t="shared" si="67"/>
        <v>0</v>
      </c>
      <c r="F94" s="933">
        <f t="shared" si="149"/>
        <v>16.857608018609568</v>
      </c>
      <c r="G94" s="933">
        <f t="shared" si="146"/>
        <v>25.286412027914352</v>
      </c>
      <c r="H94" s="934">
        <f>+'Comm Price Out'!D68</f>
        <v>6.71</v>
      </c>
      <c r="I94" s="935">
        <f>B94*H94</f>
        <v>111.18249999999998</v>
      </c>
      <c r="J94" s="935">
        <f t="shared" si="151"/>
        <v>1334.1899999999996</v>
      </c>
      <c r="K94" s="935">
        <f t="shared" si="152"/>
        <v>1357.3745976584421</v>
      </c>
      <c r="L94" s="936">
        <v>0</v>
      </c>
      <c r="M94" s="937">
        <f t="shared" si="153"/>
        <v>0</v>
      </c>
      <c r="N94" s="938">
        <f t="shared" si="154"/>
        <v>0</v>
      </c>
      <c r="O94" s="939">
        <f t="shared" si="155"/>
        <v>0</v>
      </c>
      <c r="P94" s="888"/>
      <c r="Q94" s="936">
        <v>0</v>
      </c>
      <c r="R94" s="941">
        <f t="shared" si="156"/>
        <v>0</v>
      </c>
      <c r="S94" s="941">
        <f t="shared" ref="S94:S102" si="178">R94*$S$3</f>
        <v>0</v>
      </c>
      <c r="T94" s="942"/>
      <c r="U94" s="941" t="e">
        <f t="shared" si="157"/>
        <v>#VALUE!</v>
      </c>
      <c r="V94" s="943" t="e">
        <f t="shared" si="147"/>
        <v>#VALUE!</v>
      </c>
      <c r="W94" s="888"/>
      <c r="X94" s="892"/>
      <c r="Y94" s="935">
        <f t="shared" si="158"/>
        <v>159.32400412564198</v>
      </c>
      <c r="Z94" s="935">
        <f t="shared" si="159"/>
        <v>372.71514036290529</v>
      </c>
      <c r="AA94" s="944"/>
      <c r="AB94" s="933" t="e">
        <f t="shared" si="160"/>
        <v>#VALUE!</v>
      </c>
      <c r="AC94" s="933" t="e">
        <f t="shared" si="161"/>
        <v>#VALUE!</v>
      </c>
      <c r="AD94" s="933" t="e">
        <f t="shared" si="162"/>
        <v>#VALUE!</v>
      </c>
      <c r="AE94" s="892"/>
      <c r="AF94" s="935">
        <f t="shared" si="163"/>
        <v>299.79246568048239</v>
      </c>
      <c r="AG94" s="935">
        <f t="shared" si="164"/>
        <v>111.13752769030101</v>
      </c>
      <c r="AH94" s="892"/>
      <c r="AI94" s="892"/>
      <c r="AJ94" s="945" t="e">
        <f t="shared" si="165"/>
        <v>#VALUE!</v>
      </c>
      <c r="AK94" s="933">
        <f t="shared" si="166"/>
        <v>0</v>
      </c>
      <c r="AL94" s="933" t="e">
        <f t="shared" si="167"/>
        <v>#VALUE!</v>
      </c>
      <c r="AM94" s="933" t="e">
        <f t="shared" si="168"/>
        <v>#VALUE!</v>
      </c>
      <c r="AN94" s="933" t="e">
        <f t="shared" si="169"/>
        <v>#VALUE!</v>
      </c>
      <c r="AO94" s="933" t="e">
        <f t="shared" si="170"/>
        <v>#VALUE!</v>
      </c>
      <c r="AP94" s="946" t="e">
        <f t="shared" si="171"/>
        <v>#VALUE!</v>
      </c>
      <c r="AQ94" s="888"/>
      <c r="AR94" s="941">
        <f t="shared" si="172"/>
        <v>0</v>
      </c>
      <c r="AS94" s="888"/>
      <c r="AT94" s="947">
        <f t="shared" si="173"/>
        <v>0</v>
      </c>
      <c r="AU94" s="948">
        <f t="shared" si="174"/>
        <v>0</v>
      </c>
      <c r="AV94" s="949" t="str">
        <f t="shared" si="82"/>
        <v/>
      </c>
      <c r="AW94" s="950">
        <f t="shared" si="175"/>
        <v>6.71</v>
      </c>
      <c r="AX94" s="951">
        <f t="shared" si="176"/>
        <v>0</v>
      </c>
      <c r="AY94" s="952">
        <f>VLOOKUP(A94,'Comm Price Out'!$A$8:$G$77,7,FALSE)</f>
        <v>7.0544127803901855</v>
      </c>
      <c r="AZ94" s="953">
        <f t="shared" si="177"/>
        <v>0</v>
      </c>
      <c r="BA94" s="954">
        <f t="shared" si="84"/>
        <v>5.1328283217613339E-2</v>
      </c>
      <c r="BC94" s="1158">
        <f t="shared" si="85"/>
        <v>0</v>
      </c>
      <c r="BD94" s="1158">
        <f t="shared" si="86"/>
        <v>0</v>
      </c>
    </row>
    <row r="95" spans="1:56">
      <c r="A95" s="931" t="str">
        <f>+'Comm Price Out'!A69</f>
        <v>1.25 yd Rent</v>
      </c>
      <c r="B95" s="1133">
        <f>+'Comm Price Out'!B69</f>
        <v>15.086021505376344</v>
      </c>
      <c r="C95" s="933">
        <f t="shared" si="148"/>
        <v>15.348175575537837</v>
      </c>
      <c r="D95" s="957">
        <v>0</v>
      </c>
      <c r="E95" s="933">
        <f t="shared" si="67"/>
        <v>0</v>
      </c>
      <c r="F95" s="933">
        <f t="shared" si="149"/>
        <v>15.348175575537837</v>
      </c>
      <c r="G95" s="933">
        <f t="shared" si="146"/>
        <v>23.022263363306756</v>
      </c>
      <c r="H95" s="934">
        <f>+'Comm Price Out'!D69</f>
        <v>7.75</v>
      </c>
      <c r="I95" s="935">
        <f t="shared" si="150"/>
        <v>116.91666666666667</v>
      </c>
      <c r="J95" s="935">
        <f t="shared" si="151"/>
        <v>1403</v>
      </c>
      <c r="K95" s="935">
        <f t="shared" si="152"/>
        <v>1427.380328525019</v>
      </c>
      <c r="L95" s="936">
        <v>0</v>
      </c>
      <c r="M95" s="937">
        <f t="shared" si="153"/>
        <v>0</v>
      </c>
      <c r="N95" s="938">
        <f t="shared" si="154"/>
        <v>0</v>
      </c>
      <c r="O95" s="939">
        <f t="shared" si="155"/>
        <v>0</v>
      </c>
      <c r="P95" s="888"/>
      <c r="Q95" s="936">
        <v>0</v>
      </c>
      <c r="R95" s="941">
        <f t="shared" si="156"/>
        <v>0</v>
      </c>
      <c r="S95" s="941">
        <f t="shared" si="178"/>
        <v>0</v>
      </c>
      <c r="T95" s="942"/>
      <c r="U95" s="941" t="e">
        <f>($V$4-$S$5)*O95/($O$5-$O$8)</f>
        <v>#VALUE!</v>
      </c>
      <c r="V95" s="943" t="e">
        <f>U95+S95</f>
        <v>#VALUE!</v>
      </c>
      <c r="W95" s="888"/>
      <c r="X95" s="892"/>
      <c r="Y95" s="935">
        <f t="shared" si="158"/>
        <v>167.5410382241478</v>
      </c>
      <c r="Z95" s="935">
        <f t="shared" si="159"/>
        <v>391.93768648330172</v>
      </c>
      <c r="AA95" s="944"/>
      <c r="AB95" s="933" t="e">
        <f t="shared" si="160"/>
        <v>#VALUE!</v>
      </c>
      <c r="AC95" s="933" t="e">
        <f t="shared" si="161"/>
        <v>#VALUE!</v>
      </c>
      <c r="AD95" s="933" t="e">
        <f t="shared" si="162"/>
        <v>#VALUE!</v>
      </c>
      <c r="AE95" s="892"/>
      <c r="AF95" s="935">
        <f t="shared" si="163"/>
        <v>272.949008804095</v>
      </c>
      <c r="AG95" s="935">
        <f t="shared" si="164"/>
        <v>101.18625881791209</v>
      </c>
      <c r="AH95" s="892"/>
      <c r="AI95" s="892"/>
      <c r="AJ95" s="945" t="e">
        <f t="shared" si="165"/>
        <v>#VALUE!</v>
      </c>
      <c r="AK95" s="933">
        <f t="shared" si="166"/>
        <v>0</v>
      </c>
      <c r="AL95" s="933" t="e">
        <f t="shared" si="167"/>
        <v>#VALUE!</v>
      </c>
      <c r="AM95" s="933" t="e">
        <f t="shared" si="168"/>
        <v>#VALUE!</v>
      </c>
      <c r="AN95" s="933" t="e">
        <f t="shared" si="169"/>
        <v>#VALUE!</v>
      </c>
      <c r="AO95" s="933" t="e">
        <f t="shared" si="170"/>
        <v>#VALUE!</v>
      </c>
      <c r="AP95" s="946" t="e">
        <f t="shared" si="171"/>
        <v>#VALUE!</v>
      </c>
      <c r="AQ95" s="888"/>
      <c r="AR95" s="941">
        <f t="shared" si="172"/>
        <v>0</v>
      </c>
      <c r="AS95" s="888"/>
      <c r="AT95" s="947">
        <f t="shared" si="173"/>
        <v>0</v>
      </c>
      <c r="AU95" s="948">
        <f t="shared" si="174"/>
        <v>0</v>
      </c>
      <c r="AV95" s="949" t="str">
        <f t="shared" si="82"/>
        <v/>
      </c>
      <c r="AW95" s="950">
        <f t="shared" si="175"/>
        <v>7.75</v>
      </c>
      <c r="AX95" s="951">
        <f t="shared" si="176"/>
        <v>0</v>
      </c>
      <c r="AY95" s="952">
        <f>VLOOKUP(A95,'Comm Price Out'!$A$8:$G$77,7,FALSE)</f>
        <v>8.1477941949365036</v>
      </c>
      <c r="AZ95" s="953">
        <f t="shared" si="177"/>
        <v>0</v>
      </c>
      <c r="BA95" s="954">
        <f t="shared" si="84"/>
        <v>5.1328283217613367E-2</v>
      </c>
      <c r="BC95" s="1158">
        <f t="shared" si="85"/>
        <v>0</v>
      </c>
      <c r="BD95" s="1158">
        <f t="shared" si="86"/>
        <v>0</v>
      </c>
    </row>
    <row r="96" spans="1:56">
      <c r="A96" s="931" t="str">
        <f>+'Comm Price Out'!A70</f>
        <v>1.5 yd Rent</v>
      </c>
      <c r="B96" s="1133">
        <f>+'Comm Price Out'!B70</f>
        <v>0</v>
      </c>
      <c r="C96" s="933">
        <f t="shared" si="148"/>
        <v>0</v>
      </c>
      <c r="D96" s="957">
        <v>0</v>
      </c>
      <c r="E96" s="933">
        <f t="shared" si="67"/>
        <v>0</v>
      </c>
      <c r="F96" s="933">
        <f t="shared" si="149"/>
        <v>0</v>
      </c>
      <c r="G96" s="933">
        <f t="shared" si="146"/>
        <v>0</v>
      </c>
      <c r="H96" s="934">
        <f>+'Comm Price Out'!D70</f>
        <v>0</v>
      </c>
      <c r="I96" s="935">
        <f t="shared" si="150"/>
        <v>0</v>
      </c>
      <c r="J96" s="935">
        <f t="shared" si="151"/>
        <v>0</v>
      </c>
      <c r="K96" s="935">
        <f t="shared" si="152"/>
        <v>0</v>
      </c>
      <c r="L96" s="936">
        <v>0</v>
      </c>
      <c r="M96" s="937">
        <f t="shared" si="153"/>
        <v>0</v>
      </c>
      <c r="N96" s="938">
        <f t="shared" si="154"/>
        <v>0</v>
      </c>
      <c r="O96" s="939">
        <f t="shared" si="155"/>
        <v>0</v>
      </c>
      <c r="P96" s="888"/>
      <c r="Q96" s="936">
        <v>0</v>
      </c>
      <c r="R96" s="941">
        <f t="shared" si="156"/>
        <v>0</v>
      </c>
      <c r="S96" s="941">
        <f t="shared" si="178"/>
        <v>0</v>
      </c>
      <c r="T96" s="942"/>
      <c r="U96" s="941" t="e">
        <f t="shared" si="157"/>
        <v>#VALUE!</v>
      </c>
      <c r="V96" s="943" t="e">
        <f t="shared" si="147"/>
        <v>#VALUE!</v>
      </c>
      <c r="W96" s="888"/>
      <c r="X96" s="892"/>
      <c r="Y96" s="935">
        <f t="shared" si="158"/>
        <v>0</v>
      </c>
      <c r="Z96" s="935">
        <f t="shared" si="159"/>
        <v>0</v>
      </c>
      <c r="AA96" s="944"/>
      <c r="AB96" s="933" t="e">
        <f t="shared" si="160"/>
        <v>#VALUE!</v>
      </c>
      <c r="AC96" s="933" t="e">
        <f t="shared" si="161"/>
        <v>#VALUE!</v>
      </c>
      <c r="AD96" s="933" t="e">
        <f t="shared" si="162"/>
        <v>#VALUE!</v>
      </c>
      <c r="AE96" s="892"/>
      <c r="AF96" s="935">
        <f t="shared" si="163"/>
        <v>0</v>
      </c>
      <c r="AG96" s="935">
        <f t="shared" si="164"/>
        <v>0</v>
      </c>
      <c r="AH96" s="892"/>
      <c r="AI96" s="892"/>
      <c r="AJ96" s="945" t="e">
        <f t="shared" si="165"/>
        <v>#VALUE!</v>
      </c>
      <c r="AK96" s="933">
        <f t="shared" si="166"/>
        <v>0</v>
      </c>
      <c r="AL96" s="933" t="e">
        <f t="shared" si="167"/>
        <v>#VALUE!</v>
      </c>
      <c r="AM96" s="933" t="e">
        <f t="shared" si="168"/>
        <v>#VALUE!</v>
      </c>
      <c r="AN96" s="933" t="e">
        <f t="shared" si="169"/>
        <v>#VALUE!</v>
      </c>
      <c r="AO96" s="933" t="e">
        <f t="shared" si="170"/>
        <v>#VALUE!</v>
      </c>
      <c r="AP96" s="946" t="e">
        <f t="shared" si="171"/>
        <v>#VALUE!</v>
      </c>
      <c r="AQ96" s="888"/>
      <c r="AR96" s="941">
        <f t="shared" si="172"/>
        <v>0</v>
      </c>
      <c r="AS96" s="888"/>
      <c r="AT96" s="947">
        <f t="shared" si="173"/>
        <v>0</v>
      </c>
      <c r="AU96" s="948">
        <f t="shared" si="174"/>
        <v>0</v>
      </c>
      <c r="AV96" s="949" t="str">
        <f t="shared" si="82"/>
        <v/>
      </c>
      <c r="AW96" s="950">
        <f t="shared" si="175"/>
        <v>0</v>
      </c>
      <c r="AX96" s="951">
        <f t="shared" si="176"/>
        <v>0</v>
      </c>
      <c r="AY96" s="952">
        <f>VLOOKUP(A96,'Comm Price Out'!$A$8:$G$77,7,FALSE)</f>
        <v>0</v>
      </c>
      <c r="AZ96" s="953">
        <f t="shared" si="177"/>
        <v>0</v>
      </c>
      <c r="BA96" s="954" t="str">
        <f t="shared" si="84"/>
        <v/>
      </c>
      <c r="BC96" s="1158">
        <f t="shared" si="85"/>
        <v>0</v>
      </c>
      <c r="BD96" s="1158">
        <f t="shared" si="86"/>
        <v>0</v>
      </c>
    </row>
    <row r="97" spans="1:58">
      <c r="A97" s="931" t="str">
        <f>+'Comm Price Out'!A71</f>
        <v>2 yd Rent</v>
      </c>
      <c r="B97" s="1133">
        <f>+'Comm Price Out'!B71</f>
        <v>41.149231950844836</v>
      </c>
      <c r="C97" s="933">
        <f t="shared" si="148"/>
        <v>41.864293813648686</v>
      </c>
      <c r="D97" s="957">
        <v>0</v>
      </c>
      <c r="E97" s="933">
        <f t="shared" si="67"/>
        <v>0</v>
      </c>
      <c r="F97" s="933">
        <f t="shared" si="149"/>
        <v>41.864293813648686</v>
      </c>
      <c r="G97" s="933">
        <f t="shared" si="146"/>
        <v>62.796440720473029</v>
      </c>
      <c r="H97" s="934">
        <f>+'Comm Price Out'!D71</f>
        <v>10.85</v>
      </c>
      <c r="I97" s="935">
        <f t="shared" si="150"/>
        <v>446.46916666666647</v>
      </c>
      <c r="J97" s="935">
        <f t="shared" si="151"/>
        <v>5357.6299999999974</v>
      </c>
      <c r="K97" s="935">
        <f t="shared" si="152"/>
        <v>5450.7310545370583</v>
      </c>
      <c r="L97" s="936">
        <v>0</v>
      </c>
      <c r="M97" s="937">
        <f t="shared" si="153"/>
        <v>0</v>
      </c>
      <c r="N97" s="938">
        <f t="shared" si="154"/>
        <v>0</v>
      </c>
      <c r="O97" s="939">
        <f t="shared" si="155"/>
        <v>0</v>
      </c>
      <c r="P97" s="888"/>
      <c r="Q97" s="936">
        <v>0</v>
      </c>
      <c r="R97" s="941">
        <f t="shared" si="156"/>
        <v>0</v>
      </c>
      <c r="S97" s="941">
        <f t="shared" si="178"/>
        <v>0</v>
      </c>
      <c r="T97" s="942"/>
      <c r="U97" s="941" t="e">
        <f t="shared" si="157"/>
        <v>#VALUE!</v>
      </c>
      <c r="V97" s="943" t="e">
        <f t="shared" si="147"/>
        <v>#VALUE!</v>
      </c>
      <c r="W97" s="888"/>
      <c r="X97" s="892"/>
      <c r="Y97" s="935">
        <f t="shared" si="158"/>
        <v>639.78823422725623</v>
      </c>
      <c r="Z97" s="935">
        <f t="shared" si="159"/>
        <v>1496.6907392968856</v>
      </c>
      <c r="AA97" s="944"/>
      <c r="AB97" s="933" t="e">
        <f t="shared" si="160"/>
        <v>#VALUE!</v>
      </c>
      <c r="AC97" s="933" t="e">
        <f t="shared" si="161"/>
        <v>#VALUE!</v>
      </c>
      <c r="AD97" s="933" t="e">
        <f t="shared" si="162"/>
        <v>#VALUE!</v>
      </c>
      <c r="AE97" s="892"/>
      <c r="AF97" s="935">
        <f t="shared" si="163"/>
        <v>744.50656656098295</v>
      </c>
      <c r="AG97" s="935">
        <f t="shared" si="164"/>
        <v>275.99966186264646</v>
      </c>
      <c r="AH97" s="892"/>
      <c r="AI97" s="892"/>
      <c r="AJ97" s="945" t="e">
        <f t="shared" si="165"/>
        <v>#VALUE!</v>
      </c>
      <c r="AK97" s="933">
        <f t="shared" si="166"/>
        <v>0</v>
      </c>
      <c r="AL97" s="933" t="e">
        <f t="shared" si="167"/>
        <v>#VALUE!</v>
      </c>
      <c r="AM97" s="933" t="e">
        <f t="shared" si="168"/>
        <v>#VALUE!</v>
      </c>
      <c r="AN97" s="933" t="e">
        <f t="shared" si="169"/>
        <v>#VALUE!</v>
      </c>
      <c r="AO97" s="933" t="e">
        <f t="shared" si="170"/>
        <v>#VALUE!</v>
      </c>
      <c r="AP97" s="946" t="e">
        <f t="shared" si="171"/>
        <v>#VALUE!</v>
      </c>
      <c r="AQ97" s="888"/>
      <c r="AR97" s="941">
        <f t="shared" si="172"/>
        <v>0</v>
      </c>
      <c r="AS97" s="888"/>
      <c r="AT97" s="947">
        <f t="shared" si="173"/>
        <v>0</v>
      </c>
      <c r="AU97" s="948">
        <f t="shared" si="174"/>
        <v>0</v>
      </c>
      <c r="AV97" s="949" t="str">
        <f t="shared" si="82"/>
        <v/>
      </c>
      <c r="AW97" s="950">
        <f t="shared" si="175"/>
        <v>10.85</v>
      </c>
      <c r="AX97" s="951">
        <f t="shared" si="176"/>
        <v>0</v>
      </c>
      <c r="AY97" s="952">
        <f>VLOOKUP(A97,'Comm Price Out'!$A$8:$G$77,7,FALSE)</f>
        <v>11.406911872911104</v>
      </c>
      <c r="AZ97" s="953">
        <f t="shared" si="177"/>
        <v>0</v>
      </c>
      <c r="BA97" s="954">
        <f t="shared" si="84"/>
        <v>5.1328283217613332E-2</v>
      </c>
      <c r="BC97" s="1158">
        <f t="shared" si="85"/>
        <v>0</v>
      </c>
      <c r="BD97" s="1158">
        <f t="shared" si="86"/>
        <v>0</v>
      </c>
    </row>
    <row r="98" spans="1:58">
      <c r="A98" s="931" t="str">
        <f>+'Comm Price Out'!A72</f>
        <v>3 yd Rent</v>
      </c>
      <c r="B98" s="1133">
        <f>+'Comm Price Out'!B72</f>
        <v>21.7795358649789</v>
      </c>
      <c r="C98" s="933">
        <f t="shared" si="148"/>
        <v>22.158005030702789</v>
      </c>
      <c r="D98" s="957">
        <v>0</v>
      </c>
      <c r="E98" s="933">
        <f t="shared" si="67"/>
        <v>0</v>
      </c>
      <c r="F98" s="933">
        <f t="shared" si="149"/>
        <v>22.158005030702789</v>
      </c>
      <c r="G98" s="933">
        <f t="shared" si="146"/>
        <v>33.237007546054187</v>
      </c>
      <c r="H98" s="934">
        <f>+'Comm Price Out'!D72</f>
        <v>13.43</v>
      </c>
      <c r="I98" s="935">
        <f t="shared" si="150"/>
        <v>292.49916666666661</v>
      </c>
      <c r="J98" s="935">
        <f t="shared" si="151"/>
        <v>3509.9899999999993</v>
      </c>
      <c r="K98" s="935">
        <f t="shared" si="152"/>
        <v>3570.9840907480616</v>
      </c>
      <c r="L98" s="936">
        <v>0</v>
      </c>
      <c r="M98" s="937">
        <f t="shared" si="153"/>
        <v>0</v>
      </c>
      <c r="N98" s="938">
        <f t="shared" si="154"/>
        <v>0</v>
      </c>
      <c r="O98" s="939">
        <f t="shared" si="155"/>
        <v>0</v>
      </c>
      <c r="P98" s="888"/>
      <c r="Q98" s="936">
        <v>0</v>
      </c>
      <c r="R98" s="941">
        <f t="shared" si="156"/>
        <v>0</v>
      </c>
      <c r="S98" s="941">
        <f t="shared" si="178"/>
        <v>0</v>
      </c>
      <c r="T98" s="942"/>
      <c r="U98" s="941" t="e">
        <f t="shared" si="157"/>
        <v>#VALUE!</v>
      </c>
      <c r="V98" s="943" t="e">
        <f t="shared" si="147"/>
        <v>#VALUE!</v>
      </c>
      <c r="W98" s="888"/>
      <c r="X98" s="892"/>
      <c r="Y98" s="935">
        <f t="shared" si="158"/>
        <v>419.14994209292684</v>
      </c>
      <c r="Z98" s="935">
        <f t="shared" si="159"/>
        <v>980.53981481077949</v>
      </c>
      <c r="AA98" s="944"/>
      <c r="AB98" s="933" t="e">
        <f t="shared" si="160"/>
        <v>#VALUE!</v>
      </c>
      <c r="AC98" s="933" t="e">
        <f t="shared" si="161"/>
        <v>#VALUE!</v>
      </c>
      <c r="AD98" s="933" t="e">
        <f t="shared" si="162"/>
        <v>#VALUE!</v>
      </c>
      <c r="AE98" s="892"/>
      <c r="AF98" s="935">
        <f t="shared" si="163"/>
        <v>394.05370888810285</v>
      </c>
      <c r="AG98" s="935">
        <f t="shared" si="164"/>
        <v>146.08157307626595</v>
      </c>
      <c r="AH98" s="892"/>
      <c r="AI98" s="892"/>
      <c r="AJ98" s="945" t="e">
        <f t="shared" si="165"/>
        <v>#VALUE!</v>
      </c>
      <c r="AK98" s="933">
        <f t="shared" si="166"/>
        <v>0</v>
      </c>
      <c r="AL98" s="933" t="e">
        <f t="shared" si="167"/>
        <v>#VALUE!</v>
      </c>
      <c r="AM98" s="933" t="e">
        <f t="shared" si="168"/>
        <v>#VALUE!</v>
      </c>
      <c r="AN98" s="933" t="e">
        <f t="shared" si="169"/>
        <v>#VALUE!</v>
      </c>
      <c r="AO98" s="933" t="e">
        <f t="shared" si="170"/>
        <v>#VALUE!</v>
      </c>
      <c r="AP98" s="946" t="e">
        <f t="shared" si="171"/>
        <v>#VALUE!</v>
      </c>
      <c r="AQ98" s="888"/>
      <c r="AR98" s="941">
        <f t="shared" si="172"/>
        <v>0</v>
      </c>
      <c r="AS98" s="888"/>
      <c r="AT98" s="947">
        <f t="shared" si="173"/>
        <v>0</v>
      </c>
      <c r="AU98" s="948">
        <f t="shared" si="174"/>
        <v>0</v>
      </c>
      <c r="AV98" s="949" t="str">
        <f t="shared" si="82"/>
        <v/>
      </c>
      <c r="AW98" s="950">
        <f t="shared" si="175"/>
        <v>13.43</v>
      </c>
      <c r="AX98" s="951">
        <f t="shared" si="176"/>
        <v>0</v>
      </c>
      <c r="AY98" s="952">
        <f>VLOOKUP(A98,'Comm Price Out'!$A$8:$G$77,7,FALSE)</f>
        <v>14.119338843612548</v>
      </c>
      <c r="AZ98" s="953">
        <f t="shared" si="177"/>
        <v>0</v>
      </c>
      <c r="BA98" s="954">
        <f t="shared" si="84"/>
        <v>5.1328283217613409E-2</v>
      </c>
      <c r="BC98" s="1158">
        <f t="shared" si="85"/>
        <v>0</v>
      </c>
      <c r="BD98" s="1158">
        <f t="shared" si="86"/>
        <v>0</v>
      </c>
    </row>
    <row r="99" spans="1:58">
      <c r="A99" s="931" t="str">
        <f>+'Comm Price Out'!A73</f>
        <v>4 yd Rent</v>
      </c>
      <c r="B99" s="1133">
        <f>+'Comm Price Out'!B73</f>
        <v>48.995680227471546</v>
      </c>
      <c r="C99" s="933">
        <f t="shared" si="148"/>
        <v>49.847092045185391</v>
      </c>
      <c r="D99" s="957">
        <v>0</v>
      </c>
      <c r="E99" s="933">
        <f>D99*$E$1</f>
        <v>0</v>
      </c>
      <c r="F99" s="933">
        <f t="shared" si="149"/>
        <v>49.847092045185391</v>
      </c>
      <c r="G99" s="933">
        <f t="shared" si="146"/>
        <v>74.770638067778094</v>
      </c>
      <c r="H99" s="934">
        <f>+'Comm Price Out'!D73</f>
        <v>15.24</v>
      </c>
      <c r="I99" s="935">
        <f t="shared" si="150"/>
        <v>746.69416666666632</v>
      </c>
      <c r="J99" s="935">
        <f t="shared" si="151"/>
        <v>8960.3299999999963</v>
      </c>
      <c r="K99" s="935">
        <f t="shared" si="152"/>
        <v>9116.0361932235046</v>
      </c>
      <c r="L99" s="936">
        <v>0</v>
      </c>
      <c r="M99" s="937">
        <f t="shared" si="153"/>
        <v>0</v>
      </c>
      <c r="N99" s="938">
        <f t="shared" si="154"/>
        <v>0</v>
      </c>
      <c r="O99" s="939">
        <f t="shared" si="155"/>
        <v>0</v>
      </c>
      <c r="P99" s="888"/>
      <c r="Q99" s="936">
        <v>0</v>
      </c>
      <c r="R99" s="941">
        <f t="shared" si="156"/>
        <v>0</v>
      </c>
      <c r="S99" s="941">
        <f t="shared" si="178"/>
        <v>0</v>
      </c>
      <c r="T99" s="942"/>
      <c r="U99" s="941" t="e">
        <f t="shared" si="157"/>
        <v>#VALUE!</v>
      </c>
      <c r="V99" s="943" t="e">
        <f t="shared" si="147"/>
        <v>#VALUE!</v>
      </c>
      <c r="W99" s="888"/>
      <c r="X99" s="892"/>
      <c r="Y99" s="935">
        <f t="shared" si="158"/>
        <v>1070.0092594661278</v>
      </c>
      <c r="Z99" s="935">
        <f t="shared" si="159"/>
        <v>2503.1297293848334</v>
      </c>
      <c r="AA99" s="944"/>
      <c r="AB99" s="933" t="e">
        <f t="shared" si="160"/>
        <v>#VALUE!</v>
      </c>
      <c r="AC99" s="933" t="e">
        <f t="shared" si="161"/>
        <v>#VALUE!</v>
      </c>
      <c r="AD99" s="933" t="e">
        <f t="shared" si="162"/>
        <v>#VALUE!</v>
      </c>
      <c r="AE99" s="892"/>
      <c r="AF99" s="935">
        <f t="shared" si="163"/>
        <v>886.47111824709907</v>
      </c>
      <c r="AG99" s="935">
        <f t="shared" si="164"/>
        <v>328.62803348714414</v>
      </c>
      <c r="AH99" s="892"/>
      <c r="AI99" s="892"/>
      <c r="AJ99" s="945" t="e">
        <f t="shared" si="165"/>
        <v>#VALUE!</v>
      </c>
      <c r="AK99" s="933">
        <f t="shared" si="166"/>
        <v>0</v>
      </c>
      <c r="AL99" s="933" t="e">
        <f t="shared" si="167"/>
        <v>#VALUE!</v>
      </c>
      <c r="AM99" s="933" t="e">
        <f t="shared" si="168"/>
        <v>#VALUE!</v>
      </c>
      <c r="AN99" s="933" t="e">
        <f t="shared" si="169"/>
        <v>#VALUE!</v>
      </c>
      <c r="AO99" s="933" t="e">
        <f t="shared" si="170"/>
        <v>#VALUE!</v>
      </c>
      <c r="AP99" s="946" t="e">
        <f t="shared" si="171"/>
        <v>#VALUE!</v>
      </c>
      <c r="AQ99" s="888"/>
      <c r="AR99" s="941">
        <f t="shared" si="172"/>
        <v>0</v>
      </c>
      <c r="AS99" s="888"/>
      <c r="AT99" s="947">
        <f t="shared" si="173"/>
        <v>0</v>
      </c>
      <c r="AU99" s="948">
        <f t="shared" si="174"/>
        <v>0</v>
      </c>
      <c r="AV99" s="949" t="str">
        <f>IF(AT99=0,"",(+AT99-AW99)/AW99)</f>
        <v/>
      </c>
      <c r="AW99" s="950">
        <f t="shared" si="175"/>
        <v>15.24</v>
      </c>
      <c r="AX99" s="951">
        <f t="shared" si="176"/>
        <v>0</v>
      </c>
      <c r="AY99" s="952">
        <f>VLOOKUP(A99,'Comm Price Out'!$A$8:$G$77,7,FALSE)</f>
        <v>16.022243036236429</v>
      </c>
      <c r="AZ99" s="953">
        <f t="shared" si="177"/>
        <v>0</v>
      </c>
      <c r="BA99" s="954">
        <f>IF(AW99=0,"",(+AY99-AW99)/AW99)</f>
        <v>5.1328283217613409E-2</v>
      </c>
      <c r="BC99" s="1158">
        <f>+AU99-AX99</f>
        <v>0</v>
      </c>
      <c r="BD99" s="1158">
        <f>+AU99-AZ99</f>
        <v>0</v>
      </c>
    </row>
    <row r="100" spans="1:58">
      <c r="A100" s="931" t="str">
        <f>+'Comm Price Out'!A74</f>
        <v>6 yd Rent</v>
      </c>
      <c r="B100" s="1133">
        <f>+'Comm Price Out'!B74</f>
        <v>24.70413550373955</v>
      </c>
      <c r="C100" s="933">
        <f t="shared" si="148"/>
        <v>25.133426266040157</v>
      </c>
      <c r="D100" s="957">
        <v>0</v>
      </c>
      <c r="E100" s="933">
        <f>D100*$E$1</f>
        <v>0</v>
      </c>
      <c r="F100" s="933">
        <f t="shared" si="149"/>
        <v>25.133426266040157</v>
      </c>
      <c r="G100" s="933">
        <f t="shared" si="146"/>
        <v>37.700139399060234</v>
      </c>
      <c r="H100" s="934">
        <f>+'Comm Price Out'!D74</f>
        <v>22.73</v>
      </c>
      <c r="I100" s="935">
        <f t="shared" si="150"/>
        <v>561.52499999999998</v>
      </c>
      <c r="J100" s="935">
        <f t="shared" si="151"/>
        <v>6738.2999999999993</v>
      </c>
      <c r="K100" s="935">
        <f t="shared" si="152"/>
        <v>6855.393348325113</v>
      </c>
      <c r="L100" s="936">
        <v>0</v>
      </c>
      <c r="M100" s="937">
        <f t="shared" si="153"/>
        <v>0</v>
      </c>
      <c r="N100" s="938">
        <f t="shared" si="154"/>
        <v>0</v>
      </c>
      <c r="O100" s="939">
        <f t="shared" si="155"/>
        <v>0</v>
      </c>
      <c r="P100" s="888"/>
      <c r="Q100" s="936">
        <v>0</v>
      </c>
      <c r="R100" s="941">
        <f t="shared" si="156"/>
        <v>0</v>
      </c>
      <c r="S100" s="941">
        <f t="shared" si="178"/>
        <v>0</v>
      </c>
      <c r="T100" s="942"/>
      <c r="U100" s="941" t="e">
        <f t="shared" si="157"/>
        <v>#VALUE!</v>
      </c>
      <c r="V100" s="943" t="e">
        <f t="shared" si="147"/>
        <v>#VALUE!</v>
      </c>
      <c r="W100" s="888"/>
      <c r="X100" s="892"/>
      <c r="Y100" s="935">
        <f t="shared" si="158"/>
        <v>804.66270696063793</v>
      </c>
      <c r="Z100" s="935">
        <f t="shared" si="159"/>
        <v>1882.3903869069363</v>
      </c>
      <c r="AA100" s="944"/>
      <c r="AB100" s="933" t="e">
        <f t="shared" si="160"/>
        <v>#VALUE!</v>
      </c>
      <c r="AC100" s="933" t="e">
        <f t="shared" si="161"/>
        <v>#VALUE!</v>
      </c>
      <c r="AD100" s="933" t="e">
        <f t="shared" si="162"/>
        <v>#VALUE!</v>
      </c>
      <c r="AE100" s="892"/>
      <c r="AF100" s="935">
        <f t="shared" si="163"/>
        <v>446.9680290926741</v>
      </c>
      <c r="AG100" s="935">
        <f t="shared" si="164"/>
        <v>165.69769889717531</v>
      </c>
      <c r="AH100" s="892"/>
      <c r="AI100" s="892"/>
      <c r="AJ100" s="945" t="e">
        <f t="shared" si="165"/>
        <v>#VALUE!</v>
      </c>
      <c r="AK100" s="933">
        <f t="shared" si="166"/>
        <v>0</v>
      </c>
      <c r="AL100" s="933" t="e">
        <f t="shared" si="167"/>
        <v>#VALUE!</v>
      </c>
      <c r="AM100" s="933" t="e">
        <f t="shared" si="168"/>
        <v>#VALUE!</v>
      </c>
      <c r="AN100" s="933" t="e">
        <f t="shared" si="169"/>
        <v>#VALUE!</v>
      </c>
      <c r="AO100" s="933" t="e">
        <f t="shared" si="170"/>
        <v>#VALUE!</v>
      </c>
      <c r="AP100" s="946" t="e">
        <f t="shared" si="171"/>
        <v>#VALUE!</v>
      </c>
      <c r="AQ100" s="888"/>
      <c r="AR100" s="941">
        <f t="shared" si="172"/>
        <v>0</v>
      </c>
      <c r="AS100" s="888"/>
      <c r="AT100" s="947">
        <f t="shared" si="173"/>
        <v>0</v>
      </c>
      <c r="AU100" s="948">
        <f t="shared" si="174"/>
        <v>0</v>
      </c>
      <c r="AV100" s="949" t="str">
        <f>IF(AT100=0,"",(+AT100-AW100)/AW100)</f>
        <v/>
      </c>
      <c r="AW100" s="950">
        <f t="shared" si="175"/>
        <v>22.73</v>
      </c>
      <c r="AX100" s="951">
        <f t="shared" si="176"/>
        <v>0</v>
      </c>
      <c r="AY100" s="952">
        <f>VLOOKUP(A100,'Comm Price Out'!$A$8:$G$77,7,FALSE)</f>
        <v>23.896691877536352</v>
      </c>
      <c r="AZ100" s="953">
        <f t="shared" si="177"/>
        <v>0</v>
      </c>
      <c r="BA100" s="954">
        <f>IF(AW100=0,"",(+AY100-AW100)/AW100)</f>
        <v>5.1328283217613339E-2</v>
      </c>
      <c r="BC100" s="1158">
        <f>+AU100-AX100</f>
        <v>0</v>
      </c>
      <c r="BD100" s="1158">
        <f>+AU100-AZ100</f>
        <v>0</v>
      </c>
    </row>
    <row r="101" spans="1:58">
      <c r="A101" s="931" t="str">
        <f>+'Comm Price Out'!A75</f>
        <v>8 yd Rent</v>
      </c>
      <c r="B101" s="1133">
        <f>+'Comm Price Out'!B75</f>
        <v>13.919408955994321</v>
      </c>
      <c r="C101" s="933">
        <f t="shared" si="148"/>
        <v>14.161290469338036</v>
      </c>
      <c r="D101" s="957">
        <v>0</v>
      </c>
      <c r="E101" s="933">
        <f>D101*$E$1</f>
        <v>0</v>
      </c>
      <c r="F101" s="933">
        <f t="shared" si="149"/>
        <v>14.161290469338036</v>
      </c>
      <c r="G101" s="933">
        <f t="shared" si="146"/>
        <v>21.241935704007055</v>
      </c>
      <c r="H101" s="934">
        <f>+'Comm Price Out'!D75</f>
        <v>25.83</v>
      </c>
      <c r="I101" s="935">
        <f t="shared" si="150"/>
        <v>359.5383333333333</v>
      </c>
      <c r="J101" s="935">
        <f t="shared" si="151"/>
        <v>4314.4599999999991</v>
      </c>
      <c r="K101" s="935">
        <f t="shared" si="152"/>
        <v>4389.4335938760169</v>
      </c>
      <c r="L101" s="936">
        <v>0</v>
      </c>
      <c r="M101" s="937">
        <f t="shared" si="153"/>
        <v>0</v>
      </c>
      <c r="N101" s="938">
        <f t="shared" si="154"/>
        <v>0</v>
      </c>
      <c r="O101" s="939">
        <f t="shared" si="155"/>
        <v>0</v>
      </c>
      <c r="P101" s="888"/>
      <c r="Q101" s="936">
        <v>0</v>
      </c>
      <c r="R101" s="941">
        <f t="shared" si="156"/>
        <v>0</v>
      </c>
      <c r="S101" s="941">
        <f t="shared" si="178"/>
        <v>0</v>
      </c>
      <c r="T101" s="942"/>
      <c r="U101" s="941" t="e">
        <f t="shared" si="157"/>
        <v>#VALUE!</v>
      </c>
      <c r="V101" s="943" t="e">
        <f t="shared" si="147"/>
        <v>#VALUE!</v>
      </c>
      <c r="W101" s="888"/>
      <c r="X101" s="892"/>
      <c r="Y101" s="935">
        <f t="shared" si="158"/>
        <v>515.21675536461623</v>
      </c>
      <c r="Z101" s="935">
        <f t="shared" si="159"/>
        <v>1205.2740348002465</v>
      </c>
      <c r="AA101" s="944"/>
      <c r="AB101" s="933" t="e">
        <f t="shared" si="160"/>
        <v>#VALUE!</v>
      </c>
      <c r="AC101" s="933" t="e">
        <f t="shared" si="161"/>
        <v>#VALUE!</v>
      </c>
      <c r="AD101" s="933" t="e">
        <f t="shared" si="162"/>
        <v>#VALUE!</v>
      </c>
      <c r="AE101" s="892"/>
      <c r="AF101" s="935">
        <f t="shared" si="163"/>
        <v>251.84167186315526</v>
      </c>
      <c r="AG101" s="935">
        <f t="shared" si="164"/>
        <v>93.361454954287424</v>
      </c>
      <c r="AH101" s="892"/>
      <c r="AI101" s="892"/>
      <c r="AJ101" s="945" t="e">
        <f t="shared" si="165"/>
        <v>#VALUE!</v>
      </c>
      <c r="AK101" s="933">
        <f t="shared" si="166"/>
        <v>0</v>
      </c>
      <c r="AL101" s="933" t="e">
        <f t="shared" si="167"/>
        <v>#VALUE!</v>
      </c>
      <c r="AM101" s="933" t="e">
        <f t="shared" si="168"/>
        <v>#VALUE!</v>
      </c>
      <c r="AN101" s="933" t="e">
        <f t="shared" si="169"/>
        <v>#VALUE!</v>
      </c>
      <c r="AO101" s="933" t="e">
        <f t="shared" si="170"/>
        <v>#VALUE!</v>
      </c>
      <c r="AP101" s="946" t="e">
        <f t="shared" si="171"/>
        <v>#VALUE!</v>
      </c>
      <c r="AQ101" s="888"/>
      <c r="AR101" s="941">
        <f t="shared" si="172"/>
        <v>0</v>
      </c>
      <c r="AS101" s="888"/>
      <c r="AT101" s="947">
        <f t="shared" si="173"/>
        <v>0</v>
      </c>
      <c r="AU101" s="948">
        <f t="shared" si="174"/>
        <v>0</v>
      </c>
      <c r="AV101" s="949" t="str">
        <f>IF(AT101=0,"",(+AT101-AW101)/AW101)</f>
        <v/>
      </c>
      <c r="AW101" s="950">
        <f t="shared" si="175"/>
        <v>25.83</v>
      </c>
      <c r="AX101" s="951">
        <f t="shared" si="176"/>
        <v>0</v>
      </c>
      <c r="AY101" s="952">
        <f>VLOOKUP(A101,'Comm Price Out'!$A$8:$G$77,7,FALSE)</f>
        <v>27.155809555510952</v>
      </c>
      <c r="AZ101" s="953">
        <f t="shared" si="177"/>
        <v>0</v>
      </c>
      <c r="BA101" s="954">
        <f>IF(AW101=0,"",(+AY101-AW101)/AW101)</f>
        <v>5.1328283217613402E-2</v>
      </c>
      <c r="BC101" s="1158">
        <f>+AU101-AX101</f>
        <v>0</v>
      </c>
      <c r="BD101" s="1158">
        <f>+AU101-AZ101</f>
        <v>0</v>
      </c>
    </row>
    <row r="102" spans="1:58">
      <c r="A102" s="931" t="str">
        <f>+'Comm Price Out'!A76</f>
        <v>Extras</v>
      </c>
      <c r="B102" s="1133">
        <f>+'Comm Price Out'!B76</f>
        <v>0</v>
      </c>
      <c r="C102" s="933">
        <f t="shared" si="148"/>
        <v>0</v>
      </c>
      <c r="D102" s="957">
        <v>0</v>
      </c>
      <c r="E102" s="933">
        <f>D102*$E$1</f>
        <v>0</v>
      </c>
      <c r="F102" s="933">
        <f t="shared" si="149"/>
        <v>0</v>
      </c>
      <c r="G102" s="933">
        <f t="shared" si="146"/>
        <v>0</v>
      </c>
      <c r="H102" s="934">
        <f>+'Comm Price Out'!D76</f>
        <v>16</v>
      </c>
      <c r="I102" s="935">
        <f t="shared" si="150"/>
        <v>0</v>
      </c>
      <c r="J102" s="935">
        <f t="shared" si="151"/>
        <v>0</v>
      </c>
      <c r="K102" s="935">
        <f t="shared" si="152"/>
        <v>0</v>
      </c>
      <c r="L102" s="936">
        <v>0</v>
      </c>
      <c r="M102" s="937">
        <f t="shared" si="153"/>
        <v>0</v>
      </c>
      <c r="N102" s="938">
        <f t="shared" si="154"/>
        <v>0</v>
      </c>
      <c r="O102" s="939">
        <f t="shared" si="155"/>
        <v>0</v>
      </c>
      <c r="P102" s="888"/>
      <c r="Q102" s="936">
        <v>0</v>
      </c>
      <c r="R102" s="941">
        <f t="shared" si="156"/>
        <v>0</v>
      </c>
      <c r="S102" s="941">
        <f t="shared" si="178"/>
        <v>0</v>
      </c>
      <c r="T102" s="942"/>
      <c r="U102" s="941" t="e">
        <f t="shared" si="157"/>
        <v>#VALUE!</v>
      </c>
      <c r="V102" s="943" t="e">
        <f t="shared" si="147"/>
        <v>#VALUE!</v>
      </c>
      <c r="W102" s="888"/>
      <c r="X102" s="892"/>
      <c r="Y102" s="935">
        <f t="shared" si="158"/>
        <v>0</v>
      </c>
      <c r="Z102" s="935">
        <f t="shared" si="159"/>
        <v>0</v>
      </c>
      <c r="AA102" s="944"/>
      <c r="AB102" s="933" t="e">
        <f t="shared" si="160"/>
        <v>#VALUE!</v>
      </c>
      <c r="AC102" s="933" t="e">
        <f t="shared" si="161"/>
        <v>#VALUE!</v>
      </c>
      <c r="AD102" s="933" t="e">
        <f t="shared" si="162"/>
        <v>#VALUE!</v>
      </c>
      <c r="AE102" s="892"/>
      <c r="AF102" s="935">
        <f t="shared" si="163"/>
        <v>0</v>
      </c>
      <c r="AG102" s="935">
        <f t="shared" si="164"/>
        <v>0</v>
      </c>
      <c r="AH102" s="892"/>
      <c r="AI102" s="892"/>
      <c r="AJ102" s="945" t="e">
        <f t="shared" si="165"/>
        <v>#VALUE!</v>
      </c>
      <c r="AK102" s="933">
        <f t="shared" si="166"/>
        <v>0</v>
      </c>
      <c r="AL102" s="933" t="e">
        <f t="shared" si="167"/>
        <v>#VALUE!</v>
      </c>
      <c r="AM102" s="933" t="e">
        <f t="shared" si="168"/>
        <v>#VALUE!</v>
      </c>
      <c r="AN102" s="933" t="e">
        <f t="shared" si="169"/>
        <v>#VALUE!</v>
      </c>
      <c r="AO102" s="933" t="e">
        <f t="shared" si="170"/>
        <v>#VALUE!</v>
      </c>
      <c r="AP102" s="946" t="e">
        <f t="shared" si="171"/>
        <v>#VALUE!</v>
      </c>
      <c r="AQ102" s="888"/>
      <c r="AR102" s="941">
        <f t="shared" si="172"/>
        <v>0</v>
      </c>
      <c r="AS102" s="888"/>
      <c r="AT102" s="947">
        <f t="shared" si="173"/>
        <v>0</v>
      </c>
      <c r="AU102" s="948">
        <f t="shared" si="174"/>
        <v>0</v>
      </c>
      <c r="AV102" s="949" t="str">
        <f>IF(AT102=0,"",(+AT102-AW102)/AW102)</f>
        <v/>
      </c>
      <c r="AW102" s="950">
        <f t="shared" si="175"/>
        <v>16</v>
      </c>
      <c r="AX102" s="951">
        <f t="shared" si="176"/>
        <v>0</v>
      </c>
      <c r="AY102" s="952">
        <f>VLOOKUP(A102,'Comm Price Out'!$A$8:$G$77,7,FALSE)</f>
        <v>16.821252531481814</v>
      </c>
      <c r="AZ102" s="953">
        <f t="shared" si="177"/>
        <v>0</v>
      </c>
      <c r="BA102" s="954">
        <f>IF(AW102=0,"",(+AY102-AW102)/AW102)</f>
        <v>5.1328283217613402E-2</v>
      </c>
      <c r="BC102" s="1158">
        <f>+AU102-AX102</f>
        <v>0</v>
      </c>
      <c r="BD102" s="1158">
        <f>+AU102-AZ102</f>
        <v>0</v>
      </c>
    </row>
    <row r="103" spans="1:58" s="162" customFormat="1" ht="12" thickBot="1">
      <c r="A103" s="967" t="s">
        <v>27</v>
      </c>
      <c r="B103" s="907">
        <f t="shared" ref="B103:O103" si="179">SUM(B35:B102)</f>
        <v>502.22868946225361</v>
      </c>
      <c r="C103" s="907">
        <f t="shared" si="179"/>
        <v>510.95605970015782</v>
      </c>
      <c r="D103" s="1127">
        <f t="shared" si="179"/>
        <v>115.84757505773673</v>
      </c>
      <c r="E103" s="907">
        <f t="shared" si="179"/>
        <v>6024.0739030023096</v>
      </c>
      <c r="F103" s="907">
        <f t="shared" si="179"/>
        <v>510.95605970015782</v>
      </c>
      <c r="G103" s="907">
        <f t="shared" si="179"/>
        <v>387.96974014802208</v>
      </c>
      <c r="H103" s="968"/>
      <c r="I103" s="907">
        <f t="shared" si="179"/>
        <v>40360.993266666679</v>
      </c>
      <c r="J103" s="907">
        <f t="shared" si="179"/>
        <v>484331.91920000006</v>
      </c>
      <c r="K103" s="907">
        <f t="shared" si="179"/>
        <v>492748.29219019884</v>
      </c>
      <c r="L103" s="969"/>
      <c r="M103" s="910"/>
      <c r="N103" s="907">
        <f t="shared" si="179"/>
        <v>1631.62</v>
      </c>
      <c r="O103" s="907">
        <f t="shared" si="179"/>
        <v>1606.0221763845304</v>
      </c>
      <c r="P103" s="970"/>
      <c r="Q103" s="907">
        <f t="shared" ref="Q103:V103" si="180">SUM(Q35:Q102)</f>
        <v>5800.5</v>
      </c>
      <c r="R103" s="907">
        <f t="shared" si="180"/>
        <v>314.2293889905701</v>
      </c>
      <c r="S103" s="907">
        <f t="shared" si="180"/>
        <v>314.2293889905701</v>
      </c>
      <c r="T103" s="907">
        <f t="shared" si="180"/>
        <v>0</v>
      </c>
      <c r="U103" s="907" t="e">
        <f t="shared" si="180"/>
        <v>#VALUE!</v>
      </c>
      <c r="V103" s="907" t="e">
        <f t="shared" si="180"/>
        <v>#VALUE!</v>
      </c>
      <c r="W103" s="970"/>
      <c r="X103" s="907">
        <f t="shared" ref="X103:AO103" si="181">SUM(X35:X102)</f>
        <v>0</v>
      </c>
      <c r="Y103" s="907">
        <f t="shared" si="181"/>
        <v>57837.115173101956</v>
      </c>
      <c r="Z103" s="907">
        <f t="shared" si="181"/>
        <v>135301.44825464394</v>
      </c>
      <c r="AA103" s="907">
        <f t="shared" si="181"/>
        <v>0</v>
      </c>
      <c r="AB103" s="907" t="e">
        <f t="shared" si="181"/>
        <v>#VALUE!</v>
      </c>
      <c r="AC103" s="907" t="e">
        <f t="shared" si="181"/>
        <v>#VALUE!</v>
      </c>
      <c r="AD103" s="907" t="e">
        <f t="shared" si="181"/>
        <v>#VALUE!</v>
      </c>
      <c r="AE103" s="907">
        <f t="shared" si="181"/>
        <v>0</v>
      </c>
      <c r="AF103" s="907">
        <f t="shared" si="181"/>
        <v>4599.7195996012961</v>
      </c>
      <c r="AG103" s="907">
        <f t="shared" si="181"/>
        <v>1705.1844955741674</v>
      </c>
      <c r="AH103" s="907">
        <f t="shared" si="181"/>
        <v>0</v>
      </c>
      <c r="AI103" s="907">
        <f t="shared" si="181"/>
        <v>0</v>
      </c>
      <c r="AJ103" s="913" t="e">
        <f t="shared" si="181"/>
        <v>#VALUE!</v>
      </c>
      <c r="AK103" s="907">
        <f t="shared" si="181"/>
        <v>0</v>
      </c>
      <c r="AL103" s="907" t="e">
        <f t="shared" si="181"/>
        <v>#VALUE!</v>
      </c>
      <c r="AM103" s="907" t="e">
        <f t="shared" si="181"/>
        <v>#VALUE!</v>
      </c>
      <c r="AN103" s="907" t="e">
        <f t="shared" si="181"/>
        <v>#VALUE!</v>
      </c>
      <c r="AO103" s="971" t="e">
        <f t="shared" si="181"/>
        <v>#VALUE!</v>
      </c>
      <c r="AP103" s="907" t="e">
        <f>SUM(AP35:AP102)</f>
        <v>#VALUE!</v>
      </c>
      <c r="AQ103" s="970"/>
      <c r="AR103" s="969"/>
      <c r="AS103" s="970"/>
      <c r="AT103" s="969"/>
      <c r="AU103" s="916">
        <f>SUM(AU35:AU102)</f>
        <v>0</v>
      </c>
      <c r="AV103" s="909"/>
      <c r="AW103" s="908"/>
      <c r="AX103" s="916">
        <f>SUM(AX35:AX102)</f>
        <v>527850.31790142576</v>
      </c>
      <c r="AY103" s="908"/>
      <c r="AZ103" s="916">
        <f>SUM(AZ35:AZ102)</f>
        <v>554943.96851517749</v>
      </c>
      <c r="BA103" s="972"/>
      <c r="BC103" s="1160">
        <f>SUM(BC35:BC102)</f>
        <v>-527850.31790142576</v>
      </c>
      <c r="BD103" s="1160">
        <f>SUM(BD35:BD102)</f>
        <v>-554943.96851517749</v>
      </c>
    </row>
    <row r="104" spans="1:58">
      <c r="A104" s="174"/>
      <c r="B104" s="918"/>
      <c r="C104" s="918"/>
      <c r="D104" s="1128"/>
      <c r="E104" s="918"/>
      <c r="F104" s="918"/>
      <c r="G104" s="918"/>
      <c r="H104" s="927"/>
      <c r="I104" s="918"/>
      <c r="J104" s="918"/>
      <c r="K104" s="918"/>
      <c r="L104" s="920"/>
      <c r="M104" s="921"/>
      <c r="N104" s="973"/>
      <c r="O104" s="923"/>
      <c r="P104" s="888"/>
      <c r="Q104" s="920"/>
      <c r="R104" s="920"/>
      <c r="S104" s="920"/>
      <c r="T104" s="920"/>
      <c r="U104" s="920"/>
      <c r="V104" s="920"/>
      <c r="W104" s="888"/>
      <c r="X104" s="918"/>
      <c r="Y104" s="918"/>
      <c r="Z104" s="918"/>
      <c r="AA104" s="918"/>
      <c r="AB104" s="918"/>
      <c r="AC104" s="918"/>
      <c r="AD104" s="918"/>
      <c r="AE104" s="918"/>
      <c r="AF104" s="918"/>
      <c r="AG104" s="918"/>
      <c r="AH104" s="918"/>
      <c r="AI104" s="918"/>
      <c r="AJ104" s="925"/>
      <c r="AK104" s="918"/>
      <c r="AL104" s="918"/>
      <c r="AM104" s="918"/>
      <c r="AN104" s="918"/>
      <c r="AO104" s="918"/>
      <c r="AP104" s="914"/>
      <c r="AQ104" s="888"/>
      <c r="AR104" s="920"/>
      <c r="AS104" s="888"/>
      <c r="AT104" s="920"/>
      <c r="AU104" s="974"/>
      <c r="AV104" s="920"/>
      <c r="AW104" s="927"/>
      <c r="AX104" s="974"/>
      <c r="AY104" s="928"/>
      <c r="AZ104" s="974"/>
      <c r="BA104" s="920"/>
    </row>
    <row r="105" spans="1:58" ht="12" thickBot="1">
      <c r="A105" s="877" t="s">
        <v>103</v>
      </c>
      <c r="B105" s="918"/>
      <c r="C105" s="918"/>
      <c r="D105" s="1128"/>
      <c r="E105" s="918"/>
      <c r="F105" s="918"/>
      <c r="G105" s="918"/>
      <c r="H105" s="927"/>
      <c r="I105" s="918"/>
      <c r="J105" s="918"/>
      <c r="K105" s="918"/>
      <c r="L105" s="920"/>
      <c r="M105" s="921"/>
      <c r="N105" s="920"/>
      <c r="O105" s="920"/>
      <c r="P105" s="888"/>
      <c r="Q105" s="920"/>
      <c r="R105" s="920"/>
      <c r="S105" s="920"/>
      <c r="T105" s="920"/>
      <c r="U105" s="920"/>
      <c r="V105" s="920"/>
      <c r="W105" s="888"/>
      <c r="X105" s="918"/>
      <c r="Y105" s="918"/>
      <c r="Z105" s="918"/>
      <c r="AA105" s="918"/>
      <c r="AB105" s="918"/>
      <c r="AC105" s="918"/>
      <c r="AD105" s="918"/>
      <c r="AE105" s="918"/>
      <c r="AF105" s="918"/>
      <c r="AG105" s="918"/>
      <c r="AH105" s="918"/>
      <c r="AI105" s="918"/>
      <c r="AJ105" s="925"/>
      <c r="AK105" s="918"/>
      <c r="AL105" s="918"/>
      <c r="AM105" s="918"/>
      <c r="AN105" s="918"/>
      <c r="AO105" s="918"/>
      <c r="AP105" s="914"/>
      <c r="AQ105" s="888"/>
      <c r="AR105" s="920"/>
      <c r="AS105" s="888"/>
      <c r="AT105" s="929"/>
      <c r="AU105" s="920"/>
      <c r="AV105" s="929"/>
      <c r="AW105" s="927"/>
      <c r="AX105" s="920"/>
      <c r="AY105" s="930"/>
      <c r="AZ105" s="920"/>
      <c r="BA105" s="920"/>
      <c r="BC105" s="1158"/>
    </row>
    <row r="106" spans="1:58" ht="12" thickTop="1">
      <c r="A106" s="931" t="str">
        <f>+'Comm Price Out'!A82</f>
        <v xml:space="preserve">32 Gal Toter 1xweek </v>
      </c>
      <c r="B106" s="932">
        <f>+'Comm Price Out'!B82</f>
        <v>184</v>
      </c>
      <c r="C106" s="933">
        <f>B106*$K$3</f>
        <v>187.19742013442871</v>
      </c>
      <c r="D106" s="957">
        <v>1</v>
      </c>
      <c r="E106" s="933">
        <f>D106*$E$1</f>
        <v>52</v>
      </c>
      <c r="F106" s="933">
        <f>C106</f>
        <v>187.19742013442871</v>
      </c>
      <c r="G106" s="933"/>
      <c r="H106" s="934">
        <f>+'Comm Price Out'!D82</f>
        <v>3.57</v>
      </c>
      <c r="I106" s="935">
        <f>B106*H106*D106*$E$2</f>
        <v>2844.2903999999999</v>
      </c>
      <c r="J106" s="935">
        <f>I106*12</f>
        <v>34131.484799999998</v>
      </c>
      <c r="K106" s="935">
        <f>J106*$K$3</f>
        <v>34724.597282160146</v>
      </c>
      <c r="L106" s="936">
        <f>L35</f>
        <v>17.399999999999999</v>
      </c>
      <c r="M106" s="937">
        <f>L106*$O$3</f>
        <v>17.127018465752332</v>
      </c>
      <c r="N106" s="938">
        <f>ROUND(((C106*E106*L106)/2000),2)</f>
        <v>84.69</v>
      </c>
      <c r="O106" s="939">
        <f>$O$3*N106</f>
        <v>83.361332980722139</v>
      </c>
      <c r="P106" s="888"/>
      <c r="Q106" s="940">
        <f>Q35</f>
        <v>9</v>
      </c>
      <c r="R106" s="941">
        <f>C106*E106*Q106/3600</f>
        <v>24.335664617475732</v>
      </c>
      <c r="S106" s="941">
        <f>R106*$S$3</f>
        <v>24.335664617475732</v>
      </c>
      <c r="T106" s="942"/>
      <c r="U106" s="941" t="e">
        <f>($V$4-$S$5)*O106/($O$5-$O$8)</f>
        <v>#VALUE!</v>
      </c>
      <c r="V106" s="943" t="e">
        <f>U106+S106</f>
        <v>#VALUE!</v>
      </c>
      <c r="W106" s="888"/>
      <c r="X106" s="892"/>
      <c r="Y106" s="935">
        <f>($Y$4*(I106)/(($I$6)+$I$7+$I$8+$I$9))</f>
        <v>4075.8548820553947</v>
      </c>
      <c r="Z106" s="935">
        <f>($Z$4*I106/($I$5-$I$8-$I$9))</f>
        <v>9534.8647104433185</v>
      </c>
      <c r="AA106" s="944"/>
      <c r="AB106" s="933" t="e">
        <f>$AB$4*V106/($V$4+$T$4)</f>
        <v>#VALUE!</v>
      </c>
      <c r="AC106" s="933" t="e">
        <f>$AC$4*V106/($V$4+$T$4)</f>
        <v>#VALUE!</v>
      </c>
      <c r="AD106" s="933" t="e">
        <f>$AD$4*V106/($V$4+$T$4)</f>
        <v>#VALUE!</v>
      </c>
      <c r="AE106" s="892"/>
      <c r="AF106" s="933">
        <f>($AF$4*G106)/($G$7)</f>
        <v>0</v>
      </c>
      <c r="AG106" s="933">
        <f>($AG$4*G106)/($G$7+$G$6)</f>
        <v>0</v>
      </c>
      <c r="AH106" s="892"/>
      <c r="AI106" s="892"/>
      <c r="AJ106" s="945" t="e">
        <f>SUM(X106:AI106)</f>
        <v>#VALUE!</v>
      </c>
      <c r="AK106" s="933">
        <f>($AK$4*F106/($F$5))</f>
        <v>0</v>
      </c>
      <c r="AL106" s="933" t="e">
        <f>$AL$4*O106/($O$5-$O$8)</f>
        <v>#VALUE!</v>
      </c>
      <c r="AM106" s="933" t="e">
        <f>$AM$4*(K106+X106)/($K$5+$X$5)</f>
        <v>#VALUE!</v>
      </c>
      <c r="AN106" s="933" t="e">
        <f>$AN$4*(K106+X106)/($K$5+$X$5)</f>
        <v>#VALUE!</v>
      </c>
      <c r="AO106" s="933" t="e">
        <f>$AO$4*(K106+X106)/($K$5+$X$5)</f>
        <v>#VALUE!</v>
      </c>
      <c r="AP106" s="946" t="e">
        <f>SUM(AJ106:AO106)</f>
        <v>#VALUE!</v>
      </c>
      <c r="AQ106" s="888"/>
      <c r="AR106" s="941">
        <f>IF(ISERROR(AP106/C106/E106), 0,(AP106/C106/E106))</f>
        <v>0</v>
      </c>
      <c r="AS106" s="888"/>
      <c r="AT106" s="947">
        <f>AR106/$AT$4</f>
        <v>0</v>
      </c>
      <c r="AU106" s="948">
        <f>+AT106*C106*E106</f>
        <v>0</v>
      </c>
      <c r="AV106" s="949" t="str">
        <f t="shared" ref="AV106:AV167" si="182">IF(AT106=0,"",(+AT106-AW106)/AW106)</f>
        <v/>
      </c>
      <c r="AW106" s="950">
        <f>H106</f>
        <v>3.57</v>
      </c>
      <c r="AX106" s="951">
        <f>+AW106*C106*E106</f>
        <v>34751.329073755347</v>
      </c>
      <c r="AY106" s="952">
        <f>VLOOKUP(A106,'Comm Price Out'!$A$80:$G$145,7,FALSE)</f>
        <v>3.7532419710868798</v>
      </c>
      <c r="AZ106" s="953">
        <f>+AY106*C106*E106</f>
        <v>36535.055134641538</v>
      </c>
      <c r="BA106" s="954">
        <f t="shared" ref="BA106:BA167" si="183">IF(AW106=0,"",(+AY106-AW106)/AW106)</f>
        <v>5.132828321761345E-2</v>
      </c>
      <c r="BB106" s="126"/>
      <c r="BC106" s="1158">
        <f t="shared" ref="BC106:BC167" si="184">+AU106-AX106</f>
        <v>-34751.329073755347</v>
      </c>
      <c r="BD106" s="1158">
        <f t="shared" ref="BD106:BD167" si="185">+AU106-AZ106</f>
        <v>-36535.055134641538</v>
      </c>
      <c r="BE106" s="955"/>
      <c r="BF106" s="956"/>
    </row>
    <row r="107" spans="1:58">
      <c r="A107" s="931" t="str">
        <f>+'Comm Price Out'!A83</f>
        <v xml:space="preserve">64 Gal Toter 1xweek  </v>
      </c>
      <c r="B107" s="932">
        <f>+'Comm Price Out'!B83</f>
        <v>0</v>
      </c>
      <c r="C107" s="933">
        <f>B107*$K$3</f>
        <v>0</v>
      </c>
      <c r="D107" s="957">
        <v>1</v>
      </c>
      <c r="E107" s="933">
        <f>D107*$E$1</f>
        <v>52</v>
      </c>
      <c r="F107" s="933">
        <f>C107</f>
        <v>0</v>
      </c>
      <c r="G107" s="933"/>
      <c r="H107" s="934">
        <f>+'Comm Price Out'!D83</f>
        <v>6.97</v>
      </c>
      <c r="I107" s="935">
        <f>B107*H107*D107*$E$2</f>
        <v>0</v>
      </c>
      <c r="J107" s="935">
        <f>I107*12</f>
        <v>0</v>
      </c>
      <c r="K107" s="935">
        <f>J107*$K$3</f>
        <v>0</v>
      </c>
      <c r="L107" s="936">
        <f>L36</f>
        <v>24.052941176470586</v>
      </c>
      <c r="M107" s="937">
        <f>L107*$O$3</f>
        <v>23.675584349716459</v>
      </c>
      <c r="N107" s="938">
        <f>ROUND(((C107*E107*L107)/2000),2)</f>
        <v>0</v>
      </c>
      <c r="O107" s="939">
        <f>$O$3*N107</f>
        <v>0</v>
      </c>
      <c r="P107" s="888"/>
      <c r="Q107" s="940">
        <f>Q36</f>
        <v>13.5</v>
      </c>
      <c r="R107" s="941">
        <f>C107*E107*Q107/3600</f>
        <v>0</v>
      </c>
      <c r="S107" s="941">
        <f>R107*$S$3</f>
        <v>0</v>
      </c>
      <c r="T107" s="942"/>
      <c r="U107" s="941" t="e">
        <f>($V$4-$S$5)*O107/($O$5-$O$8)</f>
        <v>#VALUE!</v>
      </c>
      <c r="V107" s="943" t="e">
        <f>U107+S107</f>
        <v>#VALUE!</v>
      </c>
      <c r="W107" s="888"/>
      <c r="X107" s="892"/>
      <c r="Y107" s="935">
        <f>($Y$4*(I107)/(($I$6)+$I$7+$I$8+$I$9))</f>
        <v>0</v>
      </c>
      <c r="Z107" s="935">
        <f>($Z$4*I107/($I$5-$I$8-$I$9))</f>
        <v>0</v>
      </c>
      <c r="AA107" s="944"/>
      <c r="AB107" s="933" t="e">
        <f>$AB$4*V107/($V$4+$T$4)</f>
        <v>#VALUE!</v>
      </c>
      <c r="AC107" s="933" t="e">
        <f>$AC$4*V107/($V$4+$T$4)</f>
        <v>#VALUE!</v>
      </c>
      <c r="AD107" s="933" t="e">
        <f>$AD$4*V107/($V$4+$T$4)</f>
        <v>#VALUE!</v>
      </c>
      <c r="AE107" s="892"/>
      <c r="AF107" s="933">
        <f>($AF$4*G107)/($G$7)</f>
        <v>0</v>
      </c>
      <c r="AG107" s="933">
        <f>($AG$4*G107)/($G$7+$G$6)</f>
        <v>0</v>
      </c>
      <c r="AH107" s="892"/>
      <c r="AI107" s="892"/>
      <c r="AJ107" s="945" t="e">
        <f>SUM(X107:AI107)</f>
        <v>#VALUE!</v>
      </c>
      <c r="AK107" s="933">
        <f>($AK$4*F107/($F$5))</f>
        <v>0</v>
      </c>
      <c r="AL107" s="933" t="e">
        <f>$AL$4*O107/($O$5-$O$8)</f>
        <v>#VALUE!</v>
      </c>
      <c r="AM107" s="933" t="e">
        <f>$AM$4*(K107+X107)/($K$5+$X$5)</f>
        <v>#VALUE!</v>
      </c>
      <c r="AN107" s="933" t="e">
        <f>$AN$4*(K107+X107)/($K$5+$X$5)</f>
        <v>#VALUE!</v>
      </c>
      <c r="AO107" s="933" t="e">
        <f>$AO$4*(K107+X107)/($K$5+$X$5)</f>
        <v>#VALUE!</v>
      </c>
      <c r="AP107" s="946" t="e">
        <f>SUM(AJ107:AO107)</f>
        <v>#VALUE!</v>
      </c>
      <c r="AQ107" s="888"/>
      <c r="AR107" s="941">
        <f>IF(ISERROR(AP107/C107/E107), 0,(AP107/C107/E107))</f>
        <v>0</v>
      </c>
      <c r="AS107" s="888"/>
      <c r="AT107" s="947">
        <f>AR107/$AT$4</f>
        <v>0</v>
      </c>
      <c r="AU107" s="948">
        <f>+AT107*C107*E107</f>
        <v>0</v>
      </c>
      <c r="AV107" s="949" t="str">
        <f t="shared" si="182"/>
        <v/>
      </c>
      <c r="AW107" s="950">
        <f>H107</f>
        <v>6.97</v>
      </c>
      <c r="AX107" s="951">
        <f>+AW107*C107*E107</f>
        <v>0</v>
      </c>
      <c r="AY107" s="952">
        <f>VLOOKUP(A107,'Comm Price Out'!$A$80:$G$145,7,FALSE)</f>
        <v>7.327758134026765</v>
      </c>
      <c r="AZ107" s="953">
        <f>+AY107*C107*E107</f>
        <v>0</v>
      </c>
      <c r="BA107" s="954">
        <f t="shared" si="183"/>
        <v>5.1328283217613381E-2</v>
      </c>
      <c r="BB107" s="126"/>
      <c r="BC107" s="1158">
        <f t="shared" si="184"/>
        <v>0</v>
      </c>
      <c r="BD107" s="1158">
        <f t="shared" si="185"/>
        <v>0</v>
      </c>
      <c r="BE107" s="955"/>
      <c r="BF107" s="956"/>
    </row>
    <row r="108" spans="1:58">
      <c r="A108" s="931" t="str">
        <f>+'Comm Price Out'!A84</f>
        <v>96 Gal Toter 1xweek</v>
      </c>
      <c r="B108" s="932">
        <f>+'Comm Price Out'!B84</f>
        <v>24</v>
      </c>
      <c r="C108" s="933">
        <f>B108*$K$3</f>
        <v>24.417054800142875</v>
      </c>
      <c r="D108" s="957">
        <v>1</v>
      </c>
      <c r="E108" s="933">
        <f>D108*$E$1</f>
        <v>52</v>
      </c>
      <c r="F108" s="933">
        <f>C108</f>
        <v>24.417054800142875</v>
      </c>
      <c r="G108" s="933"/>
      <c r="H108" s="934">
        <f>+'Comm Price Out'!D84</f>
        <v>8.94</v>
      </c>
      <c r="I108" s="935">
        <f>B108*H108*D108*$E$2</f>
        <v>929.04480000000001</v>
      </c>
      <c r="J108" s="935">
        <f>I108*12</f>
        <v>11148.5376</v>
      </c>
      <c r="K108" s="935">
        <f>J108*$K$3</f>
        <v>11342.268896693888</v>
      </c>
      <c r="L108" s="936">
        <f>L37</f>
        <v>34.799999999999997</v>
      </c>
      <c r="M108" s="937">
        <f>L108*$O$3</f>
        <v>34.254036931504665</v>
      </c>
      <c r="N108" s="938">
        <f>ROUND(((C108*E108*L108)/2000),2)</f>
        <v>22.09</v>
      </c>
      <c r="O108" s="939">
        <f>$O$3*N108</f>
        <v>21.743438960256842</v>
      </c>
      <c r="P108" s="888"/>
      <c r="Q108" s="940">
        <f>Q37</f>
        <v>18</v>
      </c>
      <c r="R108" s="941">
        <f>C108*E108*Q108/3600</f>
        <v>6.3484342480371474</v>
      </c>
      <c r="S108" s="941">
        <f>R108*$S$3</f>
        <v>6.3484342480371474</v>
      </c>
      <c r="T108" s="942"/>
      <c r="U108" s="941" t="e">
        <f>($V$4-$S$5)*O108/($O$5-$O$8)</f>
        <v>#VALUE!</v>
      </c>
      <c r="V108" s="943" t="e">
        <f>U108+S108</f>
        <v>#VALUE!</v>
      </c>
      <c r="W108" s="888"/>
      <c r="X108" s="892"/>
      <c r="Y108" s="935">
        <f>($Y$4*(I108)/(($I$6)+$I$7+$I$8+$I$9))</f>
        <v>1331.3168668460078</v>
      </c>
      <c r="Z108" s="935">
        <f>($Z$4*I108/($I$5-$I$8-$I$9))</f>
        <v>3114.4205521141125</v>
      </c>
      <c r="AA108" s="944"/>
      <c r="AB108" s="933" t="e">
        <f>$AB$4*V108/($V$4+$T$4)</f>
        <v>#VALUE!</v>
      </c>
      <c r="AC108" s="933" t="e">
        <f>$AC$4*V108/($V$4+$T$4)</f>
        <v>#VALUE!</v>
      </c>
      <c r="AD108" s="933" t="e">
        <f>$AD$4*V108/($V$4+$T$4)</f>
        <v>#VALUE!</v>
      </c>
      <c r="AE108" s="892"/>
      <c r="AF108" s="933">
        <f>($AF$4*G108)/($G$7)</f>
        <v>0</v>
      </c>
      <c r="AG108" s="933">
        <f>($AG$4*G108)/($G$7+$G$6)</f>
        <v>0</v>
      </c>
      <c r="AH108" s="892"/>
      <c r="AI108" s="892"/>
      <c r="AJ108" s="945" t="e">
        <f>SUM(X108:AI108)</f>
        <v>#VALUE!</v>
      </c>
      <c r="AK108" s="933">
        <f>($AK$4*F108/($F$5))</f>
        <v>0</v>
      </c>
      <c r="AL108" s="933" t="e">
        <f>$AL$4*O108/($O$5-$O$8)</f>
        <v>#VALUE!</v>
      </c>
      <c r="AM108" s="933" t="e">
        <f>$AM$4*(K108+X108)/($K$5+$X$5)</f>
        <v>#VALUE!</v>
      </c>
      <c r="AN108" s="933" t="e">
        <f>$AN$4*(K108+X108)/($K$5+$X$5)</f>
        <v>#VALUE!</v>
      </c>
      <c r="AO108" s="933" t="e">
        <f>$AO$4*(K108+X108)/($K$5+$X$5)</f>
        <v>#VALUE!</v>
      </c>
      <c r="AP108" s="946" t="e">
        <f>SUM(AJ108:AO108)</f>
        <v>#VALUE!</v>
      </c>
      <c r="AQ108" s="888"/>
      <c r="AR108" s="941">
        <f>IF(ISERROR(AP108/C108/E108), 0,(AP108/C108/E108))</f>
        <v>0</v>
      </c>
      <c r="AS108" s="888"/>
      <c r="AT108" s="947">
        <f>AR108/$AT$4</f>
        <v>0</v>
      </c>
      <c r="AU108" s="948">
        <f>+AT108*C108*E108</f>
        <v>0</v>
      </c>
      <c r="AV108" s="949" t="str">
        <f t="shared" si="182"/>
        <v/>
      </c>
      <c r="AW108" s="950">
        <f>H108</f>
        <v>8.94</v>
      </c>
      <c r="AX108" s="951">
        <f>+AW108*C108*E108</f>
        <v>11351.000435490419</v>
      </c>
      <c r="AY108" s="952">
        <f>VLOOKUP(A108,'Comm Price Out'!$A$80:$G$145,7,FALSE)</f>
        <v>9.3988748519654628</v>
      </c>
      <c r="AZ108" s="953">
        <f>+AY108*C108*E108</f>
        <v>11933.627800646524</v>
      </c>
      <c r="BA108" s="954">
        <f t="shared" si="183"/>
        <v>5.1328283217613346E-2</v>
      </c>
      <c r="BB108" s="126"/>
      <c r="BC108" s="1158">
        <f t="shared" si="184"/>
        <v>-11351.000435490419</v>
      </c>
      <c r="BD108" s="1158">
        <f t="shared" si="185"/>
        <v>-11933.627800646524</v>
      </c>
    </row>
    <row r="109" spans="1:58">
      <c r="A109" s="931" t="str">
        <f>+'Comm Price Out'!A85</f>
        <v>1 yd  On Call</v>
      </c>
      <c r="B109" s="932">
        <f>+'Comm Price Out'!B85</f>
        <v>0</v>
      </c>
      <c r="C109" s="933">
        <f t="shared" ref="C109:C159" si="186">B109*$K$3</f>
        <v>0</v>
      </c>
      <c r="D109" s="957">
        <f>1/$E$2</f>
        <v>0.23094688221709006</v>
      </c>
      <c r="E109" s="933">
        <f t="shared" ref="E109:E156" si="187">D109*$E$1</f>
        <v>12.009237875288683</v>
      </c>
      <c r="F109" s="933">
        <f t="shared" ref="F109:F156" si="188">C109</f>
        <v>0</v>
      </c>
      <c r="G109" s="933"/>
      <c r="H109" s="934">
        <f>+'Comm Price Out'!D85</f>
        <v>22</v>
      </c>
      <c r="I109" s="935">
        <f t="shared" ref="I109:I156" si="189">B109*H109*D109*$E$2</f>
        <v>0</v>
      </c>
      <c r="J109" s="935">
        <f t="shared" ref="J109:J156" si="190">I109*12</f>
        <v>0</v>
      </c>
      <c r="K109" s="935">
        <f t="shared" ref="K109:K156" si="191">J109*$K$3</f>
        <v>0</v>
      </c>
      <c r="L109" s="936">
        <f>L38</f>
        <v>105</v>
      </c>
      <c r="M109" s="937">
        <f t="shared" ref="M109:M156" si="192">L109*$O$3</f>
        <v>103.35269763816063</v>
      </c>
      <c r="N109" s="938">
        <f t="shared" ref="N109:N156" si="193">ROUND(((C109*E109*L109)/2000),2)</f>
        <v>0</v>
      </c>
      <c r="O109" s="939">
        <f t="shared" ref="O109:O156" si="194">$O$3*N109</f>
        <v>0</v>
      </c>
      <c r="P109" s="888"/>
      <c r="Q109" s="940">
        <f>Q38</f>
        <v>80</v>
      </c>
      <c r="R109" s="941">
        <f t="shared" ref="R109:R156" si="195">C109*E109*Q109/3600</f>
        <v>0</v>
      </c>
      <c r="S109" s="941">
        <f t="shared" ref="S109:S156" si="196">R109*$S$3</f>
        <v>0</v>
      </c>
      <c r="T109" s="942"/>
      <c r="U109" s="941" t="e">
        <f t="shared" ref="U109:U156" si="197">($V$4-$S$5)*O109/($O$5-$O$8)</f>
        <v>#VALUE!</v>
      </c>
      <c r="V109" s="943" t="e">
        <f t="shared" ref="V109:V156" si="198">U109+S109</f>
        <v>#VALUE!</v>
      </c>
      <c r="W109" s="888"/>
      <c r="X109" s="892"/>
      <c r="Y109" s="935">
        <f t="shared" ref="Y109:Y156" si="199">($Y$4*(I109)/(($I$6)+$I$7+$I$8+$I$9))</f>
        <v>0</v>
      </c>
      <c r="Z109" s="935">
        <f t="shared" ref="Z109:Z156" si="200">($Z$4*I109/($I$5-$I$8-$I$9))</f>
        <v>0</v>
      </c>
      <c r="AA109" s="944"/>
      <c r="AB109" s="933" t="e">
        <f t="shared" ref="AB109:AB156" si="201">$AB$4*V109/($V$4+$T$4)</f>
        <v>#VALUE!</v>
      </c>
      <c r="AC109" s="933" t="e">
        <f t="shared" ref="AC109:AC156" si="202">$AC$4*V109/($V$4+$T$4)</f>
        <v>#VALUE!</v>
      </c>
      <c r="AD109" s="933" t="e">
        <f t="shared" ref="AD109:AD156" si="203">$AD$4*V109/($V$4+$T$4)</f>
        <v>#VALUE!</v>
      </c>
      <c r="AE109" s="892"/>
      <c r="AF109" s="933">
        <f t="shared" ref="AF109:AF155" si="204">($AF$4*G109)/($G$7)</f>
        <v>0</v>
      </c>
      <c r="AG109" s="933">
        <f t="shared" ref="AG109:AG155" si="205">($AG$4*G109)/($G$7+$G$6)</f>
        <v>0</v>
      </c>
      <c r="AH109" s="892"/>
      <c r="AI109" s="892"/>
      <c r="AJ109" s="945" t="e">
        <f t="shared" ref="AJ109:AJ156" si="206">SUM(X109:AI109)</f>
        <v>#VALUE!</v>
      </c>
      <c r="AK109" s="933">
        <f t="shared" ref="AK109:AK156" si="207">($AK$4*F109/($F$5))</f>
        <v>0</v>
      </c>
      <c r="AL109" s="933" t="e">
        <f t="shared" ref="AL109:AL156" si="208">$AL$4*O109/($O$5-$O$8)</f>
        <v>#VALUE!</v>
      </c>
      <c r="AM109" s="933" t="e">
        <f t="shared" ref="AM109:AM156" si="209">$AM$4*(K109+X109)/($K$5+$X$5)</f>
        <v>#VALUE!</v>
      </c>
      <c r="AN109" s="933" t="e">
        <f t="shared" ref="AN109:AN156" si="210">$AN$4*(K109+X109)/($K$5+$X$5)</f>
        <v>#VALUE!</v>
      </c>
      <c r="AO109" s="933" t="e">
        <f t="shared" ref="AO109:AO156" si="211">$AO$4*(K109+X109)/($K$5+$X$5)</f>
        <v>#VALUE!</v>
      </c>
      <c r="AP109" s="946" t="e">
        <f t="shared" ref="AP109:AP156" si="212">SUM(AJ109:AO109)</f>
        <v>#VALUE!</v>
      </c>
      <c r="AQ109" s="888"/>
      <c r="AR109" s="941">
        <f t="shared" ref="AR109:AR156" si="213">IF(ISERROR(AP109/C109/E109), 0,(AP109/C109/E109))</f>
        <v>0</v>
      </c>
      <c r="AS109" s="888"/>
      <c r="AT109" s="947">
        <f t="shared" ref="AT109:AT156" si="214">AR109/$AT$4</f>
        <v>0</v>
      </c>
      <c r="AU109" s="948">
        <f t="shared" ref="AU109:AU156" si="215">+AT109*C109*E109</f>
        <v>0</v>
      </c>
      <c r="AV109" s="949" t="str">
        <f t="shared" si="182"/>
        <v/>
      </c>
      <c r="AW109" s="950">
        <f t="shared" ref="AW109:AW156" si="216">H109</f>
        <v>22</v>
      </c>
      <c r="AX109" s="951">
        <f t="shared" ref="AX109:AX156" si="217">+AW109*C109*E109</f>
        <v>0</v>
      </c>
      <c r="AY109" s="952">
        <f>VLOOKUP(A109,'Comm Price Out'!$A$80:$G$145,7,FALSE)</f>
        <v>23.129222230787494</v>
      </c>
      <c r="AZ109" s="953">
        <f t="shared" ref="AZ109:AZ156" si="218">+AY109*C109*E109</f>
        <v>0</v>
      </c>
      <c r="BA109" s="954">
        <f t="shared" si="183"/>
        <v>5.1328283217613381E-2</v>
      </c>
      <c r="BB109" s="126"/>
      <c r="BC109" s="1158">
        <f t="shared" si="184"/>
        <v>0</v>
      </c>
      <c r="BD109" s="1158">
        <f t="shared" si="185"/>
        <v>0</v>
      </c>
    </row>
    <row r="110" spans="1:58">
      <c r="A110" s="931" t="str">
        <f>+'Comm Price Out'!A86</f>
        <v>1 yd  1xweek</v>
      </c>
      <c r="B110" s="932">
        <f>+'Comm Price Out'!B86</f>
        <v>4</v>
      </c>
      <c r="C110" s="933">
        <f t="shared" si="186"/>
        <v>4.0695091333571458</v>
      </c>
      <c r="D110" s="957">
        <v>1</v>
      </c>
      <c r="E110" s="933">
        <f t="shared" si="187"/>
        <v>52</v>
      </c>
      <c r="F110" s="933">
        <f t="shared" si="188"/>
        <v>4.0695091333571458</v>
      </c>
      <c r="G110" s="933"/>
      <c r="H110" s="934">
        <f>+'Comm Price Out'!D86</f>
        <v>18.54</v>
      </c>
      <c r="I110" s="935">
        <f t="shared" si="189"/>
        <v>321.11279999999999</v>
      </c>
      <c r="J110" s="935">
        <f t="shared" si="190"/>
        <v>3853.3535999999999</v>
      </c>
      <c r="K110" s="935">
        <f t="shared" si="191"/>
        <v>3920.3144173136593</v>
      </c>
      <c r="L110" s="936">
        <f>L39</f>
        <v>105</v>
      </c>
      <c r="M110" s="937">
        <f t="shared" si="192"/>
        <v>103.35269763816063</v>
      </c>
      <c r="N110" s="938">
        <f t="shared" si="193"/>
        <v>11.11</v>
      </c>
      <c r="O110" s="939">
        <f t="shared" si="194"/>
        <v>10.935699721523473</v>
      </c>
      <c r="P110" s="888"/>
      <c r="Q110" s="940">
        <f>Q39</f>
        <v>80</v>
      </c>
      <c r="R110" s="941">
        <f t="shared" si="195"/>
        <v>4.7025438874349241</v>
      </c>
      <c r="S110" s="941">
        <f t="shared" si="196"/>
        <v>4.7025438874349241</v>
      </c>
      <c r="T110" s="942"/>
      <c r="U110" s="941" t="e">
        <f t="shared" si="197"/>
        <v>#VALUE!</v>
      </c>
      <c r="V110" s="943" t="e">
        <f t="shared" si="198"/>
        <v>#VALUE!</v>
      </c>
      <c r="W110" s="888"/>
      <c r="X110" s="892"/>
      <c r="Y110" s="935">
        <f t="shared" si="199"/>
        <v>460.15314525214359</v>
      </c>
      <c r="Z110" s="935">
        <f t="shared" si="200"/>
        <v>1076.4607948582336</v>
      </c>
      <c r="AA110" s="944"/>
      <c r="AB110" s="933" t="e">
        <f t="shared" si="201"/>
        <v>#VALUE!</v>
      </c>
      <c r="AC110" s="933" t="e">
        <f t="shared" si="202"/>
        <v>#VALUE!</v>
      </c>
      <c r="AD110" s="933" t="e">
        <f t="shared" si="203"/>
        <v>#VALUE!</v>
      </c>
      <c r="AE110" s="892"/>
      <c r="AF110" s="933">
        <f t="shared" si="204"/>
        <v>0</v>
      </c>
      <c r="AG110" s="933">
        <f t="shared" si="205"/>
        <v>0</v>
      </c>
      <c r="AH110" s="892"/>
      <c r="AI110" s="892"/>
      <c r="AJ110" s="945" t="e">
        <f t="shared" si="206"/>
        <v>#VALUE!</v>
      </c>
      <c r="AK110" s="933">
        <f t="shared" si="207"/>
        <v>0</v>
      </c>
      <c r="AL110" s="933" t="e">
        <f t="shared" si="208"/>
        <v>#VALUE!</v>
      </c>
      <c r="AM110" s="933" t="e">
        <f t="shared" si="209"/>
        <v>#VALUE!</v>
      </c>
      <c r="AN110" s="933" t="e">
        <f t="shared" si="210"/>
        <v>#VALUE!</v>
      </c>
      <c r="AO110" s="933" t="e">
        <f t="shared" si="211"/>
        <v>#VALUE!</v>
      </c>
      <c r="AP110" s="946" t="e">
        <f t="shared" si="212"/>
        <v>#VALUE!</v>
      </c>
      <c r="AQ110" s="888"/>
      <c r="AR110" s="941">
        <f t="shared" si="213"/>
        <v>0</v>
      </c>
      <c r="AS110" s="888"/>
      <c r="AT110" s="947">
        <f t="shared" si="214"/>
        <v>0</v>
      </c>
      <c r="AU110" s="948">
        <f t="shared" si="215"/>
        <v>0</v>
      </c>
      <c r="AV110" s="949" t="str">
        <f t="shared" si="182"/>
        <v/>
      </c>
      <c r="AW110" s="950">
        <f t="shared" si="216"/>
        <v>18.54</v>
      </c>
      <c r="AX110" s="951">
        <f t="shared" si="217"/>
        <v>3923.3323652869567</v>
      </c>
      <c r="AY110" s="952">
        <f>VLOOKUP(A110,'Comm Price Out'!$A$80:$G$145,7,FALSE)</f>
        <v>19.491626370854551</v>
      </c>
      <c r="AZ110" s="953">
        <f t="shared" si="218"/>
        <v>4124.7102800892344</v>
      </c>
      <c r="BA110" s="954">
        <f t="shared" si="183"/>
        <v>5.132828321761336E-2</v>
      </c>
      <c r="BB110" s="126"/>
      <c r="BC110" s="1158">
        <f t="shared" si="184"/>
        <v>-3923.3323652869567</v>
      </c>
      <c r="BD110" s="1158">
        <f t="shared" si="185"/>
        <v>-4124.7102800892344</v>
      </c>
    </row>
    <row r="111" spans="1:58">
      <c r="A111" s="931" t="str">
        <f>+'Comm Price Out'!A87</f>
        <v>1.25 yd on call</v>
      </c>
      <c r="B111" s="932">
        <f>+'Comm Price Out'!B87</f>
        <v>0</v>
      </c>
      <c r="C111" s="933">
        <f t="shared" si="186"/>
        <v>0</v>
      </c>
      <c r="D111" s="957">
        <f>1/$E$2</f>
        <v>0.23094688221709006</v>
      </c>
      <c r="E111" s="933">
        <f t="shared" si="187"/>
        <v>12.009237875288683</v>
      </c>
      <c r="F111" s="933">
        <f t="shared" si="188"/>
        <v>0</v>
      </c>
      <c r="G111" s="933"/>
      <c r="H111" s="934">
        <f>+'Comm Price Out'!D87</f>
        <v>22.03</v>
      </c>
      <c r="I111" s="935">
        <f t="shared" si="189"/>
        <v>0</v>
      </c>
      <c r="J111" s="935">
        <f t="shared" si="190"/>
        <v>0</v>
      </c>
      <c r="K111" s="935">
        <f t="shared" si="191"/>
        <v>0</v>
      </c>
      <c r="L111" s="936">
        <f>L43</f>
        <v>131.25</v>
      </c>
      <c r="M111" s="937">
        <f t="shared" si="192"/>
        <v>129.19087204770079</v>
      </c>
      <c r="N111" s="938">
        <f t="shared" si="193"/>
        <v>0</v>
      </c>
      <c r="O111" s="939">
        <f t="shared" si="194"/>
        <v>0</v>
      </c>
      <c r="P111" s="888"/>
      <c r="Q111" s="940">
        <f>Q43</f>
        <v>100</v>
      </c>
      <c r="R111" s="941">
        <f t="shared" si="195"/>
        <v>0</v>
      </c>
      <c r="S111" s="941">
        <f t="shared" si="196"/>
        <v>0</v>
      </c>
      <c r="T111" s="942"/>
      <c r="U111" s="941" t="e">
        <f t="shared" si="197"/>
        <v>#VALUE!</v>
      </c>
      <c r="V111" s="943" t="e">
        <f t="shared" si="198"/>
        <v>#VALUE!</v>
      </c>
      <c r="W111" s="888"/>
      <c r="X111" s="892"/>
      <c r="Y111" s="935">
        <f t="shared" si="199"/>
        <v>0</v>
      </c>
      <c r="Z111" s="935">
        <f t="shared" si="200"/>
        <v>0</v>
      </c>
      <c r="AA111" s="944"/>
      <c r="AB111" s="933" t="e">
        <f t="shared" si="201"/>
        <v>#VALUE!</v>
      </c>
      <c r="AC111" s="933" t="e">
        <f t="shared" si="202"/>
        <v>#VALUE!</v>
      </c>
      <c r="AD111" s="933" t="e">
        <f t="shared" si="203"/>
        <v>#VALUE!</v>
      </c>
      <c r="AE111" s="892"/>
      <c r="AF111" s="933">
        <f t="shared" si="204"/>
        <v>0</v>
      </c>
      <c r="AG111" s="933">
        <f t="shared" si="205"/>
        <v>0</v>
      </c>
      <c r="AH111" s="892"/>
      <c r="AI111" s="892"/>
      <c r="AJ111" s="945" t="e">
        <f t="shared" si="206"/>
        <v>#VALUE!</v>
      </c>
      <c r="AK111" s="933">
        <f t="shared" si="207"/>
        <v>0</v>
      </c>
      <c r="AL111" s="933" t="e">
        <f t="shared" si="208"/>
        <v>#VALUE!</v>
      </c>
      <c r="AM111" s="933" t="e">
        <f t="shared" si="209"/>
        <v>#VALUE!</v>
      </c>
      <c r="AN111" s="933" t="e">
        <f t="shared" si="210"/>
        <v>#VALUE!</v>
      </c>
      <c r="AO111" s="933" t="e">
        <f t="shared" si="211"/>
        <v>#VALUE!</v>
      </c>
      <c r="AP111" s="946" t="e">
        <f t="shared" si="212"/>
        <v>#VALUE!</v>
      </c>
      <c r="AQ111" s="888"/>
      <c r="AR111" s="941">
        <f t="shared" si="213"/>
        <v>0</v>
      </c>
      <c r="AS111" s="888"/>
      <c r="AT111" s="947">
        <f t="shared" si="214"/>
        <v>0</v>
      </c>
      <c r="AU111" s="948">
        <f t="shared" si="215"/>
        <v>0</v>
      </c>
      <c r="AV111" s="949" t="str">
        <f t="shared" si="182"/>
        <v/>
      </c>
      <c r="AW111" s="950">
        <f t="shared" si="216"/>
        <v>22.03</v>
      </c>
      <c r="AX111" s="951">
        <f t="shared" si="217"/>
        <v>0</v>
      </c>
      <c r="AY111" s="952">
        <f>VLOOKUP(A111,'Comm Price Out'!$A$80:$G$145,7,FALSE)</f>
        <v>23.160762079284023</v>
      </c>
      <c r="AZ111" s="953">
        <f t="shared" si="218"/>
        <v>0</v>
      </c>
      <c r="BA111" s="954">
        <f t="shared" si="183"/>
        <v>5.1328283217613332E-2</v>
      </c>
      <c r="BB111" s="126"/>
      <c r="BC111" s="1158">
        <f t="shared" si="184"/>
        <v>0</v>
      </c>
      <c r="BD111" s="1158">
        <f t="shared" si="185"/>
        <v>0</v>
      </c>
    </row>
    <row r="112" spans="1:58">
      <c r="A112" s="931" t="str">
        <f>+'Comm Price Out'!A88</f>
        <v>1.25 yd 1xweek</v>
      </c>
      <c r="B112" s="932">
        <f>+'Comm Price Out'!B88</f>
        <v>4</v>
      </c>
      <c r="C112" s="933">
        <f t="shared" si="186"/>
        <v>4.0695091333571458</v>
      </c>
      <c r="D112" s="957">
        <v>1</v>
      </c>
      <c r="E112" s="933">
        <f t="shared" si="187"/>
        <v>52</v>
      </c>
      <c r="F112" s="933">
        <f t="shared" si="188"/>
        <v>4.0695091333571458</v>
      </c>
      <c r="G112" s="933"/>
      <c r="H112" s="934">
        <f>+'Comm Price Out'!D88</f>
        <v>22.03</v>
      </c>
      <c r="I112" s="935">
        <f t="shared" si="189"/>
        <v>381.55960000000005</v>
      </c>
      <c r="J112" s="935">
        <f t="shared" si="190"/>
        <v>4578.7152000000006</v>
      </c>
      <c r="K112" s="935">
        <f t="shared" si="191"/>
        <v>4658.2808313602982</v>
      </c>
      <c r="L112" s="936">
        <f t="shared" ref="L112:L118" si="219">L44</f>
        <v>131.25</v>
      </c>
      <c r="M112" s="937">
        <f t="shared" si="192"/>
        <v>129.19087204770079</v>
      </c>
      <c r="N112" s="938">
        <f t="shared" si="193"/>
        <v>13.89</v>
      </c>
      <c r="O112" s="939">
        <f t="shared" si="194"/>
        <v>13.672085430419537</v>
      </c>
      <c r="P112" s="888"/>
      <c r="Q112" s="940">
        <f t="shared" ref="Q112:Q118" si="220">Q44</f>
        <v>100</v>
      </c>
      <c r="R112" s="941">
        <f t="shared" si="195"/>
        <v>5.8781798592936552</v>
      </c>
      <c r="S112" s="941">
        <f t="shared" si="196"/>
        <v>5.8781798592936552</v>
      </c>
      <c r="T112" s="942"/>
      <c r="U112" s="941" t="e">
        <f t="shared" si="197"/>
        <v>#VALUE!</v>
      </c>
      <c r="V112" s="943" t="e">
        <f t="shared" si="198"/>
        <v>#VALUE!</v>
      </c>
      <c r="W112" s="888"/>
      <c r="X112" s="892"/>
      <c r="Y112" s="935">
        <f t="shared" si="199"/>
        <v>546.77312782657634</v>
      </c>
      <c r="Z112" s="935">
        <f t="shared" si="200"/>
        <v>1279.0955399529066</v>
      </c>
      <c r="AA112" s="944"/>
      <c r="AB112" s="933" t="e">
        <f t="shared" si="201"/>
        <v>#VALUE!</v>
      </c>
      <c r="AC112" s="933" t="e">
        <f t="shared" si="202"/>
        <v>#VALUE!</v>
      </c>
      <c r="AD112" s="933" t="e">
        <f t="shared" si="203"/>
        <v>#VALUE!</v>
      </c>
      <c r="AE112" s="892"/>
      <c r="AF112" s="933">
        <f t="shared" si="204"/>
        <v>0</v>
      </c>
      <c r="AG112" s="933">
        <f t="shared" si="205"/>
        <v>0</v>
      </c>
      <c r="AH112" s="892"/>
      <c r="AI112" s="892"/>
      <c r="AJ112" s="945" t="e">
        <f t="shared" si="206"/>
        <v>#VALUE!</v>
      </c>
      <c r="AK112" s="933">
        <f t="shared" si="207"/>
        <v>0</v>
      </c>
      <c r="AL112" s="933" t="e">
        <f t="shared" si="208"/>
        <v>#VALUE!</v>
      </c>
      <c r="AM112" s="933" t="e">
        <f t="shared" si="209"/>
        <v>#VALUE!</v>
      </c>
      <c r="AN112" s="933" t="e">
        <f t="shared" si="210"/>
        <v>#VALUE!</v>
      </c>
      <c r="AO112" s="933" t="e">
        <f t="shared" si="211"/>
        <v>#VALUE!</v>
      </c>
      <c r="AP112" s="946" t="e">
        <f t="shared" si="212"/>
        <v>#VALUE!</v>
      </c>
      <c r="AQ112" s="888"/>
      <c r="AR112" s="941">
        <f t="shared" si="213"/>
        <v>0</v>
      </c>
      <c r="AS112" s="888"/>
      <c r="AT112" s="947">
        <f t="shared" si="214"/>
        <v>0</v>
      </c>
      <c r="AU112" s="948">
        <f t="shared" si="215"/>
        <v>0</v>
      </c>
      <c r="AV112" s="949" t="str">
        <f t="shared" si="182"/>
        <v/>
      </c>
      <c r="AW112" s="950">
        <f t="shared" si="216"/>
        <v>22.03</v>
      </c>
      <c r="AX112" s="951">
        <f t="shared" si="217"/>
        <v>4661.866882808612</v>
      </c>
      <c r="AY112" s="952">
        <f>VLOOKUP(A112,'Comm Price Out'!$A$80:$G$145,7,FALSE)</f>
        <v>23.160762079284023</v>
      </c>
      <c r="AZ112" s="953">
        <f t="shared" si="218"/>
        <v>4901.1525064922243</v>
      </c>
      <c r="BA112" s="954">
        <f t="shared" si="183"/>
        <v>5.1328283217613332E-2</v>
      </c>
      <c r="BB112" s="126"/>
      <c r="BC112" s="1158">
        <f t="shared" si="184"/>
        <v>-4661.866882808612</v>
      </c>
      <c r="BD112" s="1158">
        <f t="shared" si="185"/>
        <v>-4901.1525064922243</v>
      </c>
    </row>
    <row r="113" spans="1:56">
      <c r="A113" s="931" t="str">
        <f>+'Comm Price Out'!A89</f>
        <v>1.25 yd 2xweek</v>
      </c>
      <c r="B113" s="932">
        <f>+'Comm Price Out'!B89</f>
        <v>1</v>
      </c>
      <c r="C113" s="933">
        <f t="shared" si="186"/>
        <v>1.0173772833392865</v>
      </c>
      <c r="D113" s="957">
        <v>2</v>
      </c>
      <c r="E113" s="933">
        <f t="shared" si="187"/>
        <v>104</v>
      </c>
      <c r="F113" s="933">
        <f t="shared" si="188"/>
        <v>1.0173772833392865</v>
      </c>
      <c r="G113" s="933"/>
      <c r="H113" s="934">
        <f>+'Comm Price Out'!D89</f>
        <v>22.03</v>
      </c>
      <c r="I113" s="935">
        <f t="shared" si="189"/>
        <v>190.77980000000002</v>
      </c>
      <c r="J113" s="935">
        <f t="shared" si="190"/>
        <v>2289.3576000000003</v>
      </c>
      <c r="K113" s="935">
        <f t="shared" si="191"/>
        <v>2329.1404156801491</v>
      </c>
      <c r="L113" s="936">
        <f t="shared" si="219"/>
        <v>131.25</v>
      </c>
      <c r="M113" s="937">
        <f t="shared" si="192"/>
        <v>129.19087204770079</v>
      </c>
      <c r="N113" s="938">
        <f t="shared" si="193"/>
        <v>6.94</v>
      </c>
      <c r="O113" s="939">
        <f t="shared" si="194"/>
        <v>6.8311211581793803</v>
      </c>
      <c r="P113" s="888"/>
      <c r="Q113" s="940">
        <f t="shared" si="220"/>
        <v>100</v>
      </c>
      <c r="R113" s="941">
        <f t="shared" si="195"/>
        <v>2.9390899296468276</v>
      </c>
      <c r="S113" s="941">
        <f t="shared" si="196"/>
        <v>2.9390899296468276</v>
      </c>
      <c r="T113" s="942"/>
      <c r="U113" s="941" t="e">
        <f t="shared" si="197"/>
        <v>#VALUE!</v>
      </c>
      <c r="V113" s="943" t="e">
        <f t="shared" si="198"/>
        <v>#VALUE!</v>
      </c>
      <c r="W113" s="888"/>
      <c r="X113" s="892"/>
      <c r="Y113" s="935">
        <f t="shared" si="199"/>
        <v>273.38656391328817</v>
      </c>
      <c r="Z113" s="935">
        <f t="shared" si="200"/>
        <v>639.54776997645331</v>
      </c>
      <c r="AA113" s="944"/>
      <c r="AB113" s="933" t="e">
        <f t="shared" si="201"/>
        <v>#VALUE!</v>
      </c>
      <c r="AC113" s="933" t="e">
        <f t="shared" si="202"/>
        <v>#VALUE!</v>
      </c>
      <c r="AD113" s="933" t="e">
        <f t="shared" si="203"/>
        <v>#VALUE!</v>
      </c>
      <c r="AE113" s="892"/>
      <c r="AF113" s="933">
        <f t="shared" si="204"/>
        <v>0</v>
      </c>
      <c r="AG113" s="933">
        <f t="shared" si="205"/>
        <v>0</v>
      </c>
      <c r="AH113" s="892"/>
      <c r="AI113" s="892"/>
      <c r="AJ113" s="945" t="e">
        <f t="shared" si="206"/>
        <v>#VALUE!</v>
      </c>
      <c r="AK113" s="933">
        <f t="shared" si="207"/>
        <v>0</v>
      </c>
      <c r="AL113" s="933" t="e">
        <f t="shared" si="208"/>
        <v>#VALUE!</v>
      </c>
      <c r="AM113" s="933" t="e">
        <f t="shared" si="209"/>
        <v>#VALUE!</v>
      </c>
      <c r="AN113" s="933" t="e">
        <f t="shared" si="210"/>
        <v>#VALUE!</v>
      </c>
      <c r="AO113" s="933" t="e">
        <f t="shared" si="211"/>
        <v>#VALUE!</v>
      </c>
      <c r="AP113" s="946" t="e">
        <f t="shared" si="212"/>
        <v>#VALUE!</v>
      </c>
      <c r="AQ113" s="888"/>
      <c r="AR113" s="941">
        <f t="shared" si="213"/>
        <v>0</v>
      </c>
      <c r="AS113" s="888"/>
      <c r="AT113" s="947">
        <f t="shared" si="214"/>
        <v>0</v>
      </c>
      <c r="AU113" s="948">
        <f t="shared" si="215"/>
        <v>0</v>
      </c>
      <c r="AV113" s="949" t="str">
        <f t="shared" si="182"/>
        <v/>
      </c>
      <c r="AW113" s="950">
        <f t="shared" si="216"/>
        <v>22.03</v>
      </c>
      <c r="AX113" s="951">
        <f t="shared" si="217"/>
        <v>2330.933441404306</v>
      </c>
      <c r="AY113" s="952">
        <f>VLOOKUP(A113,'Comm Price Out'!$A$80:$G$145,7,FALSE)</f>
        <v>23.160762079284023</v>
      </c>
      <c r="AZ113" s="953">
        <f t="shared" si="218"/>
        <v>2450.5762532461122</v>
      </c>
      <c r="BA113" s="954">
        <f t="shared" si="183"/>
        <v>5.1328283217613332E-2</v>
      </c>
      <c r="BB113" s="126"/>
      <c r="BC113" s="1158">
        <f t="shared" si="184"/>
        <v>-2330.933441404306</v>
      </c>
      <c r="BD113" s="1158">
        <f t="shared" si="185"/>
        <v>-2450.5762532461122</v>
      </c>
    </row>
    <row r="114" spans="1:56">
      <c r="A114" s="931" t="str">
        <f>+'Comm Price Out'!A90</f>
        <v>1.25 yd 3xweek</v>
      </c>
      <c r="B114" s="932">
        <f>+'Comm Price Out'!B90</f>
        <v>0</v>
      </c>
      <c r="C114" s="933">
        <f t="shared" si="186"/>
        <v>0</v>
      </c>
      <c r="D114" s="957">
        <v>3</v>
      </c>
      <c r="E114" s="933">
        <f t="shared" si="187"/>
        <v>156</v>
      </c>
      <c r="F114" s="933">
        <f t="shared" si="188"/>
        <v>0</v>
      </c>
      <c r="G114" s="933"/>
      <c r="H114" s="934">
        <f>+'Comm Price Out'!D90</f>
        <v>22.03</v>
      </c>
      <c r="I114" s="935">
        <f t="shared" si="189"/>
        <v>0</v>
      </c>
      <c r="J114" s="935">
        <f t="shared" si="190"/>
        <v>0</v>
      </c>
      <c r="K114" s="935">
        <f t="shared" si="191"/>
        <v>0</v>
      </c>
      <c r="L114" s="936">
        <f t="shared" si="219"/>
        <v>131.25</v>
      </c>
      <c r="M114" s="937">
        <f t="shared" si="192"/>
        <v>129.19087204770079</v>
      </c>
      <c r="N114" s="938">
        <f t="shared" si="193"/>
        <v>0</v>
      </c>
      <c r="O114" s="939">
        <f t="shared" si="194"/>
        <v>0</v>
      </c>
      <c r="P114" s="888"/>
      <c r="Q114" s="940">
        <f t="shared" si="220"/>
        <v>100</v>
      </c>
      <c r="R114" s="941">
        <f t="shared" si="195"/>
        <v>0</v>
      </c>
      <c r="S114" s="941">
        <f t="shared" si="196"/>
        <v>0</v>
      </c>
      <c r="T114" s="942"/>
      <c r="U114" s="941" t="e">
        <f t="shared" si="197"/>
        <v>#VALUE!</v>
      </c>
      <c r="V114" s="943" t="e">
        <f t="shared" si="198"/>
        <v>#VALUE!</v>
      </c>
      <c r="W114" s="888"/>
      <c r="X114" s="892"/>
      <c r="Y114" s="935">
        <f t="shared" si="199"/>
        <v>0</v>
      </c>
      <c r="Z114" s="935">
        <f t="shared" si="200"/>
        <v>0</v>
      </c>
      <c r="AA114" s="944"/>
      <c r="AB114" s="933" t="e">
        <f t="shared" si="201"/>
        <v>#VALUE!</v>
      </c>
      <c r="AC114" s="933" t="e">
        <f t="shared" si="202"/>
        <v>#VALUE!</v>
      </c>
      <c r="AD114" s="933" t="e">
        <f t="shared" si="203"/>
        <v>#VALUE!</v>
      </c>
      <c r="AE114" s="892"/>
      <c r="AF114" s="933">
        <f t="shared" si="204"/>
        <v>0</v>
      </c>
      <c r="AG114" s="933">
        <f t="shared" si="205"/>
        <v>0</v>
      </c>
      <c r="AH114" s="892"/>
      <c r="AI114" s="892"/>
      <c r="AJ114" s="945" t="e">
        <f t="shared" si="206"/>
        <v>#VALUE!</v>
      </c>
      <c r="AK114" s="933">
        <f t="shared" si="207"/>
        <v>0</v>
      </c>
      <c r="AL114" s="933" t="e">
        <f t="shared" si="208"/>
        <v>#VALUE!</v>
      </c>
      <c r="AM114" s="933" t="e">
        <f t="shared" si="209"/>
        <v>#VALUE!</v>
      </c>
      <c r="AN114" s="933" t="e">
        <f t="shared" si="210"/>
        <v>#VALUE!</v>
      </c>
      <c r="AO114" s="933" t="e">
        <f t="shared" si="211"/>
        <v>#VALUE!</v>
      </c>
      <c r="AP114" s="946" t="e">
        <f t="shared" si="212"/>
        <v>#VALUE!</v>
      </c>
      <c r="AQ114" s="888"/>
      <c r="AR114" s="941">
        <f t="shared" si="213"/>
        <v>0</v>
      </c>
      <c r="AS114" s="888"/>
      <c r="AT114" s="947">
        <f t="shared" si="214"/>
        <v>0</v>
      </c>
      <c r="AU114" s="948">
        <f t="shared" si="215"/>
        <v>0</v>
      </c>
      <c r="AV114" s="949" t="str">
        <f t="shared" si="182"/>
        <v/>
      </c>
      <c r="AW114" s="950">
        <f t="shared" si="216"/>
        <v>22.03</v>
      </c>
      <c r="AX114" s="951">
        <f t="shared" si="217"/>
        <v>0</v>
      </c>
      <c r="AY114" s="952">
        <f>VLOOKUP(A114,'Comm Price Out'!$A$80:$G$145,7,FALSE)</f>
        <v>23.160762079284023</v>
      </c>
      <c r="AZ114" s="953">
        <f t="shared" si="218"/>
        <v>0</v>
      </c>
      <c r="BA114" s="954">
        <f t="shared" si="183"/>
        <v>5.1328283217613332E-2</v>
      </c>
      <c r="BB114" s="126"/>
      <c r="BC114" s="1158">
        <f t="shared" si="184"/>
        <v>0</v>
      </c>
      <c r="BD114" s="1158">
        <f t="shared" si="185"/>
        <v>0</v>
      </c>
    </row>
    <row r="115" spans="1:56">
      <c r="A115" s="931" t="str">
        <f>+'Comm Price Out'!A91</f>
        <v>1.5 yd on call</v>
      </c>
      <c r="B115" s="932">
        <f>+'Comm Price Out'!B91</f>
        <v>0</v>
      </c>
      <c r="C115" s="933">
        <f t="shared" si="186"/>
        <v>0</v>
      </c>
      <c r="D115" s="957">
        <f>1/$E$2</f>
        <v>0.23094688221709006</v>
      </c>
      <c r="E115" s="933">
        <f t="shared" si="187"/>
        <v>12.009237875288683</v>
      </c>
      <c r="F115" s="933">
        <f t="shared" si="188"/>
        <v>0</v>
      </c>
      <c r="G115" s="933"/>
      <c r="H115" s="934">
        <f>+'Comm Price Out'!D91</f>
        <v>0</v>
      </c>
      <c r="I115" s="935">
        <f t="shared" si="189"/>
        <v>0</v>
      </c>
      <c r="J115" s="935">
        <f t="shared" si="190"/>
        <v>0</v>
      </c>
      <c r="K115" s="935">
        <f t="shared" si="191"/>
        <v>0</v>
      </c>
      <c r="L115" s="936">
        <f>L47</f>
        <v>150</v>
      </c>
      <c r="M115" s="937">
        <f t="shared" si="192"/>
        <v>147.64671091165806</v>
      </c>
      <c r="N115" s="938">
        <f t="shared" si="193"/>
        <v>0</v>
      </c>
      <c r="O115" s="939">
        <f t="shared" si="194"/>
        <v>0</v>
      </c>
      <c r="P115" s="888"/>
      <c r="Q115" s="940">
        <f>Q47</f>
        <v>80</v>
      </c>
      <c r="R115" s="941">
        <f t="shared" si="195"/>
        <v>0</v>
      </c>
      <c r="S115" s="941">
        <f t="shared" si="196"/>
        <v>0</v>
      </c>
      <c r="T115" s="942"/>
      <c r="U115" s="941" t="e">
        <f t="shared" si="197"/>
        <v>#VALUE!</v>
      </c>
      <c r="V115" s="943" t="e">
        <f t="shared" si="198"/>
        <v>#VALUE!</v>
      </c>
      <c r="W115" s="888"/>
      <c r="X115" s="892"/>
      <c r="Y115" s="935">
        <f t="shared" si="199"/>
        <v>0</v>
      </c>
      <c r="Z115" s="935">
        <f t="shared" si="200"/>
        <v>0</v>
      </c>
      <c r="AA115" s="944"/>
      <c r="AB115" s="933" t="e">
        <f t="shared" si="201"/>
        <v>#VALUE!</v>
      </c>
      <c r="AC115" s="933" t="e">
        <f t="shared" si="202"/>
        <v>#VALUE!</v>
      </c>
      <c r="AD115" s="933" t="e">
        <f t="shared" si="203"/>
        <v>#VALUE!</v>
      </c>
      <c r="AE115" s="892"/>
      <c r="AF115" s="933">
        <f t="shared" si="204"/>
        <v>0</v>
      </c>
      <c r="AG115" s="933">
        <f t="shared" si="205"/>
        <v>0</v>
      </c>
      <c r="AH115" s="892"/>
      <c r="AI115" s="892"/>
      <c r="AJ115" s="945" t="e">
        <f t="shared" si="206"/>
        <v>#VALUE!</v>
      </c>
      <c r="AK115" s="933">
        <f t="shared" si="207"/>
        <v>0</v>
      </c>
      <c r="AL115" s="933" t="e">
        <f t="shared" si="208"/>
        <v>#VALUE!</v>
      </c>
      <c r="AM115" s="933" t="e">
        <f t="shared" si="209"/>
        <v>#VALUE!</v>
      </c>
      <c r="AN115" s="933" t="e">
        <f t="shared" si="210"/>
        <v>#VALUE!</v>
      </c>
      <c r="AO115" s="933" t="e">
        <f t="shared" si="211"/>
        <v>#VALUE!</v>
      </c>
      <c r="AP115" s="946" t="e">
        <f t="shared" si="212"/>
        <v>#VALUE!</v>
      </c>
      <c r="AQ115" s="888"/>
      <c r="AR115" s="941">
        <f t="shared" si="213"/>
        <v>0</v>
      </c>
      <c r="AS115" s="888"/>
      <c r="AT115" s="947">
        <f t="shared" si="214"/>
        <v>0</v>
      </c>
      <c r="AU115" s="948">
        <f t="shared" si="215"/>
        <v>0</v>
      </c>
      <c r="AV115" s="949" t="str">
        <f t="shared" si="182"/>
        <v/>
      </c>
      <c r="AW115" s="950">
        <f t="shared" si="216"/>
        <v>0</v>
      </c>
      <c r="AX115" s="951">
        <f t="shared" si="217"/>
        <v>0</v>
      </c>
      <c r="AY115" s="952">
        <f>VLOOKUP(A115,'Comm Price Out'!$A$80:$G$145,7,FALSE)</f>
        <v>0</v>
      </c>
      <c r="AZ115" s="953">
        <f t="shared" si="218"/>
        <v>0</v>
      </c>
      <c r="BA115" s="954" t="str">
        <f t="shared" si="183"/>
        <v/>
      </c>
      <c r="BB115" s="126"/>
      <c r="BC115" s="1158">
        <f t="shared" si="184"/>
        <v>0</v>
      </c>
      <c r="BD115" s="1158">
        <f t="shared" si="185"/>
        <v>0</v>
      </c>
    </row>
    <row r="116" spans="1:56">
      <c r="A116" s="931" t="str">
        <f>+'Comm Price Out'!A92</f>
        <v>1.5 yd 1xweek</v>
      </c>
      <c r="B116" s="932">
        <f>+'Comm Price Out'!B92</f>
        <v>0</v>
      </c>
      <c r="C116" s="933">
        <f t="shared" si="186"/>
        <v>0</v>
      </c>
      <c r="D116" s="957">
        <v>1</v>
      </c>
      <c r="E116" s="933">
        <f t="shared" si="187"/>
        <v>52</v>
      </c>
      <c r="F116" s="933">
        <f t="shared" si="188"/>
        <v>0</v>
      </c>
      <c r="G116" s="933"/>
      <c r="H116" s="934">
        <f>+'Comm Price Out'!D92</f>
        <v>0</v>
      </c>
      <c r="I116" s="935">
        <f t="shared" si="189"/>
        <v>0</v>
      </c>
      <c r="J116" s="935">
        <f t="shared" si="190"/>
        <v>0</v>
      </c>
      <c r="K116" s="935">
        <f t="shared" si="191"/>
        <v>0</v>
      </c>
      <c r="L116" s="936">
        <f t="shared" si="219"/>
        <v>150</v>
      </c>
      <c r="M116" s="937">
        <f t="shared" si="192"/>
        <v>147.64671091165806</v>
      </c>
      <c r="N116" s="938">
        <f t="shared" si="193"/>
        <v>0</v>
      </c>
      <c r="O116" s="939">
        <f t="shared" si="194"/>
        <v>0</v>
      </c>
      <c r="P116" s="888"/>
      <c r="Q116" s="940">
        <f t="shared" si="220"/>
        <v>80</v>
      </c>
      <c r="R116" s="941">
        <f t="shared" si="195"/>
        <v>0</v>
      </c>
      <c r="S116" s="941">
        <f t="shared" si="196"/>
        <v>0</v>
      </c>
      <c r="T116" s="942"/>
      <c r="U116" s="941" t="e">
        <f t="shared" si="197"/>
        <v>#VALUE!</v>
      </c>
      <c r="V116" s="943" t="e">
        <f t="shared" si="198"/>
        <v>#VALUE!</v>
      </c>
      <c r="W116" s="888"/>
      <c r="X116" s="892"/>
      <c r="Y116" s="935">
        <f t="shared" si="199"/>
        <v>0</v>
      </c>
      <c r="Z116" s="935">
        <f t="shared" si="200"/>
        <v>0</v>
      </c>
      <c r="AA116" s="944"/>
      <c r="AB116" s="933" t="e">
        <f t="shared" si="201"/>
        <v>#VALUE!</v>
      </c>
      <c r="AC116" s="933" t="e">
        <f t="shared" si="202"/>
        <v>#VALUE!</v>
      </c>
      <c r="AD116" s="933" t="e">
        <f t="shared" si="203"/>
        <v>#VALUE!</v>
      </c>
      <c r="AE116" s="892"/>
      <c r="AF116" s="933">
        <f t="shared" si="204"/>
        <v>0</v>
      </c>
      <c r="AG116" s="933">
        <f t="shared" si="205"/>
        <v>0</v>
      </c>
      <c r="AH116" s="892"/>
      <c r="AI116" s="892"/>
      <c r="AJ116" s="945" t="e">
        <f t="shared" si="206"/>
        <v>#VALUE!</v>
      </c>
      <c r="AK116" s="933">
        <f t="shared" si="207"/>
        <v>0</v>
      </c>
      <c r="AL116" s="933" t="e">
        <f t="shared" si="208"/>
        <v>#VALUE!</v>
      </c>
      <c r="AM116" s="933" t="e">
        <f t="shared" si="209"/>
        <v>#VALUE!</v>
      </c>
      <c r="AN116" s="933" t="e">
        <f t="shared" si="210"/>
        <v>#VALUE!</v>
      </c>
      <c r="AO116" s="933" t="e">
        <f t="shared" si="211"/>
        <v>#VALUE!</v>
      </c>
      <c r="AP116" s="946" t="e">
        <f t="shared" si="212"/>
        <v>#VALUE!</v>
      </c>
      <c r="AQ116" s="888"/>
      <c r="AR116" s="941">
        <f t="shared" si="213"/>
        <v>0</v>
      </c>
      <c r="AS116" s="888"/>
      <c r="AT116" s="947">
        <f t="shared" si="214"/>
        <v>0</v>
      </c>
      <c r="AU116" s="948">
        <f t="shared" si="215"/>
        <v>0</v>
      </c>
      <c r="AV116" s="949" t="str">
        <f t="shared" si="182"/>
        <v/>
      </c>
      <c r="AW116" s="950">
        <f t="shared" si="216"/>
        <v>0</v>
      </c>
      <c r="AX116" s="951">
        <f t="shared" si="217"/>
        <v>0</v>
      </c>
      <c r="AY116" s="952">
        <f>VLOOKUP(A116,'Comm Price Out'!$A$80:$G$145,7,FALSE)</f>
        <v>0</v>
      </c>
      <c r="AZ116" s="953">
        <f t="shared" si="218"/>
        <v>0</v>
      </c>
      <c r="BA116" s="954" t="str">
        <f t="shared" si="183"/>
        <v/>
      </c>
      <c r="BB116" s="126"/>
      <c r="BC116" s="1158">
        <f t="shared" si="184"/>
        <v>0</v>
      </c>
      <c r="BD116" s="1158">
        <f t="shared" si="185"/>
        <v>0</v>
      </c>
    </row>
    <row r="117" spans="1:56">
      <c r="A117" s="931" t="str">
        <f>+'Comm Price Out'!A93</f>
        <v>1.5 yd 2xweek</v>
      </c>
      <c r="B117" s="932">
        <f>+'Comm Price Out'!B93</f>
        <v>0</v>
      </c>
      <c r="C117" s="933">
        <f t="shared" si="186"/>
        <v>0</v>
      </c>
      <c r="D117" s="957">
        <v>2</v>
      </c>
      <c r="E117" s="933">
        <f t="shared" si="187"/>
        <v>104</v>
      </c>
      <c r="F117" s="933">
        <f t="shared" si="188"/>
        <v>0</v>
      </c>
      <c r="G117" s="933"/>
      <c r="H117" s="934">
        <f>+'Comm Price Out'!D93</f>
        <v>0</v>
      </c>
      <c r="I117" s="935">
        <f t="shared" si="189"/>
        <v>0</v>
      </c>
      <c r="J117" s="935">
        <f t="shared" si="190"/>
        <v>0</v>
      </c>
      <c r="K117" s="935">
        <f t="shared" si="191"/>
        <v>0</v>
      </c>
      <c r="L117" s="936">
        <f t="shared" si="219"/>
        <v>150</v>
      </c>
      <c r="M117" s="937">
        <f t="shared" si="192"/>
        <v>147.64671091165806</v>
      </c>
      <c r="N117" s="938">
        <f t="shared" si="193"/>
        <v>0</v>
      </c>
      <c r="O117" s="939">
        <f t="shared" si="194"/>
        <v>0</v>
      </c>
      <c r="P117" s="888"/>
      <c r="Q117" s="940">
        <f t="shared" si="220"/>
        <v>80</v>
      </c>
      <c r="R117" s="941">
        <f t="shared" si="195"/>
        <v>0</v>
      </c>
      <c r="S117" s="941">
        <f t="shared" si="196"/>
        <v>0</v>
      </c>
      <c r="T117" s="942"/>
      <c r="U117" s="941" t="e">
        <f t="shared" si="197"/>
        <v>#VALUE!</v>
      </c>
      <c r="V117" s="943" t="e">
        <f t="shared" si="198"/>
        <v>#VALUE!</v>
      </c>
      <c r="W117" s="888"/>
      <c r="X117" s="892"/>
      <c r="Y117" s="935">
        <f t="shared" si="199"/>
        <v>0</v>
      </c>
      <c r="Z117" s="935">
        <f t="shared" si="200"/>
        <v>0</v>
      </c>
      <c r="AA117" s="944"/>
      <c r="AB117" s="933" t="e">
        <f t="shared" si="201"/>
        <v>#VALUE!</v>
      </c>
      <c r="AC117" s="933" t="e">
        <f t="shared" si="202"/>
        <v>#VALUE!</v>
      </c>
      <c r="AD117" s="933" t="e">
        <f t="shared" si="203"/>
        <v>#VALUE!</v>
      </c>
      <c r="AE117" s="892"/>
      <c r="AF117" s="933">
        <f t="shared" si="204"/>
        <v>0</v>
      </c>
      <c r="AG117" s="933">
        <f t="shared" si="205"/>
        <v>0</v>
      </c>
      <c r="AH117" s="892"/>
      <c r="AI117" s="892"/>
      <c r="AJ117" s="945" t="e">
        <f t="shared" si="206"/>
        <v>#VALUE!</v>
      </c>
      <c r="AK117" s="933">
        <f t="shared" si="207"/>
        <v>0</v>
      </c>
      <c r="AL117" s="933" t="e">
        <f t="shared" si="208"/>
        <v>#VALUE!</v>
      </c>
      <c r="AM117" s="933" t="e">
        <f t="shared" si="209"/>
        <v>#VALUE!</v>
      </c>
      <c r="AN117" s="933" t="e">
        <f t="shared" si="210"/>
        <v>#VALUE!</v>
      </c>
      <c r="AO117" s="933" t="e">
        <f t="shared" si="211"/>
        <v>#VALUE!</v>
      </c>
      <c r="AP117" s="946" t="e">
        <f t="shared" si="212"/>
        <v>#VALUE!</v>
      </c>
      <c r="AQ117" s="888"/>
      <c r="AR117" s="941">
        <f t="shared" si="213"/>
        <v>0</v>
      </c>
      <c r="AS117" s="888"/>
      <c r="AT117" s="947">
        <f t="shared" si="214"/>
        <v>0</v>
      </c>
      <c r="AU117" s="948">
        <f t="shared" si="215"/>
        <v>0</v>
      </c>
      <c r="AV117" s="949" t="str">
        <f t="shared" si="182"/>
        <v/>
      </c>
      <c r="AW117" s="950">
        <f t="shared" si="216"/>
        <v>0</v>
      </c>
      <c r="AX117" s="951">
        <f t="shared" si="217"/>
        <v>0</v>
      </c>
      <c r="AY117" s="952">
        <f>VLOOKUP(A117,'Comm Price Out'!$A$80:$G$145,7,FALSE)</f>
        <v>0</v>
      </c>
      <c r="AZ117" s="953">
        <f t="shared" si="218"/>
        <v>0</v>
      </c>
      <c r="BA117" s="954" t="str">
        <f t="shared" si="183"/>
        <v/>
      </c>
      <c r="BB117" s="126"/>
      <c r="BC117" s="1158">
        <f t="shared" si="184"/>
        <v>0</v>
      </c>
      <c r="BD117" s="1158">
        <f t="shared" si="185"/>
        <v>0</v>
      </c>
    </row>
    <row r="118" spans="1:56">
      <c r="A118" s="931" t="str">
        <f>+'Comm Price Out'!A94</f>
        <v>1.5 yd 3xweek</v>
      </c>
      <c r="B118" s="932">
        <f>+'Comm Price Out'!B94</f>
        <v>0</v>
      </c>
      <c r="C118" s="933">
        <f t="shared" si="186"/>
        <v>0</v>
      </c>
      <c r="D118" s="957">
        <v>3</v>
      </c>
      <c r="E118" s="933">
        <f t="shared" si="187"/>
        <v>156</v>
      </c>
      <c r="F118" s="933">
        <f t="shared" si="188"/>
        <v>0</v>
      </c>
      <c r="G118" s="933"/>
      <c r="H118" s="934">
        <f>+'Comm Price Out'!D94</f>
        <v>0</v>
      </c>
      <c r="I118" s="935">
        <f t="shared" si="189"/>
        <v>0</v>
      </c>
      <c r="J118" s="935">
        <f t="shared" si="190"/>
        <v>0</v>
      </c>
      <c r="K118" s="935">
        <f t="shared" si="191"/>
        <v>0</v>
      </c>
      <c r="L118" s="936">
        <f t="shared" si="219"/>
        <v>150</v>
      </c>
      <c r="M118" s="937">
        <f t="shared" si="192"/>
        <v>147.64671091165806</v>
      </c>
      <c r="N118" s="938">
        <f t="shared" si="193"/>
        <v>0</v>
      </c>
      <c r="O118" s="939">
        <f t="shared" si="194"/>
        <v>0</v>
      </c>
      <c r="P118" s="888"/>
      <c r="Q118" s="940">
        <f t="shared" si="220"/>
        <v>80</v>
      </c>
      <c r="R118" s="941">
        <f t="shared" si="195"/>
        <v>0</v>
      </c>
      <c r="S118" s="941">
        <f t="shared" si="196"/>
        <v>0</v>
      </c>
      <c r="T118" s="942"/>
      <c r="U118" s="941" t="e">
        <f t="shared" si="197"/>
        <v>#VALUE!</v>
      </c>
      <c r="V118" s="943" t="e">
        <f t="shared" si="198"/>
        <v>#VALUE!</v>
      </c>
      <c r="W118" s="888"/>
      <c r="X118" s="892"/>
      <c r="Y118" s="935">
        <f t="shared" si="199"/>
        <v>0</v>
      </c>
      <c r="Z118" s="935">
        <f t="shared" si="200"/>
        <v>0</v>
      </c>
      <c r="AA118" s="944"/>
      <c r="AB118" s="933" t="e">
        <f t="shared" si="201"/>
        <v>#VALUE!</v>
      </c>
      <c r="AC118" s="933" t="e">
        <f t="shared" si="202"/>
        <v>#VALUE!</v>
      </c>
      <c r="AD118" s="933" t="e">
        <f t="shared" si="203"/>
        <v>#VALUE!</v>
      </c>
      <c r="AE118" s="892"/>
      <c r="AF118" s="933">
        <f t="shared" si="204"/>
        <v>0</v>
      </c>
      <c r="AG118" s="933">
        <f t="shared" si="205"/>
        <v>0</v>
      </c>
      <c r="AH118" s="892"/>
      <c r="AI118" s="892"/>
      <c r="AJ118" s="945" t="e">
        <f t="shared" si="206"/>
        <v>#VALUE!</v>
      </c>
      <c r="AK118" s="933">
        <f t="shared" si="207"/>
        <v>0</v>
      </c>
      <c r="AL118" s="933" t="e">
        <f t="shared" si="208"/>
        <v>#VALUE!</v>
      </c>
      <c r="AM118" s="933" t="e">
        <f t="shared" si="209"/>
        <v>#VALUE!</v>
      </c>
      <c r="AN118" s="933" t="e">
        <f t="shared" si="210"/>
        <v>#VALUE!</v>
      </c>
      <c r="AO118" s="933" t="e">
        <f t="shared" si="211"/>
        <v>#VALUE!</v>
      </c>
      <c r="AP118" s="946" t="e">
        <f t="shared" si="212"/>
        <v>#VALUE!</v>
      </c>
      <c r="AQ118" s="888"/>
      <c r="AR118" s="941">
        <f t="shared" si="213"/>
        <v>0</v>
      </c>
      <c r="AS118" s="888"/>
      <c r="AT118" s="947">
        <f t="shared" si="214"/>
        <v>0</v>
      </c>
      <c r="AU118" s="948">
        <f t="shared" si="215"/>
        <v>0</v>
      </c>
      <c r="AV118" s="949" t="str">
        <f t="shared" si="182"/>
        <v/>
      </c>
      <c r="AW118" s="950">
        <f t="shared" si="216"/>
        <v>0</v>
      </c>
      <c r="AX118" s="951">
        <f t="shared" si="217"/>
        <v>0</v>
      </c>
      <c r="AY118" s="952">
        <f>VLOOKUP(A118,'Comm Price Out'!$A$80:$G$145,7,FALSE)</f>
        <v>0</v>
      </c>
      <c r="AZ118" s="953">
        <f t="shared" si="218"/>
        <v>0</v>
      </c>
      <c r="BA118" s="954" t="str">
        <f t="shared" si="183"/>
        <v/>
      </c>
      <c r="BC118" s="1158">
        <f t="shared" si="184"/>
        <v>0</v>
      </c>
      <c r="BD118" s="1158">
        <f t="shared" si="185"/>
        <v>0</v>
      </c>
    </row>
    <row r="119" spans="1:56">
      <c r="A119" s="931" t="str">
        <f>+'Comm Price Out'!A95</f>
        <v>2 yd Comp Week</v>
      </c>
      <c r="B119" s="932">
        <f>+'Comm Price Out'!B95</f>
        <v>0</v>
      </c>
      <c r="C119" s="933">
        <f t="shared" si="186"/>
        <v>0</v>
      </c>
      <c r="D119" s="957">
        <v>1</v>
      </c>
      <c r="E119" s="933">
        <f t="shared" si="187"/>
        <v>52</v>
      </c>
      <c r="F119" s="933">
        <f t="shared" si="188"/>
        <v>0</v>
      </c>
      <c r="G119" s="933"/>
      <c r="H119" s="934">
        <f>+'Comm Price Out'!D95</f>
        <v>0</v>
      </c>
      <c r="I119" s="935">
        <f t="shared" si="189"/>
        <v>0</v>
      </c>
      <c r="J119" s="935">
        <f t="shared" si="190"/>
        <v>0</v>
      </c>
      <c r="K119" s="935">
        <f t="shared" si="191"/>
        <v>0</v>
      </c>
      <c r="L119" s="936">
        <f t="shared" ref="L119:L133" si="221">L52</f>
        <v>520.4</v>
      </c>
      <c r="M119" s="937">
        <f t="shared" si="192"/>
        <v>512.23565572284565</v>
      </c>
      <c r="N119" s="938">
        <f t="shared" si="193"/>
        <v>0</v>
      </c>
      <c r="O119" s="939">
        <f t="shared" si="194"/>
        <v>0</v>
      </c>
      <c r="P119" s="888"/>
      <c r="Q119" s="940">
        <f t="shared" ref="Q119:Q133" si="222">Q52</f>
        <v>80</v>
      </c>
      <c r="R119" s="941">
        <f t="shared" si="195"/>
        <v>0</v>
      </c>
      <c r="S119" s="941">
        <f t="shared" si="196"/>
        <v>0</v>
      </c>
      <c r="T119" s="942"/>
      <c r="U119" s="941" t="e">
        <f t="shared" si="197"/>
        <v>#VALUE!</v>
      </c>
      <c r="V119" s="943" t="e">
        <f t="shared" si="198"/>
        <v>#VALUE!</v>
      </c>
      <c r="W119" s="888"/>
      <c r="X119" s="892"/>
      <c r="Y119" s="935">
        <f t="shared" si="199"/>
        <v>0</v>
      </c>
      <c r="Z119" s="935">
        <f t="shared" si="200"/>
        <v>0</v>
      </c>
      <c r="AA119" s="944"/>
      <c r="AB119" s="933" t="e">
        <f t="shared" si="201"/>
        <v>#VALUE!</v>
      </c>
      <c r="AC119" s="933" t="e">
        <f t="shared" si="202"/>
        <v>#VALUE!</v>
      </c>
      <c r="AD119" s="933" t="e">
        <f t="shared" si="203"/>
        <v>#VALUE!</v>
      </c>
      <c r="AE119" s="892"/>
      <c r="AF119" s="933">
        <f t="shared" si="204"/>
        <v>0</v>
      </c>
      <c r="AG119" s="933">
        <f t="shared" si="205"/>
        <v>0</v>
      </c>
      <c r="AH119" s="892"/>
      <c r="AI119" s="892"/>
      <c r="AJ119" s="945" t="e">
        <f t="shared" si="206"/>
        <v>#VALUE!</v>
      </c>
      <c r="AK119" s="933">
        <f t="shared" si="207"/>
        <v>0</v>
      </c>
      <c r="AL119" s="933" t="e">
        <f t="shared" si="208"/>
        <v>#VALUE!</v>
      </c>
      <c r="AM119" s="933" t="e">
        <f t="shared" si="209"/>
        <v>#VALUE!</v>
      </c>
      <c r="AN119" s="933" t="e">
        <f t="shared" si="210"/>
        <v>#VALUE!</v>
      </c>
      <c r="AO119" s="933" t="e">
        <f t="shared" si="211"/>
        <v>#VALUE!</v>
      </c>
      <c r="AP119" s="946" t="e">
        <f t="shared" si="212"/>
        <v>#VALUE!</v>
      </c>
      <c r="AQ119" s="888"/>
      <c r="AR119" s="941">
        <f t="shared" si="213"/>
        <v>0</v>
      </c>
      <c r="AS119" s="888"/>
      <c r="AT119" s="947">
        <f t="shared" si="214"/>
        <v>0</v>
      </c>
      <c r="AU119" s="948">
        <f t="shared" si="215"/>
        <v>0</v>
      </c>
      <c r="AV119" s="949" t="str">
        <f t="shared" si="182"/>
        <v/>
      </c>
      <c r="AW119" s="950">
        <f t="shared" si="216"/>
        <v>0</v>
      </c>
      <c r="AX119" s="951">
        <f t="shared" si="217"/>
        <v>0</v>
      </c>
      <c r="AY119" s="952">
        <f>VLOOKUP(A119,'Comm Price Out'!$A$80:$G$145,7,FALSE)</f>
        <v>0</v>
      </c>
      <c r="AZ119" s="953">
        <f t="shared" si="218"/>
        <v>0</v>
      </c>
      <c r="BA119" s="954" t="str">
        <f t="shared" si="183"/>
        <v/>
      </c>
      <c r="BC119" s="1158">
        <f t="shared" si="184"/>
        <v>0</v>
      </c>
      <c r="BD119" s="1158">
        <f t="shared" si="185"/>
        <v>0</v>
      </c>
    </row>
    <row r="120" spans="1:56">
      <c r="A120" s="931" t="str">
        <f>+'Comm Price Out'!A96</f>
        <v>2 yd Comp Week (5x Comp)</v>
      </c>
      <c r="B120" s="932">
        <f>+'Comm Price Out'!B96</f>
        <v>0</v>
      </c>
      <c r="C120" s="933">
        <f t="shared" si="186"/>
        <v>0</v>
      </c>
      <c r="D120" s="957">
        <v>1</v>
      </c>
      <c r="E120" s="933">
        <f t="shared" si="187"/>
        <v>52</v>
      </c>
      <c r="F120" s="933">
        <f t="shared" si="188"/>
        <v>0</v>
      </c>
      <c r="G120" s="933"/>
      <c r="H120" s="934">
        <f>+'Comm Price Out'!D96</f>
        <v>0</v>
      </c>
      <c r="I120" s="935">
        <f t="shared" si="189"/>
        <v>0</v>
      </c>
      <c r="J120" s="935">
        <f t="shared" si="190"/>
        <v>0</v>
      </c>
      <c r="K120" s="935">
        <f t="shared" si="191"/>
        <v>0</v>
      </c>
      <c r="L120" s="936">
        <f t="shared" si="221"/>
        <v>743.42857142857144</v>
      </c>
      <c r="M120" s="937">
        <f t="shared" si="192"/>
        <v>731.76522246120817</v>
      </c>
      <c r="N120" s="938">
        <f t="shared" si="193"/>
        <v>0</v>
      </c>
      <c r="O120" s="939">
        <f t="shared" si="194"/>
        <v>0</v>
      </c>
      <c r="P120" s="888"/>
      <c r="Q120" s="940">
        <f t="shared" si="222"/>
        <v>114.28571428571429</v>
      </c>
      <c r="R120" s="941">
        <f t="shared" si="195"/>
        <v>0</v>
      </c>
      <c r="S120" s="941">
        <f t="shared" si="196"/>
        <v>0</v>
      </c>
      <c r="T120" s="942"/>
      <c r="U120" s="941" t="e">
        <f t="shared" si="197"/>
        <v>#VALUE!</v>
      </c>
      <c r="V120" s="943" t="e">
        <f t="shared" si="198"/>
        <v>#VALUE!</v>
      </c>
      <c r="W120" s="888"/>
      <c r="X120" s="892"/>
      <c r="Y120" s="935">
        <f t="shared" si="199"/>
        <v>0</v>
      </c>
      <c r="Z120" s="935">
        <f t="shared" si="200"/>
        <v>0</v>
      </c>
      <c r="AA120" s="944"/>
      <c r="AB120" s="933" t="e">
        <f t="shared" si="201"/>
        <v>#VALUE!</v>
      </c>
      <c r="AC120" s="933" t="e">
        <f t="shared" si="202"/>
        <v>#VALUE!</v>
      </c>
      <c r="AD120" s="933" t="e">
        <f t="shared" si="203"/>
        <v>#VALUE!</v>
      </c>
      <c r="AE120" s="892"/>
      <c r="AF120" s="933">
        <f t="shared" si="204"/>
        <v>0</v>
      </c>
      <c r="AG120" s="933">
        <f t="shared" si="205"/>
        <v>0</v>
      </c>
      <c r="AH120" s="892"/>
      <c r="AI120" s="892"/>
      <c r="AJ120" s="945" t="e">
        <f t="shared" si="206"/>
        <v>#VALUE!</v>
      </c>
      <c r="AK120" s="933">
        <f t="shared" si="207"/>
        <v>0</v>
      </c>
      <c r="AL120" s="933" t="e">
        <f t="shared" si="208"/>
        <v>#VALUE!</v>
      </c>
      <c r="AM120" s="933" t="e">
        <f t="shared" si="209"/>
        <v>#VALUE!</v>
      </c>
      <c r="AN120" s="933" t="e">
        <f t="shared" si="210"/>
        <v>#VALUE!</v>
      </c>
      <c r="AO120" s="933" t="e">
        <f t="shared" si="211"/>
        <v>#VALUE!</v>
      </c>
      <c r="AP120" s="946" t="e">
        <f t="shared" si="212"/>
        <v>#VALUE!</v>
      </c>
      <c r="AQ120" s="888"/>
      <c r="AR120" s="941">
        <f t="shared" si="213"/>
        <v>0</v>
      </c>
      <c r="AS120" s="888"/>
      <c r="AT120" s="947">
        <f t="shared" si="214"/>
        <v>0</v>
      </c>
      <c r="AU120" s="948">
        <f t="shared" si="215"/>
        <v>0</v>
      </c>
      <c r="AV120" s="949" t="str">
        <f t="shared" si="182"/>
        <v/>
      </c>
      <c r="AW120" s="950">
        <f t="shared" si="216"/>
        <v>0</v>
      </c>
      <c r="AX120" s="951">
        <f t="shared" si="217"/>
        <v>0</v>
      </c>
      <c r="AY120" s="952">
        <f>VLOOKUP(A120,'Comm Price Out'!$A$80:$G$145,7,FALSE)</f>
        <v>0</v>
      </c>
      <c r="AZ120" s="953">
        <f t="shared" si="218"/>
        <v>0</v>
      </c>
      <c r="BA120" s="954" t="str">
        <f t="shared" si="183"/>
        <v/>
      </c>
      <c r="BC120" s="1158">
        <f t="shared" si="184"/>
        <v>0</v>
      </c>
      <c r="BD120" s="1158">
        <f t="shared" si="185"/>
        <v>0</v>
      </c>
    </row>
    <row r="121" spans="1:56">
      <c r="A121" s="931" t="str">
        <f>+'Comm Price Out'!A97</f>
        <v>2yd On Call</v>
      </c>
      <c r="B121" s="932">
        <f>+'Comm Price Out'!B97</f>
        <v>0</v>
      </c>
      <c r="C121" s="933">
        <f t="shared" si="186"/>
        <v>0</v>
      </c>
      <c r="D121" s="957">
        <f>1/$E$2</f>
        <v>0.23094688221709006</v>
      </c>
      <c r="E121" s="933">
        <f t="shared" si="187"/>
        <v>12.009237875288683</v>
      </c>
      <c r="F121" s="933">
        <f t="shared" si="188"/>
        <v>0</v>
      </c>
      <c r="G121" s="933"/>
      <c r="H121" s="934">
        <f>+'Comm Price Out'!D97</f>
        <v>38.24</v>
      </c>
      <c r="I121" s="935">
        <f t="shared" si="189"/>
        <v>0</v>
      </c>
      <c r="J121" s="935">
        <f t="shared" si="190"/>
        <v>0</v>
      </c>
      <c r="K121" s="935">
        <f t="shared" si="191"/>
        <v>0</v>
      </c>
      <c r="L121" s="936">
        <f t="shared" si="221"/>
        <v>194.4</v>
      </c>
      <c r="M121" s="937">
        <f t="shared" si="192"/>
        <v>191.35013734150886</v>
      </c>
      <c r="N121" s="938">
        <f t="shared" si="193"/>
        <v>0</v>
      </c>
      <c r="O121" s="939">
        <f t="shared" si="194"/>
        <v>0</v>
      </c>
      <c r="P121" s="888"/>
      <c r="Q121" s="940">
        <f t="shared" si="222"/>
        <v>80</v>
      </c>
      <c r="R121" s="941">
        <f t="shared" si="195"/>
        <v>0</v>
      </c>
      <c r="S121" s="941">
        <f t="shared" si="196"/>
        <v>0</v>
      </c>
      <c r="T121" s="942"/>
      <c r="U121" s="941" t="e">
        <f t="shared" si="197"/>
        <v>#VALUE!</v>
      </c>
      <c r="V121" s="943" t="e">
        <f t="shared" si="198"/>
        <v>#VALUE!</v>
      </c>
      <c r="W121" s="888"/>
      <c r="X121" s="892"/>
      <c r="Y121" s="935">
        <f t="shared" si="199"/>
        <v>0</v>
      </c>
      <c r="Z121" s="935">
        <f t="shared" si="200"/>
        <v>0</v>
      </c>
      <c r="AA121" s="944"/>
      <c r="AB121" s="933" t="e">
        <f t="shared" si="201"/>
        <v>#VALUE!</v>
      </c>
      <c r="AC121" s="933" t="e">
        <f t="shared" si="202"/>
        <v>#VALUE!</v>
      </c>
      <c r="AD121" s="933" t="e">
        <f t="shared" si="203"/>
        <v>#VALUE!</v>
      </c>
      <c r="AE121" s="892"/>
      <c r="AF121" s="933">
        <f t="shared" si="204"/>
        <v>0</v>
      </c>
      <c r="AG121" s="933">
        <f t="shared" si="205"/>
        <v>0</v>
      </c>
      <c r="AH121" s="892"/>
      <c r="AI121" s="892"/>
      <c r="AJ121" s="945" t="e">
        <f t="shared" si="206"/>
        <v>#VALUE!</v>
      </c>
      <c r="AK121" s="933">
        <f t="shared" si="207"/>
        <v>0</v>
      </c>
      <c r="AL121" s="933" t="e">
        <f t="shared" si="208"/>
        <v>#VALUE!</v>
      </c>
      <c r="AM121" s="933" t="e">
        <f t="shared" si="209"/>
        <v>#VALUE!</v>
      </c>
      <c r="AN121" s="933" t="e">
        <f t="shared" si="210"/>
        <v>#VALUE!</v>
      </c>
      <c r="AO121" s="933" t="e">
        <f t="shared" si="211"/>
        <v>#VALUE!</v>
      </c>
      <c r="AP121" s="946" t="e">
        <f t="shared" si="212"/>
        <v>#VALUE!</v>
      </c>
      <c r="AQ121" s="888"/>
      <c r="AR121" s="941">
        <f t="shared" si="213"/>
        <v>0</v>
      </c>
      <c r="AS121" s="888"/>
      <c r="AT121" s="947">
        <f t="shared" si="214"/>
        <v>0</v>
      </c>
      <c r="AU121" s="948">
        <f t="shared" si="215"/>
        <v>0</v>
      </c>
      <c r="AV121" s="949" t="str">
        <f t="shared" si="182"/>
        <v/>
      </c>
      <c r="AW121" s="950">
        <f t="shared" si="216"/>
        <v>38.24</v>
      </c>
      <c r="AX121" s="951">
        <f t="shared" si="217"/>
        <v>0</v>
      </c>
      <c r="AY121" s="952">
        <f>VLOOKUP(A121,'Comm Price Out'!$A$80:$G$145,7,FALSE)</f>
        <v>40.202793550241537</v>
      </c>
      <c r="AZ121" s="953">
        <f t="shared" si="218"/>
        <v>0</v>
      </c>
      <c r="BA121" s="954">
        <f t="shared" si="183"/>
        <v>5.1328283217613374E-2</v>
      </c>
      <c r="BC121" s="1158">
        <f t="shared" si="184"/>
        <v>0</v>
      </c>
      <c r="BD121" s="1158">
        <f t="shared" si="185"/>
        <v>0</v>
      </c>
    </row>
    <row r="122" spans="1:56">
      <c r="A122" s="931" t="str">
        <f>+'Comm Price Out'!A98</f>
        <v>2 yd 1xweek</v>
      </c>
      <c r="B122" s="932">
        <f>+'Comm Price Out'!B98</f>
        <v>14</v>
      </c>
      <c r="C122" s="933">
        <f t="shared" si="186"/>
        <v>14.243281966750011</v>
      </c>
      <c r="D122" s="957">
        <v>1</v>
      </c>
      <c r="E122" s="933">
        <f t="shared" si="187"/>
        <v>52</v>
      </c>
      <c r="F122" s="933">
        <f t="shared" si="188"/>
        <v>14.243281966750011</v>
      </c>
      <c r="G122" s="933"/>
      <c r="H122" s="934">
        <f>+'Comm Price Out'!D98</f>
        <v>34.200000000000003</v>
      </c>
      <c r="I122" s="935">
        <f t="shared" si="189"/>
        <v>2073.2040000000002</v>
      </c>
      <c r="J122" s="935">
        <f t="shared" si="190"/>
        <v>24878.448000000004</v>
      </c>
      <c r="K122" s="935">
        <f t="shared" si="191"/>
        <v>25310.767839937707</v>
      </c>
      <c r="L122" s="936">
        <f t="shared" si="221"/>
        <v>194.4</v>
      </c>
      <c r="M122" s="937">
        <f t="shared" si="192"/>
        <v>191.35013734150886</v>
      </c>
      <c r="N122" s="938">
        <f t="shared" si="193"/>
        <v>71.989999999999995</v>
      </c>
      <c r="O122" s="939">
        <f t="shared" si="194"/>
        <v>70.860578123535092</v>
      </c>
      <c r="P122" s="888"/>
      <c r="Q122" s="940">
        <f t="shared" si="222"/>
        <v>80</v>
      </c>
      <c r="R122" s="941">
        <f t="shared" si="195"/>
        <v>16.458903606022233</v>
      </c>
      <c r="S122" s="941">
        <f t="shared" si="196"/>
        <v>16.458903606022233</v>
      </c>
      <c r="T122" s="942"/>
      <c r="U122" s="941" t="e">
        <f t="shared" si="197"/>
        <v>#VALUE!</v>
      </c>
      <c r="V122" s="943" t="e">
        <f t="shared" si="198"/>
        <v>#VALUE!</v>
      </c>
      <c r="W122" s="888"/>
      <c r="X122" s="892"/>
      <c r="Y122" s="935">
        <f t="shared" si="199"/>
        <v>2970.8916659483057</v>
      </c>
      <c r="Z122" s="935">
        <f t="shared" si="200"/>
        <v>6949.9653260264604</v>
      </c>
      <c r="AA122" s="944"/>
      <c r="AB122" s="933" t="e">
        <f t="shared" si="201"/>
        <v>#VALUE!</v>
      </c>
      <c r="AC122" s="933" t="e">
        <f t="shared" si="202"/>
        <v>#VALUE!</v>
      </c>
      <c r="AD122" s="933" t="e">
        <f t="shared" si="203"/>
        <v>#VALUE!</v>
      </c>
      <c r="AE122" s="892"/>
      <c r="AF122" s="933">
        <f t="shared" si="204"/>
        <v>0</v>
      </c>
      <c r="AG122" s="933">
        <f t="shared" si="205"/>
        <v>0</v>
      </c>
      <c r="AH122" s="892"/>
      <c r="AI122" s="892"/>
      <c r="AJ122" s="945" t="e">
        <f t="shared" si="206"/>
        <v>#VALUE!</v>
      </c>
      <c r="AK122" s="933">
        <f t="shared" si="207"/>
        <v>0</v>
      </c>
      <c r="AL122" s="933" t="e">
        <f t="shared" si="208"/>
        <v>#VALUE!</v>
      </c>
      <c r="AM122" s="933" t="e">
        <f t="shared" si="209"/>
        <v>#VALUE!</v>
      </c>
      <c r="AN122" s="933" t="e">
        <f t="shared" si="210"/>
        <v>#VALUE!</v>
      </c>
      <c r="AO122" s="933" t="e">
        <f t="shared" si="211"/>
        <v>#VALUE!</v>
      </c>
      <c r="AP122" s="946" t="e">
        <f t="shared" si="212"/>
        <v>#VALUE!</v>
      </c>
      <c r="AQ122" s="888"/>
      <c r="AR122" s="941">
        <f t="shared" si="213"/>
        <v>0</v>
      </c>
      <c r="AS122" s="888"/>
      <c r="AT122" s="947">
        <f t="shared" si="214"/>
        <v>0</v>
      </c>
      <c r="AU122" s="948">
        <f t="shared" si="215"/>
        <v>0</v>
      </c>
      <c r="AV122" s="949" t="str">
        <f t="shared" si="182"/>
        <v/>
      </c>
      <c r="AW122" s="950">
        <f t="shared" si="216"/>
        <v>34.200000000000003</v>
      </c>
      <c r="AX122" s="951">
        <f t="shared" si="217"/>
        <v>25330.252649668222</v>
      </c>
      <c r="AY122" s="952">
        <f>VLOOKUP(A122,'Comm Price Out'!$A$80:$G$145,7,FALSE)</f>
        <v>35.955427286042379</v>
      </c>
      <c r="AZ122" s="953">
        <f t="shared" si="218"/>
        <v>26630.411031644093</v>
      </c>
      <c r="BA122" s="954">
        <f t="shared" si="183"/>
        <v>5.1328283217613346E-2</v>
      </c>
      <c r="BB122" s="126"/>
      <c r="BC122" s="1158">
        <f t="shared" si="184"/>
        <v>-25330.252649668222</v>
      </c>
      <c r="BD122" s="1158">
        <f t="shared" si="185"/>
        <v>-26630.411031644093</v>
      </c>
    </row>
    <row r="123" spans="1:56">
      <c r="A123" s="931" t="str">
        <f>+'Comm Price Out'!A99</f>
        <v>2 yd 2xweek</v>
      </c>
      <c r="B123" s="932">
        <f>+'Comm Price Out'!B99</f>
        <v>1</v>
      </c>
      <c r="C123" s="933">
        <f t="shared" si="186"/>
        <v>1.0173772833392865</v>
      </c>
      <c r="D123" s="957">
        <v>2</v>
      </c>
      <c r="E123" s="933">
        <f t="shared" si="187"/>
        <v>104</v>
      </c>
      <c r="F123" s="933">
        <f t="shared" si="188"/>
        <v>1.0173772833392865</v>
      </c>
      <c r="G123" s="933"/>
      <c r="H123" s="934">
        <f>+'Comm Price Out'!D99</f>
        <v>34.200000000000003</v>
      </c>
      <c r="I123" s="935">
        <f t="shared" si="189"/>
        <v>296.17200000000003</v>
      </c>
      <c r="J123" s="935">
        <f t="shared" si="190"/>
        <v>3554.0640000000003</v>
      </c>
      <c r="K123" s="935">
        <f t="shared" si="191"/>
        <v>3615.8239771339581</v>
      </c>
      <c r="L123" s="936">
        <f t="shared" si="221"/>
        <v>194.4</v>
      </c>
      <c r="M123" s="937">
        <f t="shared" si="192"/>
        <v>191.35013734150886</v>
      </c>
      <c r="N123" s="938">
        <f t="shared" si="193"/>
        <v>10.28</v>
      </c>
      <c r="O123" s="939">
        <f t="shared" si="194"/>
        <v>10.118721254478965</v>
      </c>
      <c r="P123" s="888"/>
      <c r="Q123" s="940">
        <f t="shared" si="222"/>
        <v>80</v>
      </c>
      <c r="R123" s="941">
        <f t="shared" si="195"/>
        <v>2.3512719437174621</v>
      </c>
      <c r="S123" s="941">
        <f t="shared" si="196"/>
        <v>2.3512719437174621</v>
      </c>
      <c r="T123" s="942"/>
      <c r="U123" s="941" t="e">
        <f t="shared" si="197"/>
        <v>#VALUE!</v>
      </c>
      <c r="V123" s="943" t="e">
        <f t="shared" si="198"/>
        <v>#VALUE!</v>
      </c>
      <c r="W123" s="888"/>
      <c r="X123" s="892"/>
      <c r="Y123" s="935">
        <f t="shared" si="199"/>
        <v>424.4130951354723</v>
      </c>
      <c r="Z123" s="935">
        <f t="shared" si="200"/>
        <v>992.85218943235145</v>
      </c>
      <c r="AA123" s="944"/>
      <c r="AB123" s="933" t="e">
        <f t="shared" si="201"/>
        <v>#VALUE!</v>
      </c>
      <c r="AC123" s="933" t="e">
        <f t="shared" si="202"/>
        <v>#VALUE!</v>
      </c>
      <c r="AD123" s="933" t="e">
        <f t="shared" si="203"/>
        <v>#VALUE!</v>
      </c>
      <c r="AE123" s="892"/>
      <c r="AF123" s="933">
        <f t="shared" si="204"/>
        <v>0</v>
      </c>
      <c r="AG123" s="933">
        <f t="shared" si="205"/>
        <v>0</v>
      </c>
      <c r="AH123" s="892"/>
      <c r="AI123" s="892"/>
      <c r="AJ123" s="945" t="e">
        <f t="shared" si="206"/>
        <v>#VALUE!</v>
      </c>
      <c r="AK123" s="933">
        <f t="shared" si="207"/>
        <v>0</v>
      </c>
      <c r="AL123" s="933" t="e">
        <f t="shared" si="208"/>
        <v>#VALUE!</v>
      </c>
      <c r="AM123" s="933" t="e">
        <f t="shared" si="209"/>
        <v>#VALUE!</v>
      </c>
      <c r="AN123" s="933" t="e">
        <f t="shared" si="210"/>
        <v>#VALUE!</v>
      </c>
      <c r="AO123" s="933" t="e">
        <f t="shared" si="211"/>
        <v>#VALUE!</v>
      </c>
      <c r="AP123" s="946" t="e">
        <f t="shared" si="212"/>
        <v>#VALUE!</v>
      </c>
      <c r="AQ123" s="888"/>
      <c r="AR123" s="941">
        <f t="shared" si="213"/>
        <v>0</v>
      </c>
      <c r="AS123" s="888"/>
      <c r="AT123" s="947">
        <f t="shared" si="214"/>
        <v>0</v>
      </c>
      <c r="AU123" s="948">
        <f t="shared" si="215"/>
        <v>0</v>
      </c>
      <c r="AV123" s="949" t="str">
        <f t="shared" si="182"/>
        <v/>
      </c>
      <c r="AW123" s="950">
        <f t="shared" si="216"/>
        <v>34.200000000000003</v>
      </c>
      <c r="AX123" s="951">
        <f t="shared" si="217"/>
        <v>3618.6075213811741</v>
      </c>
      <c r="AY123" s="952">
        <f>VLOOKUP(A123,'Comm Price Out'!$A$80:$G$145,7,FALSE)</f>
        <v>35.955427286042379</v>
      </c>
      <c r="AZ123" s="953">
        <f t="shared" si="218"/>
        <v>3804.3444330920129</v>
      </c>
      <c r="BA123" s="954">
        <f t="shared" si="183"/>
        <v>5.1328283217613346E-2</v>
      </c>
      <c r="BB123" s="126"/>
      <c r="BC123" s="1158">
        <f t="shared" si="184"/>
        <v>-3618.6075213811741</v>
      </c>
      <c r="BD123" s="1158">
        <f t="shared" si="185"/>
        <v>-3804.3444330920129</v>
      </c>
    </row>
    <row r="124" spans="1:56">
      <c r="A124" s="931" t="str">
        <f>+'Comm Price Out'!A100</f>
        <v>2 yd 3xweek</v>
      </c>
      <c r="B124" s="932">
        <f>+'Comm Price Out'!B100</f>
        <v>0</v>
      </c>
      <c r="C124" s="933">
        <f t="shared" si="186"/>
        <v>0</v>
      </c>
      <c r="D124" s="957">
        <v>3</v>
      </c>
      <c r="E124" s="933">
        <f t="shared" si="187"/>
        <v>156</v>
      </c>
      <c r="F124" s="933">
        <f t="shared" si="188"/>
        <v>0</v>
      </c>
      <c r="G124" s="933"/>
      <c r="H124" s="934">
        <f>+'Comm Price Out'!D100</f>
        <v>34.200000000000003</v>
      </c>
      <c r="I124" s="935">
        <f t="shared" si="189"/>
        <v>0</v>
      </c>
      <c r="J124" s="935">
        <f t="shared" si="190"/>
        <v>0</v>
      </c>
      <c r="K124" s="935">
        <f t="shared" si="191"/>
        <v>0</v>
      </c>
      <c r="L124" s="936">
        <f t="shared" si="221"/>
        <v>194.4</v>
      </c>
      <c r="M124" s="937">
        <f t="shared" si="192"/>
        <v>191.35013734150886</v>
      </c>
      <c r="N124" s="938">
        <f t="shared" si="193"/>
        <v>0</v>
      </c>
      <c r="O124" s="939">
        <f t="shared" si="194"/>
        <v>0</v>
      </c>
      <c r="P124" s="888"/>
      <c r="Q124" s="940">
        <f t="shared" si="222"/>
        <v>80</v>
      </c>
      <c r="R124" s="941">
        <f t="shared" si="195"/>
        <v>0</v>
      </c>
      <c r="S124" s="941">
        <f t="shared" si="196"/>
        <v>0</v>
      </c>
      <c r="T124" s="942"/>
      <c r="U124" s="941" t="e">
        <f t="shared" si="197"/>
        <v>#VALUE!</v>
      </c>
      <c r="V124" s="943" t="e">
        <f t="shared" si="198"/>
        <v>#VALUE!</v>
      </c>
      <c r="W124" s="888"/>
      <c r="X124" s="892"/>
      <c r="Y124" s="935">
        <f t="shared" si="199"/>
        <v>0</v>
      </c>
      <c r="Z124" s="935">
        <f t="shared" si="200"/>
        <v>0</v>
      </c>
      <c r="AA124" s="944"/>
      <c r="AB124" s="933" t="e">
        <f t="shared" si="201"/>
        <v>#VALUE!</v>
      </c>
      <c r="AC124" s="933" t="e">
        <f t="shared" si="202"/>
        <v>#VALUE!</v>
      </c>
      <c r="AD124" s="933" t="e">
        <f t="shared" si="203"/>
        <v>#VALUE!</v>
      </c>
      <c r="AE124" s="892"/>
      <c r="AF124" s="933">
        <f t="shared" si="204"/>
        <v>0</v>
      </c>
      <c r="AG124" s="933">
        <f t="shared" si="205"/>
        <v>0</v>
      </c>
      <c r="AH124" s="892"/>
      <c r="AI124" s="892"/>
      <c r="AJ124" s="945" t="e">
        <f t="shared" si="206"/>
        <v>#VALUE!</v>
      </c>
      <c r="AK124" s="933">
        <f t="shared" si="207"/>
        <v>0</v>
      </c>
      <c r="AL124" s="933" t="e">
        <f t="shared" si="208"/>
        <v>#VALUE!</v>
      </c>
      <c r="AM124" s="933" t="e">
        <f t="shared" si="209"/>
        <v>#VALUE!</v>
      </c>
      <c r="AN124" s="933" t="e">
        <f t="shared" si="210"/>
        <v>#VALUE!</v>
      </c>
      <c r="AO124" s="933" t="e">
        <f t="shared" si="211"/>
        <v>#VALUE!</v>
      </c>
      <c r="AP124" s="946" t="e">
        <f t="shared" si="212"/>
        <v>#VALUE!</v>
      </c>
      <c r="AQ124" s="888"/>
      <c r="AR124" s="941">
        <f t="shared" si="213"/>
        <v>0</v>
      </c>
      <c r="AS124" s="888"/>
      <c r="AT124" s="947">
        <f t="shared" si="214"/>
        <v>0</v>
      </c>
      <c r="AU124" s="948">
        <f t="shared" si="215"/>
        <v>0</v>
      </c>
      <c r="AV124" s="949" t="str">
        <f t="shared" si="182"/>
        <v/>
      </c>
      <c r="AW124" s="950">
        <f t="shared" si="216"/>
        <v>34.200000000000003</v>
      </c>
      <c r="AX124" s="951">
        <f t="shared" si="217"/>
        <v>0</v>
      </c>
      <c r="AY124" s="952">
        <f>VLOOKUP(A124,'Comm Price Out'!$A$80:$G$145,7,FALSE)</f>
        <v>35.955427286042379</v>
      </c>
      <c r="AZ124" s="953">
        <f t="shared" si="218"/>
        <v>0</v>
      </c>
      <c r="BA124" s="954">
        <f t="shared" si="183"/>
        <v>5.1328283217613346E-2</v>
      </c>
      <c r="BB124" s="126"/>
      <c r="BC124" s="1158">
        <f t="shared" si="184"/>
        <v>0</v>
      </c>
      <c r="BD124" s="1158">
        <f t="shared" si="185"/>
        <v>0</v>
      </c>
    </row>
    <row r="125" spans="1:56">
      <c r="A125" s="931" t="str">
        <f>+'Comm Price Out'!A101</f>
        <v>2 yd 4xweek</v>
      </c>
      <c r="B125" s="932">
        <f>+'Comm Price Out'!B101</f>
        <v>0</v>
      </c>
      <c r="C125" s="933">
        <f t="shared" si="186"/>
        <v>0</v>
      </c>
      <c r="D125" s="957">
        <v>4</v>
      </c>
      <c r="E125" s="933">
        <f t="shared" si="187"/>
        <v>208</v>
      </c>
      <c r="F125" s="933">
        <f t="shared" si="188"/>
        <v>0</v>
      </c>
      <c r="G125" s="933"/>
      <c r="H125" s="934">
        <f>+'Comm Price Out'!D101</f>
        <v>34.200000000000003</v>
      </c>
      <c r="I125" s="935">
        <f t="shared" si="189"/>
        <v>0</v>
      </c>
      <c r="J125" s="935">
        <f t="shared" si="190"/>
        <v>0</v>
      </c>
      <c r="K125" s="935">
        <f t="shared" si="191"/>
        <v>0</v>
      </c>
      <c r="L125" s="936">
        <f t="shared" si="221"/>
        <v>194.4</v>
      </c>
      <c r="M125" s="937">
        <f t="shared" si="192"/>
        <v>191.35013734150886</v>
      </c>
      <c r="N125" s="938">
        <f t="shared" si="193"/>
        <v>0</v>
      </c>
      <c r="O125" s="939">
        <f t="shared" si="194"/>
        <v>0</v>
      </c>
      <c r="P125" s="888"/>
      <c r="Q125" s="940">
        <f t="shared" si="222"/>
        <v>80</v>
      </c>
      <c r="R125" s="941">
        <f t="shared" si="195"/>
        <v>0</v>
      </c>
      <c r="S125" s="941">
        <f t="shared" si="196"/>
        <v>0</v>
      </c>
      <c r="T125" s="942"/>
      <c r="U125" s="941" t="e">
        <f t="shared" si="197"/>
        <v>#VALUE!</v>
      </c>
      <c r="V125" s="943" t="e">
        <f t="shared" si="198"/>
        <v>#VALUE!</v>
      </c>
      <c r="W125" s="888"/>
      <c r="X125" s="892"/>
      <c r="Y125" s="935">
        <f t="shared" si="199"/>
        <v>0</v>
      </c>
      <c r="Z125" s="935">
        <f t="shared" si="200"/>
        <v>0</v>
      </c>
      <c r="AA125" s="944"/>
      <c r="AB125" s="933" t="e">
        <f t="shared" si="201"/>
        <v>#VALUE!</v>
      </c>
      <c r="AC125" s="933" t="e">
        <f t="shared" si="202"/>
        <v>#VALUE!</v>
      </c>
      <c r="AD125" s="933" t="e">
        <f t="shared" si="203"/>
        <v>#VALUE!</v>
      </c>
      <c r="AE125" s="892"/>
      <c r="AF125" s="933">
        <f t="shared" si="204"/>
        <v>0</v>
      </c>
      <c r="AG125" s="933">
        <f t="shared" si="205"/>
        <v>0</v>
      </c>
      <c r="AH125" s="892"/>
      <c r="AI125" s="892"/>
      <c r="AJ125" s="945" t="e">
        <f t="shared" si="206"/>
        <v>#VALUE!</v>
      </c>
      <c r="AK125" s="933">
        <f t="shared" si="207"/>
        <v>0</v>
      </c>
      <c r="AL125" s="933" t="e">
        <f t="shared" si="208"/>
        <v>#VALUE!</v>
      </c>
      <c r="AM125" s="933" t="e">
        <f t="shared" si="209"/>
        <v>#VALUE!</v>
      </c>
      <c r="AN125" s="933" t="e">
        <f t="shared" si="210"/>
        <v>#VALUE!</v>
      </c>
      <c r="AO125" s="933" t="e">
        <f t="shared" si="211"/>
        <v>#VALUE!</v>
      </c>
      <c r="AP125" s="946" t="e">
        <f t="shared" si="212"/>
        <v>#VALUE!</v>
      </c>
      <c r="AQ125" s="888"/>
      <c r="AR125" s="941">
        <f t="shared" si="213"/>
        <v>0</v>
      </c>
      <c r="AS125" s="888"/>
      <c r="AT125" s="947">
        <f t="shared" si="214"/>
        <v>0</v>
      </c>
      <c r="AU125" s="948">
        <f t="shared" si="215"/>
        <v>0</v>
      </c>
      <c r="AV125" s="949" t="str">
        <f t="shared" si="182"/>
        <v/>
      </c>
      <c r="AW125" s="950">
        <f t="shared" si="216"/>
        <v>34.200000000000003</v>
      </c>
      <c r="AX125" s="951">
        <f t="shared" si="217"/>
        <v>0</v>
      </c>
      <c r="AY125" s="952">
        <f>VLOOKUP(A125,'Comm Price Out'!$A$80:$G$145,7,FALSE)</f>
        <v>35.955427286042379</v>
      </c>
      <c r="AZ125" s="953">
        <f t="shared" si="218"/>
        <v>0</v>
      </c>
      <c r="BA125" s="954">
        <f t="shared" si="183"/>
        <v>5.1328283217613346E-2</v>
      </c>
      <c r="BB125" s="126"/>
      <c r="BC125" s="1158">
        <f t="shared" si="184"/>
        <v>0</v>
      </c>
      <c r="BD125" s="1158">
        <f t="shared" si="185"/>
        <v>0</v>
      </c>
    </row>
    <row r="126" spans="1:56">
      <c r="A126" s="931" t="str">
        <f>+'Comm Price Out'!A102</f>
        <v>2 yd 5xweek</v>
      </c>
      <c r="B126" s="932">
        <f>+'Comm Price Out'!B102</f>
        <v>0</v>
      </c>
      <c r="C126" s="933">
        <f t="shared" si="186"/>
        <v>0</v>
      </c>
      <c r="D126" s="957">
        <v>5</v>
      </c>
      <c r="E126" s="933">
        <f t="shared" si="187"/>
        <v>260</v>
      </c>
      <c r="F126" s="933">
        <f t="shared" si="188"/>
        <v>0</v>
      </c>
      <c r="G126" s="933"/>
      <c r="H126" s="934">
        <f>+'Comm Price Out'!D102</f>
        <v>34.200000000000003</v>
      </c>
      <c r="I126" s="935">
        <f t="shared" si="189"/>
        <v>0</v>
      </c>
      <c r="J126" s="935">
        <f t="shared" si="190"/>
        <v>0</v>
      </c>
      <c r="K126" s="935">
        <f t="shared" si="191"/>
        <v>0</v>
      </c>
      <c r="L126" s="936">
        <f t="shared" si="221"/>
        <v>194.4</v>
      </c>
      <c r="M126" s="937">
        <f t="shared" si="192"/>
        <v>191.35013734150886</v>
      </c>
      <c r="N126" s="938">
        <f t="shared" si="193"/>
        <v>0</v>
      </c>
      <c r="O126" s="939">
        <f t="shared" si="194"/>
        <v>0</v>
      </c>
      <c r="P126" s="888"/>
      <c r="Q126" s="940">
        <f t="shared" si="222"/>
        <v>80</v>
      </c>
      <c r="R126" s="941">
        <f t="shared" si="195"/>
        <v>0</v>
      </c>
      <c r="S126" s="941">
        <f t="shared" si="196"/>
        <v>0</v>
      </c>
      <c r="T126" s="942"/>
      <c r="U126" s="941" t="e">
        <f t="shared" si="197"/>
        <v>#VALUE!</v>
      </c>
      <c r="V126" s="943" t="e">
        <f t="shared" si="198"/>
        <v>#VALUE!</v>
      </c>
      <c r="W126" s="888"/>
      <c r="X126" s="892"/>
      <c r="Y126" s="935">
        <f t="shared" si="199"/>
        <v>0</v>
      </c>
      <c r="Z126" s="935">
        <f t="shared" si="200"/>
        <v>0</v>
      </c>
      <c r="AA126" s="944"/>
      <c r="AB126" s="933" t="e">
        <f t="shared" si="201"/>
        <v>#VALUE!</v>
      </c>
      <c r="AC126" s="933" t="e">
        <f t="shared" si="202"/>
        <v>#VALUE!</v>
      </c>
      <c r="AD126" s="933" t="e">
        <f t="shared" si="203"/>
        <v>#VALUE!</v>
      </c>
      <c r="AE126" s="892"/>
      <c r="AF126" s="933">
        <f t="shared" si="204"/>
        <v>0</v>
      </c>
      <c r="AG126" s="933">
        <f t="shared" si="205"/>
        <v>0</v>
      </c>
      <c r="AH126" s="892"/>
      <c r="AI126" s="892"/>
      <c r="AJ126" s="945" t="e">
        <f t="shared" si="206"/>
        <v>#VALUE!</v>
      </c>
      <c r="AK126" s="933">
        <f t="shared" si="207"/>
        <v>0</v>
      </c>
      <c r="AL126" s="933" t="e">
        <f t="shared" si="208"/>
        <v>#VALUE!</v>
      </c>
      <c r="AM126" s="933" t="e">
        <f t="shared" si="209"/>
        <v>#VALUE!</v>
      </c>
      <c r="AN126" s="933" t="e">
        <f t="shared" si="210"/>
        <v>#VALUE!</v>
      </c>
      <c r="AO126" s="933" t="e">
        <f t="shared" si="211"/>
        <v>#VALUE!</v>
      </c>
      <c r="AP126" s="946" t="e">
        <f t="shared" si="212"/>
        <v>#VALUE!</v>
      </c>
      <c r="AQ126" s="888"/>
      <c r="AR126" s="941">
        <f t="shared" si="213"/>
        <v>0</v>
      </c>
      <c r="AS126" s="888"/>
      <c r="AT126" s="947">
        <f t="shared" si="214"/>
        <v>0</v>
      </c>
      <c r="AU126" s="948">
        <f t="shared" si="215"/>
        <v>0</v>
      </c>
      <c r="AV126" s="949" t="str">
        <f t="shared" si="182"/>
        <v/>
      </c>
      <c r="AW126" s="950">
        <f t="shared" si="216"/>
        <v>34.200000000000003</v>
      </c>
      <c r="AX126" s="951">
        <f t="shared" si="217"/>
        <v>0</v>
      </c>
      <c r="AY126" s="952">
        <f>VLOOKUP(A126,'Comm Price Out'!$A$80:$G$145,7,FALSE)</f>
        <v>35.955427286042379</v>
      </c>
      <c r="AZ126" s="953">
        <f t="shared" si="218"/>
        <v>0</v>
      </c>
      <c r="BA126" s="954">
        <f t="shared" si="183"/>
        <v>5.1328283217613346E-2</v>
      </c>
      <c r="BB126" s="126"/>
      <c r="BC126" s="1158">
        <f t="shared" si="184"/>
        <v>0</v>
      </c>
      <c r="BD126" s="1158">
        <f t="shared" si="185"/>
        <v>0</v>
      </c>
    </row>
    <row r="127" spans="1:56">
      <c r="A127" s="931" t="str">
        <f>+'Comm Price Out'!A103</f>
        <v>2 yd 6xweek</v>
      </c>
      <c r="B127" s="932">
        <f>+'Comm Price Out'!B103</f>
        <v>0</v>
      </c>
      <c r="C127" s="933">
        <f t="shared" si="186"/>
        <v>0</v>
      </c>
      <c r="D127" s="957">
        <v>6</v>
      </c>
      <c r="E127" s="933">
        <f t="shared" si="187"/>
        <v>312</v>
      </c>
      <c r="F127" s="933">
        <f t="shared" si="188"/>
        <v>0</v>
      </c>
      <c r="G127" s="933"/>
      <c r="H127" s="934">
        <f>+'Comm Price Out'!D103</f>
        <v>34.200000000000003</v>
      </c>
      <c r="I127" s="935">
        <f t="shared" si="189"/>
        <v>0</v>
      </c>
      <c r="J127" s="935">
        <f t="shared" si="190"/>
        <v>0</v>
      </c>
      <c r="K127" s="935">
        <f t="shared" si="191"/>
        <v>0</v>
      </c>
      <c r="L127" s="936">
        <f t="shared" si="221"/>
        <v>194.4</v>
      </c>
      <c r="M127" s="937">
        <f t="shared" si="192"/>
        <v>191.35013734150886</v>
      </c>
      <c r="N127" s="938">
        <f t="shared" si="193"/>
        <v>0</v>
      </c>
      <c r="O127" s="939">
        <f t="shared" si="194"/>
        <v>0</v>
      </c>
      <c r="P127" s="888"/>
      <c r="Q127" s="940">
        <f t="shared" si="222"/>
        <v>80</v>
      </c>
      <c r="R127" s="941">
        <f t="shared" si="195"/>
        <v>0</v>
      </c>
      <c r="S127" s="941">
        <f t="shared" si="196"/>
        <v>0</v>
      </c>
      <c r="T127" s="942"/>
      <c r="U127" s="941" t="e">
        <f t="shared" si="197"/>
        <v>#VALUE!</v>
      </c>
      <c r="V127" s="943" t="e">
        <f t="shared" si="198"/>
        <v>#VALUE!</v>
      </c>
      <c r="W127" s="888"/>
      <c r="X127" s="892"/>
      <c r="Y127" s="935">
        <f t="shared" si="199"/>
        <v>0</v>
      </c>
      <c r="Z127" s="935">
        <f t="shared" si="200"/>
        <v>0</v>
      </c>
      <c r="AA127" s="944"/>
      <c r="AB127" s="933" t="e">
        <f t="shared" si="201"/>
        <v>#VALUE!</v>
      </c>
      <c r="AC127" s="933" t="e">
        <f t="shared" si="202"/>
        <v>#VALUE!</v>
      </c>
      <c r="AD127" s="933" t="e">
        <f t="shared" si="203"/>
        <v>#VALUE!</v>
      </c>
      <c r="AE127" s="892"/>
      <c r="AF127" s="933">
        <f t="shared" si="204"/>
        <v>0</v>
      </c>
      <c r="AG127" s="933">
        <f t="shared" si="205"/>
        <v>0</v>
      </c>
      <c r="AH127" s="892"/>
      <c r="AI127" s="892"/>
      <c r="AJ127" s="945" t="e">
        <f t="shared" si="206"/>
        <v>#VALUE!</v>
      </c>
      <c r="AK127" s="933">
        <f t="shared" si="207"/>
        <v>0</v>
      </c>
      <c r="AL127" s="933" t="e">
        <f t="shared" si="208"/>
        <v>#VALUE!</v>
      </c>
      <c r="AM127" s="933" t="e">
        <f t="shared" si="209"/>
        <v>#VALUE!</v>
      </c>
      <c r="AN127" s="933" t="e">
        <f t="shared" si="210"/>
        <v>#VALUE!</v>
      </c>
      <c r="AO127" s="933" t="e">
        <f t="shared" si="211"/>
        <v>#VALUE!</v>
      </c>
      <c r="AP127" s="946" t="e">
        <f t="shared" si="212"/>
        <v>#VALUE!</v>
      </c>
      <c r="AQ127" s="888"/>
      <c r="AR127" s="941">
        <f t="shared" si="213"/>
        <v>0</v>
      </c>
      <c r="AS127" s="888"/>
      <c r="AT127" s="947">
        <f t="shared" si="214"/>
        <v>0</v>
      </c>
      <c r="AU127" s="948">
        <f t="shared" si="215"/>
        <v>0</v>
      </c>
      <c r="AV127" s="949" t="str">
        <f t="shared" si="182"/>
        <v/>
      </c>
      <c r="AW127" s="950">
        <f t="shared" si="216"/>
        <v>34.200000000000003</v>
      </c>
      <c r="AX127" s="951">
        <f t="shared" si="217"/>
        <v>0</v>
      </c>
      <c r="AY127" s="952">
        <f>VLOOKUP(A127,'Comm Price Out'!$A$80:$G$145,7,FALSE)</f>
        <v>35.955427286042379</v>
      </c>
      <c r="AZ127" s="953">
        <f t="shared" si="218"/>
        <v>0</v>
      </c>
      <c r="BA127" s="954">
        <f t="shared" si="183"/>
        <v>5.1328283217613346E-2</v>
      </c>
      <c r="BB127" s="126"/>
      <c r="BC127" s="1158">
        <f t="shared" si="184"/>
        <v>0</v>
      </c>
      <c r="BD127" s="1158">
        <f t="shared" si="185"/>
        <v>0</v>
      </c>
    </row>
    <row r="128" spans="1:56">
      <c r="A128" s="931" t="str">
        <f>+'Comm Price Out'!A104</f>
        <v>3 yd Comp Week</v>
      </c>
      <c r="B128" s="932">
        <f>+'Comm Price Out'!B104</f>
        <v>0</v>
      </c>
      <c r="C128" s="933">
        <f t="shared" si="186"/>
        <v>0</v>
      </c>
      <c r="D128" s="957">
        <v>1</v>
      </c>
      <c r="E128" s="933">
        <f t="shared" si="187"/>
        <v>52</v>
      </c>
      <c r="F128" s="933">
        <f t="shared" si="188"/>
        <v>0</v>
      </c>
      <c r="G128" s="933"/>
      <c r="H128" s="934">
        <f>+'Comm Price Out'!D104</f>
        <v>174.47</v>
      </c>
      <c r="I128" s="935">
        <f t="shared" si="189"/>
        <v>0</v>
      </c>
      <c r="J128" s="935">
        <f t="shared" si="190"/>
        <v>0</v>
      </c>
      <c r="K128" s="935">
        <f t="shared" si="191"/>
        <v>0</v>
      </c>
      <c r="L128" s="936">
        <f t="shared" si="221"/>
        <v>780.6</v>
      </c>
      <c r="M128" s="937">
        <f t="shared" si="192"/>
        <v>768.35348358426859</v>
      </c>
      <c r="N128" s="938">
        <f t="shared" si="193"/>
        <v>0</v>
      </c>
      <c r="O128" s="939">
        <f t="shared" si="194"/>
        <v>0</v>
      </c>
      <c r="P128" s="888"/>
      <c r="Q128" s="940">
        <f t="shared" si="222"/>
        <v>120</v>
      </c>
      <c r="R128" s="941">
        <f t="shared" si="195"/>
        <v>0</v>
      </c>
      <c r="S128" s="941">
        <f t="shared" si="196"/>
        <v>0</v>
      </c>
      <c r="T128" s="942"/>
      <c r="U128" s="941" t="e">
        <f t="shared" si="197"/>
        <v>#VALUE!</v>
      </c>
      <c r="V128" s="943" t="e">
        <f t="shared" si="198"/>
        <v>#VALUE!</v>
      </c>
      <c r="W128" s="888"/>
      <c r="X128" s="892"/>
      <c r="Y128" s="935">
        <f t="shared" si="199"/>
        <v>0</v>
      </c>
      <c r="Z128" s="935">
        <f t="shared" si="200"/>
        <v>0</v>
      </c>
      <c r="AA128" s="944"/>
      <c r="AB128" s="933" t="e">
        <f t="shared" si="201"/>
        <v>#VALUE!</v>
      </c>
      <c r="AC128" s="933" t="e">
        <f t="shared" si="202"/>
        <v>#VALUE!</v>
      </c>
      <c r="AD128" s="933" t="e">
        <f t="shared" si="203"/>
        <v>#VALUE!</v>
      </c>
      <c r="AE128" s="892"/>
      <c r="AF128" s="933">
        <f t="shared" si="204"/>
        <v>0</v>
      </c>
      <c r="AG128" s="933">
        <f t="shared" si="205"/>
        <v>0</v>
      </c>
      <c r="AH128" s="892"/>
      <c r="AI128" s="892"/>
      <c r="AJ128" s="945" t="e">
        <f t="shared" si="206"/>
        <v>#VALUE!</v>
      </c>
      <c r="AK128" s="933">
        <f t="shared" si="207"/>
        <v>0</v>
      </c>
      <c r="AL128" s="933" t="e">
        <f t="shared" si="208"/>
        <v>#VALUE!</v>
      </c>
      <c r="AM128" s="933" t="e">
        <f t="shared" si="209"/>
        <v>#VALUE!</v>
      </c>
      <c r="AN128" s="933" t="e">
        <f t="shared" si="210"/>
        <v>#VALUE!</v>
      </c>
      <c r="AO128" s="933" t="e">
        <f t="shared" si="211"/>
        <v>#VALUE!</v>
      </c>
      <c r="AP128" s="946" t="e">
        <f t="shared" si="212"/>
        <v>#VALUE!</v>
      </c>
      <c r="AQ128" s="888"/>
      <c r="AR128" s="941">
        <f t="shared" si="213"/>
        <v>0</v>
      </c>
      <c r="AS128" s="888"/>
      <c r="AT128" s="947">
        <f t="shared" si="214"/>
        <v>0</v>
      </c>
      <c r="AU128" s="948">
        <f t="shared" si="215"/>
        <v>0</v>
      </c>
      <c r="AV128" s="949" t="str">
        <f t="shared" si="182"/>
        <v/>
      </c>
      <c r="AW128" s="950">
        <f t="shared" si="216"/>
        <v>174.47</v>
      </c>
      <c r="AX128" s="951">
        <f t="shared" si="217"/>
        <v>0</v>
      </c>
      <c r="AY128" s="952">
        <f>VLOOKUP(A128,'Comm Price Out'!$A$80:$G$145,7,FALSE)</f>
        <v>183.42524557297702</v>
      </c>
      <c r="AZ128" s="953">
        <f t="shared" si="218"/>
        <v>0</v>
      </c>
      <c r="BA128" s="954">
        <f t="shared" si="183"/>
        <v>5.1328283217613457E-2</v>
      </c>
      <c r="BB128" s="126"/>
      <c r="BC128" s="1158">
        <f t="shared" si="184"/>
        <v>0</v>
      </c>
      <c r="BD128" s="1158">
        <f t="shared" si="185"/>
        <v>0</v>
      </c>
    </row>
    <row r="129" spans="1:56">
      <c r="A129" s="931" t="str">
        <f>+'Comm Price Out'!A105</f>
        <v>3 yd Comp Week (5x Comp)</v>
      </c>
      <c r="B129" s="932">
        <f>+'Comm Price Out'!B105</f>
        <v>0</v>
      </c>
      <c r="C129" s="933">
        <f t="shared" si="186"/>
        <v>0</v>
      </c>
      <c r="D129" s="957">
        <v>1</v>
      </c>
      <c r="E129" s="933">
        <f t="shared" si="187"/>
        <v>52</v>
      </c>
      <c r="F129" s="933">
        <f t="shared" si="188"/>
        <v>0</v>
      </c>
      <c r="G129" s="933"/>
      <c r="H129" s="934">
        <f>+'Comm Price Out'!D105</f>
        <v>0</v>
      </c>
      <c r="I129" s="935">
        <f t="shared" si="189"/>
        <v>0</v>
      </c>
      <c r="J129" s="935">
        <f t="shared" si="190"/>
        <v>0</v>
      </c>
      <c r="K129" s="935">
        <f t="shared" si="191"/>
        <v>0</v>
      </c>
      <c r="L129" s="936">
        <f t="shared" si="221"/>
        <v>1115.1428571428571</v>
      </c>
      <c r="M129" s="937">
        <f t="shared" si="192"/>
        <v>1097.6478336918121</v>
      </c>
      <c r="N129" s="938">
        <f t="shared" si="193"/>
        <v>0</v>
      </c>
      <c r="O129" s="939">
        <f t="shared" si="194"/>
        <v>0</v>
      </c>
      <c r="P129" s="888"/>
      <c r="Q129" s="940">
        <f t="shared" si="222"/>
        <v>171.42857142857142</v>
      </c>
      <c r="R129" s="941">
        <f t="shared" si="195"/>
        <v>0</v>
      </c>
      <c r="S129" s="941">
        <f t="shared" si="196"/>
        <v>0</v>
      </c>
      <c r="T129" s="942"/>
      <c r="U129" s="941" t="e">
        <f t="shared" si="197"/>
        <v>#VALUE!</v>
      </c>
      <c r="V129" s="943" t="e">
        <f t="shared" si="198"/>
        <v>#VALUE!</v>
      </c>
      <c r="W129" s="888"/>
      <c r="X129" s="892"/>
      <c r="Y129" s="935">
        <f t="shared" si="199"/>
        <v>0</v>
      </c>
      <c r="Z129" s="935">
        <f t="shared" si="200"/>
        <v>0</v>
      </c>
      <c r="AA129" s="944"/>
      <c r="AB129" s="933" t="e">
        <f t="shared" si="201"/>
        <v>#VALUE!</v>
      </c>
      <c r="AC129" s="933" t="e">
        <f t="shared" si="202"/>
        <v>#VALUE!</v>
      </c>
      <c r="AD129" s="933" t="e">
        <f t="shared" si="203"/>
        <v>#VALUE!</v>
      </c>
      <c r="AE129" s="892"/>
      <c r="AF129" s="933">
        <f t="shared" si="204"/>
        <v>0</v>
      </c>
      <c r="AG129" s="933">
        <f t="shared" si="205"/>
        <v>0</v>
      </c>
      <c r="AH129" s="892"/>
      <c r="AI129" s="892"/>
      <c r="AJ129" s="945" t="e">
        <f t="shared" si="206"/>
        <v>#VALUE!</v>
      </c>
      <c r="AK129" s="933">
        <f t="shared" si="207"/>
        <v>0</v>
      </c>
      <c r="AL129" s="933" t="e">
        <f t="shared" si="208"/>
        <v>#VALUE!</v>
      </c>
      <c r="AM129" s="933" t="e">
        <f t="shared" si="209"/>
        <v>#VALUE!</v>
      </c>
      <c r="AN129" s="933" t="e">
        <f t="shared" si="210"/>
        <v>#VALUE!</v>
      </c>
      <c r="AO129" s="933" t="e">
        <f t="shared" si="211"/>
        <v>#VALUE!</v>
      </c>
      <c r="AP129" s="946" t="e">
        <f t="shared" si="212"/>
        <v>#VALUE!</v>
      </c>
      <c r="AQ129" s="888"/>
      <c r="AR129" s="941">
        <f t="shared" si="213"/>
        <v>0</v>
      </c>
      <c r="AS129" s="888"/>
      <c r="AT129" s="947">
        <f t="shared" si="214"/>
        <v>0</v>
      </c>
      <c r="AU129" s="948">
        <f t="shared" si="215"/>
        <v>0</v>
      </c>
      <c r="AV129" s="949" t="str">
        <f t="shared" si="182"/>
        <v/>
      </c>
      <c r="AW129" s="950">
        <f t="shared" si="216"/>
        <v>0</v>
      </c>
      <c r="AX129" s="951">
        <f t="shared" si="217"/>
        <v>0</v>
      </c>
      <c r="AY129" s="952">
        <f>VLOOKUP(A129,'Comm Price Out'!$A$80:$G$145,7,FALSE)</f>
        <v>0</v>
      </c>
      <c r="AZ129" s="953">
        <f t="shared" si="218"/>
        <v>0</v>
      </c>
      <c r="BA129" s="954" t="str">
        <f t="shared" si="183"/>
        <v/>
      </c>
      <c r="BB129" s="126"/>
      <c r="BC129" s="1158">
        <f t="shared" si="184"/>
        <v>0</v>
      </c>
      <c r="BD129" s="1158">
        <f t="shared" si="185"/>
        <v>0</v>
      </c>
    </row>
    <row r="130" spans="1:56">
      <c r="A130" s="931" t="str">
        <f>+'Comm Price Out'!A106</f>
        <v>3 yd  On Call</v>
      </c>
      <c r="B130" s="932">
        <f>+'Comm Price Out'!B106</f>
        <v>0</v>
      </c>
      <c r="C130" s="933">
        <f t="shared" si="186"/>
        <v>0</v>
      </c>
      <c r="D130" s="957">
        <f>1/$E$2</f>
        <v>0.23094688221709006</v>
      </c>
      <c r="E130" s="933">
        <f t="shared" si="187"/>
        <v>12.009237875288683</v>
      </c>
      <c r="F130" s="933">
        <f t="shared" si="188"/>
        <v>0</v>
      </c>
      <c r="G130" s="933"/>
      <c r="H130" s="934">
        <f>+'Comm Price Out'!D106</f>
        <v>53.89</v>
      </c>
      <c r="I130" s="935">
        <f t="shared" si="189"/>
        <v>0</v>
      </c>
      <c r="J130" s="935">
        <f t="shared" si="190"/>
        <v>0</v>
      </c>
      <c r="K130" s="935">
        <f t="shared" si="191"/>
        <v>0</v>
      </c>
      <c r="L130" s="936">
        <f t="shared" si="221"/>
        <v>283.8</v>
      </c>
      <c r="M130" s="937">
        <f t="shared" si="192"/>
        <v>279.34757704485708</v>
      </c>
      <c r="N130" s="938">
        <f t="shared" si="193"/>
        <v>0</v>
      </c>
      <c r="O130" s="939">
        <f t="shared" si="194"/>
        <v>0</v>
      </c>
      <c r="P130" s="888"/>
      <c r="Q130" s="940">
        <f t="shared" si="222"/>
        <v>120</v>
      </c>
      <c r="R130" s="941">
        <f t="shared" si="195"/>
        <v>0</v>
      </c>
      <c r="S130" s="941">
        <f t="shared" si="196"/>
        <v>0</v>
      </c>
      <c r="T130" s="942"/>
      <c r="U130" s="941" t="e">
        <f t="shared" si="197"/>
        <v>#VALUE!</v>
      </c>
      <c r="V130" s="943" t="e">
        <f t="shared" si="198"/>
        <v>#VALUE!</v>
      </c>
      <c r="W130" s="888"/>
      <c r="X130" s="892"/>
      <c r="Y130" s="935">
        <f t="shared" si="199"/>
        <v>0</v>
      </c>
      <c r="Z130" s="935">
        <f t="shared" si="200"/>
        <v>0</v>
      </c>
      <c r="AA130" s="944"/>
      <c r="AB130" s="933" t="e">
        <f t="shared" si="201"/>
        <v>#VALUE!</v>
      </c>
      <c r="AC130" s="933" t="e">
        <f t="shared" si="202"/>
        <v>#VALUE!</v>
      </c>
      <c r="AD130" s="933" t="e">
        <f t="shared" si="203"/>
        <v>#VALUE!</v>
      </c>
      <c r="AE130" s="892"/>
      <c r="AF130" s="933">
        <f t="shared" si="204"/>
        <v>0</v>
      </c>
      <c r="AG130" s="933">
        <f t="shared" si="205"/>
        <v>0</v>
      </c>
      <c r="AH130" s="892"/>
      <c r="AI130" s="892"/>
      <c r="AJ130" s="945" t="e">
        <f t="shared" si="206"/>
        <v>#VALUE!</v>
      </c>
      <c r="AK130" s="933">
        <f t="shared" si="207"/>
        <v>0</v>
      </c>
      <c r="AL130" s="933" t="e">
        <f t="shared" si="208"/>
        <v>#VALUE!</v>
      </c>
      <c r="AM130" s="933" t="e">
        <f t="shared" si="209"/>
        <v>#VALUE!</v>
      </c>
      <c r="AN130" s="933" t="e">
        <f t="shared" si="210"/>
        <v>#VALUE!</v>
      </c>
      <c r="AO130" s="933" t="e">
        <f t="shared" si="211"/>
        <v>#VALUE!</v>
      </c>
      <c r="AP130" s="946" t="e">
        <f t="shared" si="212"/>
        <v>#VALUE!</v>
      </c>
      <c r="AQ130" s="888"/>
      <c r="AR130" s="941">
        <f t="shared" si="213"/>
        <v>0</v>
      </c>
      <c r="AS130" s="888"/>
      <c r="AT130" s="947">
        <f t="shared" si="214"/>
        <v>0</v>
      </c>
      <c r="AU130" s="948">
        <f t="shared" si="215"/>
        <v>0</v>
      </c>
      <c r="AV130" s="949" t="str">
        <f t="shared" si="182"/>
        <v/>
      </c>
      <c r="AW130" s="950">
        <f t="shared" si="216"/>
        <v>53.89</v>
      </c>
      <c r="AX130" s="951">
        <f t="shared" si="217"/>
        <v>0</v>
      </c>
      <c r="AY130" s="952">
        <f>VLOOKUP(A130,'Comm Price Out'!$A$80:$G$145,7,FALSE)</f>
        <v>56.656081182597184</v>
      </c>
      <c r="AZ130" s="953">
        <f t="shared" si="218"/>
        <v>0</v>
      </c>
      <c r="BA130" s="954">
        <f t="shared" si="183"/>
        <v>5.1328283217613346E-2</v>
      </c>
      <c r="BB130" s="126"/>
      <c r="BC130" s="1158">
        <f t="shared" si="184"/>
        <v>0</v>
      </c>
      <c r="BD130" s="1158">
        <f t="shared" si="185"/>
        <v>0</v>
      </c>
    </row>
    <row r="131" spans="1:56">
      <c r="A131" s="931" t="str">
        <f>+'Comm Price Out'!A107</f>
        <v>3 yd 1xweek</v>
      </c>
      <c r="B131" s="932">
        <f>+'Comm Price Out'!B107</f>
        <v>6</v>
      </c>
      <c r="C131" s="933">
        <f t="shared" si="186"/>
        <v>6.1042637000357187</v>
      </c>
      <c r="D131" s="957">
        <v>1</v>
      </c>
      <c r="E131" s="933">
        <f t="shared" si="187"/>
        <v>52</v>
      </c>
      <c r="F131" s="933">
        <f t="shared" si="188"/>
        <v>6.1042637000357187</v>
      </c>
      <c r="G131" s="933"/>
      <c r="H131" s="934">
        <f>+'Comm Price Out'!D107</f>
        <v>50.43</v>
      </c>
      <c r="I131" s="935">
        <f t="shared" si="189"/>
        <v>1310.1713999999999</v>
      </c>
      <c r="J131" s="935">
        <f t="shared" si="190"/>
        <v>15722.056799999998</v>
      </c>
      <c r="K131" s="935">
        <f t="shared" si="191"/>
        <v>15995.263435689954</v>
      </c>
      <c r="L131" s="936">
        <f t="shared" si="221"/>
        <v>283.8</v>
      </c>
      <c r="M131" s="937">
        <f t="shared" si="192"/>
        <v>279.34757704485708</v>
      </c>
      <c r="N131" s="938">
        <f t="shared" si="193"/>
        <v>45.04</v>
      </c>
      <c r="O131" s="939">
        <f t="shared" si="194"/>
        <v>44.333385729740527</v>
      </c>
      <c r="P131" s="888"/>
      <c r="Q131" s="940">
        <f t="shared" si="222"/>
        <v>120</v>
      </c>
      <c r="R131" s="941">
        <f t="shared" si="195"/>
        <v>10.580723746728577</v>
      </c>
      <c r="S131" s="941">
        <f t="shared" si="196"/>
        <v>10.580723746728577</v>
      </c>
      <c r="T131" s="942"/>
      <c r="U131" s="941" t="e">
        <f t="shared" si="197"/>
        <v>#VALUE!</v>
      </c>
      <c r="V131" s="943" t="e">
        <f t="shared" si="198"/>
        <v>#VALUE!</v>
      </c>
      <c r="W131" s="888"/>
      <c r="X131" s="892"/>
      <c r="Y131" s="935">
        <f t="shared" si="199"/>
        <v>1877.4695076913915</v>
      </c>
      <c r="Z131" s="935">
        <f t="shared" si="200"/>
        <v>4392.0645537783757</v>
      </c>
      <c r="AA131" s="944"/>
      <c r="AB131" s="933" t="e">
        <f t="shared" si="201"/>
        <v>#VALUE!</v>
      </c>
      <c r="AC131" s="933" t="e">
        <f t="shared" si="202"/>
        <v>#VALUE!</v>
      </c>
      <c r="AD131" s="933" t="e">
        <f t="shared" si="203"/>
        <v>#VALUE!</v>
      </c>
      <c r="AE131" s="892"/>
      <c r="AF131" s="933">
        <f t="shared" si="204"/>
        <v>0</v>
      </c>
      <c r="AG131" s="933">
        <f t="shared" si="205"/>
        <v>0</v>
      </c>
      <c r="AH131" s="892"/>
      <c r="AI131" s="892"/>
      <c r="AJ131" s="945" t="e">
        <f t="shared" si="206"/>
        <v>#VALUE!</v>
      </c>
      <c r="AK131" s="933">
        <f t="shared" si="207"/>
        <v>0</v>
      </c>
      <c r="AL131" s="933" t="e">
        <f t="shared" si="208"/>
        <v>#VALUE!</v>
      </c>
      <c r="AM131" s="933" t="e">
        <f t="shared" si="209"/>
        <v>#VALUE!</v>
      </c>
      <c r="AN131" s="933" t="e">
        <f t="shared" si="210"/>
        <v>#VALUE!</v>
      </c>
      <c r="AO131" s="933" t="e">
        <f t="shared" si="211"/>
        <v>#VALUE!</v>
      </c>
      <c r="AP131" s="946" t="e">
        <f t="shared" si="212"/>
        <v>#VALUE!</v>
      </c>
      <c r="AQ131" s="888"/>
      <c r="AR131" s="941">
        <f t="shared" si="213"/>
        <v>0</v>
      </c>
      <c r="AS131" s="888"/>
      <c r="AT131" s="947">
        <f t="shared" si="214"/>
        <v>0</v>
      </c>
      <c r="AU131" s="948">
        <f t="shared" si="215"/>
        <v>0</v>
      </c>
      <c r="AV131" s="949" t="str">
        <f t="shared" si="182"/>
        <v/>
      </c>
      <c r="AW131" s="950">
        <f t="shared" si="216"/>
        <v>50.43</v>
      </c>
      <c r="AX131" s="951">
        <f t="shared" si="217"/>
        <v>16007.576956425668</v>
      </c>
      <c r="AY131" s="952">
        <f>VLOOKUP(A131,'Comm Price Out'!$A$80:$G$145,7,FALSE)</f>
        <v>53.01848532266424</v>
      </c>
      <c r="AZ131" s="953">
        <f t="shared" si="218"/>
        <v>16829.218400072823</v>
      </c>
      <c r="BA131" s="954">
        <f t="shared" si="183"/>
        <v>5.1328283217613339E-2</v>
      </c>
      <c r="BB131" s="126"/>
      <c r="BC131" s="1158">
        <f t="shared" si="184"/>
        <v>-16007.576956425668</v>
      </c>
      <c r="BD131" s="1158">
        <f t="shared" si="185"/>
        <v>-16829.218400072823</v>
      </c>
    </row>
    <row r="132" spans="1:56">
      <c r="A132" s="931" t="str">
        <f>+'Comm Price Out'!A108</f>
        <v>3 yd 2xweek</v>
      </c>
      <c r="B132" s="932">
        <f>+'Comm Price Out'!B108</f>
        <v>7</v>
      </c>
      <c r="C132" s="933">
        <f t="shared" si="186"/>
        <v>7.1216409833750056</v>
      </c>
      <c r="D132" s="957">
        <v>2</v>
      </c>
      <c r="E132" s="933">
        <f t="shared" si="187"/>
        <v>104</v>
      </c>
      <c r="F132" s="933">
        <f t="shared" si="188"/>
        <v>7.1216409833750056</v>
      </c>
      <c r="G132" s="933"/>
      <c r="H132" s="934">
        <f>+'Comm Price Out'!D108</f>
        <v>50.43</v>
      </c>
      <c r="I132" s="935">
        <f t="shared" si="189"/>
        <v>3057.0666000000001</v>
      </c>
      <c r="J132" s="935">
        <f t="shared" si="190"/>
        <v>36684.799200000001</v>
      </c>
      <c r="K132" s="935">
        <f t="shared" si="191"/>
        <v>37322.28134994323</v>
      </c>
      <c r="L132" s="936">
        <f t="shared" si="221"/>
        <v>283.8</v>
      </c>
      <c r="M132" s="937">
        <f t="shared" si="192"/>
        <v>279.34757704485708</v>
      </c>
      <c r="N132" s="938">
        <f t="shared" si="193"/>
        <v>105.1</v>
      </c>
      <c r="O132" s="939">
        <f t="shared" si="194"/>
        <v>103.45112877876841</v>
      </c>
      <c r="P132" s="888"/>
      <c r="Q132" s="940">
        <f t="shared" si="222"/>
        <v>120</v>
      </c>
      <c r="R132" s="941">
        <f t="shared" si="195"/>
        <v>24.688355409033353</v>
      </c>
      <c r="S132" s="941">
        <f t="shared" si="196"/>
        <v>24.688355409033353</v>
      </c>
      <c r="T132" s="942"/>
      <c r="U132" s="941" t="e">
        <f t="shared" si="197"/>
        <v>#VALUE!</v>
      </c>
      <c r="V132" s="943" t="e">
        <f t="shared" si="198"/>
        <v>#VALUE!</v>
      </c>
      <c r="W132" s="888"/>
      <c r="X132" s="892"/>
      <c r="Y132" s="935">
        <f t="shared" si="199"/>
        <v>4380.7621846132479</v>
      </c>
      <c r="Z132" s="935">
        <f t="shared" si="200"/>
        <v>10248.150625482876</v>
      </c>
      <c r="AA132" s="944"/>
      <c r="AB132" s="933" t="e">
        <f t="shared" si="201"/>
        <v>#VALUE!</v>
      </c>
      <c r="AC132" s="933" t="e">
        <f t="shared" si="202"/>
        <v>#VALUE!</v>
      </c>
      <c r="AD132" s="933" t="e">
        <f t="shared" si="203"/>
        <v>#VALUE!</v>
      </c>
      <c r="AE132" s="892"/>
      <c r="AF132" s="933">
        <f t="shared" si="204"/>
        <v>0</v>
      </c>
      <c r="AG132" s="933">
        <f t="shared" si="205"/>
        <v>0</v>
      </c>
      <c r="AH132" s="892"/>
      <c r="AI132" s="892"/>
      <c r="AJ132" s="945" t="e">
        <f t="shared" si="206"/>
        <v>#VALUE!</v>
      </c>
      <c r="AK132" s="933">
        <f t="shared" si="207"/>
        <v>0</v>
      </c>
      <c r="AL132" s="933" t="e">
        <f t="shared" si="208"/>
        <v>#VALUE!</v>
      </c>
      <c r="AM132" s="933" t="e">
        <f t="shared" si="209"/>
        <v>#VALUE!</v>
      </c>
      <c r="AN132" s="933" t="e">
        <f t="shared" si="210"/>
        <v>#VALUE!</v>
      </c>
      <c r="AO132" s="933" t="e">
        <f t="shared" si="211"/>
        <v>#VALUE!</v>
      </c>
      <c r="AP132" s="946" t="e">
        <f t="shared" si="212"/>
        <v>#VALUE!</v>
      </c>
      <c r="AQ132" s="888"/>
      <c r="AR132" s="941">
        <f t="shared" si="213"/>
        <v>0</v>
      </c>
      <c r="AS132" s="888"/>
      <c r="AT132" s="947">
        <f t="shared" si="214"/>
        <v>0</v>
      </c>
      <c r="AU132" s="948">
        <f t="shared" si="215"/>
        <v>0</v>
      </c>
      <c r="AV132" s="949" t="str">
        <f t="shared" si="182"/>
        <v/>
      </c>
      <c r="AW132" s="950">
        <f t="shared" si="216"/>
        <v>50.43</v>
      </c>
      <c r="AX132" s="951">
        <f t="shared" si="217"/>
        <v>37351.01289832656</v>
      </c>
      <c r="AY132" s="952">
        <f>VLOOKUP(A132,'Comm Price Out'!$A$80:$G$145,7,FALSE)</f>
        <v>53.01848532266424</v>
      </c>
      <c r="AZ132" s="953">
        <f t="shared" si="218"/>
        <v>39268.176266836599</v>
      </c>
      <c r="BA132" s="954">
        <f t="shared" si="183"/>
        <v>5.1328283217613339E-2</v>
      </c>
      <c r="BC132" s="1158">
        <f t="shared" si="184"/>
        <v>-37351.01289832656</v>
      </c>
      <c r="BD132" s="1158">
        <f t="shared" si="185"/>
        <v>-39268.176266836599</v>
      </c>
    </row>
    <row r="133" spans="1:56">
      <c r="A133" s="931" t="str">
        <f>+'Comm Price Out'!A109</f>
        <v>3 yd 3xweek</v>
      </c>
      <c r="B133" s="932">
        <f>+'Comm Price Out'!B109</f>
        <v>0</v>
      </c>
      <c r="C133" s="933">
        <f t="shared" si="186"/>
        <v>0</v>
      </c>
      <c r="D133" s="957">
        <v>3</v>
      </c>
      <c r="E133" s="933">
        <f t="shared" si="187"/>
        <v>156</v>
      </c>
      <c r="F133" s="933">
        <f t="shared" si="188"/>
        <v>0</v>
      </c>
      <c r="G133" s="933"/>
      <c r="H133" s="934">
        <f>+'Comm Price Out'!D109</f>
        <v>50.43</v>
      </c>
      <c r="I133" s="935">
        <f t="shared" si="189"/>
        <v>0</v>
      </c>
      <c r="J133" s="935">
        <f t="shared" si="190"/>
        <v>0</v>
      </c>
      <c r="K133" s="935">
        <f t="shared" si="191"/>
        <v>0</v>
      </c>
      <c r="L133" s="936">
        <f t="shared" si="221"/>
        <v>283.8</v>
      </c>
      <c r="M133" s="937">
        <f t="shared" si="192"/>
        <v>279.34757704485708</v>
      </c>
      <c r="N133" s="938">
        <f t="shared" si="193"/>
        <v>0</v>
      </c>
      <c r="O133" s="939">
        <f t="shared" si="194"/>
        <v>0</v>
      </c>
      <c r="P133" s="888"/>
      <c r="Q133" s="940">
        <f t="shared" si="222"/>
        <v>120</v>
      </c>
      <c r="R133" s="941">
        <f t="shared" si="195"/>
        <v>0</v>
      </c>
      <c r="S133" s="941">
        <f t="shared" si="196"/>
        <v>0</v>
      </c>
      <c r="T133" s="942"/>
      <c r="U133" s="941" t="e">
        <f t="shared" si="197"/>
        <v>#VALUE!</v>
      </c>
      <c r="V133" s="943" t="e">
        <f t="shared" si="198"/>
        <v>#VALUE!</v>
      </c>
      <c r="W133" s="888"/>
      <c r="X133" s="892"/>
      <c r="Y133" s="935">
        <f t="shared" si="199"/>
        <v>0</v>
      </c>
      <c r="Z133" s="935">
        <f t="shared" si="200"/>
        <v>0</v>
      </c>
      <c r="AA133" s="944"/>
      <c r="AB133" s="933" t="e">
        <f t="shared" si="201"/>
        <v>#VALUE!</v>
      </c>
      <c r="AC133" s="933" t="e">
        <f t="shared" si="202"/>
        <v>#VALUE!</v>
      </c>
      <c r="AD133" s="933" t="e">
        <f t="shared" si="203"/>
        <v>#VALUE!</v>
      </c>
      <c r="AE133" s="892"/>
      <c r="AF133" s="933">
        <f t="shared" si="204"/>
        <v>0</v>
      </c>
      <c r="AG133" s="933">
        <f t="shared" si="205"/>
        <v>0</v>
      </c>
      <c r="AH133" s="892"/>
      <c r="AI133" s="892"/>
      <c r="AJ133" s="945" t="e">
        <f t="shared" si="206"/>
        <v>#VALUE!</v>
      </c>
      <c r="AK133" s="933">
        <f t="shared" si="207"/>
        <v>0</v>
      </c>
      <c r="AL133" s="933" t="e">
        <f t="shared" si="208"/>
        <v>#VALUE!</v>
      </c>
      <c r="AM133" s="933" t="e">
        <f t="shared" si="209"/>
        <v>#VALUE!</v>
      </c>
      <c r="AN133" s="933" t="e">
        <f t="shared" si="210"/>
        <v>#VALUE!</v>
      </c>
      <c r="AO133" s="933" t="e">
        <f t="shared" si="211"/>
        <v>#VALUE!</v>
      </c>
      <c r="AP133" s="946" t="e">
        <f t="shared" si="212"/>
        <v>#VALUE!</v>
      </c>
      <c r="AQ133" s="888"/>
      <c r="AR133" s="941">
        <f t="shared" si="213"/>
        <v>0</v>
      </c>
      <c r="AS133" s="888"/>
      <c r="AT133" s="947">
        <f t="shared" si="214"/>
        <v>0</v>
      </c>
      <c r="AU133" s="948">
        <f t="shared" si="215"/>
        <v>0</v>
      </c>
      <c r="AV133" s="949" t="str">
        <f t="shared" si="182"/>
        <v/>
      </c>
      <c r="AW133" s="950">
        <f t="shared" si="216"/>
        <v>50.43</v>
      </c>
      <c r="AX133" s="951">
        <f t="shared" si="217"/>
        <v>0</v>
      </c>
      <c r="AY133" s="952">
        <f>VLOOKUP(A133,'Comm Price Out'!$A$80:$G$145,7,FALSE)</f>
        <v>53.01848532266424</v>
      </c>
      <c r="AZ133" s="953">
        <f t="shared" si="218"/>
        <v>0</v>
      </c>
      <c r="BA133" s="954">
        <f t="shared" si="183"/>
        <v>5.1328283217613339E-2</v>
      </c>
      <c r="BC133" s="1158">
        <f t="shared" si="184"/>
        <v>0</v>
      </c>
      <c r="BD133" s="1158">
        <f t="shared" si="185"/>
        <v>0</v>
      </c>
    </row>
    <row r="134" spans="1:56">
      <c r="A134" s="931" t="str">
        <f>+'Comm Price Out'!A110</f>
        <v>4 yd Comp Week</v>
      </c>
      <c r="B134" s="932">
        <f>+'Comm Price Out'!B110</f>
        <v>0</v>
      </c>
      <c r="C134" s="933">
        <f t="shared" si="186"/>
        <v>0</v>
      </c>
      <c r="D134" s="957">
        <v>1</v>
      </c>
      <c r="E134" s="933">
        <f t="shared" si="187"/>
        <v>52</v>
      </c>
      <c r="F134" s="933">
        <f t="shared" si="188"/>
        <v>0</v>
      </c>
      <c r="G134" s="933"/>
      <c r="H134" s="934">
        <f>+'Comm Price Out'!D110</f>
        <v>293.77</v>
      </c>
      <c r="I134" s="935">
        <f t="shared" si="189"/>
        <v>0</v>
      </c>
      <c r="J134" s="935">
        <f t="shared" si="190"/>
        <v>0</v>
      </c>
      <c r="K134" s="935">
        <f t="shared" si="191"/>
        <v>0</v>
      </c>
      <c r="L134" s="936">
        <f t="shared" ref="L134:L150" si="223">L67</f>
        <v>1011.5999999999999</v>
      </c>
      <c r="M134" s="937">
        <f t="shared" si="192"/>
        <v>995.7294183882218</v>
      </c>
      <c r="N134" s="938">
        <f t="shared" si="193"/>
        <v>0</v>
      </c>
      <c r="O134" s="939">
        <f t="shared" si="194"/>
        <v>0</v>
      </c>
      <c r="P134" s="888"/>
      <c r="Q134" s="940">
        <f t="shared" ref="Q134:Q150" si="224">Q67</f>
        <v>120</v>
      </c>
      <c r="R134" s="941">
        <f t="shared" si="195"/>
        <v>0</v>
      </c>
      <c r="S134" s="941">
        <f t="shared" si="196"/>
        <v>0</v>
      </c>
      <c r="T134" s="942"/>
      <c r="U134" s="941" t="e">
        <f t="shared" si="197"/>
        <v>#VALUE!</v>
      </c>
      <c r="V134" s="943" t="e">
        <f t="shared" si="198"/>
        <v>#VALUE!</v>
      </c>
      <c r="W134" s="888"/>
      <c r="X134" s="892"/>
      <c r="Y134" s="935">
        <f t="shared" si="199"/>
        <v>0</v>
      </c>
      <c r="Z134" s="935">
        <f t="shared" si="200"/>
        <v>0</v>
      </c>
      <c r="AA134" s="944"/>
      <c r="AB134" s="933" t="e">
        <f t="shared" si="201"/>
        <v>#VALUE!</v>
      </c>
      <c r="AC134" s="933" t="e">
        <f t="shared" si="202"/>
        <v>#VALUE!</v>
      </c>
      <c r="AD134" s="933" t="e">
        <f t="shared" si="203"/>
        <v>#VALUE!</v>
      </c>
      <c r="AE134" s="892"/>
      <c r="AF134" s="933">
        <f t="shared" si="204"/>
        <v>0</v>
      </c>
      <c r="AG134" s="933">
        <f t="shared" si="205"/>
        <v>0</v>
      </c>
      <c r="AH134" s="892"/>
      <c r="AI134" s="892"/>
      <c r="AJ134" s="945" t="e">
        <f t="shared" si="206"/>
        <v>#VALUE!</v>
      </c>
      <c r="AK134" s="933">
        <f t="shared" si="207"/>
        <v>0</v>
      </c>
      <c r="AL134" s="933" t="e">
        <f t="shared" si="208"/>
        <v>#VALUE!</v>
      </c>
      <c r="AM134" s="933" t="e">
        <f t="shared" si="209"/>
        <v>#VALUE!</v>
      </c>
      <c r="AN134" s="933" t="e">
        <f t="shared" si="210"/>
        <v>#VALUE!</v>
      </c>
      <c r="AO134" s="933" t="e">
        <f t="shared" si="211"/>
        <v>#VALUE!</v>
      </c>
      <c r="AP134" s="946" t="e">
        <f t="shared" si="212"/>
        <v>#VALUE!</v>
      </c>
      <c r="AQ134" s="888"/>
      <c r="AR134" s="941">
        <f t="shared" si="213"/>
        <v>0</v>
      </c>
      <c r="AS134" s="888"/>
      <c r="AT134" s="947">
        <f t="shared" si="214"/>
        <v>0</v>
      </c>
      <c r="AU134" s="948">
        <f t="shared" si="215"/>
        <v>0</v>
      </c>
      <c r="AV134" s="949" t="str">
        <f t="shared" si="182"/>
        <v/>
      </c>
      <c r="AW134" s="950">
        <f t="shared" si="216"/>
        <v>293.77</v>
      </c>
      <c r="AX134" s="951">
        <f t="shared" si="217"/>
        <v>0</v>
      </c>
      <c r="AY134" s="952">
        <f>VLOOKUP(A134,'Comm Price Out'!$A$80:$G$145,7,FALSE)</f>
        <v>308.84870976083829</v>
      </c>
      <c r="AZ134" s="953">
        <f t="shared" si="218"/>
        <v>0</v>
      </c>
      <c r="BA134" s="954">
        <f t="shared" si="183"/>
        <v>5.1328283217613471E-2</v>
      </c>
      <c r="BC134" s="1158">
        <f t="shared" si="184"/>
        <v>0</v>
      </c>
      <c r="BD134" s="1158">
        <f t="shared" si="185"/>
        <v>0</v>
      </c>
    </row>
    <row r="135" spans="1:56">
      <c r="A135" s="931" t="str">
        <f>+'Comm Price Out'!A111</f>
        <v>4 yd Comp Week (5x Comp)</v>
      </c>
      <c r="B135" s="932">
        <f>+'Comm Price Out'!B111</f>
        <v>0</v>
      </c>
      <c r="C135" s="933">
        <f t="shared" si="186"/>
        <v>0</v>
      </c>
      <c r="D135" s="957">
        <v>1</v>
      </c>
      <c r="E135" s="933">
        <f t="shared" si="187"/>
        <v>52</v>
      </c>
      <c r="F135" s="933">
        <f t="shared" si="188"/>
        <v>0</v>
      </c>
      <c r="G135" s="933"/>
      <c r="H135" s="934">
        <f>+'Comm Price Out'!D111</f>
        <v>0</v>
      </c>
      <c r="I135" s="935">
        <f t="shared" si="189"/>
        <v>0</v>
      </c>
      <c r="J135" s="935">
        <f t="shared" si="190"/>
        <v>0</v>
      </c>
      <c r="K135" s="935">
        <f t="shared" si="191"/>
        <v>0</v>
      </c>
      <c r="L135" s="936">
        <f t="shared" si="223"/>
        <v>1445.1428571428571</v>
      </c>
      <c r="M135" s="937">
        <f t="shared" si="192"/>
        <v>1422.4705976974599</v>
      </c>
      <c r="N135" s="938">
        <f t="shared" si="193"/>
        <v>0</v>
      </c>
      <c r="O135" s="939">
        <f t="shared" si="194"/>
        <v>0</v>
      </c>
      <c r="P135" s="888"/>
      <c r="Q135" s="940">
        <f t="shared" si="224"/>
        <v>171.42857142857142</v>
      </c>
      <c r="R135" s="941">
        <f t="shared" si="195"/>
        <v>0</v>
      </c>
      <c r="S135" s="941">
        <f t="shared" si="196"/>
        <v>0</v>
      </c>
      <c r="T135" s="942"/>
      <c r="U135" s="941" t="e">
        <f t="shared" si="197"/>
        <v>#VALUE!</v>
      </c>
      <c r="V135" s="943" t="e">
        <f t="shared" si="198"/>
        <v>#VALUE!</v>
      </c>
      <c r="W135" s="888"/>
      <c r="X135" s="892"/>
      <c r="Y135" s="935">
        <f t="shared" si="199"/>
        <v>0</v>
      </c>
      <c r="Z135" s="935">
        <f t="shared" si="200"/>
        <v>0</v>
      </c>
      <c r="AA135" s="944"/>
      <c r="AB135" s="933" t="e">
        <f t="shared" si="201"/>
        <v>#VALUE!</v>
      </c>
      <c r="AC135" s="933" t="e">
        <f t="shared" si="202"/>
        <v>#VALUE!</v>
      </c>
      <c r="AD135" s="933" t="e">
        <f t="shared" si="203"/>
        <v>#VALUE!</v>
      </c>
      <c r="AE135" s="892"/>
      <c r="AF135" s="933">
        <f t="shared" si="204"/>
        <v>0</v>
      </c>
      <c r="AG135" s="933">
        <f t="shared" si="205"/>
        <v>0</v>
      </c>
      <c r="AH135" s="892"/>
      <c r="AI135" s="892"/>
      <c r="AJ135" s="945" t="e">
        <f t="shared" si="206"/>
        <v>#VALUE!</v>
      </c>
      <c r="AK135" s="933">
        <f t="shared" si="207"/>
        <v>0</v>
      </c>
      <c r="AL135" s="933" t="e">
        <f t="shared" si="208"/>
        <v>#VALUE!</v>
      </c>
      <c r="AM135" s="933" t="e">
        <f t="shared" si="209"/>
        <v>#VALUE!</v>
      </c>
      <c r="AN135" s="933" t="e">
        <f t="shared" si="210"/>
        <v>#VALUE!</v>
      </c>
      <c r="AO135" s="933" t="e">
        <f t="shared" si="211"/>
        <v>#VALUE!</v>
      </c>
      <c r="AP135" s="946" t="e">
        <f t="shared" si="212"/>
        <v>#VALUE!</v>
      </c>
      <c r="AQ135" s="888"/>
      <c r="AR135" s="941">
        <f t="shared" si="213"/>
        <v>0</v>
      </c>
      <c r="AS135" s="888"/>
      <c r="AT135" s="947">
        <f t="shared" si="214"/>
        <v>0</v>
      </c>
      <c r="AU135" s="948">
        <f t="shared" si="215"/>
        <v>0</v>
      </c>
      <c r="AV135" s="949" t="str">
        <f t="shared" si="182"/>
        <v/>
      </c>
      <c r="AW135" s="950">
        <f t="shared" si="216"/>
        <v>0</v>
      </c>
      <c r="AX135" s="951">
        <f t="shared" si="217"/>
        <v>0</v>
      </c>
      <c r="AY135" s="952">
        <f>VLOOKUP(A135,'Comm Price Out'!$A$80:$G$145,7,FALSE)</f>
        <v>0</v>
      </c>
      <c r="AZ135" s="953">
        <f t="shared" si="218"/>
        <v>0</v>
      </c>
      <c r="BA135" s="954" t="str">
        <f t="shared" si="183"/>
        <v/>
      </c>
      <c r="BC135" s="1158">
        <f t="shared" si="184"/>
        <v>0</v>
      </c>
      <c r="BD135" s="1158">
        <f t="shared" si="185"/>
        <v>0</v>
      </c>
    </row>
    <row r="136" spans="1:56">
      <c r="A136" s="931" t="str">
        <f>+'Comm Price Out'!A112</f>
        <v>4 yd On Call</v>
      </c>
      <c r="B136" s="932">
        <f>+'Comm Price Out'!B112</f>
        <v>0</v>
      </c>
      <c r="C136" s="933">
        <f t="shared" si="186"/>
        <v>0</v>
      </c>
      <c r="D136" s="957">
        <f>1/$E$2</f>
        <v>0.23094688221709006</v>
      </c>
      <c r="E136" s="933">
        <f t="shared" si="187"/>
        <v>12.009237875288683</v>
      </c>
      <c r="F136" s="933">
        <f t="shared" si="188"/>
        <v>0</v>
      </c>
      <c r="G136" s="933"/>
      <c r="H136" s="934">
        <f>+'Comm Price Out'!D112</f>
        <v>70.7</v>
      </c>
      <c r="I136" s="935">
        <f t="shared" si="189"/>
        <v>0</v>
      </c>
      <c r="J136" s="935">
        <f t="shared" si="190"/>
        <v>0</v>
      </c>
      <c r="K136" s="935">
        <f t="shared" si="191"/>
        <v>0</v>
      </c>
      <c r="L136" s="936">
        <f t="shared" si="223"/>
        <v>367.8</v>
      </c>
      <c r="M136" s="937">
        <f t="shared" si="192"/>
        <v>362.02973515538559</v>
      </c>
      <c r="N136" s="938">
        <f t="shared" si="193"/>
        <v>0</v>
      </c>
      <c r="O136" s="939">
        <f t="shared" si="194"/>
        <v>0</v>
      </c>
      <c r="P136" s="888"/>
      <c r="Q136" s="940">
        <f t="shared" si="224"/>
        <v>120</v>
      </c>
      <c r="R136" s="941">
        <f t="shared" si="195"/>
        <v>0</v>
      </c>
      <c r="S136" s="941">
        <f t="shared" si="196"/>
        <v>0</v>
      </c>
      <c r="T136" s="942"/>
      <c r="U136" s="941" t="e">
        <f t="shared" si="197"/>
        <v>#VALUE!</v>
      </c>
      <c r="V136" s="943" t="e">
        <f t="shared" si="198"/>
        <v>#VALUE!</v>
      </c>
      <c r="W136" s="888"/>
      <c r="X136" s="892"/>
      <c r="Y136" s="935">
        <f t="shared" si="199"/>
        <v>0</v>
      </c>
      <c r="Z136" s="935">
        <f t="shared" si="200"/>
        <v>0</v>
      </c>
      <c r="AA136" s="944"/>
      <c r="AB136" s="933" t="e">
        <f t="shared" si="201"/>
        <v>#VALUE!</v>
      </c>
      <c r="AC136" s="933" t="e">
        <f t="shared" si="202"/>
        <v>#VALUE!</v>
      </c>
      <c r="AD136" s="933" t="e">
        <f t="shared" si="203"/>
        <v>#VALUE!</v>
      </c>
      <c r="AE136" s="892"/>
      <c r="AF136" s="933">
        <f t="shared" si="204"/>
        <v>0</v>
      </c>
      <c r="AG136" s="933">
        <f t="shared" si="205"/>
        <v>0</v>
      </c>
      <c r="AH136" s="892"/>
      <c r="AI136" s="892"/>
      <c r="AJ136" s="945" t="e">
        <f t="shared" si="206"/>
        <v>#VALUE!</v>
      </c>
      <c r="AK136" s="933">
        <f t="shared" si="207"/>
        <v>0</v>
      </c>
      <c r="AL136" s="933" t="e">
        <f t="shared" si="208"/>
        <v>#VALUE!</v>
      </c>
      <c r="AM136" s="933" t="e">
        <f t="shared" si="209"/>
        <v>#VALUE!</v>
      </c>
      <c r="AN136" s="933" t="e">
        <f t="shared" si="210"/>
        <v>#VALUE!</v>
      </c>
      <c r="AO136" s="933" t="e">
        <f t="shared" si="211"/>
        <v>#VALUE!</v>
      </c>
      <c r="AP136" s="946" t="e">
        <f t="shared" si="212"/>
        <v>#VALUE!</v>
      </c>
      <c r="AQ136" s="888"/>
      <c r="AR136" s="941">
        <f t="shared" si="213"/>
        <v>0</v>
      </c>
      <c r="AS136" s="888"/>
      <c r="AT136" s="947">
        <f t="shared" si="214"/>
        <v>0</v>
      </c>
      <c r="AU136" s="948">
        <f t="shared" si="215"/>
        <v>0</v>
      </c>
      <c r="AV136" s="949" t="str">
        <f t="shared" si="182"/>
        <v/>
      </c>
      <c r="AW136" s="950">
        <f t="shared" si="216"/>
        <v>70.7</v>
      </c>
      <c r="AX136" s="951">
        <f t="shared" si="217"/>
        <v>0</v>
      </c>
      <c r="AY136" s="952">
        <f>VLOOKUP(A136,'Comm Price Out'!$A$80:$G$145,7,FALSE)</f>
        <v>74.328909623485274</v>
      </c>
      <c r="AZ136" s="953">
        <f t="shared" si="218"/>
        <v>0</v>
      </c>
      <c r="BA136" s="954">
        <f t="shared" si="183"/>
        <v>5.1328283217613443E-2</v>
      </c>
      <c r="BC136" s="1158">
        <f t="shared" si="184"/>
        <v>0</v>
      </c>
      <c r="BD136" s="1158">
        <f t="shared" si="185"/>
        <v>0</v>
      </c>
    </row>
    <row r="137" spans="1:56" s="160" customFormat="1">
      <c r="A137" s="931" t="str">
        <f>+'Comm Price Out'!A113</f>
        <v>4 yd 1xweek</v>
      </c>
      <c r="B137" s="932">
        <f>+'Comm Price Out'!B113</f>
        <v>16</v>
      </c>
      <c r="C137" s="935">
        <f t="shared" si="186"/>
        <v>16.278036533428583</v>
      </c>
      <c r="D137" s="957">
        <v>1</v>
      </c>
      <c r="E137" s="933">
        <f t="shared" si="187"/>
        <v>52</v>
      </c>
      <c r="F137" s="933">
        <f t="shared" si="188"/>
        <v>16.278036533428583</v>
      </c>
      <c r="G137" s="935"/>
      <c r="H137" s="934">
        <f>+'Comm Price Out'!D113</f>
        <v>64.930000000000007</v>
      </c>
      <c r="I137" s="935">
        <f t="shared" si="189"/>
        <v>4498.3504000000003</v>
      </c>
      <c r="J137" s="935">
        <f t="shared" si="190"/>
        <v>53980.204800000007</v>
      </c>
      <c r="K137" s="935">
        <f t="shared" si="191"/>
        <v>54918.234113522318</v>
      </c>
      <c r="L137" s="936">
        <f t="shared" si="223"/>
        <v>367.8</v>
      </c>
      <c r="M137" s="937">
        <f t="shared" si="192"/>
        <v>362.02973515538559</v>
      </c>
      <c r="N137" s="938">
        <f t="shared" si="193"/>
        <v>155.66</v>
      </c>
      <c r="O137" s="939">
        <f t="shared" si="194"/>
        <v>153.21791347005797</v>
      </c>
      <c r="P137" s="959"/>
      <c r="Q137" s="940">
        <f t="shared" si="224"/>
        <v>120</v>
      </c>
      <c r="R137" s="939">
        <f t="shared" si="195"/>
        <v>28.215263324609541</v>
      </c>
      <c r="S137" s="939">
        <f t="shared" si="196"/>
        <v>28.215263324609541</v>
      </c>
      <c r="T137" s="960"/>
      <c r="U137" s="939" t="e">
        <f t="shared" si="197"/>
        <v>#VALUE!</v>
      </c>
      <c r="V137" s="961" t="e">
        <f t="shared" si="198"/>
        <v>#VALUE!</v>
      </c>
      <c r="W137" s="959"/>
      <c r="X137" s="944"/>
      <c r="Y137" s="935">
        <f t="shared" si="199"/>
        <v>6446.1151502096409</v>
      </c>
      <c r="Z137" s="935">
        <f t="shared" si="200"/>
        <v>15079.740973062591</v>
      </c>
      <c r="AA137" s="944"/>
      <c r="AB137" s="935" t="e">
        <f t="shared" si="201"/>
        <v>#VALUE!</v>
      </c>
      <c r="AC137" s="935" t="e">
        <f t="shared" si="202"/>
        <v>#VALUE!</v>
      </c>
      <c r="AD137" s="935" t="e">
        <f t="shared" si="203"/>
        <v>#VALUE!</v>
      </c>
      <c r="AE137" s="892"/>
      <c r="AF137" s="935">
        <f t="shared" si="204"/>
        <v>0</v>
      </c>
      <c r="AG137" s="935">
        <f t="shared" si="205"/>
        <v>0</v>
      </c>
      <c r="AH137" s="944"/>
      <c r="AI137" s="944"/>
      <c r="AJ137" s="945" t="e">
        <f t="shared" si="206"/>
        <v>#VALUE!</v>
      </c>
      <c r="AK137" s="935">
        <f t="shared" si="207"/>
        <v>0</v>
      </c>
      <c r="AL137" s="935" t="e">
        <f t="shared" si="208"/>
        <v>#VALUE!</v>
      </c>
      <c r="AM137" s="935" t="e">
        <f t="shared" si="209"/>
        <v>#VALUE!</v>
      </c>
      <c r="AN137" s="935" t="e">
        <f t="shared" si="210"/>
        <v>#VALUE!</v>
      </c>
      <c r="AO137" s="935" t="e">
        <f t="shared" si="211"/>
        <v>#VALUE!</v>
      </c>
      <c r="AP137" s="946" t="e">
        <f t="shared" si="212"/>
        <v>#VALUE!</v>
      </c>
      <c r="AQ137" s="959"/>
      <c r="AR137" s="941">
        <f t="shared" si="213"/>
        <v>0</v>
      </c>
      <c r="AS137" s="959"/>
      <c r="AT137" s="963">
        <f t="shared" si="214"/>
        <v>0</v>
      </c>
      <c r="AU137" s="948">
        <f t="shared" si="215"/>
        <v>0</v>
      </c>
      <c r="AV137" s="964" t="str">
        <f t="shared" si="182"/>
        <v/>
      </c>
      <c r="AW137" s="965">
        <f t="shared" si="216"/>
        <v>64.930000000000007</v>
      </c>
      <c r="AX137" s="951">
        <f t="shared" si="217"/>
        <v>54960.51143000694</v>
      </c>
      <c r="AY137" s="952">
        <f>VLOOKUP(A137,'Comm Price Out'!$A$80:$G$145,7,FALSE)</f>
        <v>68.262745429319651</v>
      </c>
      <c r="AZ137" s="953">
        <f t="shared" si="218"/>
        <v>57781.540126471213</v>
      </c>
      <c r="BA137" s="966">
        <f t="shared" si="183"/>
        <v>5.1328283217613485E-2</v>
      </c>
      <c r="BC137" s="1158">
        <f t="shared" si="184"/>
        <v>-54960.51143000694</v>
      </c>
      <c r="BD137" s="1158">
        <f t="shared" si="185"/>
        <v>-57781.540126471213</v>
      </c>
    </row>
    <row r="138" spans="1:56">
      <c r="A138" s="931" t="str">
        <f>+'Comm Price Out'!A114</f>
        <v>4 yd 2xweek</v>
      </c>
      <c r="B138" s="932">
        <f>+'Comm Price Out'!B114</f>
        <v>9</v>
      </c>
      <c r="C138" s="933">
        <f t="shared" si="186"/>
        <v>9.1563955500535776</v>
      </c>
      <c r="D138" s="1129">
        <v>2</v>
      </c>
      <c r="E138" s="933">
        <f t="shared" si="187"/>
        <v>104</v>
      </c>
      <c r="F138" s="933">
        <f t="shared" si="188"/>
        <v>9.1563955500535776</v>
      </c>
      <c r="G138" s="933"/>
      <c r="H138" s="934">
        <f>+'Comm Price Out'!D114</f>
        <v>64.930000000000007</v>
      </c>
      <c r="I138" s="935">
        <f t="shared" si="189"/>
        <v>5060.6442000000015</v>
      </c>
      <c r="J138" s="935">
        <f t="shared" si="190"/>
        <v>60727.730400000015</v>
      </c>
      <c r="K138" s="935">
        <f t="shared" si="191"/>
        <v>61783.013377712618</v>
      </c>
      <c r="L138" s="936">
        <f t="shared" si="223"/>
        <v>367.8</v>
      </c>
      <c r="M138" s="937">
        <f t="shared" si="192"/>
        <v>362.02973515538559</v>
      </c>
      <c r="N138" s="938">
        <f t="shared" si="193"/>
        <v>175.12</v>
      </c>
      <c r="O138" s="939">
        <f t="shared" si="194"/>
        <v>172.37261343233041</v>
      </c>
      <c r="P138" s="888"/>
      <c r="Q138" s="940">
        <f t="shared" si="224"/>
        <v>120</v>
      </c>
      <c r="R138" s="941">
        <f t="shared" si="195"/>
        <v>31.742171240185737</v>
      </c>
      <c r="S138" s="941">
        <f t="shared" si="196"/>
        <v>31.742171240185737</v>
      </c>
      <c r="T138" s="942"/>
      <c r="U138" s="941" t="e">
        <f t="shared" si="197"/>
        <v>#VALUE!</v>
      </c>
      <c r="V138" s="943" t="e">
        <f t="shared" si="198"/>
        <v>#VALUE!</v>
      </c>
      <c r="W138" s="888"/>
      <c r="X138" s="892"/>
      <c r="Y138" s="935">
        <f t="shared" si="199"/>
        <v>7251.8795439858477</v>
      </c>
      <c r="Z138" s="935">
        <f t="shared" si="200"/>
        <v>16964.708594695421</v>
      </c>
      <c r="AA138" s="944"/>
      <c r="AB138" s="933" t="e">
        <f t="shared" si="201"/>
        <v>#VALUE!</v>
      </c>
      <c r="AC138" s="933" t="e">
        <f t="shared" si="202"/>
        <v>#VALUE!</v>
      </c>
      <c r="AD138" s="933" t="e">
        <f t="shared" si="203"/>
        <v>#VALUE!</v>
      </c>
      <c r="AE138" s="892"/>
      <c r="AF138" s="933">
        <f t="shared" si="204"/>
        <v>0</v>
      </c>
      <c r="AG138" s="933">
        <f t="shared" si="205"/>
        <v>0</v>
      </c>
      <c r="AH138" s="892"/>
      <c r="AI138" s="892"/>
      <c r="AJ138" s="945" t="e">
        <f t="shared" si="206"/>
        <v>#VALUE!</v>
      </c>
      <c r="AK138" s="933">
        <f t="shared" si="207"/>
        <v>0</v>
      </c>
      <c r="AL138" s="933" t="e">
        <f t="shared" si="208"/>
        <v>#VALUE!</v>
      </c>
      <c r="AM138" s="933" t="e">
        <f t="shared" si="209"/>
        <v>#VALUE!</v>
      </c>
      <c r="AN138" s="933" t="e">
        <f t="shared" si="210"/>
        <v>#VALUE!</v>
      </c>
      <c r="AO138" s="933" t="e">
        <f t="shared" si="211"/>
        <v>#VALUE!</v>
      </c>
      <c r="AP138" s="946" t="e">
        <f t="shared" si="212"/>
        <v>#VALUE!</v>
      </c>
      <c r="AQ138" s="888"/>
      <c r="AR138" s="941">
        <f t="shared" si="213"/>
        <v>0</v>
      </c>
      <c r="AS138" s="888"/>
      <c r="AT138" s="947">
        <f t="shared" si="214"/>
        <v>0</v>
      </c>
      <c r="AU138" s="948">
        <f t="shared" si="215"/>
        <v>0</v>
      </c>
      <c r="AV138" s="949" t="str">
        <f t="shared" si="182"/>
        <v/>
      </c>
      <c r="AW138" s="950">
        <f t="shared" si="216"/>
        <v>64.930000000000007</v>
      </c>
      <c r="AX138" s="951">
        <f t="shared" si="217"/>
        <v>61830.5753587578</v>
      </c>
      <c r="AY138" s="952">
        <f>VLOOKUP(A138,'Comm Price Out'!$A$80:$G$145,7,FALSE)</f>
        <v>68.262745429319651</v>
      </c>
      <c r="AZ138" s="953">
        <f t="shared" si="218"/>
        <v>65004.232642280112</v>
      </c>
      <c r="BA138" s="954">
        <f t="shared" si="183"/>
        <v>5.1328283217613485E-2</v>
      </c>
      <c r="BB138" s="126"/>
      <c r="BC138" s="1158">
        <f t="shared" si="184"/>
        <v>-61830.5753587578</v>
      </c>
      <c r="BD138" s="1158">
        <f t="shared" si="185"/>
        <v>-65004.232642280112</v>
      </c>
    </row>
    <row r="139" spans="1:56">
      <c r="A139" s="931" t="str">
        <f>+'Comm Price Out'!A115</f>
        <v>4 yd 3xweek</v>
      </c>
      <c r="B139" s="932">
        <f>+'Comm Price Out'!B115</f>
        <v>2</v>
      </c>
      <c r="C139" s="933">
        <f t="shared" si="186"/>
        <v>2.0347545666785729</v>
      </c>
      <c r="D139" s="957">
        <v>3</v>
      </c>
      <c r="E139" s="933">
        <f t="shared" si="187"/>
        <v>156</v>
      </c>
      <c r="F139" s="933">
        <f t="shared" si="188"/>
        <v>2.0347545666785729</v>
      </c>
      <c r="G139" s="933"/>
      <c r="H139" s="934">
        <f>+'Comm Price Out'!D115</f>
        <v>64.930000000000007</v>
      </c>
      <c r="I139" s="935">
        <f t="shared" si="189"/>
        <v>1686.8814000000002</v>
      </c>
      <c r="J139" s="935">
        <f t="shared" si="190"/>
        <v>20242.576800000003</v>
      </c>
      <c r="K139" s="935">
        <f t="shared" si="191"/>
        <v>20594.33779257087</v>
      </c>
      <c r="L139" s="936">
        <f t="shared" si="223"/>
        <v>367.8</v>
      </c>
      <c r="M139" s="937">
        <f t="shared" si="192"/>
        <v>362.02973515538559</v>
      </c>
      <c r="N139" s="938">
        <f t="shared" si="193"/>
        <v>58.37</v>
      </c>
      <c r="O139" s="939">
        <f t="shared" si="194"/>
        <v>57.454256772756537</v>
      </c>
      <c r="P139" s="888"/>
      <c r="Q139" s="940">
        <f t="shared" si="224"/>
        <v>120</v>
      </c>
      <c r="R139" s="941">
        <f t="shared" si="195"/>
        <v>10.580723746728577</v>
      </c>
      <c r="S139" s="941">
        <f t="shared" si="196"/>
        <v>10.580723746728577</v>
      </c>
      <c r="T139" s="942"/>
      <c r="U139" s="941" t="e">
        <f t="shared" si="197"/>
        <v>#VALUE!</v>
      </c>
      <c r="V139" s="943" t="e">
        <f t="shared" si="198"/>
        <v>#VALUE!</v>
      </c>
      <c r="W139" s="888"/>
      <c r="X139" s="892"/>
      <c r="Y139" s="935">
        <f t="shared" si="199"/>
        <v>2417.2931813286159</v>
      </c>
      <c r="Z139" s="935">
        <f t="shared" si="200"/>
        <v>5654.9028648984722</v>
      </c>
      <c r="AA139" s="944"/>
      <c r="AB139" s="933" t="e">
        <f t="shared" si="201"/>
        <v>#VALUE!</v>
      </c>
      <c r="AC139" s="933" t="e">
        <f t="shared" si="202"/>
        <v>#VALUE!</v>
      </c>
      <c r="AD139" s="933" t="e">
        <f t="shared" si="203"/>
        <v>#VALUE!</v>
      </c>
      <c r="AE139" s="892"/>
      <c r="AF139" s="933">
        <f t="shared" si="204"/>
        <v>0</v>
      </c>
      <c r="AG139" s="933">
        <f t="shared" si="205"/>
        <v>0</v>
      </c>
      <c r="AH139" s="892"/>
      <c r="AI139" s="892"/>
      <c r="AJ139" s="945" t="e">
        <f t="shared" si="206"/>
        <v>#VALUE!</v>
      </c>
      <c r="AK139" s="933">
        <f t="shared" si="207"/>
        <v>0</v>
      </c>
      <c r="AL139" s="933" t="e">
        <f t="shared" si="208"/>
        <v>#VALUE!</v>
      </c>
      <c r="AM139" s="933" t="e">
        <f t="shared" si="209"/>
        <v>#VALUE!</v>
      </c>
      <c r="AN139" s="933" t="e">
        <f t="shared" si="210"/>
        <v>#VALUE!</v>
      </c>
      <c r="AO139" s="933" t="e">
        <f t="shared" si="211"/>
        <v>#VALUE!</v>
      </c>
      <c r="AP139" s="946" t="e">
        <f t="shared" si="212"/>
        <v>#VALUE!</v>
      </c>
      <c r="AQ139" s="888"/>
      <c r="AR139" s="941">
        <f t="shared" si="213"/>
        <v>0</v>
      </c>
      <c r="AS139" s="888"/>
      <c r="AT139" s="947">
        <f t="shared" si="214"/>
        <v>0</v>
      </c>
      <c r="AU139" s="948">
        <f t="shared" si="215"/>
        <v>0</v>
      </c>
      <c r="AV139" s="949" t="str">
        <f t="shared" si="182"/>
        <v/>
      </c>
      <c r="AW139" s="950">
        <f t="shared" si="216"/>
        <v>64.930000000000007</v>
      </c>
      <c r="AX139" s="951">
        <f t="shared" si="217"/>
        <v>20610.191786252602</v>
      </c>
      <c r="AY139" s="952">
        <f>VLOOKUP(A139,'Comm Price Out'!$A$80:$G$145,7,FALSE)</f>
        <v>68.262745429319651</v>
      </c>
      <c r="AZ139" s="953">
        <f t="shared" si="218"/>
        <v>21668.077547426707</v>
      </c>
      <c r="BA139" s="954">
        <f t="shared" si="183"/>
        <v>5.1328283217613485E-2</v>
      </c>
      <c r="BB139" s="126"/>
      <c r="BC139" s="1158">
        <f t="shared" si="184"/>
        <v>-20610.191786252602</v>
      </c>
      <c r="BD139" s="1158">
        <f t="shared" si="185"/>
        <v>-21668.077547426707</v>
      </c>
    </row>
    <row r="140" spans="1:56">
      <c r="A140" s="931" t="str">
        <f>+'Comm Price Out'!A116</f>
        <v>4 yd 4xweek</v>
      </c>
      <c r="B140" s="932">
        <f>+'Comm Price Out'!B116</f>
        <v>0</v>
      </c>
      <c r="C140" s="933">
        <f t="shared" si="186"/>
        <v>0</v>
      </c>
      <c r="D140" s="957">
        <v>4</v>
      </c>
      <c r="E140" s="933">
        <f t="shared" si="187"/>
        <v>208</v>
      </c>
      <c r="F140" s="933">
        <f t="shared" si="188"/>
        <v>0</v>
      </c>
      <c r="G140" s="933"/>
      <c r="H140" s="934">
        <f>+'Comm Price Out'!D116</f>
        <v>64.930000000000007</v>
      </c>
      <c r="I140" s="935">
        <f t="shared" si="189"/>
        <v>0</v>
      </c>
      <c r="J140" s="935">
        <f t="shared" si="190"/>
        <v>0</v>
      </c>
      <c r="K140" s="935">
        <f t="shared" si="191"/>
        <v>0</v>
      </c>
      <c r="L140" s="936">
        <f t="shared" si="223"/>
        <v>367.8</v>
      </c>
      <c r="M140" s="937">
        <f t="shared" si="192"/>
        <v>362.02973515538559</v>
      </c>
      <c r="N140" s="938">
        <f t="shared" si="193"/>
        <v>0</v>
      </c>
      <c r="O140" s="939">
        <f t="shared" si="194"/>
        <v>0</v>
      </c>
      <c r="P140" s="888"/>
      <c r="Q140" s="940">
        <f t="shared" si="224"/>
        <v>120</v>
      </c>
      <c r="R140" s="941">
        <f t="shared" si="195"/>
        <v>0</v>
      </c>
      <c r="S140" s="941">
        <f t="shared" si="196"/>
        <v>0</v>
      </c>
      <c r="T140" s="942"/>
      <c r="U140" s="941" t="e">
        <f t="shared" si="197"/>
        <v>#VALUE!</v>
      </c>
      <c r="V140" s="943" t="e">
        <f t="shared" si="198"/>
        <v>#VALUE!</v>
      </c>
      <c r="W140" s="888"/>
      <c r="X140" s="892"/>
      <c r="Y140" s="935">
        <f t="shared" si="199"/>
        <v>0</v>
      </c>
      <c r="Z140" s="935">
        <f t="shared" si="200"/>
        <v>0</v>
      </c>
      <c r="AA140" s="944"/>
      <c r="AB140" s="933" t="e">
        <f t="shared" si="201"/>
        <v>#VALUE!</v>
      </c>
      <c r="AC140" s="933" t="e">
        <f t="shared" si="202"/>
        <v>#VALUE!</v>
      </c>
      <c r="AD140" s="933" t="e">
        <f t="shared" si="203"/>
        <v>#VALUE!</v>
      </c>
      <c r="AE140" s="892"/>
      <c r="AF140" s="933">
        <f t="shared" si="204"/>
        <v>0</v>
      </c>
      <c r="AG140" s="933">
        <f t="shared" si="205"/>
        <v>0</v>
      </c>
      <c r="AH140" s="892"/>
      <c r="AI140" s="892"/>
      <c r="AJ140" s="945" t="e">
        <f t="shared" si="206"/>
        <v>#VALUE!</v>
      </c>
      <c r="AK140" s="933">
        <f t="shared" si="207"/>
        <v>0</v>
      </c>
      <c r="AL140" s="933" t="e">
        <f t="shared" si="208"/>
        <v>#VALUE!</v>
      </c>
      <c r="AM140" s="933" t="e">
        <f t="shared" si="209"/>
        <v>#VALUE!</v>
      </c>
      <c r="AN140" s="933" t="e">
        <f t="shared" si="210"/>
        <v>#VALUE!</v>
      </c>
      <c r="AO140" s="933" t="e">
        <f t="shared" si="211"/>
        <v>#VALUE!</v>
      </c>
      <c r="AP140" s="946" t="e">
        <f t="shared" si="212"/>
        <v>#VALUE!</v>
      </c>
      <c r="AQ140" s="888"/>
      <c r="AR140" s="941">
        <f t="shared" si="213"/>
        <v>0</v>
      </c>
      <c r="AS140" s="888"/>
      <c r="AT140" s="947">
        <f t="shared" si="214"/>
        <v>0</v>
      </c>
      <c r="AU140" s="948">
        <f t="shared" si="215"/>
        <v>0</v>
      </c>
      <c r="AV140" s="949" t="str">
        <f t="shared" si="182"/>
        <v/>
      </c>
      <c r="AW140" s="950">
        <f t="shared" si="216"/>
        <v>64.930000000000007</v>
      </c>
      <c r="AX140" s="951">
        <f t="shared" si="217"/>
        <v>0</v>
      </c>
      <c r="AY140" s="952">
        <f>VLOOKUP(A140,'Comm Price Out'!$A$80:$G$145,7,FALSE)</f>
        <v>68.262745429319651</v>
      </c>
      <c r="AZ140" s="953">
        <f t="shared" si="218"/>
        <v>0</v>
      </c>
      <c r="BA140" s="954">
        <f t="shared" si="183"/>
        <v>5.1328283217613485E-2</v>
      </c>
      <c r="BB140" s="126"/>
      <c r="BC140" s="1158">
        <f t="shared" si="184"/>
        <v>0</v>
      </c>
      <c r="BD140" s="1158">
        <f t="shared" si="185"/>
        <v>0</v>
      </c>
    </row>
    <row r="141" spans="1:56">
      <c r="A141" s="931" t="str">
        <f>+'Comm Price Out'!A117</f>
        <v>4 yd 5xweek</v>
      </c>
      <c r="B141" s="932">
        <f>+'Comm Price Out'!B117</f>
        <v>0</v>
      </c>
      <c r="C141" s="933">
        <f t="shared" si="186"/>
        <v>0</v>
      </c>
      <c r="D141" s="957">
        <v>5</v>
      </c>
      <c r="E141" s="933">
        <f t="shared" si="187"/>
        <v>260</v>
      </c>
      <c r="F141" s="933">
        <f t="shared" si="188"/>
        <v>0</v>
      </c>
      <c r="G141" s="933"/>
      <c r="H141" s="934">
        <f>+'Comm Price Out'!D117</f>
        <v>64.930000000000007</v>
      </c>
      <c r="I141" s="935">
        <f t="shared" si="189"/>
        <v>0</v>
      </c>
      <c r="J141" s="935">
        <f t="shared" si="190"/>
        <v>0</v>
      </c>
      <c r="K141" s="935">
        <f t="shared" si="191"/>
        <v>0</v>
      </c>
      <c r="L141" s="936">
        <f t="shared" si="223"/>
        <v>367.8</v>
      </c>
      <c r="M141" s="937">
        <f t="shared" si="192"/>
        <v>362.02973515538559</v>
      </c>
      <c r="N141" s="938">
        <f t="shared" si="193"/>
        <v>0</v>
      </c>
      <c r="O141" s="939">
        <f t="shared" si="194"/>
        <v>0</v>
      </c>
      <c r="P141" s="888"/>
      <c r="Q141" s="940">
        <f t="shared" si="224"/>
        <v>120</v>
      </c>
      <c r="R141" s="941">
        <f t="shared" si="195"/>
        <v>0</v>
      </c>
      <c r="S141" s="941">
        <f t="shared" si="196"/>
        <v>0</v>
      </c>
      <c r="T141" s="942"/>
      <c r="U141" s="941" t="e">
        <f t="shared" si="197"/>
        <v>#VALUE!</v>
      </c>
      <c r="V141" s="943" t="e">
        <f t="shared" si="198"/>
        <v>#VALUE!</v>
      </c>
      <c r="W141" s="888"/>
      <c r="X141" s="892"/>
      <c r="Y141" s="935">
        <f t="shared" si="199"/>
        <v>0</v>
      </c>
      <c r="Z141" s="935">
        <f t="shared" si="200"/>
        <v>0</v>
      </c>
      <c r="AA141" s="944"/>
      <c r="AB141" s="933" t="e">
        <f t="shared" si="201"/>
        <v>#VALUE!</v>
      </c>
      <c r="AC141" s="933" t="e">
        <f t="shared" si="202"/>
        <v>#VALUE!</v>
      </c>
      <c r="AD141" s="933" t="e">
        <f t="shared" si="203"/>
        <v>#VALUE!</v>
      </c>
      <c r="AE141" s="892"/>
      <c r="AF141" s="933">
        <f t="shared" si="204"/>
        <v>0</v>
      </c>
      <c r="AG141" s="933">
        <f t="shared" si="205"/>
        <v>0</v>
      </c>
      <c r="AH141" s="892"/>
      <c r="AI141" s="892"/>
      <c r="AJ141" s="945" t="e">
        <f t="shared" si="206"/>
        <v>#VALUE!</v>
      </c>
      <c r="AK141" s="933">
        <f t="shared" si="207"/>
        <v>0</v>
      </c>
      <c r="AL141" s="933" t="e">
        <f t="shared" si="208"/>
        <v>#VALUE!</v>
      </c>
      <c r="AM141" s="933" t="e">
        <f t="shared" si="209"/>
        <v>#VALUE!</v>
      </c>
      <c r="AN141" s="933" t="e">
        <f t="shared" si="210"/>
        <v>#VALUE!</v>
      </c>
      <c r="AO141" s="933" t="e">
        <f t="shared" si="211"/>
        <v>#VALUE!</v>
      </c>
      <c r="AP141" s="946" t="e">
        <f t="shared" si="212"/>
        <v>#VALUE!</v>
      </c>
      <c r="AQ141" s="888"/>
      <c r="AR141" s="941">
        <f t="shared" si="213"/>
        <v>0</v>
      </c>
      <c r="AS141" s="888"/>
      <c r="AT141" s="947">
        <f t="shared" si="214"/>
        <v>0</v>
      </c>
      <c r="AU141" s="948">
        <f t="shared" si="215"/>
        <v>0</v>
      </c>
      <c r="AV141" s="949" t="str">
        <f t="shared" si="182"/>
        <v/>
      </c>
      <c r="AW141" s="950">
        <f t="shared" si="216"/>
        <v>64.930000000000007</v>
      </c>
      <c r="AX141" s="951">
        <f t="shared" si="217"/>
        <v>0</v>
      </c>
      <c r="AY141" s="952">
        <f>VLOOKUP(A141,'Comm Price Out'!$A$80:$G$145,7,FALSE)</f>
        <v>68.262745429319651</v>
      </c>
      <c r="AZ141" s="953">
        <f t="shared" si="218"/>
        <v>0</v>
      </c>
      <c r="BA141" s="954">
        <f t="shared" si="183"/>
        <v>5.1328283217613485E-2</v>
      </c>
      <c r="BB141" s="126"/>
      <c r="BC141" s="1158">
        <f t="shared" si="184"/>
        <v>0</v>
      </c>
      <c r="BD141" s="1158">
        <f t="shared" si="185"/>
        <v>0</v>
      </c>
    </row>
    <row r="142" spans="1:56">
      <c r="A142" s="931" t="str">
        <f>+'Comm Price Out'!A118</f>
        <v>4 yd 6xweek</v>
      </c>
      <c r="B142" s="932">
        <f>+'Comm Price Out'!B118</f>
        <v>0</v>
      </c>
      <c r="C142" s="933">
        <f t="shared" si="186"/>
        <v>0</v>
      </c>
      <c r="D142" s="957">
        <v>6</v>
      </c>
      <c r="E142" s="933">
        <f t="shared" si="187"/>
        <v>312</v>
      </c>
      <c r="F142" s="933">
        <f t="shared" si="188"/>
        <v>0</v>
      </c>
      <c r="G142" s="933"/>
      <c r="H142" s="934">
        <f>+'Comm Price Out'!D118</f>
        <v>64.930000000000007</v>
      </c>
      <c r="I142" s="935">
        <f t="shared" si="189"/>
        <v>0</v>
      </c>
      <c r="J142" s="935">
        <f t="shared" si="190"/>
        <v>0</v>
      </c>
      <c r="K142" s="935">
        <f t="shared" si="191"/>
        <v>0</v>
      </c>
      <c r="L142" s="936">
        <f t="shared" si="223"/>
        <v>367.8</v>
      </c>
      <c r="M142" s="937">
        <f t="shared" si="192"/>
        <v>362.02973515538559</v>
      </c>
      <c r="N142" s="938">
        <f t="shared" si="193"/>
        <v>0</v>
      </c>
      <c r="O142" s="939">
        <f t="shared" si="194"/>
        <v>0</v>
      </c>
      <c r="P142" s="888"/>
      <c r="Q142" s="940">
        <f t="shared" si="224"/>
        <v>120</v>
      </c>
      <c r="R142" s="941">
        <f t="shared" si="195"/>
        <v>0</v>
      </c>
      <c r="S142" s="941">
        <f t="shared" si="196"/>
        <v>0</v>
      </c>
      <c r="T142" s="942"/>
      <c r="U142" s="941" t="e">
        <f t="shared" si="197"/>
        <v>#VALUE!</v>
      </c>
      <c r="V142" s="943" t="e">
        <f t="shared" si="198"/>
        <v>#VALUE!</v>
      </c>
      <c r="W142" s="888"/>
      <c r="X142" s="892"/>
      <c r="Y142" s="935">
        <f t="shared" si="199"/>
        <v>0</v>
      </c>
      <c r="Z142" s="935">
        <f t="shared" si="200"/>
        <v>0</v>
      </c>
      <c r="AA142" s="944"/>
      <c r="AB142" s="933" t="e">
        <f t="shared" si="201"/>
        <v>#VALUE!</v>
      </c>
      <c r="AC142" s="933" t="e">
        <f t="shared" si="202"/>
        <v>#VALUE!</v>
      </c>
      <c r="AD142" s="933" t="e">
        <f t="shared" si="203"/>
        <v>#VALUE!</v>
      </c>
      <c r="AE142" s="892"/>
      <c r="AF142" s="933">
        <f t="shared" si="204"/>
        <v>0</v>
      </c>
      <c r="AG142" s="933">
        <f t="shared" si="205"/>
        <v>0</v>
      </c>
      <c r="AH142" s="892"/>
      <c r="AI142" s="892"/>
      <c r="AJ142" s="945" t="e">
        <f t="shared" si="206"/>
        <v>#VALUE!</v>
      </c>
      <c r="AK142" s="933">
        <f t="shared" si="207"/>
        <v>0</v>
      </c>
      <c r="AL142" s="933" t="e">
        <f t="shared" si="208"/>
        <v>#VALUE!</v>
      </c>
      <c r="AM142" s="933" t="e">
        <f t="shared" si="209"/>
        <v>#VALUE!</v>
      </c>
      <c r="AN142" s="933" t="e">
        <f t="shared" si="210"/>
        <v>#VALUE!</v>
      </c>
      <c r="AO142" s="933" t="e">
        <f t="shared" si="211"/>
        <v>#VALUE!</v>
      </c>
      <c r="AP142" s="946" t="e">
        <f t="shared" si="212"/>
        <v>#VALUE!</v>
      </c>
      <c r="AQ142" s="888"/>
      <c r="AR142" s="941">
        <f t="shared" si="213"/>
        <v>0</v>
      </c>
      <c r="AS142" s="888"/>
      <c r="AT142" s="947">
        <f t="shared" si="214"/>
        <v>0</v>
      </c>
      <c r="AU142" s="948">
        <f t="shared" si="215"/>
        <v>0</v>
      </c>
      <c r="AV142" s="949" t="str">
        <f t="shared" si="182"/>
        <v/>
      </c>
      <c r="AW142" s="950">
        <f t="shared" si="216"/>
        <v>64.930000000000007</v>
      </c>
      <c r="AX142" s="951">
        <f t="shared" si="217"/>
        <v>0</v>
      </c>
      <c r="AY142" s="952">
        <f>VLOOKUP(A142,'Comm Price Out'!$A$80:$G$145,7,FALSE)</f>
        <v>68.262745429319651</v>
      </c>
      <c r="AZ142" s="953">
        <f t="shared" si="218"/>
        <v>0</v>
      </c>
      <c r="BA142" s="954">
        <f t="shared" si="183"/>
        <v>5.1328283217613485E-2</v>
      </c>
      <c r="BB142" s="126"/>
      <c r="BC142" s="1158">
        <f t="shared" si="184"/>
        <v>0</v>
      </c>
      <c r="BD142" s="1158">
        <f t="shared" si="185"/>
        <v>0</v>
      </c>
    </row>
    <row r="143" spans="1:56">
      <c r="A143" s="931" t="str">
        <f>+'Comm Price Out'!A119</f>
        <v>5 yd Comp Week</v>
      </c>
      <c r="B143" s="932">
        <f>+'Comm Price Out'!B119</f>
        <v>0</v>
      </c>
      <c r="C143" s="933">
        <f t="shared" si="186"/>
        <v>0</v>
      </c>
      <c r="D143" s="957">
        <v>1</v>
      </c>
      <c r="E143" s="933">
        <f t="shared" si="187"/>
        <v>52</v>
      </c>
      <c r="F143" s="933">
        <f t="shared" si="188"/>
        <v>0</v>
      </c>
      <c r="G143" s="933"/>
      <c r="H143" s="934">
        <f>+'Comm Price Out'!D119</f>
        <v>0</v>
      </c>
      <c r="I143" s="935">
        <f t="shared" si="189"/>
        <v>0</v>
      </c>
      <c r="J143" s="935">
        <f t="shared" si="190"/>
        <v>0</v>
      </c>
      <c r="K143" s="935">
        <f t="shared" si="191"/>
        <v>0</v>
      </c>
      <c r="L143" s="936">
        <f t="shared" si="223"/>
        <v>1227.5999999999999</v>
      </c>
      <c r="M143" s="937">
        <f t="shared" si="192"/>
        <v>1208.3406821010094</v>
      </c>
      <c r="N143" s="938">
        <f t="shared" si="193"/>
        <v>0</v>
      </c>
      <c r="O143" s="939">
        <f t="shared" si="194"/>
        <v>0</v>
      </c>
      <c r="P143" s="888"/>
      <c r="Q143" s="940">
        <f t="shared" si="224"/>
        <v>120</v>
      </c>
      <c r="R143" s="941">
        <f t="shared" si="195"/>
        <v>0</v>
      </c>
      <c r="S143" s="941">
        <f t="shared" si="196"/>
        <v>0</v>
      </c>
      <c r="T143" s="942"/>
      <c r="U143" s="941" t="e">
        <f t="shared" si="197"/>
        <v>#VALUE!</v>
      </c>
      <c r="V143" s="943" t="e">
        <f t="shared" si="198"/>
        <v>#VALUE!</v>
      </c>
      <c r="W143" s="888"/>
      <c r="X143" s="892"/>
      <c r="Y143" s="935">
        <f t="shared" si="199"/>
        <v>0</v>
      </c>
      <c r="Z143" s="935">
        <f t="shared" si="200"/>
        <v>0</v>
      </c>
      <c r="AA143" s="944"/>
      <c r="AB143" s="933" t="e">
        <f t="shared" si="201"/>
        <v>#VALUE!</v>
      </c>
      <c r="AC143" s="933" t="e">
        <f t="shared" si="202"/>
        <v>#VALUE!</v>
      </c>
      <c r="AD143" s="933" t="e">
        <f t="shared" si="203"/>
        <v>#VALUE!</v>
      </c>
      <c r="AE143" s="892"/>
      <c r="AF143" s="933">
        <f t="shared" si="204"/>
        <v>0</v>
      </c>
      <c r="AG143" s="933">
        <f t="shared" si="205"/>
        <v>0</v>
      </c>
      <c r="AH143" s="892"/>
      <c r="AI143" s="892"/>
      <c r="AJ143" s="945" t="e">
        <f t="shared" si="206"/>
        <v>#VALUE!</v>
      </c>
      <c r="AK143" s="933">
        <f t="shared" si="207"/>
        <v>0</v>
      </c>
      <c r="AL143" s="933" t="e">
        <f t="shared" si="208"/>
        <v>#VALUE!</v>
      </c>
      <c r="AM143" s="933" t="e">
        <f t="shared" si="209"/>
        <v>#VALUE!</v>
      </c>
      <c r="AN143" s="933" t="e">
        <f t="shared" si="210"/>
        <v>#VALUE!</v>
      </c>
      <c r="AO143" s="933" t="e">
        <f t="shared" si="211"/>
        <v>#VALUE!</v>
      </c>
      <c r="AP143" s="946" t="e">
        <f t="shared" si="212"/>
        <v>#VALUE!</v>
      </c>
      <c r="AQ143" s="888"/>
      <c r="AR143" s="941">
        <f t="shared" si="213"/>
        <v>0</v>
      </c>
      <c r="AS143" s="888"/>
      <c r="AT143" s="947">
        <f t="shared" si="214"/>
        <v>0</v>
      </c>
      <c r="AU143" s="948">
        <f t="shared" si="215"/>
        <v>0</v>
      </c>
      <c r="AV143" s="949" t="str">
        <f t="shared" si="182"/>
        <v/>
      </c>
      <c r="AW143" s="950">
        <f t="shared" si="216"/>
        <v>0</v>
      </c>
      <c r="AX143" s="951">
        <f t="shared" si="217"/>
        <v>0</v>
      </c>
      <c r="AY143" s="952">
        <f>VLOOKUP(A143,'Comm Price Out'!$A$80:$G$145,7,FALSE)</f>
        <v>0</v>
      </c>
      <c r="AZ143" s="953">
        <f t="shared" si="218"/>
        <v>0</v>
      </c>
      <c r="BA143" s="954" t="str">
        <f t="shared" si="183"/>
        <v/>
      </c>
      <c r="BB143" s="126"/>
      <c r="BC143" s="1158">
        <f t="shared" si="184"/>
        <v>0</v>
      </c>
      <c r="BD143" s="1158">
        <f t="shared" si="185"/>
        <v>0</v>
      </c>
    </row>
    <row r="144" spans="1:56">
      <c r="A144" s="931" t="str">
        <f>+'Comm Price Out'!A120</f>
        <v>5 yd Comp Week (5x Comp)</v>
      </c>
      <c r="B144" s="932">
        <f>+'Comm Price Out'!B120</f>
        <v>0</v>
      </c>
      <c r="C144" s="933">
        <f t="shared" si="186"/>
        <v>0</v>
      </c>
      <c r="D144" s="957">
        <v>1</v>
      </c>
      <c r="E144" s="933">
        <f t="shared" si="187"/>
        <v>52</v>
      </c>
      <c r="F144" s="933">
        <f t="shared" si="188"/>
        <v>0</v>
      </c>
      <c r="G144" s="933"/>
      <c r="H144" s="934">
        <f>+'Comm Price Out'!D120</f>
        <v>0</v>
      </c>
      <c r="I144" s="935">
        <f t="shared" si="189"/>
        <v>0</v>
      </c>
      <c r="J144" s="935">
        <f t="shared" si="190"/>
        <v>0</v>
      </c>
      <c r="K144" s="935">
        <f t="shared" si="191"/>
        <v>0</v>
      </c>
      <c r="L144" s="936">
        <f t="shared" si="223"/>
        <v>1753.7142857142858</v>
      </c>
      <c r="M144" s="937">
        <f t="shared" si="192"/>
        <v>1726.2009744300137</v>
      </c>
      <c r="N144" s="938">
        <f t="shared" si="193"/>
        <v>0</v>
      </c>
      <c r="O144" s="939">
        <f t="shared" si="194"/>
        <v>0</v>
      </c>
      <c r="P144" s="888"/>
      <c r="Q144" s="940">
        <f t="shared" si="224"/>
        <v>171.42857142857142</v>
      </c>
      <c r="R144" s="941">
        <f t="shared" si="195"/>
        <v>0</v>
      </c>
      <c r="S144" s="941">
        <f t="shared" si="196"/>
        <v>0</v>
      </c>
      <c r="T144" s="942"/>
      <c r="U144" s="941" t="e">
        <f t="shared" si="197"/>
        <v>#VALUE!</v>
      </c>
      <c r="V144" s="943" t="e">
        <f t="shared" si="198"/>
        <v>#VALUE!</v>
      </c>
      <c r="W144" s="888"/>
      <c r="X144" s="892"/>
      <c r="Y144" s="935">
        <f t="shared" si="199"/>
        <v>0</v>
      </c>
      <c r="Z144" s="935">
        <f t="shared" si="200"/>
        <v>0</v>
      </c>
      <c r="AA144" s="944"/>
      <c r="AB144" s="933" t="e">
        <f t="shared" si="201"/>
        <v>#VALUE!</v>
      </c>
      <c r="AC144" s="933" t="e">
        <f t="shared" si="202"/>
        <v>#VALUE!</v>
      </c>
      <c r="AD144" s="933" t="e">
        <f t="shared" si="203"/>
        <v>#VALUE!</v>
      </c>
      <c r="AE144" s="892"/>
      <c r="AF144" s="933">
        <f t="shared" si="204"/>
        <v>0</v>
      </c>
      <c r="AG144" s="933">
        <f t="shared" si="205"/>
        <v>0</v>
      </c>
      <c r="AH144" s="892"/>
      <c r="AI144" s="892"/>
      <c r="AJ144" s="945" t="e">
        <f t="shared" si="206"/>
        <v>#VALUE!</v>
      </c>
      <c r="AK144" s="933">
        <f t="shared" si="207"/>
        <v>0</v>
      </c>
      <c r="AL144" s="933" t="e">
        <f t="shared" si="208"/>
        <v>#VALUE!</v>
      </c>
      <c r="AM144" s="933" t="e">
        <f t="shared" si="209"/>
        <v>#VALUE!</v>
      </c>
      <c r="AN144" s="933" t="e">
        <f t="shared" si="210"/>
        <v>#VALUE!</v>
      </c>
      <c r="AO144" s="933" t="e">
        <f t="shared" si="211"/>
        <v>#VALUE!</v>
      </c>
      <c r="AP144" s="946" t="e">
        <f t="shared" si="212"/>
        <v>#VALUE!</v>
      </c>
      <c r="AQ144" s="888"/>
      <c r="AR144" s="941">
        <f t="shared" si="213"/>
        <v>0</v>
      </c>
      <c r="AS144" s="888"/>
      <c r="AT144" s="947">
        <f t="shared" si="214"/>
        <v>0</v>
      </c>
      <c r="AU144" s="948">
        <f t="shared" si="215"/>
        <v>0</v>
      </c>
      <c r="AV144" s="949" t="str">
        <f t="shared" si="182"/>
        <v/>
      </c>
      <c r="AW144" s="950">
        <f t="shared" si="216"/>
        <v>0</v>
      </c>
      <c r="AX144" s="951">
        <f t="shared" si="217"/>
        <v>0</v>
      </c>
      <c r="AY144" s="952">
        <f>VLOOKUP(A144,'Comm Price Out'!$A$80:$G$145,7,FALSE)</f>
        <v>0</v>
      </c>
      <c r="AZ144" s="953">
        <f t="shared" si="218"/>
        <v>0</v>
      </c>
      <c r="BA144" s="954" t="str">
        <f t="shared" si="183"/>
        <v/>
      </c>
      <c r="BB144" s="126"/>
      <c r="BC144" s="1158">
        <f t="shared" si="184"/>
        <v>0</v>
      </c>
      <c r="BD144" s="1158">
        <f t="shared" si="185"/>
        <v>0</v>
      </c>
    </row>
    <row r="145" spans="1:56">
      <c r="A145" s="931" t="str">
        <f>+'Comm Price Out'!A121</f>
        <v>6 yd Comp Week</v>
      </c>
      <c r="B145" s="932">
        <f>+'Comm Price Out'!B121</f>
        <v>0</v>
      </c>
      <c r="C145" s="933">
        <f t="shared" si="186"/>
        <v>0</v>
      </c>
      <c r="D145" s="957">
        <v>1</v>
      </c>
      <c r="E145" s="933">
        <f t="shared" si="187"/>
        <v>52</v>
      </c>
      <c r="F145" s="933">
        <f t="shared" si="188"/>
        <v>0</v>
      </c>
      <c r="G145" s="933"/>
      <c r="H145" s="934">
        <f>+'Comm Price Out'!D121</f>
        <v>383.55</v>
      </c>
      <c r="I145" s="935">
        <f t="shared" si="189"/>
        <v>0</v>
      </c>
      <c r="J145" s="935">
        <f t="shared" si="190"/>
        <v>0</v>
      </c>
      <c r="K145" s="935">
        <f t="shared" si="191"/>
        <v>0</v>
      </c>
      <c r="L145" s="936">
        <f t="shared" si="223"/>
        <v>1926</v>
      </c>
      <c r="M145" s="937">
        <f t="shared" si="192"/>
        <v>1895.7837681056894</v>
      </c>
      <c r="N145" s="938">
        <f t="shared" si="193"/>
        <v>0</v>
      </c>
      <c r="O145" s="939">
        <f t="shared" si="194"/>
        <v>0</v>
      </c>
      <c r="P145" s="888"/>
      <c r="Q145" s="940">
        <f t="shared" si="224"/>
        <v>120</v>
      </c>
      <c r="R145" s="941">
        <f t="shared" si="195"/>
        <v>0</v>
      </c>
      <c r="S145" s="941">
        <f t="shared" si="196"/>
        <v>0</v>
      </c>
      <c r="T145" s="942"/>
      <c r="U145" s="941" t="e">
        <f t="shared" si="197"/>
        <v>#VALUE!</v>
      </c>
      <c r="V145" s="943" t="e">
        <f t="shared" si="198"/>
        <v>#VALUE!</v>
      </c>
      <c r="W145" s="888"/>
      <c r="X145" s="892"/>
      <c r="Y145" s="935">
        <f t="shared" si="199"/>
        <v>0</v>
      </c>
      <c r="Z145" s="935">
        <f t="shared" si="200"/>
        <v>0</v>
      </c>
      <c r="AA145" s="944"/>
      <c r="AB145" s="933" t="e">
        <f t="shared" si="201"/>
        <v>#VALUE!</v>
      </c>
      <c r="AC145" s="933" t="e">
        <f t="shared" si="202"/>
        <v>#VALUE!</v>
      </c>
      <c r="AD145" s="933" t="e">
        <f t="shared" si="203"/>
        <v>#VALUE!</v>
      </c>
      <c r="AE145" s="892"/>
      <c r="AF145" s="933">
        <f t="shared" si="204"/>
        <v>0</v>
      </c>
      <c r="AG145" s="933">
        <f t="shared" si="205"/>
        <v>0</v>
      </c>
      <c r="AH145" s="892"/>
      <c r="AI145" s="892"/>
      <c r="AJ145" s="945" t="e">
        <f t="shared" si="206"/>
        <v>#VALUE!</v>
      </c>
      <c r="AK145" s="933">
        <f t="shared" si="207"/>
        <v>0</v>
      </c>
      <c r="AL145" s="933" t="e">
        <f t="shared" si="208"/>
        <v>#VALUE!</v>
      </c>
      <c r="AM145" s="933" t="e">
        <f t="shared" si="209"/>
        <v>#VALUE!</v>
      </c>
      <c r="AN145" s="933" t="e">
        <f t="shared" si="210"/>
        <v>#VALUE!</v>
      </c>
      <c r="AO145" s="933" t="e">
        <f t="shared" si="211"/>
        <v>#VALUE!</v>
      </c>
      <c r="AP145" s="946" t="e">
        <f t="shared" si="212"/>
        <v>#VALUE!</v>
      </c>
      <c r="AQ145" s="888"/>
      <c r="AR145" s="941">
        <f t="shared" si="213"/>
        <v>0</v>
      </c>
      <c r="AS145" s="888"/>
      <c r="AT145" s="947">
        <f t="shared" si="214"/>
        <v>0</v>
      </c>
      <c r="AU145" s="948">
        <f t="shared" si="215"/>
        <v>0</v>
      </c>
      <c r="AV145" s="949" t="str">
        <f t="shared" si="182"/>
        <v/>
      </c>
      <c r="AW145" s="950">
        <f t="shared" si="216"/>
        <v>383.55</v>
      </c>
      <c r="AX145" s="951">
        <f t="shared" si="217"/>
        <v>0</v>
      </c>
      <c r="AY145" s="952">
        <f>VLOOKUP(A145,'Comm Price Out'!$A$80:$G$145,7,FALSE)</f>
        <v>403.23696302811561</v>
      </c>
      <c r="AZ145" s="953">
        <f t="shared" si="218"/>
        <v>0</v>
      </c>
      <c r="BA145" s="954">
        <f t="shared" si="183"/>
        <v>5.1328283217613346E-2</v>
      </c>
      <c r="BB145" s="126"/>
      <c r="BC145" s="1158">
        <f t="shared" si="184"/>
        <v>0</v>
      </c>
      <c r="BD145" s="1158">
        <f t="shared" si="185"/>
        <v>0</v>
      </c>
    </row>
    <row r="146" spans="1:56">
      <c r="A146" s="931" t="str">
        <f>+'Comm Price Out'!A122</f>
        <v>6 yd Comp Week (5x Comp)</v>
      </c>
      <c r="B146" s="932">
        <f>+'Comm Price Out'!B122</f>
        <v>0</v>
      </c>
      <c r="C146" s="933">
        <f t="shared" si="186"/>
        <v>0</v>
      </c>
      <c r="D146" s="957">
        <v>1</v>
      </c>
      <c r="E146" s="933">
        <f t="shared" si="187"/>
        <v>52</v>
      </c>
      <c r="F146" s="933">
        <f t="shared" si="188"/>
        <v>0</v>
      </c>
      <c r="G146" s="933"/>
      <c r="H146" s="934">
        <f>+'Comm Price Out'!D122</f>
        <v>0</v>
      </c>
      <c r="I146" s="935">
        <f t="shared" si="189"/>
        <v>0</v>
      </c>
      <c r="J146" s="935">
        <f t="shared" si="190"/>
        <v>0</v>
      </c>
      <c r="K146" s="935">
        <f t="shared" si="191"/>
        <v>0</v>
      </c>
      <c r="L146" s="936">
        <f t="shared" si="223"/>
        <v>2751.4285714285716</v>
      </c>
      <c r="M146" s="937">
        <f t="shared" si="192"/>
        <v>2708.2625258652706</v>
      </c>
      <c r="N146" s="938">
        <f t="shared" si="193"/>
        <v>0</v>
      </c>
      <c r="O146" s="939">
        <f t="shared" si="194"/>
        <v>0</v>
      </c>
      <c r="P146" s="888"/>
      <c r="Q146" s="940">
        <f t="shared" si="224"/>
        <v>171.42857142857142</v>
      </c>
      <c r="R146" s="941">
        <f t="shared" si="195"/>
        <v>0</v>
      </c>
      <c r="S146" s="941">
        <f t="shared" si="196"/>
        <v>0</v>
      </c>
      <c r="T146" s="942"/>
      <c r="U146" s="941" t="e">
        <f t="shared" si="197"/>
        <v>#VALUE!</v>
      </c>
      <c r="V146" s="943" t="e">
        <f t="shared" si="198"/>
        <v>#VALUE!</v>
      </c>
      <c r="W146" s="888"/>
      <c r="X146" s="892"/>
      <c r="Y146" s="935">
        <f t="shared" si="199"/>
        <v>0</v>
      </c>
      <c r="Z146" s="935">
        <f t="shared" si="200"/>
        <v>0</v>
      </c>
      <c r="AA146" s="944"/>
      <c r="AB146" s="933" t="e">
        <f t="shared" si="201"/>
        <v>#VALUE!</v>
      </c>
      <c r="AC146" s="933" t="e">
        <f t="shared" si="202"/>
        <v>#VALUE!</v>
      </c>
      <c r="AD146" s="933" t="e">
        <f t="shared" si="203"/>
        <v>#VALUE!</v>
      </c>
      <c r="AE146" s="892"/>
      <c r="AF146" s="933">
        <f t="shared" si="204"/>
        <v>0</v>
      </c>
      <c r="AG146" s="933">
        <f t="shared" si="205"/>
        <v>0</v>
      </c>
      <c r="AH146" s="892"/>
      <c r="AI146" s="892"/>
      <c r="AJ146" s="945" t="e">
        <f t="shared" si="206"/>
        <v>#VALUE!</v>
      </c>
      <c r="AK146" s="933">
        <f t="shared" si="207"/>
        <v>0</v>
      </c>
      <c r="AL146" s="933" t="e">
        <f t="shared" si="208"/>
        <v>#VALUE!</v>
      </c>
      <c r="AM146" s="933" t="e">
        <f t="shared" si="209"/>
        <v>#VALUE!</v>
      </c>
      <c r="AN146" s="933" t="e">
        <f t="shared" si="210"/>
        <v>#VALUE!</v>
      </c>
      <c r="AO146" s="933" t="e">
        <f t="shared" si="211"/>
        <v>#VALUE!</v>
      </c>
      <c r="AP146" s="946" t="e">
        <f t="shared" si="212"/>
        <v>#VALUE!</v>
      </c>
      <c r="AQ146" s="888"/>
      <c r="AR146" s="941">
        <f t="shared" si="213"/>
        <v>0</v>
      </c>
      <c r="AS146" s="888"/>
      <c r="AT146" s="947">
        <f t="shared" si="214"/>
        <v>0</v>
      </c>
      <c r="AU146" s="948">
        <f t="shared" si="215"/>
        <v>0</v>
      </c>
      <c r="AV146" s="949" t="str">
        <f t="shared" si="182"/>
        <v/>
      </c>
      <c r="AW146" s="950">
        <f t="shared" si="216"/>
        <v>0</v>
      </c>
      <c r="AX146" s="951">
        <f t="shared" si="217"/>
        <v>0</v>
      </c>
      <c r="AY146" s="952">
        <f>VLOOKUP(A146,'Comm Price Out'!$A$80:$G$145,7,FALSE)</f>
        <v>0</v>
      </c>
      <c r="AZ146" s="953">
        <f t="shared" si="218"/>
        <v>0</v>
      </c>
      <c r="BA146" s="954" t="str">
        <f t="shared" si="183"/>
        <v/>
      </c>
      <c r="BB146" s="126"/>
      <c r="BC146" s="1158">
        <f t="shared" si="184"/>
        <v>0</v>
      </c>
      <c r="BD146" s="1158">
        <f t="shared" si="185"/>
        <v>0</v>
      </c>
    </row>
    <row r="147" spans="1:56">
      <c r="A147" s="931" t="str">
        <f>+'Comm Price Out'!A123</f>
        <v>6 yd  On Call</v>
      </c>
      <c r="B147" s="932">
        <f>+'Comm Price Out'!B123</f>
        <v>0</v>
      </c>
      <c r="C147" s="933">
        <f t="shared" si="186"/>
        <v>0</v>
      </c>
      <c r="D147" s="957">
        <f>1/$E$2</f>
        <v>0.23094688221709006</v>
      </c>
      <c r="E147" s="933">
        <f t="shared" si="187"/>
        <v>12.009237875288683</v>
      </c>
      <c r="F147" s="933">
        <f t="shared" si="188"/>
        <v>0</v>
      </c>
      <c r="G147" s="933"/>
      <c r="H147" s="934">
        <f>+'Comm Price Out'!D123</f>
        <v>105.47</v>
      </c>
      <c r="I147" s="935">
        <f t="shared" si="189"/>
        <v>0</v>
      </c>
      <c r="J147" s="935">
        <f t="shared" si="190"/>
        <v>0</v>
      </c>
      <c r="K147" s="935">
        <f t="shared" si="191"/>
        <v>0</v>
      </c>
      <c r="L147" s="936">
        <f t="shared" si="223"/>
        <v>504</v>
      </c>
      <c r="M147" s="937">
        <f t="shared" si="192"/>
        <v>496.09294866317106</v>
      </c>
      <c r="N147" s="938">
        <f t="shared" si="193"/>
        <v>0</v>
      </c>
      <c r="O147" s="939">
        <f t="shared" si="194"/>
        <v>0</v>
      </c>
      <c r="P147" s="888"/>
      <c r="Q147" s="940">
        <f t="shared" si="224"/>
        <v>120</v>
      </c>
      <c r="R147" s="941">
        <f t="shared" si="195"/>
        <v>0</v>
      </c>
      <c r="S147" s="941">
        <f t="shared" si="196"/>
        <v>0</v>
      </c>
      <c r="T147" s="942"/>
      <c r="U147" s="941" t="e">
        <f t="shared" si="197"/>
        <v>#VALUE!</v>
      </c>
      <c r="V147" s="943" t="e">
        <f t="shared" si="198"/>
        <v>#VALUE!</v>
      </c>
      <c r="W147" s="888"/>
      <c r="X147" s="892"/>
      <c r="Y147" s="935">
        <f t="shared" si="199"/>
        <v>0</v>
      </c>
      <c r="Z147" s="935">
        <f t="shared" si="200"/>
        <v>0</v>
      </c>
      <c r="AA147" s="944"/>
      <c r="AB147" s="933" t="e">
        <f t="shared" si="201"/>
        <v>#VALUE!</v>
      </c>
      <c r="AC147" s="933" t="e">
        <f t="shared" si="202"/>
        <v>#VALUE!</v>
      </c>
      <c r="AD147" s="933" t="e">
        <f t="shared" si="203"/>
        <v>#VALUE!</v>
      </c>
      <c r="AE147" s="892"/>
      <c r="AF147" s="933">
        <f t="shared" si="204"/>
        <v>0</v>
      </c>
      <c r="AG147" s="933">
        <f t="shared" si="205"/>
        <v>0</v>
      </c>
      <c r="AH147" s="892"/>
      <c r="AI147" s="892"/>
      <c r="AJ147" s="945" t="e">
        <f t="shared" si="206"/>
        <v>#VALUE!</v>
      </c>
      <c r="AK147" s="933">
        <f t="shared" si="207"/>
        <v>0</v>
      </c>
      <c r="AL147" s="933" t="e">
        <f t="shared" si="208"/>
        <v>#VALUE!</v>
      </c>
      <c r="AM147" s="933" t="e">
        <f t="shared" si="209"/>
        <v>#VALUE!</v>
      </c>
      <c r="AN147" s="933" t="e">
        <f t="shared" si="210"/>
        <v>#VALUE!</v>
      </c>
      <c r="AO147" s="933" t="e">
        <f t="shared" si="211"/>
        <v>#VALUE!</v>
      </c>
      <c r="AP147" s="946" t="e">
        <f t="shared" si="212"/>
        <v>#VALUE!</v>
      </c>
      <c r="AQ147" s="888"/>
      <c r="AR147" s="941">
        <f t="shared" si="213"/>
        <v>0</v>
      </c>
      <c r="AS147" s="888"/>
      <c r="AT147" s="947">
        <f t="shared" si="214"/>
        <v>0</v>
      </c>
      <c r="AU147" s="948">
        <f t="shared" si="215"/>
        <v>0</v>
      </c>
      <c r="AV147" s="949" t="str">
        <f t="shared" si="182"/>
        <v/>
      </c>
      <c r="AW147" s="950">
        <f t="shared" si="216"/>
        <v>105.47</v>
      </c>
      <c r="AX147" s="951">
        <f t="shared" si="217"/>
        <v>0</v>
      </c>
      <c r="AY147" s="952">
        <f>VLOOKUP(A147,'Comm Price Out'!$A$80:$G$145,7,FALSE)</f>
        <v>110.88359403096169</v>
      </c>
      <c r="AZ147" s="953">
        <f t="shared" si="218"/>
        <v>0</v>
      </c>
      <c r="BA147" s="954">
        <f t="shared" si="183"/>
        <v>5.1328283217613443E-2</v>
      </c>
      <c r="BB147" s="126"/>
      <c r="BC147" s="1158">
        <f t="shared" si="184"/>
        <v>0</v>
      </c>
      <c r="BD147" s="1158">
        <f t="shared" si="185"/>
        <v>0</v>
      </c>
    </row>
    <row r="148" spans="1:56">
      <c r="A148" s="931" t="str">
        <f>+'Comm Price Out'!A124</f>
        <v>6 yd 1xweek</v>
      </c>
      <c r="B148" s="932">
        <f>+'Comm Price Out'!B124</f>
        <v>12</v>
      </c>
      <c r="C148" s="933">
        <f t="shared" si="186"/>
        <v>12.208527400071437</v>
      </c>
      <c r="D148" s="957">
        <v>1</v>
      </c>
      <c r="E148" s="933">
        <f t="shared" si="187"/>
        <v>52</v>
      </c>
      <c r="F148" s="933">
        <f t="shared" si="188"/>
        <v>12.208527400071437</v>
      </c>
      <c r="G148" s="933"/>
      <c r="H148" s="934">
        <f>+'Comm Price Out'!D124</f>
        <v>97.4</v>
      </c>
      <c r="I148" s="935">
        <f t="shared" si="189"/>
        <v>5060.9040000000005</v>
      </c>
      <c r="J148" s="935">
        <f t="shared" si="190"/>
        <v>60730.848000000005</v>
      </c>
      <c r="K148" s="935">
        <f t="shared" si="191"/>
        <v>61786.18515313114</v>
      </c>
      <c r="L148" s="936">
        <f t="shared" si="223"/>
        <v>504</v>
      </c>
      <c r="M148" s="937">
        <f t="shared" si="192"/>
        <v>496.09294866317106</v>
      </c>
      <c r="N148" s="938">
        <f t="shared" si="193"/>
        <v>159.97999999999999</v>
      </c>
      <c r="O148" s="939">
        <f t="shared" si="194"/>
        <v>157.47013874431369</v>
      </c>
      <c r="P148" s="888"/>
      <c r="Q148" s="940">
        <f t="shared" si="224"/>
        <v>120</v>
      </c>
      <c r="R148" s="941">
        <f t="shared" si="195"/>
        <v>21.161447493457153</v>
      </c>
      <c r="S148" s="941">
        <f t="shared" si="196"/>
        <v>21.161447493457153</v>
      </c>
      <c r="T148" s="942"/>
      <c r="U148" s="941" t="e">
        <f t="shared" si="197"/>
        <v>#VALUE!</v>
      </c>
      <c r="V148" s="943" t="e">
        <f t="shared" si="198"/>
        <v>#VALUE!</v>
      </c>
      <c r="W148" s="888"/>
      <c r="X148" s="892"/>
      <c r="Y148" s="935">
        <f t="shared" si="199"/>
        <v>7252.2518361745615</v>
      </c>
      <c r="Z148" s="935">
        <f t="shared" si="200"/>
        <v>16965.579517668601</v>
      </c>
      <c r="AA148" s="944"/>
      <c r="AB148" s="933" t="e">
        <f t="shared" si="201"/>
        <v>#VALUE!</v>
      </c>
      <c r="AC148" s="933" t="e">
        <f t="shared" si="202"/>
        <v>#VALUE!</v>
      </c>
      <c r="AD148" s="933" t="e">
        <f t="shared" si="203"/>
        <v>#VALUE!</v>
      </c>
      <c r="AE148" s="892"/>
      <c r="AF148" s="933">
        <f t="shared" si="204"/>
        <v>0</v>
      </c>
      <c r="AG148" s="933">
        <f t="shared" si="205"/>
        <v>0</v>
      </c>
      <c r="AH148" s="892"/>
      <c r="AI148" s="892"/>
      <c r="AJ148" s="945" t="e">
        <f t="shared" si="206"/>
        <v>#VALUE!</v>
      </c>
      <c r="AK148" s="933">
        <f t="shared" si="207"/>
        <v>0</v>
      </c>
      <c r="AL148" s="933" t="e">
        <f t="shared" si="208"/>
        <v>#VALUE!</v>
      </c>
      <c r="AM148" s="933" t="e">
        <f t="shared" si="209"/>
        <v>#VALUE!</v>
      </c>
      <c r="AN148" s="933" t="e">
        <f t="shared" si="210"/>
        <v>#VALUE!</v>
      </c>
      <c r="AO148" s="933" t="e">
        <f t="shared" si="211"/>
        <v>#VALUE!</v>
      </c>
      <c r="AP148" s="946" t="e">
        <f t="shared" si="212"/>
        <v>#VALUE!</v>
      </c>
      <c r="AQ148" s="888"/>
      <c r="AR148" s="941">
        <f t="shared" si="213"/>
        <v>0</v>
      </c>
      <c r="AS148" s="888"/>
      <c r="AT148" s="947">
        <f t="shared" si="214"/>
        <v>0</v>
      </c>
      <c r="AU148" s="948">
        <f t="shared" si="215"/>
        <v>0</v>
      </c>
      <c r="AV148" s="949" t="str">
        <f t="shared" si="182"/>
        <v/>
      </c>
      <c r="AW148" s="950">
        <f t="shared" si="216"/>
        <v>97.4</v>
      </c>
      <c r="AX148" s="951">
        <f t="shared" si="217"/>
        <v>61833.749575881819</v>
      </c>
      <c r="AY148" s="952">
        <f>VLOOKUP(A148,'Comm Price Out'!$A$80:$G$145,7,FALSE)</f>
        <v>102.39937478539555</v>
      </c>
      <c r="AZ148" s="953">
        <f t="shared" si="218"/>
        <v>65007.569786519663</v>
      </c>
      <c r="BA148" s="954">
        <f t="shared" si="183"/>
        <v>5.1328283217613402E-2</v>
      </c>
      <c r="BC148" s="1158">
        <f t="shared" si="184"/>
        <v>-61833.749575881819</v>
      </c>
      <c r="BD148" s="1158">
        <f t="shared" si="185"/>
        <v>-65007.569786519663</v>
      </c>
    </row>
    <row r="149" spans="1:56">
      <c r="A149" s="931" t="str">
        <f>+'Comm Price Out'!A125</f>
        <v>6 yd 2xweek</v>
      </c>
      <c r="B149" s="932">
        <f>+'Comm Price Out'!B125</f>
        <v>2</v>
      </c>
      <c r="C149" s="933">
        <f t="shared" si="186"/>
        <v>2.0347545666785729</v>
      </c>
      <c r="D149" s="957">
        <v>2</v>
      </c>
      <c r="E149" s="933">
        <f t="shared" si="187"/>
        <v>104</v>
      </c>
      <c r="F149" s="933">
        <f t="shared" si="188"/>
        <v>2.0347545666785729</v>
      </c>
      <c r="G149" s="933"/>
      <c r="H149" s="934">
        <f>+'Comm Price Out'!D125</f>
        <v>97.4</v>
      </c>
      <c r="I149" s="935">
        <f t="shared" si="189"/>
        <v>1686.9680000000001</v>
      </c>
      <c r="J149" s="935">
        <f t="shared" si="190"/>
        <v>20243.616000000002</v>
      </c>
      <c r="K149" s="935">
        <f t="shared" si="191"/>
        <v>20595.395051043713</v>
      </c>
      <c r="L149" s="936">
        <f t="shared" si="223"/>
        <v>504</v>
      </c>
      <c r="M149" s="937">
        <f t="shared" si="192"/>
        <v>496.09294866317106</v>
      </c>
      <c r="N149" s="938">
        <f t="shared" si="193"/>
        <v>53.33</v>
      </c>
      <c r="O149" s="939">
        <f t="shared" si="194"/>
        <v>52.493327286124824</v>
      </c>
      <c r="P149" s="888"/>
      <c r="Q149" s="940">
        <f t="shared" si="224"/>
        <v>120</v>
      </c>
      <c r="R149" s="941">
        <f t="shared" si="195"/>
        <v>7.0538158311523853</v>
      </c>
      <c r="S149" s="941">
        <f t="shared" si="196"/>
        <v>7.0538158311523853</v>
      </c>
      <c r="T149" s="942"/>
      <c r="U149" s="941" t="e">
        <f t="shared" si="197"/>
        <v>#VALUE!</v>
      </c>
      <c r="V149" s="943" t="e">
        <f t="shared" si="198"/>
        <v>#VALUE!</v>
      </c>
      <c r="W149" s="888"/>
      <c r="X149" s="892"/>
      <c r="Y149" s="935">
        <f t="shared" si="199"/>
        <v>2417.4172787248535</v>
      </c>
      <c r="Z149" s="935">
        <f t="shared" si="200"/>
        <v>5655.1931725562008</v>
      </c>
      <c r="AA149" s="944"/>
      <c r="AB149" s="933" t="e">
        <f t="shared" si="201"/>
        <v>#VALUE!</v>
      </c>
      <c r="AC149" s="933" t="e">
        <f t="shared" si="202"/>
        <v>#VALUE!</v>
      </c>
      <c r="AD149" s="933" t="e">
        <f t="shared" si="203"/>
        <v>#VALUE!</v>
      </c>
      <c r="AE149" s="892"/>
      <c r="AF149" s="933">
        <f t="shared" si="204"/>
        <v>0</v>
      </c>
      <c r="AG149" s="933">
        <f t="shared" si="205"/>
        <v>0</v>
      </c>
      <c r="AH149" s="892"/>
      <c r="AI149" s="892"/>
      <c r="AJ149" s="945" t="e">
        <f t="shared" si="206"/>
        <v>#VALUE!</v>
      </c>
      <c r="AK149" s="933">
        <f t="shared" si="207"/>
        <v>0</v>
      </c>
      <c r="AL149" s="933" t="e">
        <f t="shared" si="208"/>
        <v>#VALUE!</v>
      </c>
      <c r="AM149" s="933" t="e">
        <f t="shared" si="209"/>
        <v>#VALUE!</v>
      </c>
      <c r="AN149" s="933" t="e">
        <f t="shared" si="210"/>
        <v>#VALUE!</v>
      </c>
      <c r="AO149" s="933" t="e">
        <f t="shared" si="211"/>
        <v>#VALUE!</v>
      </c>
      <c r="AP149" s="946" t="e">
        <f t="shared" si="212"/>
        <v>#VALUE!</v>
      </c>
      <c r="AQ149" s="888"/>
      <c r="AR149" s="941">
        <f t="shared" si="213"/>
        <v>0</v>
      </c>
      <c r="AS149" s="888"/>
      <c r="AT149" s="947">
        <f t="shared" si="214"/>
        <v>0</v>
      </c>
      <c r="AU149" s="948">
        <f t="shared" si="215"/>
        <v>0</v>
      </c>
      <c r="AV149" s="949" t="str">
        <f t="shared" si="182"/>
        <v/>
      </c>
      <c r="AW149" s="950">
        <f t="shared" si="216"/>
        <v>97.4</v>
      </c>
      <c r="AX149" s="951">
        <f t="shared" si="217"/>
        <v>20611.249858627274</v>
      </c>
      <c r="AY149" s="952">
        <f>VLOOKUP(A149,'Comm Price Out'!$A$80:$G$145,7,FALSE)</f>
        <v>102.39937478539555</v>
      </c>
      <c r="AZ149" s="953">
        <f t="shared" si="218"/>
        <v>21669.189928839885</v>
      </c>
      <c r="BA149" s="954">
        <f t="shared" si="183"/>
        <v>5.1328283217613402E-2</v>
      </c>
      <c r="BC149" s="1158">
        <f t="shared" si="184"/>
        <v>-20611.249858627274</v>
      </c>
      <c r="BD149" s="1158">
        <f t="shared" si="185"/>
        <v>-21669.189928839885</v>
      </c>
    </row>
    <row r="150" spans="1:56">
      <c r="A150" s="931" t="str">
        <f>+'Comm Price Out'!A126</f>
        <v>6 yd 3xweek</v>
      </c>
      <c r="B150" s="932">
        <f>+'Comm Price Out'!B126</f>
        <v>0</v>
      </c>
      <c r="C150" s="933">
        <f t="shared" si="186"/>
        <v>0</v>
      </c>
      <c r="D150" s="957">
        <v>3</v>
      </c>
      <c r="E150" s="933">
        <f t="shared" si="187"/>
        <v>156</v>
      </c>
      <c r="F150" s="933">
        <f t="shared" si="188"/>
        <v>0</v>
      </c>
      <c r="G150" s="933"/>
      <c r="H150" s="934">
        <f>+'Comm Price Out'!D126</f>
        <v>97.4</v>
      </c>
      <c r="I150" s="935">
        <f t="shared" si="189"/>
        <v>0</v>
      </c>
      <c r="J150" s="935">
        <f t="shared" si="190"/>
        <v>0</v>
      </c>
      <c r="K150" s="935">
        <f t="shared" si="191"/>
        <v>0</v>
      </c>
      <c r="L150" s="936">
        <f t="shared" si="223"/>
        <v>504</v>
      </c>
      <c r="M150" s="937">
        <f t="shared" si="192"/>
        <v>496.09294866317106</v>
      </c>
      <c r="N150" s="938">
        <f t="shared" si="193"/>
        <v>0</v>
      </c>
      <c r="O150" s="939">
        <f t="shared" si="194"/>
        <v>0</v>
      </c>
      <c r="P150" s="888"/>
      <c r="Q150" s="940">
        <f t="shared" si="224"/>
        <v>120</v>
      </c>
      <c r="R150" s="941">
        <f t="shared" si="195"/>
        <v>0</v>
      </c>
      <c r="S150" s="941">
        <f t="shared" si="196"/>
        <v>0</v>
      </c>
      <c r="T150" s="942"/>
      <c r="U150" s="941" t="e">
        <f t="shared" si="197"/>
        <v>#VALUE!</v>
      </c>
      <c r="V150" s="943" t="e">
        <f t="shared" si="198"/>
        <v>#VALUE!</v>
      </c>
      <c r="W150" s="888"/>
      <c r="X150" s="892"/>
      <c r="Y150" s="935">
        <f t="shared" si="199"/>
        <v>0</v>
      </c>
      <c r="Z150" s="935">
        <f t="shared" si="200"/>
        <v>0</v>
      </c>
      <c r="AA150" s="944"/>
      <c r="AB150" s="933" t="e">
        <f t="shared" si="201"/>
        <v>#VALUE!</v>
      </c>
      <c r="AC150" s="933" t="e">
        <f t="shared" si="202"/>
        <v>#VALUE!</v>
      </c>
      <c r="AD150" s="933" t="e">
        <f t="shared" si="203"/>
        <v>#VALUE!</v>
      </c>
      <c r="AE150" s="892"/>
      <c r="AF150" s="933">
        <f t="shared" si="204"/>
        <v>0</v>
      </c>
      <c r="AG150" s="933">
        <f t="shared" si="205"/>
        <v>0</v>
      </c>
      <c r="AH150" s="892"/>
      <c r="AI150" s="892"/>
      <c r="AJ150" s="945" t="e">
        <f t="shared" si="206"/>
        <v>#VALUE!</v>
      </c>
      <c r="AK150" s="933">
        <f t="shared" si="207"/>
        <v>0</v>
      </c>
      <c r="AL150" s="933" t="e">
        <f t="shared" si="208"/>
        <v>#VALUE!</v>
      </c>
      <c r="AM150" s="933" t="e">
        <f t="shared" si="209"/>
        <v>#VALUE!</v>
      </c>
      <c r="AN150" s="933" t="e">
        <f t="shared" si="210"/>
        <v>#VALUE!</v>
      </c>
      <c r="AO150" s="933" t="e">
        <f t="shared" si="211"/>
        <v>#VALUE!</v>
      </c>
      <c r="AP150" s="946" t="e">
        <f t="shared" si="212"/>
        <v>#VALUE!</v>
      </c>
      <c r="AQ150" s="888"/>
      <c r="AR150" s="941">
        <f t="shared" si="213"/>
        <v>0</v>
      </c>
      <c r="AS150" s="888"/>
      <c r="AT150" s="947">
        <f t="shared" si="214"/>
        <v>0</v>
      </c>
      <c r="AU150" s="948">
        <f t="shared" si="215"/>
        <v>0</v>
      </c>
      <c r="AV150" s="949" t="str">
        <f t="shared" si="182"/>
        <v/>
      </c>
      <c r="AW150" s="950">
        <f t="shared" si="216"/>
        <v>97.4</v>
      </c>
      <c r="AX150" s="951">
        <f t="shared" si="217"/>
        <v>0</v>
      </c>
      <c r="AY150" s="952">
        <f>VLOOKUP(A150,'Comm Price Out'!$A$80:$G$145,7,FALSE)</f>
        <v>102.39937478539555</v>
      </c>
      <c r="AZ150" s="953">
        <f t="shared" si="218"/>
        <v>0</v>
      </c>
      <c r="BA150" s="954">
        <f t="shared" si="183"/>
        <v>5.1328283217613402E-2</v>
      </c>
      <c r="BC150" s="1158">
        <f t="shared" si="184"/>
        <v>0</v>
      </c>
      <c r="BD150" s="1158">
        <f t="shared" si="185"/>
        <v>0</v>
      </c>
    </row>
    <row r="151" spans="1:56">
      <c r="A151" s="931" t="str">
        <f>+'Comm Price Out'!A127</f>
        <v>8 yd   On Call</v>
      </c>
      <c r="B151" s="932">
        <f>+'Comm Price Out'!B127</f>
        <v>1</v>
      </c>
      <c r="C151" s="933">
        <f t="shared" si="186"/>
        <v>1.0173772833392865</v>
      </c>
      <c r="D151" s="957">
        <f>1/$E$2</f>
        <v>0.23094688221709006</v>
      </c>
      <c r="E151" s="933">
        <f t="shared" si="187"/>
        <v>12.009237875288683</v>
      </c>
      <c r="F151" s="933">
        <f t="shared" si="188"/>
        <v>1.0173772833392865</v>
      </c>
      <c r="G151" s="933"/>
      <c r="H151" s="934">
        <f>+'Comm Price Out'!D127</f>
        <v>129.88</v>
      </c>
      <c r="I151" s="935">
        <f t="shared" si="189"/>
        <v>129.88</v>
      </c>
      <c r="J151" s="935">
        <f t="shared" si="190"/>
        <v>1558.56</v>
      </c>
      <c r="K151" s="935">
        <f t="shared" si="191"/>
        <v>1585.6435387212782</v>
      </c>
      <c r="L151" s="936">
        <f>L85</f>
        <v>588</v>
      </c>
      <c r="M151" s="937">
        <f t="shared" si="192"/>
        <v>578.77510677369958</v>
      </c>
      <c r="N151" s="938">
        <f t="shared" si="193"/>
        <v>3.59</v>
      </c>
      <c r="O151" s="939">
        <f t="shared" si="194"/>
        <v>3.5336779478190161</v>
      </c>
      <c r="P151" s="888"/>
      <c r="Q151" s="940">
        <f>Q85</f>
        <v>120</v>
      </c>
      <c r="R151" s="941">
        <f t="shared" si="195"/>
        <v>0.40726419348454884</v>
      </c>
      <c r="S151" s="941">
        <f t="shared" si="196"/>
        <v>0.40726419348454884</v>
      </c>
      <c r="T151" s="942"/>
      <c r="U151" s="941" t="e">
        <f t="shared" si="197"/>
        <v>#VALUE!</v>
      </c>
      <c r="V151" s="943" t="e">
        <f t="shared" si="198"/>
        <v>#VALUE!</v>
      </c>
      <c r="W151" s="888"/>
      <c r="X151" s="892"/>
      <c r="Y151" s="935">
        <f t="shared" si="199"/>
        <v>186.11743445091074</v>
      </c>
      <c r="Z151" s="935">
        <f t="shared" si="200"/>
        <v>435.39444094470036</v>
      </c>
      <c r="AA151" s="944"/>
      <c r="AB151" s="933" t="e">
        <f t="shared" si="201"/>
        <v>#VALUE!</v>
      </c>
      <c r="AC151" s="933" t="e">
        <f t="shared" si="202"/>
        <v>#VALUE!</v>
      </c>
      <c r="AD151" s="933" t="e">
        <f t="shared" si="203"/>
        <v>#VALUE!</v>
      </c>
      <c r="AE151" s="892"/>
      <c r="AF151" s="933">
        <f t="shared" si="204"/>
        <v>0</v>
      </c>
      <c r="AG151" s="933">
        <f t="shared" si="205"/>
        <v>0</v>
      </c>
      <c r="AH151" s="892"/>
      <c r="AI151" s="892"/>
      <c r="AJ151" s="945" t="e">
        <f t="shared" si="206"/>
        <v>#VALUE!</v>
      </c>
      <c r="AK151" s="933">
        <f t="shared" si="207"/>
        <v>0</v>
      </c>
      <c r="AL151" s="933" t="e">
        <f t="shared" si="208"/>
        <v>#VALUE!</v>
      </c>
      <c r="AM151" s="933" t="e">
        <f t="shared" si="209"/>
        <v>#VALUE!</v>
      </c>
      <c r="AN151" s="933" t="e">
        <f t="shared" si="210"/>
        <v>#VALUE!</v>
      </c>
      <c r="AO151" s="933" t="e">
        <f t="shared" si="211"/>
        <v>#VALUE!</v>
      </c>
      <c r="AP151" s="946" t="e">
        <f t="shared" si="212"/>
        <v>#VALUE!</v>
      </c>
      <c r="AQ151" s="888"/>
      <c r="AR151" s="941">
        <f t="shared" si="213"/>
        <v>0</v>
      </c>
      <c r="AS151" s="888"/>
      <c r="AT151" s="947">
        <f t="shared" si="214"/>
        <v>0</v>
      </c>
      <c r="AU151" s="948">
        <f t="shared" si="215"/>
        <v>0</v>
      </c>
      <c r="AV151" s="949" t="str">
        <f t="shared" si="182"/>
        <v/>
      </c>
      <c r="AW151" s="950">
        <f t="shared" si="216"/>
        <v>129.88</v>
      </c>
      <c r="AX151" s="951">
        <f t="shared" si="217"/>
        <v>1586.8642034931961</v>
      </c>
      <c r="AY151" s="952">
        <f>VLOOKUP(A151,'Comm Price Out'!$A$80:$G$145,7,FALSE)</f>
        <v>136.54651742430363</v>
      </c>
      <c r="AZ151" s="953">
        <f t="shared" si="218"/>
        <v>1668.3152187579874</v>
      </c>
      <c r="BA151" s="954">
        <f t="shared" si="183"/>
        <v>5.132828321761345E-2</v>
      </c>
      <c r="BC151" s="1158">
        <f t="shared" si="184"/>
        <v>-1586.8642034931961</v>
      </c>
      <c r="BD151" s="1158">
        <f t="shared" si="185"/>
        <v>-1668.3152187579874</v>
      </c>
    </row>
    <row r="152" spans="1:56">
      <c r="A152" s="931" t="str">
        <f>+'Comm Price Out'!A128</f>
        <v>8 yd  1xweek</v>
      </c>
      <c r="B152" s="932">
        <f>+'Comm Price Out'!B128</f>
        <v>2</v>
      </c>
      <c r="C152" s="933">
        <f t="shared" si="186"/>
        <v>2.0347545666785729</v>
      </c>
      <c r="D152" s="957">
        <v>1</v>
      </c>
      <c r="E152" s="933">
        <f t="shared" si="187"/>
        <v>52</v>
      </c>
      <c r="F152" s="933">
        <f t="shared" si="188"/>
        <v>2.0347545666785729</v>
      </c>
      <c r="G152" s="933"/>
      <c r="H152" s="934">
        <f>+'Comm Price Out'!D128</f>
        <v>127.57</v>
      </c>
      <c r="I152" s="935">
        <f t="shared" si="189"/>
        <v>1104.7562</v>
      </c>
      <c r="J152" s="935">
        <f t="shared" si="190"/>
        <v>13257.074400000001</v>
      </c>
      <c r="K152" s="935">
        <f t="shared" si="191"/>
        <v>13487.446338098802</v>
      </c>
      <c r="L152" s="936">
        <f>L86</f>
        <v>588</v>
      </c>
      <c r="M152" s="937">
        <f t="shared" si="192"/>
        <v>578.77510677369958</v>
      </c>
      <c r="N152" s="938">
        <f t="shared" si="193"/>
        <v>31.11</v>
      </c>
      <c r="O152" s="939">
        <f t="shared" si="194"/>
        <v>30.621927843077881</v>
      </c>
      <c r="P152" s="888"/>
      <c r="Q152" s="940">
        <f>Q86</f>
        <v>120</v>
      </c>
      <c r="R152" s="941">
        <f t="shared" si="195"/>
        <v>3.5269079155761927</v>
      </c>
      <c r="S152" s="941">
        <f t="shared" si="196"/>
        <v>3.5269079155761927</v>
      </c>
      <c r="T152" s="942"/>
      <c r="U152" s="941" t="e">
        <f t="shared" si="197"/>
        <v>#VALUE!</v>
      </c>
      <c r="V152" s="943" t="e">
        <f t="shared" si="198"/>
        <v>#VALUE!</v>
      </c>
      <c r="W152" s="888"/>
      <c r="X152" s="892"/>
      <c r="Y152" s="935">
        <f t="shared" si="199"/>
        <v>1583.1104838138069</v>
      </c>
      <c r="Z152" s="935">
        <f t="shared" si="200"/>
        <v>3703.4547896457625</v>
      </c>
      <c r="AA152" s="944"/>
      <c r="AB152" s="933" t="e">
        <f t="shared" si="201"/>
        <v>#VALUE!</v>
      </c>
      <c r="AC152" s="933" t="e">
        <f t="shared" si="202"/>
        <v>#VALUE!</v>
      </c>
      <c r="AD152" s="933" t="e">
        <f t="shared" si="203"/>
        <v>#VALUE!</v>
      </c>
      <c r="AE152" s="892"/>
      <c r="AF152" s="933">
        <f t="shared" si="204"/>
        <v>0</v>
      </c>
      <c r="AG152" s="933">
        <f t="shared" si="205"/>
        <v>0</v>
      </c>
      <c r="AH152" s="892"/>
      <c r="AI152" s="892"/>
      <c r="AJ152" s="945" t="e">
        <f t="shared" si="206"/>
        <v>#VALUE!</v>
      </c>
      <c r="AK152" s="933">
        <f t="shared" si="207"/>
        <v>0</v>
      </c>
      <c r="AL152" s="933" t="e">
        <f t="shared" si="208"/>
        <v>#VALUE!</v>
      </c>
      <c r="AM152" s="933" t="e">
        <f t="shared" si="209"/>
        <v>#VALUE!</v>
      </c>
      <c r="AN152" s="933" t="e">
        <f t="shared" si="210"/>
        <v>#VALUE!</v>
      </c>
      <c r="AO152" s="933" t="e">
        <f t="shared" si="211"/>
        <v>#VALUE!</v>
      </c>
      <c r="AP152" s="946" t="e">
        <f t="shared" si="212"/>
        <v>#VALUE!</v>
      </c>
      <c r="AQ152" s="888"/>
      <c r="AR152" s="941">
        <f t="shared" si="213"/>
        <v>0</v>
      </c>
      <c r="AS152" s="888"/>
      <c r="AT152" s="947">
        <f t="shared" si="214"/>
        <v>0</v>
      </c>
      <c r="AU152" s="948">
        <f t="shared" si="215"/>
        <v>0</v>
      </c>
      <c r="AV152" s="949" t="str">
        <f t="shared" si="182"/>
        <v/>
      </c>
      <c r="AW152" s="950">
        <f t="shared" si="216"/>
        <v>127.57</v>
      </c>
      <c r="AX152" s="951">
        <f t="shared" si="217"/>
        <v>13497.829283701649</v>
      </c>
      <c r="AY152" s="952">
        <f>VLOOKUP(A152,'Comm Price Out'!$A$80:$G$145,7,FALSE)</f>
        <v>134.11794909007094</v>
      </c>
      <c r="AZ152" s="953">
        <f t="shared" si="218"/>
        <v>14190.649687998482</v>
      </c>
      <c r="BA152" s="954">
        <f t="shared" si="183"/>
        <v>5.1328283217613423E-2</v>
      </c>
      <c r="BC152" s="1158">
        <f t="shared" si="184"/>
        <v>-13497.829283701649</v>
      </c>
      <c r="BD152" s="1158">
        <f t="shared" si="185"/>
        <v>-14190.649687998482</v>
      </c>
    </row>
    <row r="153" spans="1:56">
      <c r="A153" s="931" t="str">
        <f>+'Comm Price Out'!A129</f>
        <v>8 yd  2xweek</v>
      </c>
      <c r="B153" s="932">
        <f>+'Comm Price Out'!B129</f>
        <v>5</v>
      </c>
      <c r="C153" s="933">
        <f t="shared" si="186"/>
        <v>5.0868864166964318</v>
      </c>
      <c r="D153" s="957">
        <v>2</v>
      </c>
      <c r="E153" s="933">
        <f t="shared" si="187"/>
        <v>104</v>
      </c>
      <c r="F153" s="933">
        <f t="shared" si="188"/>
        <v>5.0868864166964318</v>
      </c>
      <c r="G153" s="933"/>
      <c r="H153" s="934">
        <f>+'Comm Price Out'!D129</f>
        <v>127.57</v>
      </c>
      <c r="I153" s="935">
        <f t="shared" si="189"/>
        <v>5523.780999999999</v>
      </c>
      <c r="J153" s="935">
        <f t="shared" si="190"/>
        <v>66285.371999999988</v>
      </c>
      <c r="K153" s="935">
        <f t="shared" si="191"/>
        <v>67437.231690493994</v>
      </c>
      <c r="L153" s="936">
        <f>L87</f>
        <v>588</v>
      </c>
      <c r="M153" s="937">
        <f t="shared" si="192"/>
        <v>578.77510677369958</v>
      </c>
      <c r="N153" s="938">
        <f t="shared" si="193"/>
        <v>155.54</v>
      </c>
      <c r="O153" s="939">
        <f t="shared" si="194"/>
        <v>153.09979610132862</v>
      </c>
      <c r="P153" s="888"/>
      <c r="Q153" s="940">
        <f>Q87</f>
        <v>120</v>
      </c>
      <c r="R153" s="941">
        <f t="shared" si="195"/>
        <v>17.634539577880965</v>
      </c>
      <c r="S153" s="941">
        <f t="shared" si="196"/>
        <v>17.634539577880965</v>
      </c>
      <c r="T153" s="942"/>
      <c r="U153" s="941" t="e">
        <f t="shared" si="197"/>
        <v>#VALUE!</v>
      </c>
      <c r="V153" s="943" t="e">
        <f t="shared" si="198"/>
        <v>#VALUE!</v>
      </c>
      <c r="W153" s="888"/>
      <c r="X153" s="892"/>
      <c r="Y153" s="935">
        <f t="shared" si="199"/>
        <v>7915.552419069033</v>
      </c>
      <c r="Z153" s="935">
        <f t="shared" si="200"/>
        <v>18517.273948228809</v>
      </c>
      <c r="AA153" s="944"/>
      <c r="AB153" s="933" t="e">
        <f t="shared" si="201"/>
        <v>#VALUE!</v>
      </c>
      <c r="AC153" s="933" t="e">
        <f t="shared" si="202"/>
        <v>#VALUE!</v>
      </c>
      <c r="AD153" s="933" t="e">
        <f t="shared" si="203"/>
        <v>#VALUE!</v>
      </c>
      <c r="AE153" s="892"/>
      <c r="AF153" s="933">
        <f t="shared" si="204"/>
        <v>0</v>
      </c>
      <c r="AG153" s="933">
        <f t="shared" si="205"/>
        <v>0</v>
      </c>
      <c r="AH153" s="892"/>
      <c r="AI153" s="892"/>
      <c r="AJ153" s="945" t="e">
        <f t="shared" si="206"/>
        <v>#VALUE!</v>
      </c>
      <c r="AK153" s="933">
        <f t="shared" si="207"/>
        <v>0</v>
      </c>
      <c r="AL153" s="933" t="e">
        <f t="shared" si="208"/>
        <v>#VALUE!</v>
      </c>
      <c r="AM153" s="933" t="e">
        <f t="shared" si="209"/>
        <v>#VALUE!</v>
      </c>
      <c r="AN153" s="933" t="e">
        <f t="shared" si="210"/>
        <v>#VALUE!</v>
      </c>
      <c r="AO153" s="933" t="e">
        <f t="shared" si="211"/>
        <v>#VALUE!</v>
      </c>
      <c r="AP153" s="946" t="e">
        <f t="shared" si="212"/>
        <v>#VALUE!</v>
      </c>
      <c r="AQ153" s="888"/>
      <c r="AR153" s="941">
        <f t="shared" si="213"/>
        <v>0</v>
      </c>
      <c r="AS153" s="888"/>
      <c r="AT153" s="947">
        <f t="shared" si="214"/>
        <v>0</v>
      </c>
      <c r="AU153" s="948">
        <f t="shared" si="215"/>
        <v>0</v>
      </c>
      <c r="AV153" s="949" t="str">
        <f t="shared" si="182"/>
        <v/>
      </c>
      <c r="AW153" s="950">
        <f t="shared" si="216"/>
        <v>127.57</v>
      </c>
      <c r="AX153" s="951">
        <f t="shared" si="217"/>
        <v>67489.14641850823</v>
      </c>
      <c r="AY153" s="952">
        <f>VLOOKUP(A153,'Comm Price Out'!$A$80:$G$145,7,FALSE)</f>
        <v>134.11794909007094</v>
      </c>
      <c r="AZ153" s="953">
        <f t="shared" si="218"/>
        <v>70953.2484399924</v>
      </c>
      <c r="BA153" s="954">
        <f t="shared" si="183"/>
        <v>5.1328283217613423E-2</v>
      </c>
      <c r="BC153" s="1158">
        <f t="shared" si="184"/>
        <v>-67489.14641850823</v>
      </c>
      <c r="BD153" s="1158">
        <f t="shared" si="185"/>
        <v>-70953.2484399924</v>
      </c>
    </row>
    <row r="154" spans="1:56">
      <c r="A154" s="931" t="str">
        <f>+'Comm Price Out'!A130</f>
        <v>8 yd  3xweek</v>
      </c>
      <c r="B154" s="932">
        <f>+'Comm Price Out'!B130</f>
        <v>0</v>
      </c>
      <c r="C154" s="933">
        <f t="shared" si="186"/>
        <v>0</v>
      </c>
      <c r="D154" s="957">
        <v>3</v>
      </c>
      <c r="E154" s="933">
        <f t="shared" si="187"/>
        <v>156</v>
      </c>
      <c r="F154" s="933">
        <f t="shared" si="188"/>
        <v>0</v>
      </c>
      <c r="G154" s="933"/>
      <c r="H154" s="934">
        <f>+'Comm Price Out'!D130</f>
        <v>127.57</v>
      </c>
      <c r="I154" s="935">
        <f t="shared" si="189"/>
        <v>0</v>
      </c>
      <c r="J154" s="935">
        <f t="shared" si="190"/>
        <v>0</v>
      </c>
      <c r="K154" s="935">
        <f t="shared" si="191"/>
        <v>0</v>
      </c>
      <c r="L154" s="936">
        <f>L88</f>
        <v>588</v>
      </c>
      <c r="M154" s="937">
        <f t="shared" si="192"/>
        <v>578.77510677369958</v>
      </c>
      <c r="N154" s="938">
        <f t="shared" si="193"/>
        <v>0</v>
      </c>
      <c r="O154" s="939">
        <f t="shared" si="194"/>
        <v>0</v>
      </c>
      <c r="P154" s="888"/>
      <c r="Q154" s="940">
        <f>Q88</f>
        <v>120</v>
      </c>
      <c r="R154" s="941">
        <f t="shared" si="195"/>
        <v>0</v>
      </c>
      <c r="S154" s="941">
        <f t="shared" si="196"/>
        <v>0</v>
      </c>
      <c r="T154" s="942"/>
      <c r="U154" s="941" t="e">
        <f t="shared" si="197"/>
        <v>#VALUE!</v>
      </c>
      <c r="V154" s="943" t="e">
        <f t="shared" si="198"/>
        <v>#VALUE!</v>
      </c>
      <c r="W154" s="888"/>
      <c r="X154" s="892"/>
      <c r="Y154" s="935">
        <f t="shared" si="199"/>
        <v>0</v>
      </c>
      <c r="Z154" s="935">
        <f t="shared" si="200"/>
        <v>0</v>
      </c>
      <c r="AA154" s="944"/>
      <c r="AB154" s="933" t="e">
        <f t="shared" si="201"/>
        <v>#VALUE!</v>
      </c>
      <c r="AC154" s="933" t="e">
        <f t="shared" si="202"/>
        <v>#VALUE!</v>
      </c>
      <c r="AD154" s="933" t="e">
        <f t="shared" si="203"/>
        <v>#VALUE!</v>
      </c>
      <c r="AE154" s="892"/>
      <c r="AF154" s="933">
        <f t="shared" si="204"/>
        <v>0</v>
      </c>
      <c r="AG154" s="933">
        <f t="shared" si="205"/>
        <v>0</v>
      </c>
      <c r="AH154" s="892"/>
      <c r="AI154" s="892"/>
      <c r="AJ154" s="945" t="e">
        <f t="shared" si="206"/>
        <v>#VALUE!</v>
      </c>
      <c r="AK154" s="933">
        <f t="shared" si="207"/>
        <v>0</v>
      </c>
      <c r="AL154" s="933" t="e">
        <f t="shared" si="208"/>
        <v>#VALUE!</v>
      </c>
      <c r="AM154" s="933" t="e">
        <f t="shared" si="209"/>
        <v>#VALUE!</v>
      </c>
      <c r="AN154" s="933" t="e">
        <f t="shared" si="210"/>
        <v>#VALUE!</v>
      </c>
      <c r="AO154" s="933" t="e">
        <f t="shared" si="211"/>
        <v>#VALUE!</v>
      </c>
      <c r="AP154" s="946" t="e">
        <f t="shared" si="212"/>
        <v>#VALUE!</v>
      </c>
      <c r="AQ154" s="888"/>
      <c r="AR154" s="941">
        <f t="shared" si="213"/>
        <v>0</v>
      </c>
      <c r="AS154" s="888"/>
      <c r="AT154" s="947">
        <f t="shared" si="214"/>
        <v>0</v>
      </c>
      <c r="AU154" s="948">
        <f t="shared" si="215"/>
        <v>0</v>
      </c>
      <c r="AV154" s="949" t="str">
        <f t="shared" si="182"/>
        <v/>
      </c>
      <c r="AW154" s="950">
        <f t="shared" si="216"/>
        <v>127.57</v>
      </c>
      <c r="AX154" s="951">
        <f t="shared" si="217"/>
        <v>0</v>
      </c>
      <c r="AY154" s="952">
        <f>VLOOKUP(A154,'Comm Price Out'!$A$80:$G$145,7,FALSE)</f>
        <v>134.11794909007094</v>
      </c>
      <c r="AZ154" s="953">
        <f t="shared" si="218"/>
        <v>0</v>
      </c>
      <c r="BA154" s="954">
        <f t="shared" si="183"/>
        <v>5.1328283217613423E-2</v>
      </c>
      <c r="BC154" s="1158">
        <f t="shared" si="184"/>
        <v>0</v>
      </c>
      <c r="BD154" s="1158">
        <f t="shared" si="185"/>
        <v>0</v>
      </c>
    </row>
    <row r="155" spans="1:56">
      <c r="A155" s="931" t="str">
        <f>+'Comm Price Out'!A131</f>
        <v>8 yd  4xweek</v>
      </c>
      <c r="B155" s="932">
        <f>+'Comm Price Out'!B131</f>
        <v>0</v>
      </c>
      <c r="C155" s="933">
        <f t="shared" si="186"/>
        <v>0</v>
      </c>
      <c r="D155" s="957">
        <v>4</v>
      </c>
      <c r="E155" s="933">
        <f t="shared" si="187"/>
        <v>208</v>
      </c>
      <c r="F155" s="933">
        <f t="shared" si="188"/>
        <v>0</v>
      </c>
      <c r="G155" s="933"/>
      <c r="H155" s="934">
        <f>+'Comm Price Out'!D131</f>
        <v>127.57</v>
      </c>
      <c r="I155" s="935">
        <f t="shared" si="189"/>
        <v>0</v>
      </c>
      <c r="J155" s="935">
        <f t="shared" si="190"/>
        <v>0</v>
      </c>
      <c r="K155" s="935">
        <f t="shared" si="191"/>
        <v>0</v>
      </c>
      <c r="L155" s="936">
        <f>L89</f>
        <v>588</v>
      </c>
      <c r="M155" s="937">
        <f t="shared" si="192"/>
        <v>578.77510677369958</v>
      </c>
      <c r="N155" s="938">
        <f t="shared" si="193"/>
        <v>0</v>
      </c>
      <c r="O155" s="939">
        <f t="shared" si="194"/>
        <v>0</v>
      </c>
      <c r="P155" s="888"/>
      <c r="Q155" s="940">
        <f>Q89</f>
        <v>120</v>
      </c>
      <c r="R155" s="941">
        <f t="shared" si="195"/>
        <v>0</v>
      </c>
      <c r="S155" s="941">
        <f t="shared" si="196"/>
        <v>0</v>
      </c>
      <c r="T155" s="942"/>
      <c r="U155" s="941" t="e">
        <f t="shared" si="197"/>
        <v>#VALUE!</v>
      </c>
      <c r="V155" s="943" t="e">
        <f t="shared" si="198"/>
        <v>#VALUE!</v>
      </c>
      <c r="W155" s="888"/>
      <c r="X155" s="892"/>
      <c r="Y155" s="935">
        <f t="shared" si="199"/>
        <v>0</v>
      </c>
      <c r="Z155" s="935">
        <f t="shared" si="200"/>
        <v>0</v>
      </c>
      <c r="AA155" s="944"/>
      <c r="AB155" s="933" t="e">
        <f t="shared" si="201"/>
        <v>#VALUE!</v>
      </c>
      <c r="AC155" s="933" t="e">
        <f t="shared" si="202"/>
        <v>#VALUE!</v>
      </c>
      <c r="AD155" s="933" t="e">
        <f t="shared" si="203"/>
        <v>#VALUE!</v>
      </c>
      <c r="AE155" s="892"/>
      <c r="AF155" s="933">
        <f t="shared" si="204"/>
        <v>0</v>
      </c>
      <c r="AG155" s="933">
        <f t="shared" si="205"/>
        <v>0</v>
      </c>
      <c r="AH155" s="892"/>
      <c r="AI155" s="892"/>
      <c r="AJ155" s="945" t="e">
        <f t="shared" si="206"/>
        <v>#VALUE!</v>
      </c>
      <c r="AK155" s="933">
        <f t="shared" si="207"/>
        <v>0</v>
      </c>
      <c r="AL155" s="933" t="e">
        <f t="shared" si="208"/>
        <v>#VALUE!</v>
      </c>
      <c r="AM155" s="933" t="e">
        <f t="shared" si="209"/>
        <v>#VALUE!</v>
      </c>
      <c r="AN155" s="933" t="e">
        <f t="shared" si="210"/>
        <v>#VALUE!</v>
      </c>
      <c r="AO155" s="933" t="e">
        <f t="shared" si="211"/>
        <v>#VALUE!</v>
      </c>
      <c r="AP155" s="946" t="e">
        <f t="shared" si="212"/>
        <v>#VALUE!</v>
      </c>
      <c r="AQ155" s="888"/>
      <c r="AR155" s="941">
        <f t="shared" si="213"/>
        <v>0</v>
      </c>
      <c r="AS155" s="888"/>
      <c r="AT155" s="947">
        <f t="shared" si="214"/>
        <v>0</v>
      </c>
      <c r="AU155" s="948">
        <f t="shared" si="215"/>
        <v>0</v>
      </c>
      <c r="AV155" s="949" t="str">
        <f t="shared" si="182"/>
        <v/>
      </c>
      <c r="AW155" s="950">
        <f t="shared" si="216"/>
        <v>127.57</v>
      </c>
      <c r="AX155" s="951">
        <f t="shared" si="217"/>
        <v>0</v>
      </c>
      <c r="AY155" s="952">
        <f>VLOOKUP(A155,'Comm Price Out'!$A$80:$G$145,7,FALSE)</f>
        <v>134.11794909007094</v>
      </c>
      <c r="AZ155" s="953">
        <f t="shared" si="218"/>
        <v>0</v>
      </c>
      <c r="BA155" s="954">
        <f t="shared" si="183"/>
        <v>5.1328283217613423E-2</v>
      </c>
      <c r="BC155" s="1158">
        <f t="shared" si="184"/>
        <v>0</v>
      </c>
      <c r="BD155" s="1158">
        <f t="shared" si="185"/>
        <v>0</v>
      </c>
    </row>
    <row r="156" spans="1:56">
      <c r="A156" s="931" t="str">
        <f>+'Comm Price Out'!A132</f>
        <v>32 Gal Toter Rent</v>
      </c>
      <c r="B156" s="932">
        <f>+'Comm Price Out'!B132</f>
        <v>74.000000000000014</v>
      </c>
      <c r="C156" s="933">
        <f t="shared" si="186"/>
        <v>75.285918967107207</v>
      </c>
      <c r="D156" s="957"/>
      <c r="E156" s="933">
        <f t="shared" si="187"/>
        <v>0</v>
      </c>
      <c r="F156" s="933">
        <f t="shared" si="188"/>
        <v>75.285918967107207</v>
      </c>
      <c r="G156" s="933">
        <f>F156*1.5</f>
        <v>112.92887845066082</v>
      </c>
      <c r="H156" s="934">
        <f>+'Comm Price Out'!D132</f>
        <v>1.1399999999999999</v>
      </c>
      <c r="I156" s="935">
        <f t="shared" si="189"/>
        <v>0</v>
      </c>
      <c r="J156" s="935">
        <f t="shared" si="190"/>
        <v>0</v>
      </c>
      <c r="K156" s="935">
        <f t="shared" si="191"/>
        <v>0</v>
      </c>
      <c r="L156" s="936">
        <f>L91</f>
        <v>0</v>
      </c>
      <c r="M156" s="937">
        <f t="shared" si="192"/>
        <v>0</v>
      </c>
      <c r="N156" s="938">
        <f t="shared" si="193"/>
        <v>0</v>
      </c>
      <c r="O156" s="939">
        <f t="shared" si="194"/>
        <v>0</v>
      </c>
      <c r="P156" s="888"/>
      <c r="Q156" s="940">
        <f>Q91</f>
        <v>0</v>
      </c>
      <c r="R156" s="941">
        <f t="shared" si="195"/>
        <v>0</v>
      </c>
      <c r="S156" s="941">
        <f t="shared" si="196"/>
        <v>0</v>
      </c>
      <c r="T156" s="942"/>
      <c r="U156" s="941" t="e">
        <f t="shared" si="197"/>
        <v>#VALUE!</v>
      </c>
      <c r="V156" s="943" t="e">
        <f t="shared" si="198"/>
        <v>#VALUE!</v>
      </c>
      <c r="W156" s="888"/>
      <c r="X156" s="892"/>
      <c r="Y156" s="935">
        <f t="shared" si="199"/>
        <v>0</v>
      </c>
      <c r="Z156" s="935">
        <f t="shared" si="200"/>
        <v>0</v>
      </c>
      <c r="AA156" s="944"/>
      <c r="AB156" s="933" t="e">
        <f t="shared" si="201"/>
        <v>#VALUE!</v>
      </c>
      <c r="AC156" s="933" t="e">
        <f t="shared" si="202"/>
        <v>#VALUE!</v>
      </c>
      <c r="AD156" s="933" t="e">
        <f t="shared" si="203"/>
        <v>#VALUE!</v>
      </c>
      <c r="AE156" s="892"/>
      <c r="AF156" s="1369">
        <f>($AF$4*G156)/($G$7)</f>
        <v>1338.8703339912915</v>
      </c>
      <c r="AG156" s="1369">
        <f>($AG$4*G156)/($G$7+$G$6)</f>
        <v>496.33915408757741</v>
      </c>
      <c r="AH156" s="892"/>
      <c r="AI156" s="892"/>
      <c r="AJ156" s="945" t="e">
        <f t="shared" si="206"/>
        <v>#VALUE!</v>
      </c>
      <c r="AK156" s="933">
        <f t="shared" si="207"/>
        <v>0</v>
      </c>
      <c r="AL156" s="933" t="e">
        <f t="shared" si="208"/>
        <v>#VALUE!</v>
      </c>
      <c r="AM156" s="933" t="e">
        <f t="shared" si="209"/>
        <v>#VALUE!</v>
      </c>
      <c r="AN156" s="933" t="e">
        <f t="shared" si="210"/>
        <v>#VALUE!</v>
      </c>
      <c r="AO156" s="933" t="e">
        <f t="shared" si="211"/>
        <v>#VALUE!</v>
      </c>
      <c r="AP156" s="946" t="e">
        <f t="shared" si="212"/>
        <v>#VALUE!</v>
      </c>
      <c r="AQ156" s="888"/>
      <c r="AR156" s="941">
        <f t="shared" si="213"/>
        <v>0</v>
      </c>
      <c r="AS156" s="888"/>
      <c r="AT156" s="947">
        <f t="shared" si="214"/>
        <v>0</v>
      </c>
      <c r="AU156" s="948">
        <f t="shared" si="215"/>
        <v>0</v>
      </c>
      <c r="AV156" s="949" t="str">
        <f t="shared" si="182"/>
        <v/>
      </c>
      <c r="AW156" s="950">
        <f t="shared" si="216"/>
        <v>1.1399999999999999</v>
      </c>
      <c r="AX156" s="951">
        <f t="shared" si="217"/>
        <v>0</v>
      </c>
      <c r="AY156" s="952">
        <f>VLOOKUP(A156,'Comm Price Out'!$A$80:$G$145,7,FALSE)</f>
        <v>1.1985142428680793</v>
      </c>
      <c r="AZ156" s="953">
        <f t="shared" si="218"/>
        <v>0</v>
      </c>
      <c r="BA156" s="954">
        <f t="shared" si="183"/>
        <v>5.1328283217613499E-2</v>
      </c>
      <c r="BC156" s="1158">
        <f t="shared" si="184"/>
        <v>0</v>
      </c>
      <c r="BD156" s="1158">
        <f t="shared" si="185"/>
        <v>0</v>
      </c>
    </row>
    <row r="157" spans="1:56">
      <c r="A157" s="931" t="str">
        <f>+'Comm Price Out'!A133</f>
        <v>64 Gal Toter Rent</v>
      </c>
      <c r="B157" s="932">
        <f>+'Comm Price Out'!B133</f>
        <v>0</v>
      </c>
      <c r="C157" s="933">
        <f t="shared" si="186"/>
        <v>0</v>
      </c>
      <c r="D157" s="957"/>
      <c r="E157" s="933">
        <f>D157*$E$1</f>
        <v>0</v>
      </c>
      <c r="F157" s="933">
        <f t="shared" ref="F157:F162" si="225">C157</f>
        <v>0</v>
      </c>
      <c r="G157" s="933">
        <f t="shared" ref="G157:G167" si="226">F157*1.5</f>
        <v>0</v>
      </c>
      <c r="H157" s="934">
        <f>+'Comm Price Out'!D133</f>
        <v>1.76</v>
      </c>
      <c r="I157" s="935">
        <f>B157*H157*D157*$E$2</f>
        <v>0</v>
      </c>
      <c r="J157" s="935">
        <f t="shared" ref="J157:J162" si="227">I157*12</f>
        <v>0</v>
      </c>
      <c r="K157" s="935">
        <f t="shared" ref="K157:K162" si="228">J157*$K$3</f>
        <v>0</v>
      </c>
      <c r="L157" s="936">
        <f t="shared" ref="L157:L167" si="229">L92</f>
        <v>0</v>
      </c>
      <c r="M157" s="937">
        <f t="shared" ref="M157:M162" si="230">L157*$O$3</f>
        <v>0</v>
      </c>
      <c r="N157" s="938">
        <f t="shared" ref="N157:N162" si="231">ROUND(((C157*E157*L157)/2000),2)</f>
        <v>0</v>
      </c>
      <c r="O157" s="939">
        <f t="shared" ref="O157:O162" si="232">$O$3*N157</f>
        <v>0</v>
      </c>
      <c r="P157" s="888"/>
      <c r="Q157" s="940">
        <f t="shared" ref="Q157:Q167" si="233">Q92</f>
        <v>0</v>
      </c>
      <c r="R157" s="941">
        <f t="shared" ref="R157:R162" si="234">C157*E157*Q157/3600</f>
        <v>0</v>
      </c>
      <c r="S157" s="941">
        <f t="shared" ref="S157:S162" si="235">R157*$S$3</f>
        <v>0</v>
      </c>
      <c r="T157" s="942"/>
      <c r="U157" s="941" t="e">
        <f t="shared" ref="U157:U162" si="236">($V$4-$S$5)*O157/($O$5-$O$8)</f>
        <v>#VALUE!</v>
      </c>
      <c r="V157" s="943" t="e">
        <f t="shared" ref="V157:V162" si="237">U157+S157</f>
        <v>#VALUE!</v>
      </c>
      <c r="W157" s="888"/>
      <c r="X157" s="892"/>
      <c r="Y157" s="935">
        <f t="shared" ref="Y157:Y162" si="238">($Y$4*(I157)/(($I$6)+$I$7+$I$8+$I$9))</f>
        <v>0</v>
      </c>
      <c r="Z157" s="935">
        <f t="shared" ref="Z157:Z162" si="239">($Z$4*I157/($I$5-$I$8-$I$9))</f>
        <v>0</v>
      </c>
      <c r="AA157" s="944"/>
      <c r="AB157" s="933" t="e">
        <f t="shared" ref="AB157:AB162" si="240">$AB$4*V157/($V$4+$T$4)</f>
        <v>#VALUE!</v>
      </c>
      <c r="AC157" s="933" t="e">
        <f t="shared" ref="AC157:AC162" si="241">$AC$4*V157/($V$4+$T$4)</f>
        <v>#VALUE!</v>
      </c>
      <c r="AD157" s="933" t="e">
        <f t="shared" ref="AD157:AD162" si="242">$AD$4*V157/($V$4+$T$4)</f>
        <v>#VALUE!</v>
      </c>
      <c r="AE157" s="892"/>
      <c r="AF157" s="933">
        <f t="shared" ref="AF157:AF162" si="243">($AF$4*G157)/($G$7)</f>
        <v>0</v>
      </c>
      <c r="AG157" s="933">
        <f t="shared" ref="AG157:AG162" si="244">($AG$4*G157)/($G$7+$G$6)</f>
        <v>0</v>
      </c>
      <c r="AH157" s="892"/>
      <c r="AI157" s="892"/>
      <c r="AJ157" s="945" t="e">
        <f t="shared" ref="AJ157:AJ162" si="245">SUM(X157:AI157)</f>
        <v>#VALUE!</v>
      </c>
      <c r="AK157" s="933">
        <f t="shared" ref="AK157:AK162" si="246">($AK$4*F157/($F$5))</f>
        <v>0</v>
      </c>
      <c r="AL157" s="933" t="e">
        <f t="shared" ref="AL157:AL162" si="247">$AL$4*O157/($O$5-$O$8)</f>
        <v>#VALUE!</v>
      </c>
      <c r="AM157" s="933" t="e">
        <f t="shared" ref="AM157:AM162" si="248">$AM$4*(K157+X157)/($K$5+$X$5)</f>
        <v>#VALUE!</v>
      </c>
      <c r="AN157" s="933" t="e">
        <f t="shared" ref="AN157:AN162" si="249">$AN$4*(K157+X157)/($K$5+$X$5)</f>
        <v>#VALUE!</v>
      </c>
      <c r="AO157" s="933" t="e">
        <f t="shared" ref="AO157:AO162" si="250">$AO$4*(K157+X157)/($K$5+$X$5)</f>
        <v>#VALUE!</v>
      </c>
      <c r="AP157" s="946" t="e">
        <f t="shared" ref="AP157:AP162" si="251">SUM(AJ157:AO157)</f>
        <v>#VALUE!</v>
      </c>
      <c r="AQ157" s="888"/>
      <c r="AR157" s="941">
        <f t="shared" ref="AR157:AR162" si="252">IF(ISERROR(AP157/C157/E157), 0,(AP157/C157/E157))</f>
        <v>0</v>
      </c>
      <c r="AS157" s="888"/>
      <c r="AT157" s="947">
        <f t="shared" ref="AT157:AT162" si="253">AR157/$AT$4</f>
        <v>0</v>
      </c>
      <c r="AU157" s="948">
        <f t="shared" ref="AU157:AU162" si="254">+AT157*C157*E157</f>
        <v>0</v>
      </c>
      <c r="AV157" s="949" t="str">
        <f t="shared" si="182"/>
        <v/>
      </c>
      <c r="AW157" s="950">
        <f t="shared" ref="AW157:AW162" si="255">H157</f>
        <v>1.76</v>
      </c>
      <c r="AX157" s="951">
        <f t="shared" ref="AX157:AX162" si="256">+AW157*C157*E157</f>
        <v>0</v>
      </c>
      <c r="AY157" s="952">
        <f>VLOOKUP(A157,'Comm Price Out'!$A$80:$G$145,7,FALSE)</f>
        <v>1.8503377784629995</v>
      </c>
      <c r="AZ157" s="953">
        <f t="shared" ref="AZ157:AZ162" si="257">+AY157*C157*E157</f>
        <v>0</v>
      </c>
      <c r="BA157" s="954">
        <f t="shared" si="183"/>
        <v>5.1328283217613353E-2</v>
      </c>
      <c r="BC157" s="1158">
        <f t="shared" si="184"/>
        <v>0</v>
      </c>
      <c r="BD157" s="1158">
        <f t="shared" si="185"/>
        <v>0</v>
      </c>
    </row>
    <row r="158" spans="1:56">
      <c r="A158" s="931" t="str">
        <f>+'Comm Price Out'!A134</f>
        <v>96 Gal Toter Rent</v>
      </c>
      <c r="B158" s="932">
        <f>+'Comm Price Out'!B134</f>
        <v>44.25568181818182</v>
      </c>
      <c r="C158" s="933">
        <f t="shared" si="186"/>
        <v>45.024725340509676</v>
      </c>
      <c r="D158" s="957"/>
      <c r="E158" s="933">
        <f>D158*$E$1</f>
        <v>0</v>
      </c>
      <c r="F158" s="933">
        <f t="shared" si="225"/>
        <v>45.024725340509676</v>
      </c>
      <c r="G158" s="933">
        <f t="shared" si="226"/>
        <v>67.537088010764506</v>
      </c>
      <c r="H158" s="934">
        <f>+'Comm Price Out'!D134</f>
        <v>1.76</v>
      </c>
      <c r="I158" s="935">
        <f>B158*H158*D158*$E$2</f>
        <v>0</v>
      </c>
      <c r="J158" s="935">
        <f t="shared" si="227"/>
        <v>0</v>
      </c>
      <c r="K158" s="935">
        <f t="shared" si="228"/>
        <v>0</v>
      </c>
      <c r="L158" s="936">
        <f t="shared" si="229"/>
        <v>0</v>
      </c>
      <c r="M158" s="937">
        <f t="shared" si="230"/>
        <v>0</v>
      </c>
      <c r="N158" s="938">
        <f t="shared" si="231"/>
        <v>0</v>
      </c>
      <c r="O158" s="939">
        <f t="shared" si="232"/>
        <v>0</v>
      </c>
      <c r="P158" s="888"/>
      <c r="Q158" s="940">
        <f t="shared" si="233"/>
        <v>0</v>
      </c>
      <c r="R158" s="941">
        <f t="shared" si="234"/>
        <v>0</v>
      </c>
      <c r="S158" s="941">
        <f t="shared" si="235"/>
        <v>0</v>
      </c>
      <c r="T158" s="942"/>
      <c r="U158" s="941" t="e">
        <f t="shared" si="236"/>
        <v>#VALUE!</v>
      </c>
      <c r="V158" s="943" t="e">
        <f t="shared" si="237"/>
        <v>#VALUE!</v>
      </c>
      <c r="W158" s="888"/>
      <c r="X158" s="892"/>
      <c r="Y158" s="935">
        <f t="shared" si="238"/>
        <v>0</v>
      </c>
      <c r="Z158" s="935">
        <f t="shared" si="239"/>
        <v>0</v>
      </c>
      <c r="AA158" s="944"/>
      <c r="AB158" s="933" t="e">
        <f t="shared" si="240"/>
        <v>#VALUE!</v>
      </c>
      <c r="AC158" s="933" t="e">
        <f t="shared" si="241"/>
        <v>#VALUE!</v>
      </c>
      <c r="AD158" s="933" t="e">
        <f t="shared" si="242"/>
        <v>#VALUE!</v>
      </c>
      <c r="AE158" s="892"/>
      <c r="AF158" s="933">
        <f t="shared" si="243"/>
        <v>800.71107428272171</v>
      </c>
      <c r="AG158" s="933">
        <f t="shared" si="244"/>
        <v>296.83550915142354</v>
      </c>
      <c r="AH158" s="892"/>
      <c r="AI158" s="892"/>
      <c r="AJ158" s="945" t="e">
        <f t="shared" si="245"/>
        <v>#VALUE!</v>
      </c>
      <c r="AK158" s="933">
        <f t="shared" si="246"/>
        <v>0</v>
      </c>
      <c r="AL158" s="933" t="e">
        <f t="shared" si="247"/>
        <v>#VALUE!</v>
      </c>
      <c r="AM158" s="933" t="e">
        <f t="shared" si="248"/>
        <v>#VALUE!</v>
      </c>
      <c r="AN158" s="933" t="e">
        <f t="shared" si="249"/>
        <v>#VALUE!</v>
      </c>
      <c r="AO158" s="933" t="e">
        <f t="shared" si="250"/>
        <v>#VALUE!</v>
      </c>
      <c r="AP158" s="946" t="e">
        <f t="shared" si="251"/>
        <v>#VALUE!</v>
      </c>
      <c r="AQ158" s="888"/>
      <c r="AR158" s="941">
        <f t="shared" si="252"/>
        <v>0</v>
      </c>
      <c r="AS158" s="888"/>
      <c r="AT158" s="947">
        <f t="shared" si="253"/>
        <v>0</v>
      </c>
      <c r="AU158" s="948">
        <f t="shared" si="254"/>
        <v>0</v>
      </c>
      <c r="AV158" s="949" t="str">
        <f t="shared" si="182"/>
        <v/>
      </c>
      <c r="AW158" s="950">
        <f t="shared" si="255"/>
        <v>1.76</v>
      </c>
      <c r="AX158" s="951">
        <f t="shared" si="256"/>
        <v>0</v>
      </c>
      <c r="AY158" s="952">
        <f>VLOOKUP(A158,'Comm Price Out'!$A$80:$G$145,7,FALSE)</f>
        <v>1.8503377784629995</v>
      </c>
      <c r="AZ158" s="953">
        <f t="shared" si="257"/>
        <v>0</v>
      </c>
      <c r="BA158" s="954">
        <f t="shared" si="183"/>
        <v>5.1328283217613353E-2</v>
      </c>
      <c r="BC158" s="1158">
        <f t="shared" si="184"/>
        <v>0</v>
      </c>
      <c r="BD158" s="1158">
        <f t="shared" si="185"/>
        <v>0</v>
      </c>
    </row>
    <row r="159" spans="1:56">
      <c r="A159" s="931" t="str">
        <f>+'Comm Price Out'!A135</f>
        <v>1 yd Rent</v>
      </c>
      <c r="B159" s="932">
        <f>+'Comm Price Out'!B135</f>
        <v>3.6271733730750118</v>
      </c>
      <c r="C159" s="933">
        <f t="shared" si="186"/>
        <v>3.6902037924996516</v>
      </c>
      <c r="D159" s="957"/>
      <c r="E159" s="933">
        <f>D159*$E$1</f>
        <v>0</v>
      </c>
      <c r="F159" s="933">
        <f t="shared" si="225"/>
        <v>3.6902037924996516</v>
      </c>
      <c r="G159" s="933">
        <f t="shared" si="226"/>
        <v>5.5353056887494771</v>
      </c>
      <c r="H159" s="934">
        <f>+'Comm Price Out'!D135</f>
        <v>6.71</v>
      </c>
      <c r="I159" s="935">
        <f>B159*H159*D159*$E$2</f>
        <v>0</v>
      </c>
      <c r="J159" s="935">
        <f t="shared" si="227"/>
        <v>0</v>
      </c>
      <c r="K159" s="935">
        <f t="shared" si="228"/>
        <v>0</v>
      </c>
      <c r="L159" s="936">
        <f t="shared" si="229"/>
        <v>0</v>
      </c>
      <c r="M159" s="937">
        <f t="shared" si="230"/>
        <v>0</v>
      </c>
      <c r="N159" s="938">
        <f t="shared" si="231"/>
        <v>0</v>
      </c>
      <c r="O159" s="939">
        <f t="shared" si="232"/>
        <v>0</v>
      </c>
      <c r="P159" s="888"/>
      <c r="Q159" s="940">
        <f t="shared" si="233"/>
        <v>0</v>
      </c>
      <c r="R159" s="941">
        <f t="shared" si="234"/>
        <v>0</v>
      </c>
      <c r="S159" s="941">
        <f t="shared" si="235"/>
        <v>0</v>
      </c>
      <c r="T159" s="942"/>
      <c r="U159" s="941" t="e">
        <f t="shared" si="236"/>
        <v>#VALUE!</v>
      </c>
      <c r="V159" s="943" t="e">
        <f t="shared" si="237"/>
        <v>#VALUE!</v>
      </c>
      <c r="W159" s="888"/>
      <c r="X159" s="892"/>
      <c r="Y159" s="935">
        <f t="shared" si="238"/>
        <v>0</v>
      </c>
      <c r="Z159" s="935">
        <f t="shared" si="239"/>
        <v>0</v>
      </c>
      <c r="AA159" s="944"/>
      <c r="AB159" s="933" t="e">
        <f t="shared" si="240"/>
        <v>#VALUE!</v>
      </c>
      <c r="AC159" s="933" t="e">
        <f t="shared" si="241"/>
        <v>#VALUE!</v>
      </c>
      <c r="AD159" s="933" t="e">
        <f t="shared" si="242"/>
        <v>#VALUE!</v>
      </c>
      <c r="AE159" s="892"/>
      <c r="AF159" s="933">
        <f t="shared" si="243"/>
        <v>65.625876019638639</v>
      </c>
      <c r="AG159" s="933">
        <f t="shared" si="244"/>
        <v>24.328488698932915</v>
      </c>
      <c r="AH159" s="892"/>
      <c r="AI159" s="892"/>
      <c r="AJ159" s="945" t="e">
        <f t="shared" si="245"/>
        <v>#VALUE!</v>
      </c>
      <c r="AK159" s="933">
        <f t="shared" si="246"/>
        <v>0</v>
      </c>
      <c r="AL159" s="933" t="e">
        <f t="shared" si="247"/>
        <v>#VALUE!</v>
      </c>
      <c r="AM159" s="933" t="e">
        <f t="shared" si="248"/>
        <v>#VALUE!</v>
      </c>
      <c r="AN159" s="933" t="e">
        <f t="shared" si="249"/>
        <v>#VALUE!</v>
      </c>
      <c r="AO159" s="933" t="e">
        <f t="shared" si="250"/>
        <v>#VALUE!</v>
      </c>
      <c r="AP159" s="946" t="e">
        <f t="shared" si="251"/>
        <v>#VALUE!</v>
      </c>
      <c r="AQ159" s="888"/>
      <c r="AR159" s="941">
        <f t="shared" si="252"/>
        <v>0</v>
      </c>
      <c r="AS159" s="888"/>
      <c r="AT159" s="947">
        <f t="shared" si="253"/>
        <v>0</v>
      </c>
      <c r="AU159" s="948">
        <f t="shared" si="254"/>
        <v>0</v>
      </c>
      <c r="AV159" s="949" t="str">
        <f t="shared" si="182"/>
        <v/>
      </c>
      <c r="AW159" s="950">
        <f t="shared" si="255"/>
        <v>6.71</v>
      </c>
      <c r="AX159" s="951">
        <f t="shared" si="256"/>
        <v>0</v>
      </c>
      <c r="AY159" s="952">
        <f>VLOOKUP(A159,'Comm Price Out'!$A$80:$G$145,7,FALSE)</f>
        <v>7.0544127803901855</v>
      </c>
      <c r="AZ159" s="953">
        <f t="shared" si="257"/>
        <v>0</v>
      </c>
      <c r="BA159" s="954">
        <f t="shared" si="183"/>
        <v>5.1328283217613339E-2</v>
      </c>
      <c r="BC159" s="1158">
        <f t="shared" si="184"/>
        <v>0</v>
      </c>
      <c r="BD159" s="1158">
        <f t="shared" si="185"/>
        <v>0</v>
      </c>
    </row>
    <row r="160" spans="1:56">
      <c r="A160" s="931" t="str">
        <f>+'Comm Price Out'!A136</f>
        <v>1.25 yd Rent</v>
      </c>
      <c r="B160" s="932">
        <f>+'Comm Price Out'!B136</f>
        <v>5</v>
      </c>
      <c r="C160" s="933">
        <f t="shared" ref="C160:C167" si="258">B160*$K$3</f>
        <v>5.0868864166964318</v>
      </c>
      <c r="D160" s="957"/>
      <c r="E160" s="933">
        <f t="shared" ref="E160:E167" si="259">D160*$E$1</f>
        <v>0</v>
      </c>
      <c r="F160" s="933">
        <f t="shared" si="225"/>
        <v>5.0868864166964318</v>
      </c>
      <c r="G160" s="933">
        <f t="shared" si="226"/>
        <v>7.6303296250446477</v>
      </c>
      <c r="H160" s="934">
        <f>+'Comm Price Out'!D136</f>
        <v>7.75</v>
      </c>
      <c r="I160" s="935">
        <f>B160*H160</f>
        <v>38.75</v>
      </c>
      <c r="J160" s="935">
        <f t="shared" si="227"/>
        <v>465</v>
      </c>
      <c r="K160" s="935">
        <f t="shared" si="228"/>
        <v>473.08043675276821</v>
      </c>
      <c r="L160" s="936">
        <f t="shared" si="229"/>
        <v>0</v>
      </c>
      <c r="M160" s="937">
        <f t="shared" si="230"/>
        <v>0</v>
      </c>
      <c r="N160" s="938">
        <f t="shared" si="231"/>
        <v>0</v>
      </c>
      <c r="O160" s="939">
        <f t="shared" si="232"/>
        <v>0</v>
      </c>
      <c r="P160" s="888"/>
      <c r="Q160" s="940">
        <f t="shared" si="233"/>
        <v>0</v>
      </c>
      <c r="R160" s="941">
        <f t="shared" si="234"/>
        <v>0</v>
      </c>
      <c r="S160" s="941">
        <f t="shared" si="235"/>
        <v>0</v>
      </c>
      <c r="T160" s="942"/>
      <c r="U160" s="941" t="e">
        <f t="shared" si="236"/>
        <v>#VALUE!</v>
      </c>
      <c r="V160" s="943" t="e">
        <f t="shared" si="237"/>
        <v>#VALUE!</v>
      </c>
      <c r="W160" s="888"/>
      <c r="X160" s="892"/>
      <c r="Y160" s="935">
        <f t="shared" si="238"/>
        <v>55.528569333021188</v>
      </c>
      <c r="Z160" s="935">
        <f t="shared" si="239"/>
        <v>129.90094384514276</v>
      </c>
      <c r="AA160" s="944"/>
      <c r="AB160" s="933" t="e">
        <f t="shared" si="240"/>
        <v>#VALUE!</v>
      </c>
      <c r="AC160" s="933" t="e">
        <f t="shared" si="241"/>
        <v>#VALUE!</v>
      </c>
      <c r="AD160" s="933" t="e">
        <f t="shared" si="242"/>
        <v>#VALUE!</v>
      </c>
      <c r="AE160" s="892"/>
      <c r="AF160" s="933">
        <f t="shared" si="243"/>
        <v>90.464211756168311</v>
      </c>
      <c r="AG160" s="933">
        <f t="shared" si="244"/>
        <v>33.53642933024171</v>
      </c>
      <c r="AH160" s="892"/>
      <c r="AI160" s="892"/>
      <c r="AJ160" s="945" t="e">
        <f t="shared" si="245"/>
        <v>#VALUE!</v>
      </c>
      <c r="AK160" s="933">
        <f t="shared" si="246"/>
        <v>0</v>
      </c>
      <c r="AL160" s="933" t="e">
        <f t="shared" si="247"/>
        <v>#VALUE!</v>
      </c>
      <c r="AM160" s="933" t="e">
        <f t="shared" si="248"/>
        <v>#VALUE!</v>
      </c>
      <c r="AN160" s="933" t="e">
        <f t="shared" si="249"/>
        <v>#VALUE!</v>
      </c>
      <c r="AO160" s="933" t="e">
        <f t="shared" si="250"/>
        <v>#VALUE!</v>
      </c>
      <c r="AP160" s="946" t="e">
        <f t="shared" si="251"/>
        <v>#VALUE!</v>
      </c>
      <c r="AQ160" s="888"/>
      <c r="AR160" s="941">
        <f t="shared" si="252"/>
        <v>0</v>
      </c>
      <c r="AS160" s="888"/>
      <c r="AT160" s="947">
        <f t="shared" si="253"/>
        <v>0</v>
      </c>
      <c r="AU160" s="948">
        <f t="shared" si="254"/>
        <v>0</v>
      </c>
      <c r="AV160" s="949" t="str">
        <f t="shared" si="182"/>
        <v/>
      </c>
      <c r="AW160" s="950">
        <f t="shared" si="255"/>
        <v>7.75</v>
      </c>
      <c r="AX160" s="951">
        <f t="shared" si="256"/>
        <v>0</v>
      </c>
      <c r="AY160" s="952">
        <f>VLOOKUP(A160,'Comm Price Out'!$A$80:$G$145,7,FALSE)</f>
        <v>8.1477941949365036</v>
      </c>
      <c r="AZ160" s="953">
        <f t="shared" si="257"/>
        <v>0</v>
      </c>
      <c r="BA160" s="954">
        <f t="shared" si="183"/>
        <v>5.1328283217613367E-2</v>
      </c>
      <c r="BC160" s="1158">
        <f t="shared" si="184"/>
        <v>0</v>
      </c>
      <c r="BD160" s="1158">
        <f t="shared" si="185"/>
        <v>0</v>
      </c>
    </row>
    <row r="161" spans="1:56">
      <c r="A161" s="931" t="str">
        <f>+'Comm Price Out'!A137</f>
        <v>1.5 yd Rent</v>
      </c>
      <c r="B161" s="932">
        <f>+'Comm Price Out'!B137</f>
        <v>0</v>
      </c>
      <c r="C161" s="933">
        <f t="shared" si="258"/>
        <v>0</v>
      </c>
      <c r="D161" s="957"/>
      <c r="E161" s="933">
        <f t="shared" si="259"/>
        <v>0</v>
      </c>
      <c r="F161" s="933">
        <f t="shared" si="225"/>
        <v>0</v>
      </c>
      <c r="G161" s="933">
        <f t="shared" si="226"/>
        <v>0</v>
      </c>
      <c r="H161" s="934">
        <f>+'Comm Price Out'!D137</f>
        <v>9</v>
      </c>
      <c r="I161" s="935">
        <f t="shared" ref="I161:I167" si="260">B161*H161*D161</f>
        <v>0</v>
      </c>
      <c r="J161" s="935">
        <f t="shared" si="227"/>
        <v>0</v>
      </c>
      <c r="K161" s="935">
        <f t="shared" si="228"/>
        <v>0</v>
      </c>
      <c r="L161" s="936">
        <f t="shared" si="229"/>
        <v>0</v>
      </c>
      <c r="M161" s="937">
        <f t="shared" si="230"/>
        <v>0</v>
      </c>
      <c r="N161" s="938">
        <f t="shared" si="231"/>
        <v>0</v>
      </c>
      <c r="O161" s="939">
        <f t="shared" si="232"/>
        <v>0</v>
      </c>
      <c r="P161" s="888"/>
      <c r="Q161" s="940">
        <f t="shared" si="233"/>
        <v>0</v>
      </c>
      <c r="R161" s="941">
        <f t="shared" si="234"/>
        <v>0</v>
      </c>
      <c r="S161" s="941">
        <f t="shared" si="235"/>
        <v>0</v>
      </c>
      <c r="T161" s="942"/>
      <c r="U161" s="941" t="e">
        <f t="shared" si="236"/>
        <v>#VALUE!</v>
      </c>
      <c r="V161" s="943" t="e">
        <f t="shared" si="237"/>
        <v>#VALUE!</v>
      </c>
      <c r="W161" s="888"/>
      <c r="X161" s="892"/>
      <c r="Y161" s="935">
        <f t="shared" si="238"/>
        <v>0</v>
      </c>
      <c r="Z161" s="935">
        <f t="shared" si="239"/>
        <v>0</v>
      </c>
      <c r="AA161" s="944"/>
      <c r="AB161" s="933" t="e">
        <f t="shared" si="240"/>
        <v>#VALUE!</v>
      </c>
      <c r="AC161" s="933" t="e">
        <f t="shared" si="241"/>
        <v>#VALUE!</v>
      </c>
      <c r="AD161" s="933" t="e">
        <f t="shared" si="242"/>
        <v>#VALUE!</v>
      </c>
      <c r="AE161" s="892"/>
      <c r="AF161" s="933">
        <f t="shared" si="243"/>
        <v>0</v>
      </c>
      <c r="AG161" s="933">
        <f t="shared" si="244"/>
        <v>0</v>
      </c>
      <c r="AH161" s="892"/>
      <c r="AI161" s="892"/>
      <c r="AJ161" s="945" t="e">
        <f t="shared" si="245"/>
        <v>#VALUE!</v>
      </c>
      <c r="AK161" s="933">
        <f t="shared" si="246"/>
        <v>0</v>
      </c>
      <c r="AL161" s="933" t="e">
        <f t="shared" si="247"/>
        <v>#VALUE!</v>
      </c>
      <c r="AM161" s="933" t="e">
        <f t="shared" si="248"/>
        <v>#VALUE!</v>
      </c>
      <c r="AN161" s="933" t="e">
        <f t="shared" si="249"/>
        <v>#VALUE!</v>
      </c>
      <c r="AO161" s="933" t="e">
        <f t="shared" si="250"/>
        <v>#VALUE!</v>
      </c>
      <c r="AP161" s="946" t="e">
        <f t="shared" si="251"/>
        <v>#VALUE!</v>
      </c>
      <c r="AQ161" s="888"/>
      <c r="AR161" s="941">
        <f t="shared" si="252"/>
        <v>0</v>
      </c>
      <c r="AS161" s="888"/>
      <c r="AT161" s="947">
        <f t="shared" si="253"/>
        <v>0</v>
      </c>
      <c r="AU161" s="948">
        <f t="shared" si="254"/>
        <v>0</v>
      </c>
      <c r="AV161" s="949" t="str">
        <f t="shared" si="182"/>
        <v/>
      </c>
      <c r="AW161" s="950">
        <f t="shared" si="255"/>
        <v>9</v>
      </c>
      <c r="AX161" s="951">
        <f t="shared" si="256"/>
        <v>0</v>
      </c>
      <c r="AY161" s="952">
        <f>VLOOKUP(A161,'Comm Price Out'!$A$80:$G$145,7,FALSE)</f>
        <v>9.46195454895852</v>
      </c>
      <c r="AZ161" s="953">
        <f t="shared" si="257"/>
        <v>0</v>
      </c>
      <c r="BA161" s="954">
        <f t="shared" si="183"/>
        <v>5.1328283217613326E-2</v>
      </c>
      <c r="BC161" s="1158">
        <f t="shared" si="184"/>
        <v>0</v>
      </c>
      <c r="BD161" s="1158">
        <f t="shared" si="185"/>
        <v>0</v>
      </c>
    </row>
    <row r="162" spans="1:56">
      <c r="A162" s="931" t="str">
        <f>+'Comm Price Out'!A138</f>
        <v>2 yd Rent</v>
      </c>
      <c r="B162" s="932">
        <f>+'Comm Price Out'!B138</f>
        <v>12.508218125960063</v>
      </c>
      <c r="C162" s="933">
        <f t="shared" si="258"/>
        <v>12.72557697640447</v>
      </c>
      <c r="D162" s="957"/>
      <c r="E162" s="933">
        <f t="shared" si="259"/>
        <v>0</v>
      </c>
      <c r="F162" s="933">
        <f t="shared" si="225"/>
        <v>12.72557697640447</v>
      </c>
      <c r="G162" s="933">
        <f t="shared" si="226"/>
        <v>19.088365464606706</v>
      </c>
      <c r="H162" s="934">
        <f>+'Comm Price Out'!D138</f>
        <v>10.85</v>
      </c>
      <c r="I162" s="935">
        <f t="shared" si="260"/>
        <v>0</v>
      </c>
      <c r="J162" s="935">
        <f t="shared" si="227"/>
        <v>0</v>
      </c>
      <c r="K162" s="935">
        <f t="shared" si="228"/>
        <v>0</v>
      </c>
      <c r="L162" s="936">
        <f t="shared" si="229"/>
        <v>0</v>
      </c>
      <c r="M162" s="937">
        <f t="shared" si="230"/>
        <v>0</v>
      </c>
      <c r="N162" s="938">
        <f t="shared" si="231"/>
        <v>0</v>
      </c>
      <c r="O162" s="939">
        <f t="shared" si="232"/>
        <v>0</v>
      </c>
      <c r="P162" s="888"/>
      <c r="Q162" s="940">
        <f t="shared" si="233"/>
        <v>0</v>
      </c>
      <c r="R162" s="941">
        <f t="shared" si="234"/>
        <v>0</v>
      </c>
      <c r="S162" s="941">
        <f t="shared" si="235"/>
        <v>0</v>
      </c>
      <c r="T162" s="942"/>
      <c r="U162" s="941" t="e">
        <f t="shared" si="236"/>
        <v>#VALUE!</v>
      </c>
      <c r="V162" s="943" t="e">
        <f t="shared" si="237"/>
        <v>#VALUE!</v>
      </c>
      <c r="W162" s="888"/>
      <c r="X162" s="892"/>
      <c r="Y162" s="935">
        <f t="shared" si="238"/>
        <v>0</v>
      </c>
      <c r="Z162" s="935">
        <f t="shared" si="239"/>
        <v>0</v>
      </c>
      <c r="AA162" s="944"/>
      <c r="AB162" s="933" t="e">
        <f t="shared" si="240"/>
        <v>#VALUE!</v>
      </c>
      <c r="AC162" s="933" t="e">
        <f t="shared" si="241"/>
        <v>#VALUE!</v>
      </c>
      <c r="AD162" s="933" t="e">
        <f t="shared" si="242"/>
        <v>#VALUE!</v>
      </c>
      <c r="AE162" s="892"/>
      <c r="AF162" s="933">
        <f t="shared" si="243"/>
        <v>226.30921864783883</v>
      </c>
      <c r="AG162" s="933">
        <f t="shared" si="244"/>
        <v>83.896194645701627</v>
      </c>
      <c r="AH162" s="892"/>
      <c r="AI162" s="892"/>
      <c r="AJ162" s="945" t="e">
        <f t="shared" si="245"/>
        <v>#VALUE!</v>
      </c>
      <c r="AK162" s="933">
        <f t="shared" si="246"/>
        <v>0</v>
      </c>
      <c r="AL162" s="933" t="e">
        <f t="shared" si="247"/>
        <v>#VALUE!</v>
      </c>
      <c r="AM162" s="933" t="e">
        <f t="shared" si="248"/>
        <v>#VALUE!</v>
      </c>
      <c r="AN162" s="933" t="e">
        <f t="shared" si="249"/>
        <v>#VALUE!</v>
      </c>
      <c r="AO162" s="933" t="e">
        <f t="shared" si="250"/>
        <v>#VALUE!</v>
      </c>
      <c r="AP162" s="946" t="e">
        <f t="shared" si="251"/>
        <v>#VALUE!</v>
      </c>
      <c r="AQ162" s="888"/>
      <c r="AR162" s="941">
        <f t="shared" si="252"/>
        <v>0</v>
      </c>
      <c r="AS162" s="888"/>
      <c r="AT162" s="947">
        <f t="shared" si="253"/>
        <v>0</v>
      </c>
      <c r="AU162" s="948">
        <f t="shared" si="254"/>
        <v>0</v>
      </c>
      <c r="AV162" s="949" t="str">
        <f t="shared" si="182"/>
        <v/>
      </c>
      <c r="AW162" s="950">
        <f t="shared" si="255"/>
        <v>10.85</v>
      </c>
      <c r="AX162" s="951">
        <f t="shared" si="256"/>
        <v>0</v>
      </c>
      <c r="AY162" s="952">
        <f>VLOOKUP(A162,'Comm Price Out'!$A$80:$G$145,7,FALSE)</f>
        <v>11.406911872911104</v>
      </c>
      <c r="AZ162" s="953">
        <f t="shared" si="257"/>
        <v>0</v>
      </c>
      <c r="BA162" s="954">
        <f t="shared" si="183"/>
        <v>5.1328283217613332E-2</v>
      </c>
      <c r="BC162" s="1158">
        <f t="shared" si="184"/>
        <v>0</v>
      </c>
      <c r="BD162" s="1158">
        <f t="shared" si="185"/>
        <v>0</v>
      </c>
    </row>
    <row r="163" spans="1:56">
      <c r="A163" s="931" t="str">
        <f>+'Comm Price Out'!A139</f>
        <v>3 yd Rent</v>
      </c>
      <c r="B163" s="932">
        <f>+'Comm Price Out'!B139</f>
        <v>13.000000000000002</v>
      </c>
      <c r="C163" s="933">
        <f t="shared" si="258"/>
        <v>13.225904683410725</v>
      </c>
      <c r="D163" s="957"/>
      <c r="E163" s="933">
        <f t="shared" si="259"/>
        <v>0</v>
      </c>
      <c r="F163" s="933">
        <f>C163</f>
        <v>13.225904683410725</v>
      </c>
      <c r="G163" s="933">
        <f t="shared" si="226"/>
        <v>19.838857025116088</v>
      </c>
      <c r="H163" s="934">
        <f>+'Comm Price Out'!D139</f>
        <v>13.43</v>
      </c>
      <c r="I163" s="935">
        <f t="shared" si="260"/>
        <v>0</v>
      </c>
      <c r="J163" s="935">
        <f>I163*12</f>
        <v>0</v>
      </c>
      <c r="K163" s="935">
        <f>J163*$K$3</f>
        <v>0</v>
      </c>
      <c r="L163" s="936">
        <f t="shared" si="229"/>
        <v>0</v>
      </c>
      <c r="M163" s="937">
        <f>L163*$O$3</f>
        <v>0</v>
      </c>
      <c r="N163" s="938">
        <f>ROUND(((C163*E163*L163)/2000),2)</f>
        <v>0</v>
      </c>
      <c r="O163" s="939">
        <f>$O$3*N163</f>
        <v>0</v>
      </c>
      <c r="P163" s="888"/>
      <c r="Q163" s="940">
        <f t="shared" si="233"/>
        <v>0</v>
      </c>
      <c r="R163" s="941">
        <f>C163*E163*Q163/3600</f>
        <v>0</v>
      </c>
      <c r="S163" s="941">
        <f>R163*$S$3</f>
        <v>0</v>
      </c>
      <c r="T163" s="942"/>
      <c r="U163" s="941" t="e">
        <f>($V$4-$S$5)*O163/($O$5-$O$8)</f>
        <v>#VALUE!</v>
      </c>
      <c r="V163" s="943" t="e">
        <f>U163+S163</f>
        <v>#VALUE!</v>
      </c>
      <c r="W163" s="888"/>
      <c r="X163" s="892"/>
      <c r="Y163" s="935">
        <f>($Y$4*(I163)/(($I$6)+$I$7+$I$8+$I$9))</f>
        <v>0</v>
      </c>
      <c r="Z163" s="935">
        <f>($Z$4*I163/($I$5-$I$8-$I$9))</f>
        <v>0</v>
      </c>
      <c r="AA163" s="944"/>
      <c r="AB163" s="933" t="e">
        <f>$AB$4*V163/($V$4+$T$4)</f>
        <v>#VALUE!</v>
      </c>
      <c r="AC163" s="933" t="e">
        <f>$AC$4*V163/($V$4+$T$4)</f>
        <v>#VALUE!</v>
      </c>
      <c r="AD163" s="933" t="e">
        <f>$AD$4*V163/($V$4+$T$4)</f>
        <v>#VALUE!</v>
      </c>
      <c r="AE163" s="892"/>
      <c r="AF163" s="933">
        <f>($AF$4*G163)/($G$7)</f>
        <v>235.20695056603768</v>
      </c>
      <c r="AG163" s="933">
        <f>($AG$4*G163)/($G$7+$G$6)</f>
        <v>87.194716258628475</v>
      </c>
      <c r="AH163" s="892"/>
      <c r="AI163" s="892"/>
      <c r="AJ163" s="945" t="e">
        <f>SUM(X163:AI163)</f>
        <v>#VALUE!</v>
      </c>
      <c r="AK163" s="933">
        <f>($AK$4*F163/($F$5))</f>
        <v>0</v>
      </c>
      <c r="AL163" s="933" t="e">
        <f>$AL$4*O163/($O$5-$O$8)</f>
        <v>#VALUE!</v>
      </c>
      <c r="AM163" s="933" t="e">
        <f>$AM$4*(K163+X163)/($K$5+$X$5)</f>
        <v>#VALUE!</v>
      </c>
      <c r="AN163" s="933" t="e">
        <f>$AN$4*(K163+X163)/($K$5+$X$5)</f>
        <v>#VALUE!</v>
      </c>
      <c r="AO163" s="933" t="e">
        <f>$AO$4*(K163+X163)/($K$5+$X$5)</f>
        <v>#VALUE!</v>
      </c>
      <c r="AP163" s="946" t="e">
        <f>SUM(AJ163:AO163)</f>
        <v>#VALUE!</v>
      </c>
      <c r="AQ163" s="888"/>
      <c r="AR163" s="941">
        <f>IF(ISERROR(AP163/C163/E163), 0,(AP163/C163/E163))</f>
        <v>0</v>
      </c>
      <c r="AS163" s="888"/>
      <c r="AT163" s="947">
        <f>AR163/$AT$4</f>
        <v>0</v>
      </c>
      <c r="AU163" s="948">
        <f>+AT163*C163*E163</f>
        <v>0</v>
      </c>
      <c r="AV163" s="949" t="str">
        <f t="shared" si="182"/>
        <v/>
      </c>
      <c r="AW163" s="950">
        <f>H163</f>
        <v>13.43</v>
      </c>
      <c r="AX163" s="951">
        <f>+AW163*C163*E163</f>
        <v>0</v>
      </c>
      <c r="AY163" s="952">
        <f>VLOOKUP(A163,'Comm Price Out'!$A$80:$G$145,7,FALSE)</f>
        <v>14.119338843612548</v>
      </c>
      <c r="AZ163" s="953">
        <f>+AY163*C163*E163</f>
        <v>0</v>
      </c>
      <c r="BA163" s="954">
        <f t="shared" si="183"/>
        <v>5.1328283217613409E-2</v>
      </c>
      <c r="BC163" s="1158">
        <f t="shared" si="184"/>
        <v>0</v>
      </c>
      <c r="BD163" s="1158">
        <f t="shared" si="185"/>
        <v>0</v>
      </c>
    </row>
    <row r="164" spans="1:56">
      <c r="A164" s="931" t="str">
        <f>+'Comm Price Out'!A140</f>
        <v>4 yd Rent</v>
      </c>
      <c r="B164" s="932">
        <f>+'Comm Price Out'!B140</f>
        <v>27.16005030621173</v>
      </c>
      <c r="C164" s="933">
        <f t="shared" si="258"/>
        <v>27.632018195892044</v>
      </c>
      <c r="D164" s="957"/>
      <c r="E164" s="933">
        <f t="shared" si="259"/>
        <v>0</v>
      </c>
      <c r="F164" s="933">
        <f>C164</f>
        <v>27.632018195892044</v>
      </c>
      <c r="G164" s="933">
        <f t="shared" si="226"/>
        <v>41.448027293838066</v>
      </c>
      <c r="H164" s="934">
        <f>+'Comm Price Out'!D140</f>
        <v>15.24</v>
      </c>
      <c r="I164" s="935">
        <f t="shared" si="260"/>
        <v>0</v>
      </c>
      <c r="J164" s="935">
        <f>I164*12</f>
        <v>0</v>
      </c>
      <c r="K164" s="935">
        <f>J164*$K$3</f>
        <v>0</v>
      </c>
      <c r="L164" s="936">
        <f t="shared" si="229"/>
        <v>0</v>
      </c>
      <c r="M164" s="937">
        <f>L164*$O$3</f>
        <v>0</v>
      </c>
      <c r="N164" s="938">
        <f>ROUND(((C164*E164*L164)/2000),2)</f>
        <v>0</v>
      </c>
      <c r="O164" s="939">
        <f>$O$3*N164</f>
        <v>0</v>
      </c>
      <c r="P164" s="888"/>
      <c r="Q164" s="940">
        <f t="shared" si="233"/>
        <v>0</v>
      </c>
      <c r="R164" s="941">
        <f>C164*E164*Q164/3600</f>
        <v>0</v>
      </c>
      <c r="S164" s="941">
        <f>R164*$S$3</f>
        <v>0</v>
      </c>
      <c r="T164" s="942"/>
      <c r="U164" s="941" t="e">
        <f>($V$4-$S$5)*O164/($O$5-$O$8)</f>
        <v>#VALUE!</v>
      </c>
      <c r="V164" s="943" t="e">
        <f>U164+S164</f>
        <v>#VALUE!</v>
      </c>
      <c r="W164" s="888"/>
      <c r="X164" s="892"/>
      <c r="Y164" s="935">
        <f>($Y$4*(I164)/(($I$6)+$I$7+$I$8+$I$9))</f>
        <v>0</v>
      </c>
      <c r="Z164" s="935">
        <f>($Z$4*I164/($I$5-$I$8-$I$9))</f>
        <v>0</v>
      </c>
      <c r="AA164" s="944"/>
      <c r="AB164" s="933" t="e">
        <f>$AB$4*V164/($V$4+$T$4)</f>
        <v>#VALUE!</v>
      </c>
      <c r="AC164" s="933" t="e">
        <f>$AC$4*V164/($V$4+$T$4)</f>
        <v>#VALUE!</v>
      </c>
      <c r="AD164" s="933" t="e">
        <f>$AD$4*V164/($V$4+$T$4)</f>
        <v>#VALUE!</v>
      </c>
      <c r="AE164" s="892"/>
      <c r="AF164" s="933">
        <f>($AF$4*G164)/($G$7)</f>
        <v>491.40250844186443</v>
      </c>
      <c r="AG164" s="933">
        <f>($AG$4*G164)/($G$7+$G$6)</f>
        <v>182.17022154001589</v>
      </c>
      <c r="AH164" s="892"/>
      <c r="AI164" s="892"/>
      <c r="AJ164" s="945" t="e">
        <f>SUM(X164:AI164)</f>
        <v>#VALUE!</v>
      </c>
      <c r="AK164" s="933">
        <f>($AK$4*F164/($F$5))</f>
        <v>0</v>
      </c>
      <c r="AL164" s="933" t="e">
        <f>$AL$4*O164/($O$5-$O$8)</f>
        <v>#VALUE!</v>
      </c>
      <c r="AM164" s="933" t="e">
        <f>$AM$4*(K164+X164)/($K$5+$X$5)</f>
        <v>#VALUE!</v>
      </c>
      <c r="AN164" s="933" t="e">
        <f>$AN$4*(K164+X164)/($K$5+$X$5)</f>
        <v>#VALUE!</v>
      </c>
      <c r="AO164" s="933" t="e">
        <f>$AO$4*(K164+X164)/($K$5+$X$5)</f>
        <v>#VALUE!</v>
      </c>
      <c r="AP164" s="946" t="e">
        <f>SUM(AJ164:AO164)</f>
        <v>#VALUE!</v>
      </c>
      <c r="AQ164" s="888"/>
      <c r="AR164" s="941">
        <f>IF(ISERROR(AP164/C164/E164), 0,(AP164/C164/E164))</f>
        <v>0</v>
      </c>
      <c r="AS164" s="888"/>
      <c r="AT164" s="947">
        <f>AR164/$AT$4</f>
        <v>0</v>
      </c>
      <c r="AU164" s="948">
        <f>+AT164*C164*E164</f>
        <v>0</v>
      </c>
      <c r="AV164" s="949" t="str">
        <f t="shared" si="182"/>
        <v/>
      </c>
      <c r="AW164" s="950">
        <f>H164</f>
        <v>15.24</v>
      </c>
      <c r="AX164" s="951">
        <f>+AW164*C164*E164</f>
        <v>0</v>
      </c>
      <c r="AY164" s="952">
        <f>VLOOKUP(A164,'Comm Price Out'!$A$80:$G$145,7,FALSE)</f>
        <v>16.022243036236429</v>
      </c>
      <c r="AZ164" s="953">
        <f>+AY164*C164*E164</f>
        <v>0</v>
      </c>
      <c r="BA164" s="954">
        <f t="shared" si="183"/>
        <v>5.1328283217613409E-2</v>
      </c>
      <c r="BC164" s="1158">
        <f t="shared" si="184"/>
        <v>0</v>
      </c>
      <c r="BD164" s="1158">
        <f t="shared" si="185"/>
        <v>0</v>
      </c>
    </row>
    <row r="165" spans="1:56">
      <c r="A165" s="931" t="str">
        <f>+'Comm Price Out'!A141</f>
        <v>6 yd Rent</v>
      </c>
      <c r="B165" s="932">
        <f>+'Comm Price Out'!B141</f>
        <v>13.359583516644674</v>
      </c>
      <c r="C165" s="933">
        <f t="shared" si="258"/>
        <v>13.591736784708269</v>
      </c>
      <c r="D165" s="957"/>
      <c r="E165" s="933">
        <f t="shared" si="259"/>
        <v>0</v>
      </c>
      <c r="F165" s="933">
        <f>C165</f>
        <v>13.591736784708269</v>
      </c>
      <c r="G165" s="933">
        <f t="shared" si="226"/>
        <v>20.387605177062404</v>
      </c>
      <c r="H165" s="934">
        <f>+'Comm Price Out'!D141</f>
        <v>22.73</v>
      </c>
      <c r="I165" s="935">
        <f t="shared" si="260"/>
        <v>0</v>
      </c>
      <c r="J165" s="935">
        <f>I165*12</f>
        <v>0</v>
      </c>
      <c r="K165" s="935">
        <f>J165*$K$3</f>
        <v>0</v>
      </c>
      <c r="L165" s="936">
        <f t="shared" si="229"/>
        <v>0</v>
      </c>
      <c r="M165" s="937">
        <f>L165*$O$3</f>
        <v>0</v>
      </c>
      <c r="N165" s="938">
        <f>ROUND(((C165*E165*L165)/2000),2)</f>
        <v>0</v>
      </c>
      <c r="O165" s="939">
        <f>$O$3*N165</f>
        <v>0</v>
      </c>
      <c r="P165" s="888"/>
      <c r="Q165" s="940">
        <f t="shared" si="233"/>
        <v>0</v>
      </c>
      <c r="R165" s="941">
        <f>C165*E165*Q165/3600</f>
        <v>0</v>
      </c>
      <c r="S165" s="941">
        <f>R165*$S$3</f>
        <v>0</v>
      </c>
      <c r="T165" s="942"/>
      <c r="U165" s="941" t="e">
        <f>($V$4-$S$5)*O165/($O$5-$O$8)</f>
        <v>#VALUE!</v>
      </c>
      <c r="V165" s="943" t="e">
        <f>U165+S165</f>
        <v>#VALUE!</v>
      </c>
      <c r="W165" s="888"/>
      <c r="X165" s="892"/>
      <c r="Y165" s="935">
        <f>($Y$4*(I165)/(($I$6)+$I$7+$I$8+$I$9))</f>
        <v>0</v>
      </c>
      <c r="Z165" s="935">
        <f>($Z$4*I165/($I$5-$I$8-$I$9))</f>
        <v>0</v>
      </c>
      <c r="AA165" s="944"/>
      <c r="AB165" s="933" t="e">
        <f>$AB$4*V165/($V$4+$T$4)</f>
        <v>#VALUE!</v>
      </c>
      <c r="AC165" s="933" t="e">
        <f>$AC$4*V165/($V$4+$T$4)</f>
        <v>#VALUE!</v>
      </c>
      <c r="AD165" s="933" t="e">
        <f>$AD$4*V165/($V$4+$T$4)</f>
        <v>#VALUE!</v>
      </c>
      <c r="AE165" s="892"/>
      <c r="AF165" s="933">
        <f>($AF$4*G165)/($G$7)</f>
        <v>241.71283844479194</v>
      </c>
      <c r="AG165" s="933">
        <f>($AG$4*G165)/($G$7+$G$6)</f>
        <v>89.606545697483241</v>
      </c>
      <c r="AH165" s="892"/>
      <c r="AI165" s="892"/>
      <c r="AJ165" s="945" t="e">
        <f>SUM(X165:AI165)</f>
        <v>#VALUE!</v>
      </c>
      <c r="AK165" s="933">
        <f>($AK$4*F165/($F$5))</f>
        <v>0</v>
      </c>
      <c r="AL165" s="933" t="e">
        <f>$AL$4*O165/($O$5-$O$8)</f>
        <v>#VALUE!</v>
      </c>
      <c r="AM165" s="933" t="e">
        <f>$AM$4*(K165+X165)/($K$5+$X$5)</f>
        <v>#VALUE!</v>
      </c>
      <c r="AN165" s="933" t="e">
        <f>$AN$4*(K165+X165)/($K$5+$X$5)</f>
        <v>#VALUE!</v>
      </c>
      <c r="AO165" s="933" t="e">
        <f>$AO$4*(K165+X165)/($K$5+$X$5)</f>
        <v>#VALUE!</v>
      </c>
      <c r="AP165" s="946" t="e">
        <f>SUM(AJ165:AO165)</f>
        <v>#VALUE!</v>
      </c>
      <c r="AQ165" s="888"/>
      <c r="AR165" s="941">
        <f>IF(ISERROR(AP165/C165/E165), 0,(AP165/C165/E165))</f>
        <v>0</v>
      </c>
      <c r="AS165" s="888"/>
      <c r="AT165" s="947">
        <f>AR165/$AT$4</f>
        <v>0</v>
      </c>
      <c r="AU165" s="948">
        <f>+AT165*C165*E165</f>
        <v>0</v>
      </c>
      <c r="AV165" s="949" t="str">
        <f t="shared" si="182"/>
        <v/>
      </c>
      <c r="AW165" s="950">
        <f>H165</f>
        <v>22.73</v>
      </c>
      <c r="AX165" s="951">
        <f>+AW165*C165*E165</f>
        <v>0</v>
      </c>
      <c r="AY165" s="952">
        <f>VLOOKUP(A165,'Comm Price Out'!$A$80:$G$145,7,FALSE)</f>
        <v>23.896691877536352</v>
      </c>
      <c r="AZ165" s="953">
        <f>+AY165*C165*E165</f>
        <v>0</v>
      </c>
      <c r="BA165" s="954">
        <f t="shared" si="183"/>
        <v>5.1328283217613339E-2</v>
      </c>
      <c r="BC165" s="1158">
        <f t="shared" si="184"/>
        <v>0</v>
      </c>
      <c r="BD165" s="1158">
        <f t="shared" si="185"/>
        <v>0</v>
      </c>
    </row>
    <row r="166" spans="1:56">
      <c r="A166" s="931" t="str">
        <f>+'Comm Price Out'!A142</f>
        <v>8 yd Rent</v>
      </c>
      <c r="B166" s="932">
        <f>+'Comm Price Out'!B142</f>
        <v>8</v>
      </c>
      <c r="C166" s="933">
        <f t="shared" si="258"/>
        <v>8.1390182667142916</v>
      </c>
      <c r="D166" s="957"/>
      <c r="E166" s="933">
        <f t="shared" si="259"/>
        <v>0</v>
      </c>
      <c r="F166" s="933">
        <f>C166</f>
        <v>8.1390182667142916</v>
      </c>
      <c r="G166" s="933">
        <f t="shared" si="226"/>
        <v>12.208527400071437</v>
      </c>
      <c r="H166" s="934">
        <f>+'Comm Price Out'!D142</f>
        <v>25.83</v>
      </c>
      <c r="I166" s="935">
        <f t="shared" si="260"/>
        <v>0</v>
      </c>
      <c r="J166" s="935">
        <f>I166*12</f>
        <v>0</v>
      </c>
      <c r="K166" s="935">
        <f>J166*$K$3</f>
        <v>0</v>
      </c>
      <c r="L166" s="936">
        <f t="shared" si="229"/>
        <v>0</v>
      </c>
      <c r="M166" s="937">
        <f>L166*$O$3</f>
        <v>0</v>
      </c>
      <c r="N166" s="938">
        <f>ROUND(((C166*E166*L166)/2000),2)</f>
        <v>0</v>
      </c>
      <c r="O166" s="939">
        <f>$O$3*N166</f>
        <v>0</v>
      </c>
      <c r="P166" s="888"/>
      <c r="Q166" s="940">
        <f t="shared" si="233"/>
        <v>0</v>
      </c>
      <c r="R166" s="941">
        <f>C166*E166*Q166/3600</f>
        <v>0</v>
      </c>
      <c r="S166" s="941">
        <f>R166*$S$3</f>
        <v>0</v>
      </c>
      <c r="T166" s="942"/>
      <c r="U166" s="941" t="e">
        <f>($V$4-$S$5)*O166/($O$5-$O$8)</f>
        <v>#VALUE!</v>
      </c>
      <c r="V166" s="943" t="e">
        <f>U166+S166</f>
        <v>#VALUE!</v>
      </c>
      <c r="W166" s="888"/>
      <c r="X166" s="892"/>
      <c r="Y166" s="935">
        <f>($Y$4*(I166)/(($I$6)+$I$7+$I$8+$I$9))</f>
        <v>0</v>
      </c>
      <c r="Z166" s="935">
        <f>($Z$4*I166/($I$5-$I$8-$I$9))</f>
        <v>0</v>
      </c>
      <c r="AA166" s="944"/>
      <c r="AB166" s="933" t="e">
        <f>$AB$4*V166/($V$4+$T$4)</f>
        <v>#VALUE!</v>
      </c>
      <c r="AC166" s="933" t="e">
        <f>$AC$4*V166/($V$4+$T$4)</f>
        <v>#VALUE!</v>
      </c>
      <c r="AD166" s="933" t="e">
        <f>$AD$4*V166/($V$4+$T$4)</f>
        <v>#VALUE!</v>
      </c>
      <c r="AE166" s="892"/>
      <c r="AF166" s="933">
        <f>($AF$4*G166)/($G$7)</f>
        <v>144.74273880986934</v>
      </c>
      <c r="AG166" s="933">
        <f>($AG$4*G166)/($G$7+$G$6)</f>
        <v>53.658286928386737</v>
      </c>
      <c r="AH166" s="892"/>
      <c r="AI166" s="892"/>
      <c r="AJ166" s="945" t="e">
        <f>SUM(X166:AI166)</f>
        <v>#VALUE!</v>
      </c>
      <c r="AK166" s="933">
        <f>($AK$4*F166/($F$5))</f>
        <v>0</v>
      </c>
      <c r="AL166" s="933" t="e">
        <f>$AL$4*O166/($O$5-$O$8)</f>
        <v>#VALUE!</v>
      </c>
      <c r="AM166" s="933" t="e">
        <f>$AM$4*(K166+X166)/($K$5+$X$5)</f>
        <v>#VALUE!</v>
      </c>
      <c r="AN166" s="933" t="e">
        <f>$AN$4*(K166+X166)/($K$5+$X$5)</f>
        <v>#VALUE!</v>
      </c>
      <c r="AO166" s="933" t="e">
        <f>$AO$4*(K166+X166)/($K$5+$X$5)</f>
        <v>#VALUE!</v>
      </c>
      <c r="AP166" s="946" t="e">
        <f>SUM(AJ166:AO166)</f>
        <v>#VALUE!</v>
      </c>
      <c r="AQ166" s="888"/>
      <c r="AR166" s="941">
        <f>IF(ISERROR(AP166/C166/E166), 0,(AP166/C166/E166))</f>
        <v>0</v>
      </c>
      <c r="AS166" s="888"/>
      <c r="AT166" s="947">
        <f>AR166/$AT$4</f>
        <v>0</v>
      </c>
      <c r="AU166" s="948">
        <f>+AT166*C166*E166</f>
        <v>0</v>
      </c>
      <c r="AV166" s="949" t="str">
        <f t="shared" si="182"/>
        <v/>
      </c>
      <c r="AW166" s="950">
        <f>H166</f>
        <v>25.83</v>
      </c>
      <c r="AX166" s="951">
        <f>+AW166*C166*E166</f>
        <v>0</v>
      </c>
      <c r="AY166" s="952">
        <f>VLOOKUP(A166,'Comm Price Out'!$A$80:$G$145,7,FALSE)</f>
        <v>27.155809555510952</v>
      </c>
      <c r="AZ166" s="953">
        <f>+AY166*C166*E166</f>
        <v>0</v>
      </c>
      <c r="BA166" s="954">
        <f t="shared" si="183"/>
        <v>5.1328283217613402E-2</v>
      </c>
      <c r="BC166" s="1158">
        <f t="shared" si="184"/>
        <v>0</v>
      </c>
      <c r="BD166" s="1158">
        <f t="shared" si="185"/>
        <v>0</v>
      </c>
    </row>
    <row r="167" spans="1:56">
      <c r="A167" s="931" t="str">
        <f>+'Comm Price Out'!A144</f>
        <v>Extras</v>
      </c>
      <c r="B167" s="932">
        <f>+'Comm Price Out'!B144</f>
        <v>0</v>
      </c>
      <c r="C167" s="933">
        <f t="shared" si="258"/>
        <v>0</v>
      </c>
      <c r="D167" s="957"/>
      <c r="E167" s="933">
        <f t="shared" si="259"/>
        <v>0</v>
      </c>
      <c r="F167" s="933">
        <f>C167</f>
        <v>0</v>
      </c>
      <c r="G167" s="933">
        <f t="shared" si="226"/>
        <v>0</v>
      </c>
      <c r="H167" s="934">
        <f>+'Comm Price Out'!D144</f>
        <v>0</v>
      </c>
      <c r="I167" s="935">
        <f t="shared" si="260"/>
        <v>0</v>
      </c>
      <c r="J167" s="935">
        <f>I167*12</f>
        <v>0</v>
      </c>
      <c r="K167" s="935">
        <f>J167*$K$3</f>
        <v>0</v>
      </c>
      <c r="L167" s="936">
        <f t="shared" si="229"/>
        <v>0</v>
      </c>
      <c r="M167" s="937">
        <f>L167*$O$3</f>
        <v>0</v>
      </c>
      <c r="N167" s="938">
        <f>ROUND(((C167*E167*L167)/2000),2)</f>
        <v>0</v>
      </c>
      <c r="O167" s="939">
        <f>$O$3*N167</f>
        <v>0</v>
      </c>
      <c r="P167" s="888"/>
      <c r="Q167" s="940">
        <f t="shared" si="233"/>
        <v>0</v>
      </c>
      <c r="R167" s="941">
        <f>C167*E167*Q167/3600</f>
        <v>0</v>
      </c>
      <c r="S167" s="941">
        <f>R167*$S$3</f>
        <v>0</v>
      </c>
      <c r="T167" s="942"/>
      <c r="U167" s="941" t="e">
        <f>($V$4-$S$5)*O167/($O$5-$O$8)</f>
        <v>#VALUE!</v>
      </c>
      <c r="V167" s="943" t="e">
        <f>U167+S167</f>
        <v>#VALUE!</v>
      </c>
      <c r="W167" s="888"/>
      <c r="X167" s="892"/>
      <c r="Y167" s="935">
        <f>($Y$4*(I167)/(($I$6)+$I$7+$I$8+$I$9))</f>
        <v>0</v>
      </c>
      <c r="Z167" s="935">
        <f>($Z$4*I167/($I$5-$I$8-$I$9))</f>
        <v>0</v>
      </c>
      <c r="AA167" s="944"/>
      <c r="AB167" s="933" t="e">
        <f>$AB$4*V167/($V$4+$T$4)</f>
        <v>#VALUE!</v>
      </c>
      <c r="AC167" s="933" t="e">
        <f>$AC$4*V167/($V$4+$T$4)</f>
        <v>#VALUE!</v>
      </c>
      <c r="AD167" s="933" t="e">
        <f>$AD$4*V167/($V$4+$T$4)</f>
        <v>#VALUE!</v>
      </c>
      <c r="AE167" s="892"/>
      <c r="AF167" s="933">
        <f>($AF$4*G167)/($G$7)</f>
        <v>0</v>
      </c>
      <c r="AG167" s="933">
        <f>($AG$4*G167)/($G$7+$G$6)</f>
        <v>0</v>
      </c>
      <c r="AH167" s="892"/>
      <c r="AI167" s="892"/>
      <c r="AJ167" s="945" t="e">
        <f>SUM(X167:AI167)</f>
        <v>#VALUE!</v>
      </c>
      <c r="AK167" s="933">
        <f>($AK$4*F167/($F$5))</f>
        <v>0</v>
      </c>
      <c r="AL167" s="933" t="e">
        <f>$AL$4*O167/($O$5-$O$8)</f>
        <v>#VALUE!</v>
      </c>
      <c r="AM167" s="933" t="e">
        <f>$AM$4*(K167+X167)/($K$5+$X$5)</f>
        <v>#VALUE!</v>
      </c>
      <c r="AN167" s="933" t="e">
        <f>$AN$4*(K167+X167)/($K$5+$X$5)</f>
        <v>#VALUE!</v>
      </c>
      <c r="AO167" s="933" t="e">
        <f>$AO$4*(K167+X167)/($K$5+$X$5)</f>
        <v>#VALUE!</v>
      </c>
      <c r="AP167" s="946" t="e">
        <f>SUM(AJ167:AO167)</f>
        <v>#VALUE!</v>
      </c>
      <c r="AQ167" s="888"/>
      <c r="AR167" s="941">
        <f>IF(ISERROR(AP167/C167/E167), 0,(AP167/C167/E167))</f>
        <v>0</v>
      </c>
      <c r="AS167" s="888"/>
      <c r="AT167" s="947">
        <f>AR167/$AT$4</f>
        <v>0</v>
      </c>
      <c r="AU167" s="948">
        <f>+AT167*C167*E167</f>
        <v>0</v>
      </c>
      <c r="AV167" s="949" t="str">
        <f t="shared" si="182"/>
        <v/>
      </c>
      <c r="AW167" s="950">
        <f>H167</f>
        <v>0</v>
      </c>
      <c r="AX167" s="951">
        <f>+AW167*C167*E167</f>
        <v>0</v>
      </c>
      <c r="AY167" s="952">
        <f>VLOOKUP(A167,'Comm Price Out'!$A$80:$G$145,7,FALSE)</f>
        <v>0</v>
      </c>
      <c r="AZ167" s="953">
        <f>+AY167*C167*E167</f>
        <v>0</v>
      </c>
      <c r="BA167" s="954" t="str">
        <f t="shared" si="183"/>
        <v/>
      </c>
      <c r="BC167" s="1158">
        <f t="shared" si="184"/>
        <v>0</v>
      </c>
      <c r="BD167" s="1158">
        <f t="shared" si="185"/>
        <v>0</v>
      </c>
    </row>
    <row r="168" spans="1:56" s="162" customFormat="1" ht="12" thickBot="1">
      <c r="A168" s="967" t="s">
        <v>27</v>
      </c>
      <c r="B168" s="907">
        <f>SUM(B106:B167)</f>
        <v>494.91070714007333</v>
      </c>
      <c r="C168" s="907">
        <f>SUM(C106:C167)</f>
        <v>503.51091072569295</v>
      </c>
      <c r="D168" s="1127"/>
      <c r="E168" s="907"/>
      <c r="F168" s="907">
        <f>SUM(F106:F167)</f>
        <v>503.51091072569295</v>
      </c>
      <c r="G168" s="907">
        <f>SUM(G106:G167)</f>
        <v>306.6029841359142</v>
      </c>
      <c r="H168" s="968"/>
      <c r="I168" s="907">
        <f>SUM(I106:I167)</f>
        <v>36194.316600000006</v>
      </c>
      <c r="J168" s="907">
        <f>SUM(J106:J167)</f>
        <v>434331.79919999995</v>
      </c>
      <c r="K168" s="907">
        <f>SUM(K106:K167)</f>
        <v>441879.30593796045</v>
      </c>
      <c r="L168" s="969"/>
      <c r="M168" s="910"/>
      <c r="N168" s="907">
        <f>SUM(N106:N167)</f>
        <v>1163.8300000000002</v>
      </c>
      <c r="O168" s="907">
        <f>SUM(O106:O167)</f>
        <v>1145.5711437354332</v>
      </c>
      <c r="P168" s="970"/>
      <c r="Q168" s="907">
        <f t="shared" ref="Q168:V168" si="261">SUM(Q106:Q167)</f>
        <v>5240.5</v>
      </c>
      <c r="R168" s="907">
        <f t="shared" si="261"/>
        <v>218.605300570465</v>
      </c>
      <c r="S168" s="907">
        <f t="shared" si="261"/>
        <v>218.605300570465</v>
      </c>
      <c r="T168" s="907">
        <f t="shared" si="261"/>
        <v>0</v>
      </c>
      <c r="U168" s="907" t="e">
        <f t="shared" si="261"/>
        <v>#VALUE!</v>
      </c>
      <c r="V168" s="907" t="e">
        <f t="shared" si="261"/>
        <v>#VALUE!</v>
      </c>
      <c r="W168" s="970"/>
      <c r="X168" s="907">
        <f t="shared" ref="X168:AP168" si="262">SUM(X106:X167)</f>
        <v>0</v>
      </c>
      <c r="Y168" s="907">
        <f t="shared" si="262"/>
        <v>51866.286936372126</v>
      </c>
      <c r="Z168" s="907">
        <f t="shared" si="262"/>
        <v>121333.57130761079</v>
      </c>
      <c r="AA168" s="907">
        <f t="shared" si="262"/>
        <v>0</v>
      </c>
      <c r="AB168" s="907" t="e">
        <f t="shared" si="262"/>
        <v>#VALUE!</v>
      </c>
      <c r="AC168" s="907" t="e">
        <f t="shared" si="262"/>
        <v>#VALUE!</v>
      </c>
      <c r="AD168" s="907" t="e">
        <f t="shared" si="262"/>
        <v>#VALUE!</v>
      </c>
      <c r="AE168" s="907">
        <f t="shared" si="262"/>
        <v>0</v>
      </c>
      <c r="AF168" s="907">
        <f t="shared" si="262"/>
        <v>3635.0457509602234</v>
      </c>
      <c r="AG168" s="907">
        <f t="shared" si="262"/>
        <v>1347.5655463383914</v>
      </c>
      <c r="AH168" s="907">
        <f t="shared" si="262"/>
        <v>0</v>
      </c>
      <c r="AI168" s="907">
        <f t="shared" si="262"/>
        <v>0</v>
      </c>
      <c r="AJ168" s="913" t="e">
        <f t="shared" si="262"/>
        <v>#VALUE!</v>
      </c>
      <c r="AK168" s="907">
        <f t="shared" si="262"/>
        <v>0</v>
      </c>
      <c r="AL168" s="907" t="e">
        <f t="shared" si="262"/>
        <v>#VALUE!</v>
      </c>
      <c r="AM168" s="907" t="e">
        <f t="shared" si="262"/>
        <v>#VALUE!</v>
      </c>
      <c r="AN168" s="907" t="e">
        <f t="shared" si="262"/>
        <v>#VALUE!</v>
      </c>
      <c r="AO168" s="971" t="e">
        <f t="shared" si="262"/>
        <v>#VALUE!</v>
      </c>
      <c r="AP168" s="907" t="e">
        <f t="shared" si="262"/>
        <v>#VALUE!</v>
      </c>
      <c r="AQ168" s="970"/>
      <c r="AR168" s="969"/>
      <c r="AS168" s="970"/>
      <c r="AT168" s="969"/>
      <c r="AU168" s="916">
        <f>SUM(AU106:AU167)</f>
        <v>0</v>
      </c>
      <c r="AV168" s="909"/>
      <c r="AW168" s="908"/>
      <c r="AX168" s="916">
        <f>SUM(AX106:AX167)</f>
        <v>441746.03013977676</v>
      </c>
      <c r="AY168" s="908"/>
      <c r="AZ168" s="916">
        <f>SUM(AZ106:AZ167)</f>
        <v>464420.09548504755</v>
      </c>
      <c r="BA168" s="972"/>
      <c r="BC168" s="1160">
        <f>SUM(BC106:BC167)</f>
        <v>-441746.03013977676</v>
      </c>
      <c r="BD168" s="1160">
        <f>SUM(BD106:BD167)</f>
        <v>-464420.09548504755</v>
      </c>
    </row>
    <row r="169" spans="1:56">
      <c r="A169" s="174"/>
      <c r="B169" s="918"/>
      <c r="C169" s="918"/>
      <c r="D169" s="1128"/>
      <c r="E169" s="918"/>
      <c r="F169" s="918"/>
      <c r="G169" s="918"/>
      <c r="H169" s="927"/>
      <c r="I169" s="918"/>
      <c r="J169" s="918"/>
      <c r="K169" s="918"/>
      <c r="L169" s="920"/>
      <c r="M169" s="921"/>
      <c r="N169" s="973"/>
      <c r="O169" s="923"/>
      <c r="P169" s="888"/>
      <c r="Q169" s="920"/>
      <c r="R169" s="920"/>
      <c r="S169" s="920"/>
      <c r="T169" s="920"/>
      <c r="U169" s="920"/>
      <c r="V169" s="920"/>
      <c r="W169" s="888"/>
      <c r="X169" s="918"/>
      <c r="Y169" s="918"/>
      <c r="Z169" s="918"/>
      <c r="AA169" s="918"/>
      <c r="AB169" s="918"/>
      <c r="AC169" s="918"/>
      <c r="AD169" s="918"/>
      <c r="AE169" s="918"/>
      <c r="AF169" s="918"/>
      <c r="AG169" s="918"/>
      <c r="AH169" s="918"/>
      <c r="AI169" s="918"/>
      <c r="AJ169" s="925"/>
      <c r="AK169" s="918"/>
      <c r="AL169" s="918"/>
      <c r="AM169" s="918"/>
      <c r="AN169" s="918"/>
      <c r="AO169" s="918"/>
      <c r="AP169" s="914"/>
      <c r="AQ169" s="888"/>
      <c r="AR169" s="920"/>
      <c r="AS169" s="888"/>
      <c r="AT169" s="920"/>
      <c r="AU169" s="974"/>
      <c r="AV169" s="920"/>
      <c r="AW169" s="927"/>
      <c r="AX169" s="974"/>
      <c r="AY169" s="928"/>
      <c r="AZ169" s="974"/>
      <c r="BA169" s="920"/>
    </row>
    <row r="170" spans="1:56" ht="12" thickBot="1">
      <c r="A170" s="877" t="s">
        <v>22</v>
      </c>
      <c r="B170" s="918"/>
      <c r="C170" s="918"/>
      <c r="D170" s="1128"/>
      <c r="E170" s="918"/>
      <c r="F170" s="918"/>
      <c r="G170" s="918"/>
      <c r="H170" s="927"/>
      <c r="I170" s="918"/>
      <c r="J170" s="918"/>
      <c r="K170" s="918"/>
      <c r="L170" s="920"/>
      <c r="M170" s="921"/>
      <c r="N170" s="973"/>
      <c r="O170" s="923"/>
      <c r="P170" s="888"/>
      <c r="Q170" s="920"/>
      <c r="R170" s="920"/>
      <c r="S170" s="920"/>
      <c r="T170" s="920"/>
      <c r="U170" s="920"/>
      <c r="V170" s="920"/>
      <c r="W170" s="888"/>
      <c r="X170" s="918"/>
      <c r="Y170" s="918"/>
      <c r="Z170" s="918"/>
      <c r="AA170" s="918"/>
      <c r="AB170" s="918"/>
      <c r="AC170" s="918"/>
      <c r="AD170" s="918"/>
      <c r="AE170" s="918"/>
      <c r="AF170" s="918"/>
      <c r="AG170" s="918"/>
      <c r="AH170" s="918"/>
      <c r="AI170" s="918"/>
      <c r="AJ170" s="925"/>
      <c r="AK170" s="918"/>
      <c r="AL170" s="918"/>
      <c r="AM170" s="918"/>
      <c r="AN170" s="918"/>
      <c r="AO170" s="918"/>
      <c r="AP170" s="914"/>
      <c r="AQ170" s="888"/>
      <c r="AR170" s="920"/>
      <c r="AS170" s="888"/>
      <c r="AT170" s="920"/>
      <c r="AU170" s="974"/>
      <c r="AV170" s="920"/>
      <c r="AW170" s="927"/>
      <c r="AX170" s="974"/>
      <c r="AY170" s="928"/>
      <c r="AZ170" s="974"/>
      <c r="BA170" s="920"/>
      <c r="BC170" s="1161"/>
    </row>
    <row r="171" spans="1:56" ht="12" thickTop="1">
      <c r="A171" s="975" t="str">
        <f>'Drop Box Price Out'!A13</f>
        <v>10 yd Compactors</v>
      </c>
      <c r="B171" s="976">
        <f>'Drop Box Price Out'!B13</f>
        <v>0</v>
      </c>
      <c r="C171" s="977">
        <f>+B171*$K$4</f>
        <v>0</v>
      </c>
      <c r="D171" s="1130"/>
      <c r="E171" s="977">
        <v>1</v>
      </c>
      <c r="F171" s="977">
        <f>+C171/4.33</f>
        <v>0</v>
      </c>
      <c r="G171" s="977"/>
      <c r="H171" s="978">
        <f>'Drop Box Price Out'!D13</f>
        <v>141.88</v>
      </c>
      <c r="I171" s="979">
        <f>B171*H171/12</f>
        <v>0</v>
      </c>
      <c r="J171" s="1144">
        <f>I171*12</f>
        <v>0</v>
      </c>
      <c r="K171" s="979">
        <f>J171*$K$4</f>
        <v>0</v>
      </c>
      <c r="L171" s="1145">
        <f>'Meeks +'!F48/2</f>
        <v>3600</v>
      </c>
      <c r="M171" s="1149" t="e">
        <f>L171*$O$4</f>
        <v>#VALUE!</v>
      </c>
      <c r="N171" s="980">
        <f>ROUND(((C171*L171)/2000),2)</f>
        <v>0</v>
      </c>
      <c r="O171" s="981" t="e">
        <f>$O$4*N171</f>
        <v>#VALUE!</v>
      </c>
      <c r="P171" s="888"/>
      <c r="Q171" s="982">
        <v>900</v>
      </c>
      <c r="R171" s="983"/>
      <c r="S171" s="983"/>
      <c r="T171" s="984">
        <f>C171*Q171/3600</f>
        <v>0</v>
      </c>
      <c r="U171" s="984" t="e">
        <f>($T$4-$T$5)*O171/($O$5-$O$6-$O$7)</f>
        <v>#VALUE!</v>
      </c>
      <c r="V171" s="984" t="e">
        <f>+U171+T171</f>
        <v>#VALUE!</v>
      </c>
      <c r="W171" s="888"/>
      <c r="X171" s="1151" t="e">
        <f t="shared" ref="X171:X202" si="263">+O171/$O$252*$X$4</f>
        <v>#VALUE!</v>
      </c>
      <c r="Y171" s="977">
        <f>($Y$4*(I171)/(($I$6)+$I$7+$I$8+$I$9))</f>
        <v>0</v>
      </c>
      <c r="Z171" s="977"/>
      <c r="AA171" s="977" t="e">
        <f>+AA$4/(V$8+(V$9))*V171</f>
        <v>#VALUE!</v>
      </c>
      <c r="AB171" s="977" t="e">
        <f>$AB$4*V171/($V$4+$T$4)</f>
        <v>#VALUE!</v>
      </c>
      <c r="AC171" s="977" t="e">
        <f>$AC$4*V171/($V$4+$T$4)</f>
        <v>#VALUE!</v>
      </c>
      <c r="AD171" s="977" t="e">
        <f>$AD$4*V171/($V$4+$T$4)</f>
        <v>#VALUE!</v>
      </c>
      <c r="AE171" s="979" t="e">
        <f t="shared" ref="AE171:AE202" si="264">$AE$4*V171/$V$252</f>
        <v>#VALUE!</v>
      </c>
      <c r="AF171" s="892"/>
      <c r="AG171" s="892"/>
      <c r="AH171" s="977">
        <f>($AH$4*G171)/$G$8</f>
        <v>0</v>
      </c>
      <c r="AI171" s="977" t="e">
        <f>+$AI$4*($V171/($V$8+($V$9)))</f>
        <v>#VALUE!</v>
      </c>
      <c r="AJ171" s="985" t="e">
        <f>SUM(X171:AI171)</f>
        <v>#VALUE!</v>
      </c>
      <c r="AK171" s="977">
        <f>($AK$4*F171/($F$5))</f>
        <v>0</v>
      </c>
      <c r="AL171" s="977"/>
      <c r="AM171" s="977" t="e">
        <f>$AM$4*(K171+X171)/($K$5+$X$5)</f>
        <v>#VALUE!</v>
      </c>
      <c r="AN171" s="977" t="e">
        <f>$AN$4*(K171+X171)/($K$5+$X$5)</f>
        <v>#VALUE!</v>
      </c>
      <c r="AO171" s="977" t="e">
        <f>$AO$4*(K171+X171)/($K$5+$X$5)</f>
        <v>#VALUE!</v>
      </c>
      <c r="AP171" s="986" t="e">
        <f>SUM(AJ171:AO171)</f>
        <v>#VALUE!</v>
      </c>
      <c r="AQ171" s="888"/>
      <c r="AR171" s="983">
        <f>IF(ISERROR(AP171/C171), 0,(AP171/C171))</f>
        <v>0</v>
      </c>
      <c r="AS171" s="888"/>
      <c r="AT171" s="987">
        <f>AR171/$AT$4</f>
        <v>0</v>
      </c>
      <c r="AU171" s="988">
        <f>+AT171*C171</f>
        <v>0</v>
      </c>
      <c r="AV171" s="989" t="str">
        <f t="shared" ref="AV171:AV234" si="265">IF(AT171=0,"",(+AT171-AW171)/AW171)</f>
        <v/>
      </c>
      <c r="AW171" s="990">
        <f>H171</f>
        <v>141.88</v>
      </c>
      <c r="AX171" s="991">
        <f>+AW171*C171</f>
        <v>0</v>
      </c>
      <c r="AY171" s="992">
        <f>VLOOKUP(A171,'Drop Box Price Out'!$A$13:$G$93,7,FALSE)</f>
        <v>149.15</v>
      </c>
      <c r="AZ171" s="993">
        <f>+AY171*C171</f>
        <v>0</v>
      </c>
      <c r="BA171" s="994">
        <f>IF(AW171=0,"",(+AY171-AW171)/AW171)</f>
        <v>5.1240484916831197E-2</v>
      </c>
      <c r="BB171" s="126"/>
      <c r="BC171" s="1158">
        <f t="shared" ref="BC171:BC234" si="266">+AU171-AX171</f>
        <v>0</v>
      </c>
      <c r="BD171" s="1158">
        <f t="shared" ref="BD171:BD234" si="267">+AU171-AZ171</f>
        <v>0</v>
      </c>
    </row>
    <row r="172" spans="1:56">
      <c r="A172" s="975" t="str">
        <f>'Drop Box Price Out'!A14</f>
        <v>10 yd Compactors MF</v>
      </c>
      <c r="B172" s="976">
        <f>'Drop Box Price Out'!B14</f>
        <v>0</v>
      </c>
      <c r="C172" s="977">
        <f t="shared" ref="C172:C235" si="268">+B172*$K$4</f>
        <v>0</v>
      </c>
      <c r="D172" s="1130"/>
      <c r="E172" s="977">
        <v>1</v>
      </c>
      <c r="F172" s="977">
        <f>+C172/4.33</f>
        <v>0</v>
      </c>
      <c r="G172" s="977"/>
      <c r="H172" s="978">
        <f>'Drop Box Price Out'!D14</f>
        <v>194.85</v>
      </c>
      <c r="I172" s="979">
        <f t="shared" ref="I172:I235" si="269">B172*H172/12</f>
        <v>0</v>
      </c>
      <c r="J172" s="1144">
        <f t="shared" ref="J172:J235" si="270">I172*12</f>
        <v>0</v>
      </c>
      <c r="K172" s="979">
        <f t="shared" ref="K172:K235" si="271">J172*$K$4</f>
        <v>0</v>
      </c>
      <c r="L172" s="1146">
        <f>L171</f>
        <v>3600</v>
      </c>
      <c r="M172" s="1149" t="e">
        <f>L172*$O$4</f>
        <v>#VALUE!</v>
      </c>
      <c r="N172" s="980">
        <f>ROUND(((C172*L172)/2000),2)</f>
        <v>0</v>
      </c>
      <c r="O172" s="981" t="e">
        <f>$O$4*N172</f>
        <v>#VALUE!</v>
      </c>
      <c r="P172" s="888"/>
      <c r="Q172" s="982">
        <v>900</v>
      </c>
      <c r="R172" s="983"/>
      <c r="S172" s="983"/>
      <c r="T172" s="984">
        <f t="shared" ref="T172:T235" si="272">C172*Q172/3600</f>
        <v>0</v>
      </c>
      <c r="U172" s="984" t="e">
        <f t="shared" ref="U172:U235" si="273">($T$4-$T$5)*O172/($O$5-$O$6-$O$7)</f>
        <v>#VALUE!</v>
      </c>
      <c r="V172" s="984" t="e">
        <f t="shared" ref="V172:V235" si="274">+U172+T172</f>
        <v>#VALUE!</v>
      </c>
      <c r="W172" s="888"/>
      <c r="X172" s="1151" t="e">
        <f t="shared" si="263"/>
        <v>#VALUE!</v>
      </c>
      <c r="Y172" s="977">
        <f t="shared" ref="Y172:Y235" si="275">($Y$4*(I172)/(($I$6)+$I$7+$I$8+$I$9))</f>
        <v>0</v>
      </c>
      <c r="Z172" s="977"/>
      <c r="AA172" s="977" t="e">
        <f t="shared" ref="AA172:AA235" si="276">+AA$4/(V$8+(V$9))*V172</f>
        <v>#VALUE!</v>
      </c>
      <c r="AB172" s="977" t="e">
        <f t="shared" ref="AB172:AB235" si="277">$AB$4*V172/($V$4+$T$4)</f>
        <v>#VALUE!</v>
      </c>
      <c r="AC172" s="977" t="e">
        <f t="shared" ref="AC172:AC235" si="278">$AC$4*V172/($V$4+$T$4)</f>
        <v>#VALUE!</v>
      </c>
      <c r="AD172" s="977" t="e">
        <f t="shared" ref="AD172:AD235" si="279">$AD$4*V172/($V$4+$T$4)</f>
        <v>#VALUE!</v>
      </c>
      <c r="AE172" s="979" t="e">
        <f t="shared" si="264"/>
        <v>#VALUE!</v>
      </c>
      <c r="AF172" s="892"/>
      <c r="AG172" s="892"/>
      <c r="AH172" s="977">
        <f t="shared" ref="AH172:AH235" si="280">($AH$4*G172)/$G$8</f>
        <v>0</v>
      </c>
      <c r="AI172" s="977" t="e">
        <f t="shared" ref="AI172:AI235" si="281">+$AI$4*($V172/($V$8+($V$9)))</f>
        <v>#VALUE!</v>
      </c>
      <c r="AJ172" s="985" t="e">
        <f t="shared" ref="AJ172:AJ235" si="282">SUM(X172:AI172)</f>
        <v>#VALUE!</v>
      </c>
      <c r="AK172" s="977">
        <f t="shared" ref="AK172:AK235" si="283">($AK$4*F172/($F$5))</f>
        <v>0</v>
      </c>
      <c r="AL172" s="977"/>
      <c r="AM172" s="977" t="e">
        <f t="shared" ref="AM172:AM235" si="284">$AM$4*(K172+X172)/($K$5+$X$5)</f>
        <v>#VALUE!</v>
      </c>
      <c r="AN172" s="977" t="e">
        <f t="shared" ref="AN172:AN235" si="285">$AN$4*(K172+X172)/($K$5+$X$5)</f>
        <v>#VALUE!</v>
      </c>
      <c r="AO172" s="977" t="e">
        <f t="shared" ref="AO172:AO235" si="286">$AO$4*(K172+X172)/($K$5+$X$5)</f>
        <v>#VALUE!</v>
      </c>
      <c r="AP172" s="986" t="e">
        <f t="shared" ref="AP172:AP235" si="287">SUM(AJ172:AO172)</f>
        <v>#VALUE!</v>
      </c>
      <c r="AQ172" s="888"/>
      <c r="AR172" s="983">
        <f t="shared" ref="AR172:AR235" si="288">IF(ISERROR(AP172/C172), 0,(AP172/C172))</f>
        <v>0</v>
      </c>
      <c r="AS172" s="888"/>
      <c r="AT172" s="987">
        <f t="shared" ref="AT172:AT235" si="289">AR172/$AT$4</f>
        <v>0</v>
      </c>
      <c r="AU172" s="988">
        <f t="shared" ref="AU172:AU235" si="290">+AT172*C172</f>
        <v>0</v>
      </c>
      <c r="AV172" s="989" t="str">
        <f t="shared" si="265"/>
        <v/>
      </c>
      <c r="AW172" s="990">
        <f t="shared" ref="AW172:AW235" si="291">H172</f>
        <v>194.85</v>
      </c>
      <c r="AX172" s="991">
        <f t="shared" ref="AX172:AX235" si="292">+AW172*C172</f>
        <v>0</v>
      </c>
      <c r="AY172" s="992">
        <f>VLOOKUP(A172,'Drop Box Price Out'!$A$13:$G$93,7,FALSE)</f>
        <v>204.85000000000002</v>
      </c>
      <c r="AZ172" s="993">
        <f t="shared" ref="AZ172:AZ235" si="293">+AY172*C172</f>
        <v>0</v>
      </c>
      <c r="BA172" s="994">
        <f>IF(AW172=0,"",(+AY172-AW172)/AW172)</f>
        <v>5.132152938157572E-2</v>
      </c>
      <c r="BB172" s="126"/>
      <c r="BC172" s="1158">
        <f t="shared" si="266"/>
        <v>0</v>
      </c>
      <c r="BD172" s="1158">
        <f t="shared" si="267"/>
        <v>0</v>
      </c>
    </row>
    <row r="173" spans="1:56">
      <c r="A173" s="975" t="str">
        <f>'Drop Box Price Out'!A15</f>
        <v>10 yd Permanent</v>
      </c>
      <c r="B173" s="976">
        <f>'Drop Box Price Out'!B15</f>
        <v>0</v>
      </c>
      <c r="C173" s="977">
        <f t="shared" si="268"/>
        <v>0</v>
      </c>
      <c r="D173" s="1130"/>
      <c r="E173" s="977">
        <v>1</v>
      </c>
      <c r="F173" s="977">
        <f>+C173/4.33</f>
        <v>0</v>
      </c>
      <c r="G173" s="977"/>
      <c r="H173" s="978">
        <f>'Drop Box Price Out'!D15</f>
        <v>128.04</v>
      </c>
      <c r="I173" s="979">
        <f t="shared" si="269"/>
        <v>0</v>
      </c>
      <c r="J173" s="1144">
        <f t="shared" si="270"/>
        <v>0</v>
      </c>
      <c r="K173" s="979">
        <f t="shared" si="271"/>
        <v>0</v>
      </c>
      <c r="L173" s="1145">
        <f>'Meeks +'!F43/2</f>
        <v>1200</v>
      </c>
      <c r="M173" s="1149" t="e">
        <f>L173*$O$4</f>
        <v>#VALUE!</v>
      </c>
      <c r="N173" s="980">
        <f>ROUND(((C173*L173)/2000),2)</f>
        <v>0</v>
      </c>
      <c r="O173" s="981" t="e">
        <f>$O$4*N173</f>
        <v>#VALUE!</v>
      </c>
      <c r="P173" s="888"/>
      <c r="Q173" s="982">
        <v>900</v>
      </c>
      <c r="R173" s="983"/>
      <c r="S173" s="983"/>
      <c r="T173" s="984">
        <f t="shared" si="272"/>
        <v>0</v>
      </c>
      <c r="U173" s="984" t="e">
        <f t="shared" si="273"/>
        <v>#VALUE!</v>
      </c>
      <c r="V173" s="984" t="e">
        <f t="shared" si="274"/>
        <v>#VALUE!</v>
      </c>
      <c r="W173" s="888"/>
      <c r="X173" s="1151" t="e">
        <f t="shared" si="263"/>
        <v>#VALUE!</v>
      </c>
      <c r="Y173" s="977">
        <f t="shared" si="275"/>
        <v>0</v>
      </c>
      <c r="Z173" s="977"/>
      <c r="AA173" s="977" t="e">
        <f t="shared" si="276"/>
        <v>#VALUE!</v>
      </c>
      <c r="AB173" s="977" t="e">
        <f t="shared" si="277"/>
        <v>#VALUE!</v>
      </c>
      <c r="AC173" s="977" t="e">
        <f t="shared" si="278"/>
        <v>#VALUE!</v>
      </c>
      <c r="AD173" s="977" t="e">
        <f t="shared" si="279"/>
        <v>#VALUE!</v>
      </c>
      <c r="AE173" s="979" t="e">
        <f t="shared" si="264"/>
        <v>#VALUE!</v>
      </c>
      <c r="AF173" s="892"/>
      <c r="AG173" s="892"/>
      <c r="AH173" s="977">
        <f t="shared" si="280"/>
        <v>0</v>
      </c>
      <c r="AI173" s="977" t="e">
        <f t="shared" si="281"/>
        <v>#VALUE!</v>
      </c>
      <c r="AJ173" s="985" t="e">
        <f t="shared" si="282"/>
        <v>#VALUE!</v>
      </c>
      <c r="AK173" s="977">
        <f t="shared" si="283"/>
        <v>0</v>
      </c>
      <c r="AL173" s="977"/>
      <c r="AM173" s="977" t="e">
        <f t="shared" si="284"/>
        <v>#VALUE!</v>
      </c>
      <c r="AN173" s="977" t="e">
        <f t="shared" si="285"/>
        <v>#VALUE!</v>
      </c>
      <c r="AO173" s="977" t="e">
        <f t="shared" si="286"/>
        <v>#VALUE!</v>
      </c>
      <c r="AP173" s="986" t="e">
        <f t="shared" si="287"/>
        <v>#VALUE!</v>
      </c>
      <c r="AQ173" s="888"/>
      <c r="AR173" s="983">
        <f t="shared" si="288"/>
        <v>0</v>
      </c>
      <c r="AS173" s="888"/>
      <c r="AT173" s="987">
        <f t="shared" si="289"/>
        <v>0</v>
      </c>
      <c r="AU173" s="988">
        <f t="shared" si="290"/>
        <v>0</v>
      </c>
      <c r="AV173" s="989" t="str">
        <f t="shared" si="265"/>
        <v/>
      </c>
      <c r="AW173" s="990">
        <f t="shared" si="291"/>
        <v>128.04</v>
      </c>
      <c r="AX173" s="991">
        <f t="shared" si="292"/>
        <v>0</v>
      </c>
      <c r="AY173" s="992">
        <f>VLOOKUP(A173,'Drop Box Price Out'!$A$13:$G$93,7,FALSE)</f>
        <v>134.6</v>
      </c>
      <c r="AZ173" s="993">
        <f t="shared" si="293"/>
        <v>0</v>
      </c>
      <c r="BA173" s="994">
        <f t="shared" ref="BA173:BA234" si="294">IF(AW173=0,"",(+AY173-AW173)/AW173)</f>
        <v>5.1233989378319293E-2</v>
      </c>
      <c r="BB173" s="126"/>
      <c r="BC173" s="1158">
        <f t="shared" si="266"/>
        <v>0</v>
      </c>
      <c r="BD173" s="1158">
        <f t="shared" si="267"/>
        <v>0</v>
      </c>
    </row>
    <row r="174" spans="1:56">
      <c r="A174" s="975" t="str">
        <f>'Drop Box Price Out'!A16</f>
        <v>10 yd Temporary</v>
      </c>
      <c r="B174" s="976">
        <f>'Drop Box Price Out'!B16</f>
        <v>0</v>
      </c>
      <c r="C174" s="977">
        <f t="shared" si="268"/>
        <v>0</v>
      </c>
      <c r="D174" s="1130"/>
      <c r="E174" s="977">
        <v>1</v>
      </c>
      <c r="F174" s="977">
        <f>+C174/4.33</f>
        <v>0</v>
      </c>
      <c r="G174" s="977"/>
      <c r="H174" s="978">
        <f>'Drop Box Price Out'!D16</f>
        <v>133.21</v>
      </c>
      <c r="I174" s="979">
        <f t="shared" si="269"/>
        <v>0</v>
      </c>
      <c r="J174" s="1144">
        <f t="shared" si="270"/>
        <v>0</v>
      </c>
      <c r="K174" s="979">
        <f t="shared" si="271"/>
        <v>0</v>
      </c>
      <c r="L174" s="1146">
        <f>L173</f>
        <v>1200</v>
      </c>
      <c r="M174" s="1149" t="e">
        <f t="shared" ref="M174:M237" si="295">L174*$O$4</f>
        <v>#VALUE!</v>
      </c>
      <c r="N174" s="980">
        <f t="shared" ref="N174:N237" si="296">ROUND(((C174*L174)/2000),2)</f>
        <v>0</v>
      </c>
      <c r="O174" s="981" t="e">
        <f t="shared" ref="O174:O237" si="297">$O$4*N174</f>
        <v>#VALUE!</v>
      </c>
      <c r="P174" s="888"/>
      <c r="Q174" s="982">
        <v>900</v>
      </c>
      <c r="R174" s="983"/>
      <c r="S174" s="983"/>
      <c r="T174" s="984">
        <f t="shared" si="272"/>
        <v>0</v>
      </c>
      <c r="U174" s="984" t="e">
        <f t="shared" si="273"/>
        <v>#VALUE!</v>
      </c>
      <c r="V174" s="984" t="e">
        <f t="shared" si="274"/>
        <v>#VALUE!</v>
      </c>
      <c r="W174" s="888"/>
      <c r="X174" s="1151" t="e">
        <f t="shared" si="263"/>
        <v>#VALUE!</v>
      </c>
      <c r="Y174" s="977">
        <f t="shared" si="275"/>
        <v>0</v>
      </c>
      <c r="Z174" s="977"/>
      <c r="AA174" s="977" t="e">
        <f t="shared" si="276"/>
        <v>#VALUE!</v>
      </c>
      <c r="AB174" s="977" t="e">
        <f t="shared" si="277"/>
        <v>#VALUE!</v>
      </c>
      <c r="AC174" s="977" t="e">
        <f t="shared" si="278"/>
        <v>#VALUE!</v>
      </c>
      <c r="AD174" s="977" t="e">
        <f t="shared" si="279"/>
        <v>#VALUE!</v>
      </c>
      <c r="AE174" s="979" t="e">
        <f t="shared" si="264"/>
        <v>#VALUE!</v>
      </c>
      <c r="AF174" s="892"/>
      <c r="AG174" s="892"/>
      <c r="AH174" s="977">
        <f t="shared" si="280"/>
        <v>0</v>
      </c>
      <c r="AI174" s="977" t="e">
        <f t="shared" si="281"/>
        <v>#VALUE!</v>
      </c>
      <c r="AJ174" s="985" t="e">
        <f t="shared" si="282"/>
        <v>#VALUE!</v>
      </c>
      <c r="AK174" s="977">
        <f t="shared" si="283"/>
        <v>0</v>
      </c>
      <c r="AL174" s="977"/>
      <c r="AM174" s="977" t="e">
        <f t="shared" si="284"/>
        <v>#VALUE!</v>
      </c>
      <c r="AN174" s="977" t="e">
        <f t="shared" si="285"/>
        <v>#VALUE!</v>
      </c>
      <c r="AO174" s="977" t="e">
        <f t="shared" si="286"/>
        <v>#VALUE!</v>
      </c>
      <c r="AP174" s="986" t="e">
        <f t="shared" si="287"/>
        <v>#VALUE!</v>
      </c>
      <c r="AQ174" s="888"/>
      <c r="AR174" s="983">
        <f t="shared" si="288"/>
        <v>0</v>
      </c>
      <c r="AS174" s="888"/>
      <c r="AT174" s="987">
        <f t="shared" si="289"/>
        <v>0</v>
      </c>
      <c r="AU174" s="988">
        <f t="shared" si="290"/>
        <v>0</v>
      </c>
      <c r="AV174" s="989" t="str">
        <f t="shared" si="265"/>
        <v/>
      </c>
      <c r="AW174" s="990">
        <f t="shared" si="291"/>
        <v>133.21</v>
      </c>
      <c r="AX174" s="991">
        <f t="shared" si="292"/>
        <v>0</v>
      </c>
      <c r="AY174" s="992">
        <f>VLOOKUP(A174,'Drop Box Price Out'!$A$13:$G$93,7,FALSE)</f>
        <v>140.05000000000001</v>
      </c>
      <c r="AZ174" s="993">
        <f t="shared" si="293"/>
        <v>0</v>
      </c>
      <c r="BA174" s="994">
        <f t="shared" si="294"/>
        <v>5.134749643420166E-2</v>
      </c>
      <c r="BB174" s="126"/>
      <c r="BC174" s="1158">
        <f t="shared" si="266"/>
        <v>0</v>
      </c>
      <c r="BD174" s="1158">
        <f t="shared" si="267"/>
        <v>0</v>
      </c>
    </row>
    <row r="175" spans="1:56">
      <c r="A175" s="975" t="str">
        <f>'Drop Box Price Out'!A17</f>
        <v>10 yd Permanent MF</v>
      </c>
      <c r="B175" s="976">
        <f>'Drop Box Price Out'!B17</f>
        <v>0</v>
      </c>
      <c r="C175" s="977">
        <f t="shared" si="268"/>
        <v>0</v>
      </c>
      <c r="D175" s="1130"/>
      <c r="E175" s="977">
        <v>1</v>
      </c>
      <c r="F175" s="977">
        <f t="shared" ref="F175:F236" si="298">+C175/4.33</f>
        <v>0</v>
      </c>
      <c r="G175" s="977"/>
      <c r="H175" s="978">
        <f>'Drop Box Price Out'!D17</f>
        <v>169</v>
      </c>
      <c r="I175" s="979">
        <f t="shared" si="269"/>
        <v>0</v>
      </c>
      <c r="J175" s="1144">
        <f t="shared" si="270"/>
        <v>0</v>
      </c>
      <c r="K175" s="979">
        <f t="shared" si="271"/>
        <v>0</v>
      </c>
      <c r="L175" s="1146">
        <f>L174</f>
        <v>1200</v>
      </c>
      <c r="M175" s="1149" t="e">
        <f t="shared" si="295"/>
        <v>#VALUE!</v>
      </c>
      <c r="N175" s="980">
        <f t="shared" si="296"/>
        <v>0</v>
      </c>
      <c r="O175" s="981" t="e">
        <f t="shared" si="297"/>
        <v>#VALUE!</v>
      </c>
      <c r="P175" s="888"/>
      <c r="Q175" s="982">
        <v>900</v>
      </c>
      <c r="R175" s="983"/>
      <c r="S175" s="983"/>
      <c r="T175" s="984">
        <f t="shared" si="272"/>
        <v>0</v>
      </c>
      <c r="U175" s="984" t="e">
        <f t="shared" si="273"/>
        <v>#VALUE!</v>
      </c>
      <c r="V175" s="984" t="e">
        <f t="shared" si="274"/>
        <v>#VALUE!</v>
      </c>
      <c r="W175" s="888"/>
      <c r="X175" s="1151" t="e">
        <f t="shared" si="263"/>
        <v>#VALUE!</v>
      </c>
      <c r="Y175" s="977">
        <f t="shared" si="275"/>
        <v>0</v>
      </c>
      <c r="Z175" s="977"/>
      <c r="AA175" s="977" t="e">
        <f t="shared" si="276"/>
        <v>#VALUE!</v>
      </c>
      <c r="AB175" s="977" t="e">
        <f t="shared" si="277"/>
        <v>#VALUE!</v>
      </c>
      <c r="AC175" s="977" t="e">
        <f t="shared" si="278"/>
        <v>#VALUE!</v>
      </c>
      <c r="AD175" s="977" t="e">
        <f t="shared" si="279"/>
        <v>#VALUE!</v>
      </c>
      <c r="AE175" s="979" t="e">
        <f t="shared" si="264"/>
        <v>#VALUE!</v>
      </c>
      <c r="AF175" s="892"/>
      <c r="AG175" s="892"/>
      <c r="AH175" s="977">
        <f t="shared" si="280"/>
        <v>0</v>
      </c>
      <c r="AI175" s="977" t="e">
        <f t="shared" si="281"/>
        <v>#VALUE!</v>
      </c>
      <c r="AJ175" s="985" t="e">
        <f t="shared" si="282"/>
        <v>#VALUE!</v>
      </c>
      <c r="AK175" s="977">
        <f t="shared" si="283"/>
        <v>0</v>
      </c>
      <c r="AL175" s="977"/>
      <c r="AM175" s="977" t="e">
        <f t="shared" si="284"/>
        <v>#VALUE!</v>
      </c>
      <c r="AN175" s="977" t="e">
        <f t="shared" si="285"/>
        <v>#VALUE!</v>
      </c>
      <c r="AO175" s="977" t="e">
        <f t="shared" si="286"/>
        <v>#VALUE!</v>
      </c>
      <c r="AP175" s="986" t="e">
        <f t="shared" si="287"/>
        <v>#VALUE!</v>
      </c>
      <c r="AQ175" s="888"/>
      <c r="AR175" s="983">
        <f t="shared" si="288"/>
        <v>0</v>
      </c>
      <c r="AS175" s="888"/>
      <c r="AT175" s="987">
        <f t="shared" si="289"/>
        <v>0</v>
      </c>
      <c r="AU175" s="988">
        <f t="shared" si="290"/>
        <v>0</v>
      </c>
      <c r="AV175" s="989" t="str">
        <f t="shared" si="265"/>
        <v/>
      </c>
      <c r="AW175" s="990">
        <f t="shared" si="291"/>
        <v>169</v>
      </c>
      <c r="AX175" s="991">
        <f t="shared" si="292"/>
        <v>0</v>
      </c>
      <c r="AY175" s="992">
        <f>VLOOKUP(A175,'Drop Box Price Out'!$A$13:$G$93,7,FALSE)</f>
        <v>177.65</v>
      </c>
      <c r="AZ175" s="993">
        <f t="shared" si="293"/>
        <v>0</v>
      </c>
      <c r="BA175" s="994">
        <f t="shared" si="294"/>
        <v>5.1183431952662756E-2</v>
      </c>
      <c r="BB175" s="126"/>
      <c r="BC175" s="1158">
        <f t="shared" si="266"/>
        <v>0</v>
      </c>
      <c r="BD175" s="1158">
        <f t="shared" si="267"/>
        <v>0</v>
      </c>
    </row>
    <row r="176" spans="1:56">
      <c r="A176" s="975" t="str">
        <f>'Drop Box Price Out'!A18</f>
        <v>10 yd Temporary MF</v>
      </c>
      <c r="B176" s="976">
        <f>'Drop Box Price Out'!B18</f>
        <v>0</v>
      </c>
      <c r="C176" s="977">
        <f t="shared" si="268"/>
        <v>0</v>
      </c>
      <c r="D176" s="1130"/>
      <c r="E176" s="977">
        <v>1</v>
      </c>
      <c r="F176" s="977">
        <f t="shared" si="298"/>
        <v>0</v>
      </c>
      <c r="G176" s="977"/>
      <c r="H176" s="978">
        <f>'Drop Box Price Out'!D18</f>
        <v>174.2</v>
      </c>
      <c r="I176" s="979">
        <f t="shared" si="269"/>
        <v>0</v>
      </c>
      <c r="J176" s="1144">
        <f t="shared" si="270"/>
        <v>0</v>
      </c>
      <c r="K176" s="979">
        <f t="shared" si="271"/>
        <v>0</v>
      </c>
      <c r="L176" s="1146">
        <f>L175</f>
        <v>1200</v>
      </c>
      <c r="M176" s="1149" t="e">
        <f t="shared" si="295"/>
        <v>#VALUE!</v>
      </c>
      <c r="N176" s="980">
        <f t="shared" si="296"/>
        <v>0</v>
      </c>
      <c r="O176" s="981" t="e">
        <f t="shared" si="297"/>
        <v>#VALUE!</v>
      </c>
      <c r="P176" s="888"/>
      <c r="Q176" s="982">
        <v>900</v>
      </c>
      <c r="R176" s="983"/>
      <c r="S176" s="983"/>
      <c r="T176" s="984">
        <f t="shared" si="272"/>
        <v>0</v>
      </c>
      <c r="U176" s="984" t="e">
        <f t="shared" si="273"/>
        <v>#VALUE!</v>
      </c>
      <c r="V176" s="984" t="e">
        <f t="shared" si="274"/>
        <v>#VALUE!</v>
      </c>
      <c r="W176" s="888"/>
      <c r="X176" s="1151" t="e">
        <f t="shared" si="263"/>
        <v>#VALUE!</v>
      </c>
      <c r="Y176" s="977">
        <f t="shared" si="275"/>
        <v>0</v>
      </c>
      <c r="Z176" s="977"/>
      <c r="AA176" s="977" t="e">
        <f t="shared" si="276"/>
        <v>#VALUE!</v>
      </c>
      <c r="AB176" s="977" t="e">
        <f t="shared" si="277"/>
        <v>#VALUE!</v>
      </c>
      <c r="AC176" s="977" t="e">
        <f t="shared" si="278"/>
        <v>#VALUE!</v>
      </c>
      <c r="AD176" s="977" t="e">
        <f t="shared" si="279"/>
        <v>#VALUE!</v>
      </c>
      <c r="AE176" s="979" t="e">
        <f t="shared" si="264"/>
        <v>#VALUE!</v>
      </c>
      <c r="AF176" s="892"/>
      <c r="AG176" s="892"/>
      <c r="AH176" s="977">
        <f t="shared" si="280"/>
        <v>0</v>
      </c>
      <c r="AI176" s="977" t="e">
        <f t="shared" si="281"/>
        <v>#VALUE!</v>
      </c>
      <c r="AJ176" s="985" t="e">
        <f t="shared" si="282"/>
        <v>#VALUE!</v>
      </c>
      <c r="AK176" s="977">
        <f t="shared" si="283"/>
        <v>0</v>
      </c>
      <c r="AL176" s="977"/>
      <c r="AM176" s="977" t="e">
        <f t="shared" si="284"/>
        <v>#VALUE!</v>
      </c>
      <c r="AN176" s="977" t="e">
        <f t="shared" si="285"/>
        <v>#VALUE!</v>
      </c>
      <c r="AO176" s="977" t="e">
        <f t="shared" si="286"/>
        <v>#VALUE!</v>
      </c>
      <c r="AP176" s="986" t="e">
        <f t="shared" si="287"/>
        <v>#VALUE!</v>
      </c>
      <c r="AQ176" s="888"/>
      <c r="AR176" s="983">
        <f t="shared" si="288"/>
        <v>0</v>
      </c>
      <c r="AS176" s="888"/>
      <c r="AT176" s="987">
        <f t="shared" si="289"/>
        <v>0</v>
      </c>
      <c r="AU176" s="988">
        <f t="shared" si="290"/>
        <v>0</v>
      </c>
      <c r="AV176" s="989" t="str">
        <f t="shared" si="265"/>
        <v/>
      </c>
      <c r="AW176" s="990">
        <f t="shared" si="291"/>
        <v>174.2</v>
      </c>
      <c r="AX176" s="991">
        <f t="shared" si="292"/>
        <v>0</v>
      </c>
      <c r="AY176" s="992">
        <f>VLOOKUP(A176,'Drop Box Price Out'!$A$13:$G$93,7,FALSE)</f>
        <v>183.15</v>
      </c>
      <c r="AZ176" s="993">
        <f t="shared" si="293"/>
        <v>0</v>
      </c>
      <c r="BA176" s="994">
        <f t="shared" si="294"/>
        <v>5.1377726750861177E-2</v>
      </c>
      <c r="BB176" s="126"/>
      <c r="BC176" s="1158">
        <f t="shared" si="266"/>
        <v>0</v>
      </c>
      <c r="BD176" s="1158">
        <f t="shared" si="267"/>
        <v>0</v>
      </c>
    </row>
    <row r="177" spans="1:56">
      <c r="A177" s="975" t="str">
        <f>'Drop Box Price Out'!A19</f>
        <v>12 yd Compactors</v>
      </c>
      <c r="B177" s="976">
        <f>'Drop Box Price Out'!B19</f>
        <v>0</v>
      </c>
      <c r="C177" s="977">
        <f t="shared" si="268"/>
        <v>0</v>
      </c>
      <c r="D177" s="1130"/>
      <c r="E177" s="977">
        <v>1</v>
      </c>
      <c r="F177" s="977">
        <f t="shared" si="298"/>
        <v>0</v>
      </c>
      <c r="G177" s="977"/>
      <c r="H177" s="978">
        <f>'Drop Box Price Out'!D19</f>
        <v>141.88</v>
      </c>
      <c r="I177" s="979">
        <f t="shared" si="269"/>
        <v>0</v>
      </c>
      <c r="J177" s="1144">
        <f t="shared" si="270"/>
        <v>0</v>
      </c>
      <c r="K177" s="979">
        <f t="shared" si="271"/>
        <v>0</v>
      </c>
      <c r="L177" s="1146">
        <f>L171/10*12</f>
        <v>4320</v>
      </c>
      <c r="M177" s="1149" t="e">
        <f t="shared" si="295"/>
        <v>#VALUE!</v>
      </c>
      <c r="N177" s="980">
        <f t="shared" si="296"/>
        <v>0</v>
      </c>
      <c r="O177" s="981" t="e">
        <f t="shared" si="297"/>
        <v>#VALUE!</v>
      </c>
      <c r="P177" s="888"/>
      <c r="Q177" s="982">
        <v>900</v>
      </c>
      <c r="R177" s="983"/>
      <c r="S177" s="983"/>
      <c r="T177" s="984">
        <f t="shared" si="272"/>
        <v>0</v>
      </c>
      <c r="U177" s="984" t="e">
        <f t="shared" si="273"/>
        <v>#VALUE!</v>
      </c>
      <c r="V177" s="984" t="e">
        <f t="shared" si="274"/>
        <v>#VALUE!</v>
      </c>
      <c r="W177" s="888"/>
      <c r="X177" s="1151" t="e">
        <f t="shared" si="263"/>
        <v>#VALUE!</v>
      </c>
      <c r="Y177" s="977">
        <f t="shared" si="275"/>
        <v>0</v>
      </c>
      <c r="Z177" s="977"/>
      <c r="AA177" s="977" t="e">
        <f t="shared" si="276"/>
        <v>#VALUE!</v>
      </c>
      <c r="AB177" s="977" t="e">
        <f t="shared" si="277"/>
        <v>#VALUE!</v>
      </c>
      <c r="AC177" s="977" t="e">
        <f t="shared" si="278"/>
        <v>#VALUE!</v>
      </c>
      <c r="AD177" s="977" t="e">
        <f t="shared" si="279"/>
        <v>#VALUE!</v>
      </c>
      <c r="AE177" s="979" t="e">
        <f t="shared" si="264"/>
        <v>#VALUE!</v>
      </c>
      <c r="AF177" s="892"/>
      <c r="AG177" s="892"/>
      <c r="AH177" s="977">
        <f t="shared" si="280"/>
        <v>0</v>
      </c>
      <c r="AI177" s="977" t="e">
        <f t="shared" si="281"/>
        <v>#VALUE!</v>
      </c>
      <c r="AJ177" s="985" t="e">
        <f t="shared" si="282"/>
        <v>#VALUE!</v>
      </c>
      <c r="AK177" s="977">
        <f t="shared" si="283"/>
        <v>0</v>
      </c>
      <c r="AL177" s="977"/>
      <c r="AM177" s="977" t="e">
        <f t="shared" si="284"/>
        <v>#VALUE!</v>
      </c>
      <c r="AN177" s="977" t="e">
        <f t="shared" si="285"/>
        <v>#VALUE!</v>
      </c>
      <c r="AO177" s="977" t="e">
        <f t="shared" si="286"/>
        <v>#VALUE!</v>
      </c>
      <c r="AP177" s="986" t="e">
        <f t="shared" si="287"/>
        <v>#VALUE!</v>
      </c>
      <c r="AQ177" s="888"/>
      <c r="AR177" s="983">
        <f t="shared" si="288"/>
        <v>0</v>
      </c>
      <c r="AS177" s="888"/>
      <c r="AT177" s="987">
        <f t="shared" si="289"/>
        <v>0</v>
      </c>
      <c r="AU177" s="988">
        <f t="shared" si="290"/>
        <v>0</v>
      </c>
      <c r="AV177" s="989" t="str">
        <f t="shared" si="265"/>
        <v/>
      </c>
      <c r="AW177" s="990">
        <f t="shared" si="291"/>
        <v>141.88</v>
      </c>
      <c r="AX177" s="991">
        <f t="shared" si="292"/>
        <v>0</v>
      </c>
      <c r="AY177" s="992">
        <f>VLOOKUP(A177,'Drop Box Price Out'!$A$13:$G$93,7,FALSE)</f>
        <v>149.15</v>
      </c>
      <c r="AZ177" s="993">
        <f t="shared" si="293"/>
        <v>0</v>
      </c>
      <c r="BA177" s="994">
        <f t="shared" si="294"/>
        <v>5.1240484916831197E-2</v>
      </c>
      <c r="BB177" s="126"/>
      <c r="BC177" s="1158">
        <f t="shared" si="266"/>
        <v>0</v>
      </c>
      <c r="BD177" s="1158">
        <f t="shared" si="267"/>
        <v>0</v>
      </c>
    </row>
    <row r="178" spans="1:56">
      <c r="A178" s="975" t="str">
        <f>'Drop Box Price Out'!A20</f>
        <v>12 yd Compactors MF</v>
      </c>
      <c r="B178" s="976">
        <f>'Drop Box Price Out'!B20</f>
        <v>0</v>
      </c>
      <c r="C178" s="977">
        <f t="shared" si="268"/>
        <v>0</v>
      </c>
      <c r="D178" s="1130"/>
      <c r="E178" s="977">
        <v>1</v>
      </c>
      <c r="F178" s="977">
        <f t="shared" si="298"/>
        <v>0</v>
      </c>
      <c r="G178" s="977"/>
      <c r="H178" s="978">
        <f>'Drop Box Price Out'!D20</f>
        <v>0</v>
      </c>
      <c r="I178" s="979">
        <f t="shared" si="269"/>
        <v>0</v>
      </c>
      <c r="J178" s="1144">
        <f t="shared" si="270"/>
        <v>0</v>
      </c>
      <c r="K178" s="979">
        <f t="shared" si="271"/>
        <v>0</v>
      </c>
      <c r="L178" s="1146">
        <f>L177</f>
        <v>4320</v>
      </c>
      <c r="M178" s="1149" t="e">
        <f t="shared" si="295"/>
        <v>#VALUE!</v>
      </c>
      <c r="N178" s="980">
        <f t="shared" si="296"/>
        <v>0</v>
      </c>
      <c r="O178" s="981" t="e">
        <f t="shared" si="297"/>
        <v>#VALUE!</v>
      </c>
      <c r="P178" s="888"/>
      <c r="Q178" s="982">
        <v>900</v>
      </c>
      <c r="R178" s="983"/>
      <c r="S178" s="983"/>
      <c r="T178" s="984">
        <f t="shared" si="272"/>
        <v>0</v>
      </c>
      <c r="U178" s="984" t="e">
        <f t="shared" si="273"/>
        <v>#VALUE!</v>
      </c>
      <c r="V178" s="984" t="e">
        <f t="shared" si="274"/>
        <v>#VALUE!</v>
      </c>
      <c r="W178" s="888"/>
      <c r="X178" s="1151" t="e">
        <f t="shared" si="263"/>
        <v>#VALUE!</v>
      </c>
      <c r="Y178" s="977">
        <f t="shared" si="275"/>
        <v>0</v>
      </c>
      <c r="Z178" s="977"/>
      <c r="AA178" s="977" t="e">
        <f t="shared" si="276"/>
        <v>#VALUE!</v>
      </c>
      <c r="AB178" s="977" t="e">
        <f t="shared" si="277"/>
        <v>#VALUE!</v>
      </c>
      <c r="AC178" s="977" t="e">
        <f t="shared" si="278"/>
        <v>#VALUE!</v>
      </c>
      <c r="AD178" s="977" t="e">
        <f t="shared" si="279"/>
        <v>#VALUE!</v>
      </c>
      <c r="AE178" s="979" t="e">
        <f t="shared" si="264"/>
        <v>#VALUE!</v>
      </c>
      <c r="AF178" s="892"/>
      <c r="AG178" s="892"/>
      <c r="AH178" s="977">
        <f t="shared" si="280"/>
        <v>0</v>
      </c>
      <c r="AI178" s="977" t="e">
        <f t="shared" si="281"/>
        <v>#VALUE!</v>
      </c>
      <c r="AJ178" s="985" t="e">
        <f t="shared" si="282"/>
        <v>#VALUE!</v>
      </c>
      <c r="AK178" s="977">
        <f t="shared" si="283"/>
        <v>0</v>
      </c>
      <c r="AL178" s="977"/>
      <c r="AM178" s="977" t="e">
        <f t="shared" si="284"/>
        <v>#VALUE!</v>
      </c>
      <c r="AN178" s="977" t="e">
        <f t="shared" si="285"/>
        <v>#VALUE!</v>
      </c>
      <c r="AO178" s="977" t="e">
        <f t="shared" si="286"/>
        <v>#VALUE!</v>
      </c>
      <c r="AP178" s="986" t="e">
        <f t="shared" si="287"/>
        <v>#VALUE!</v>
      </c>
      <c r="AQ178" s="888"/>
      <c r="AR178" s="983">
        <f t="shared" si="288"/>
        <v>0</v>
      </c>
      <c r="AS178" s="888"/>
      <c r="AT178" s="987">
        <f t="shared" si="289"/>
        <v>0</v>
      </c>
      <c r="AU178" s="988">
        <f t="shared" si="290"/>
        <v>0</v>
      </c>
      <c r="AV178" s="989" t="str">
        <f t="shared" si="265"/>
        <v/>
      </c>
      <c r="AW178" s="990">
        <f t="shared" si="291"/>
        <v>0</v>
      </c>
      <c r="AX178" s="991">
        <f t="shared" si="292"/>
        <v>0</v>
      </c>
      <c r="AY178" s="992">
        <f>VLOOKUP(A178,'Drop Box Price Out'!$A$13:$G$93,7,FALSE)</f>
        <v>0</v>
      </c>
      <c r="AZ178" s="993">
        <f t="shared" si="293"/>
        <v>0</v>
      </c>
      <c r="BA178" s="994" t="str">
        <f t="shared" si="294"/>
        <v/>
      </c>
      <c r="BB178" s="126"/>
      <c r="BC178" s="1158">
        <f t="shared" si="266"/>
        <v>0</v>
      </c>
      <c r="BD178" s="1158">
        <f t="shared" si="267"/>
        <v>0</v>
      </c>
    </row>
    <row r="179" spans="1:56">
      <c r="A179" s="975" t="str">
        <f>'Drop Box Price Out'!A21</f>
        <v>12 yd Permanent</v>
      </c>
      <c r="B179" s="976">
        <f>'Drop Box Price Out'!B21</f>
        <v>0</v>
      </c>
      <c r="C179" s="977">
        <f t="shared" si="268"/>
        <v>0</v>
      </c>
      <c r="D179" s="1130"/>
      <c r="E179" s="977">
        <v>1</v>
      </c>
      <c r="F179" s="977">
        <f t="shared" si="298"/>
        <v>0</v>
      </c>
      <c r="G179" s="977"/>
      <c r="H179" s="978">
        <f>'Drop Box Price Out'!D21</f>
        <v>128.04</v>
      </c>
      <c r="I179" s="979">
        <f t="shared" si="269"/>
        <v>0</v>
      </c>
      <c r="J179" s="1144">
        <f t="shared" si="270"/>
        <v>0</v>
      </c>
      <c r="K179" s="979">
        <f t="shared" si="271"/>
        <v>0</v>
      </c>
      <c r="L179" s="1146">
        <f>L173/10*12</f>
        <v>1440</v>
      </c>
      <c r="M179" s="1149" t="e">
        <f t="shared" si="295"/>
        <v>#VALUE!</v>
      </c>
      <c r="N179" s="980">
        <f t="shared" si="296"/>
        <v>0</v>
      </c>
      <c r="O179" s="981" t="e">
        <f t="shared" si="297"/>
        <v>#VALUE!</v>
      </c>
      <c r="P179" s="888"/>
      <c r="Q179" s="982">
        <v>900</v>
      </c>
      <c r="R179" s="983"/>
      <c r="S179" s="983"/>
      <c r="T179" s="984">
        <f t="shared" si="272"/>
        <v>0</v>
      </c>
      <c r="U179" s="984" t="e">
        <f t="shared" si="273"/>
        <v>#VALUE!</v>
      </c>
      <c r="V179" s="984" t="e">
        <f t="shared" si="274"/>
        <v>#VALUE!</v>
      </c>
      <c r="W179" s="888"/>
      <c r="X179" s="1151" t="e">
        <f t="shared" si="263"/>
        <v>#VALUE!</v>
      </c>
      <c r="Y179" s="977">
        <f t="shared" si="275"/>
        <v>0</v>
      </c>
      <c r="Z179" s="977"/>
      <c r="AA179" s="977" t="e">
        <f t="shared" si="276"/>
        <v>#VALUE!</v>
      </c>
      <c r="AB179" s="977" t="e">
        <f t="shared" si="277"/>
        <v>#VALUE!</v>
      </c>
      <c r="AC179" s="977" t="e">
        <f t="shared" si="278"/>
        <v>#VALUE!</v>
      </c>
      <c r="AD179" s="977" t="e">
        <f t="shared" si="279"/>
        <v>#VALUE!</v>
      </c>
      <c r="AE179" s="979" t="e">
        <f t="shared" si="264"/>
        <v>#VALUE!</v>
      </c>
      <c r="AF179" s="892"/>
      <c r="AG179" s="892"/>
      <c r="AH179" s="977">
        <f t="shared" si="280"/>
        <v>0</v>
      </c>
      <c r="AI179" s="977" t="e">
        <f t="shared" si="281"/>
        <v>#VALUE!</v>
      </c>
      <c r="AJ179" s="985" t="e">
        <f t="shared" si="282"/>
        <v>#VALUE!</v>
      </c>
      <c r="AK179" s="977">
        <f t="shared" si="283"/>
        <v>0</v>
      </c>
      <c r="AL179" s="977"/>
      <c r="AM179" s="977" t="e">
        <f t="shared" si="284"/>
        <v>#VALUE!</v>
      </c>
      <c r="AN179" s="977" t="e">
        <f t="shared" si="285"/>
        <v>#VALUE!</v>
      </c>
      <c r="AO179" s="977" t="e">
        <f t="shared" si="286"/>
        <v>#VALUE!</v>
      </c>
      <c r="AP179" s="986" t="e">
        <f t="shared" si="287"/>
        <v>#VALUE!</v>
      </c>
      <c r="AQ179" s="888"/>
      <c r="AR179" s="983">
        <f t="shared" si="288"/>
        <v>0</v>
      </c>
      <c r="AS179" s="888"/>
      <c r="AT179" s="987">
        <f t="shared" si="289"/>
        <v>0</v>
      </c>
      <c r="AU179" s="988">
        <f t="shared" si="290"/>
        <v>0</v>
      </c>
      <c r="AV179" s="989" t="str">
        <f t="shared" si="265"/>
        <v/>
      </c>
      <c r="AW179" s="990">
        <f t="shared" si="291"/>
        <v>128.04</v>
      </c>
      <c r="AX179" s="991">
        <f t="shared" si="292"/>
        <v>0</v>
      </c>
      <c r="AY179" s="992">
        <f>VLOOKUP(A179,'Drop Box Price Out'!$A$13:$G$93,7,FALSE)</f>
        <v>134.6</v>
      </c>
      <c r="AZ179" s="993">
        <f t="shared" si="293"/>
        <v>0</v>
      </c>
      <c r="BA179" s="994">
        <f t="shared" si="294"/>
        <v>5.1233989378319293E-2</v>
      </c>
      <c r="BB179" s="126"/>
      <c r="BC179" s="1158">
        <f t="shared" si="266"/>
        <v>0</v>
      </c>
      <c r="BD179" s="1158">
        <f t="shared" si="267"/>
        <v>0</v>
      </c>
    </row>
    <row r="180" spans="1:56">
      <c r="A180" s="975" t="str">
        <f>'Drop Box Price Out'!A22</f>
        <v>12 yd Temporary</v>
      </c>
      <c r="B180" s="976">
        <f>'Drop Box Price Out'!B22</f>
        <v>0</v>
      </c>
      <c r="C180" s="977">
        <f t="shared" si="268"/>
        <v>0</v>
      </c>
      <c r="D180" s="1130"/>
      <c r="E180" s="977">
        <v>1</v>
      </c>
      <c r="F180" s="977">
        <f t="shared" si="298"/>
        <v>0</v>
      </c>
      <c r="G180" s="977"/>
      <c r="H180" s="978">
        <f>'Drop Box Price Out'!D22</f>
        <v>133.21</v>
      </c>
      <c r="I180" s="979">
        <f t="shared" si="269"/>
        <v>0</v>
      </c>
      <c r="J180" s="1144">
        <f t="shared" si="270"/>
        <v>0</v>
      </c>
      <c r="K180" s="979">
        <f t="shared" si="271"/>
        <v>0</v>
      </c>
      <c r="L180" s="1146">
        <f>L179</f>
        <v>1440</v>
      </c>
      <c r="M180" s="1149" t="e">
        <f t="shared" si="295"/>
        <v>#VALUE!</v>
      </c>
      <c r="N180" s="980">
        <f t="shared" si="296"/>
        <v>0</v>
      </c>
      <c r="O180" s="981" t="e">
        <f t="shared" si="297"/>
        <v>#VALUE!</v>
      </c>
      <c r="P180" s="888"/>
      <c r="Q180" s="982">
        <v>900</v>
      </c>
      <c r="R180" s="983"/>
      <c r="S180" s="983"/>
      <c r="T180" s="984">
        <f t="shared" si="272"/>
        <v>0</v>
      </c>
      <c r="U180" s="984" t="e">
        <f t="shared" si="273"/>
        <v>#VALUE!</v>
      </c>
      <c r="V180" s="984" t="e">
        <f t="shared" si="274"/>
        <v>#VALUE!</v>
      </c>
      <c r="W180" s="888"/>
      <c r="X180" s="1151" t="e">
        <f t="shared" si="263"/>
        <v>#VALUE!</v>
      </c>
      <c r="Y180" s="977">
        <f t="shared" si="275"/>
        <v>0</v>
      </c>
      <c r="Z180" s="977"/>
      <c r="AA180" s="977" t="e">
        <f t="shared" si="276"/>
        <v>#VALUE!</v>
      </c>
      <c r="AB180" s="977" t="e">
        <f t="shared" si="277"/>
        <v>#VALUE!</v>
      </c>
      <c r="AC180" s="977" t="e">
        <f t="shared" si="278"/>
        <v>#VALUE!</v>
      </c>
      <c r="AD180" s="977" t="e">
        <f t="shared" si="279"/>
        <v>#VALUE!</v>
      </c>
      <c r="AE180" s="979" t="e">
        <f t="shared" si="264"/>
        <v>#VALUE!</v>
      </c>
      <c r="AF180" s="892"/>
      <c r="AG180" s="892"/>
      <c r="AH180" s="977">
        <f t="shared" si="280"/>
        <v>0</v>
      </c>
      <c r="AI180" s="977" t="e">
        <f t="shared" si="281"/>
        <v>#VALUE!</v>
      </c>
      <c r="AJ180" s="985" t="e">
        <f t="shared" si="282"/>
        <v>#VALUE!</v>
      </c>
      <c r="AK180" s="977">
        <f t="shared" si="283"/>
        <v>0</v>
      </c>
      <c r="AL180" s="977"/>
      <c r="AM180" s="977" t="e">
        <f t="shared" si="284"/>
        <v>#VALUE!</v>
      </c>
      <c r="AN180" s="977" t="e">
        <f t="shared" si="285"/>
        <v>#VALUE!</v>
      </c>
      <c r="AO180" s="977" t="e">
        <f t="shared" si="286"/>
        <v>#VALUE!</v>
      </c>
      <c r="AP180" s="986" t="e">
        <f t="shared" si="287"/>
        <v>#VALUE!</v>
      </c>
      <c r="AQ180" s="888"/>
      <c r="AR180" s="983">
        <f t="shared" si="288"/>
        <v>0</v>
      </c>
      <c r="AS180" s="888"/>
      <c r="AT180" s="987">
        <f t="shared" si="289"/>
        <v>0</v>
      </c>
      <c r="AU180" s="988">
        <f t="shared" si="290"/>
        <v>0</v>
      </c>
      <c r="AV180" s="989" t="str">
        <f t="shared" si="265"/>
        <v/>
      </c>
      <c r="AW180" s="990">
        <f t="shared" si="291"/>
        <v>133.21</v>
      </c>
      <c r="AX180" s="991">
        <f t="shared" si="292"/>
        <v>0</v>
      </c>
      <c r="AY180" s="992">
        <f>VLOOKUP(A180,'Drop Box Price Out'!$A$13:$G$93,7,FALSE)</f>
        <v>140.05000000000001</v>
      </c>
      <c r="AZ180" s="993">
        <f t="shared" si="293"/>
        <v>0</v>
      </c>
      <c r="BA180" s="994">
        <f t="shared" si="294"/>
        <v>5.134749643420166E-2</v>
      </c>
      <c r="BB180" s="126"/>
      <c r="BC180" s="1158">
        <f t="shared" si="266"/>
        <v>0</v>
      </c>
      <c r="BD180" s="1158">
        <f t="shared" si="267"/>
        <v>0</v>
      </c>
    </row>
    <row r="181" spans="1:56">
      <c r="A181" s="975" t="str">
        <f>'Drop Box Price Out'!A23</f>
        <v>12 yd Permanent MF</v>
      </c>
      <c r="B181" s="995">
        <f>'Drop Box Price Out'!B23</f>
        <v>0</v>
      </c>
      <c r="C181" s="977">
        <f t="shared" si="268"/>
        <v>0</v>
      </c>
      <c r="D181" s="1130"/>
      <c r="E181" s="977">
        <v>1</v>
      </c>
      <c r="F181" s="977">
        <f t="shared" si="298"/>
        <v>0</v>
      </c>
      <c r="G181" s="977"/>
      <c r="H181" s="996">
        <f>'Drop Box Price Out'!D23</f>
        <v>0</v>
      </c>
      <c r="I181" s="979">
        <f t="shared" si="269"/>
        <v>0</v>
      </c>
      <c r="J181" s="1144">
        <f t="shared" si="270"/>
        <v>0</v>
      </c>
      <c r="K181" s="979">
        <f t="shared" si="271"/>
        <v>0</v>
      </c>
      <c r="L181" s="1146">
        <f>L180</f>
        <v>1440</v>
      </c>
      <c r="M181" s="1149" t="e">
        <f t="shared" si="295"/>
        <v>#VALUE!</v>
      </c>
      <c r="N181" s="980">
        <f t="shared" si="296"/>
        <v>0</v>
      </c>
      <c r="O181" s="981" t="e">
        <f t="shared" si="297"/>
        <v>#VALUE!</v>
      </c>
      <c r="P181" s="888"/>
      <c r="Q181" s="982">
        <v>900</v>
      </c>
      <c r="R181" s="983"/>
      <c r="S181" s="983"/>
      <c r="T181" s="984">
        <f t="shared" si="272"/>
        <v>0</v>
      </c>
      <c r="U181" s="984" t="e">
        <f t="shared" si="273"/>
        <v>#VALUE!</v>
      </c>
      <c r="V181" s="984" t="e">
        <f t="shared" si="274"/>
        <v>#VALUE!</v>
      </c>
      <c r="W181" s="888"/>
      <c r="X181" s="1151" t="e">
        <f t="shared" si="263"/>
        <v>#VALUE!</v>
      </c>
      <c r="Y181" s="977">
        <f t="shared" si="275"/>
        <v>0</v>
      </c>
      <c r="Z181" s="977"/>
      <c r="AA181" s="977" t="e">
        <f t="shared" si="276"/>
        <v>#VALUE!</v>
      </c>
      <c r="AB181" s="977" t="e">
        <f t="shared" si="277"/>
        <v>#VALUE!</v>
      </c>
      <c r="AC181" s="977" t="e">
        <f t="shared" si="278"/>
        <v>#VALUE!</v>
      </c>
      <c r="AD181" s="977" t="e">
        <f t="shared" si="279"/>
        <v>#VALUE!</v>
      </c>
      <c r="AE181" s="979" t="e">
        <f t="shared" si="264"/>
        <v>#VALUE!</v>
      </c>
      <c r="AF181" s="892"/>
      <c r="AG181" s="892"/>
      <c r="AH181" s="977">
        <f t="shared" si="280"/>
        <v>0</v>
      </c>
      <c r="AI181" s="977" t="e">
        <f t="shared" si="281"/>
        <v>#VALUE!</v>
      </c>
      <c r="AJ181" s="985" t="e">
        <f t="shared" si="282"/>
        <v>#VALUE!</v>
      </c>
      <c r="AK181" s="977">
        <f t="shared" si="283"/>
        <v>0</v>
      </c>
      <c r="AL181" s="977"/>
      <c r="AM181" s="977" t="e">
        <f t="shared" si="284"/>
        <v>#VALUE!</v>
      </c>
      <c r="AN181" s="977" t="e">
        <f t="shared" si="285"/>
        <v>#VALUE!</v>
      </c>
      <c r="AO181" s="977" t="e">
        <f t="shared" si="286"/>
        <v>#VALUE!</v>
      </c>
      <c r="AP181" s="986" t="e">
        <f t="shared" si="287"/>
        <v>#VALUE!</v>
      </c>
      <c r="AQ181" s="888"/>
      <c r="AR181" s="983">
        <f t="shared" si="288"/>
        <v>0</v>
      </c>
      <c r="AS181" s="888"/>
      <c r="AT181" s="987">
        <f t="shared" si="289"/>
        <v>0</v>
      </c>
      <c r="AU181" s="988">
        <f t="shared" si="290"/>
        <v>0</v>
      </c>
      <c r="AV181" s="989" t="str">
        <f t="shared" si="265"/>
        <v/>
      </c>
      <c r="AW181" s="990">
        <f t="shared" si="291"/>
        <v>0</v>
      </c>
      <c r="AX181" s="991">
        <f t="shared" si="292"/>
        <v>0</v>
      </c>
      <c r="AY181" s="992">
        <f>VLOOKUP(A181,'Drop Box Price Out'!$A$13:$G$93,7,FALSE)</f>
        <v>0</v>
      </c>
      <c r="AZ181" s="993">
        <f t="shared" si="293"/>
        <v>0</v>
      </c>
      <c r="BA181" s="994" t="str">
        <f t="shared" si="294"/>
        <v/>
      </c>
      <c r="BC181" s="1158">
        <f t="shared" si="266"/>
        <v>0</v>
      </c>
      <c r="BD181" s="1158">
        <f t="shared" si="267"/>
        <v>0</v>
      </c>
    </row>
    <row r="182" spans="1:56">
      <c r="A182" s="975" t="str">
        <f>'Drop Box Price Out'!A24</f>
        <v>12 yd Temporary MF</v>
      </c>
      <c r="B182" s="995">
        <f>'Drop Box Price Out'!B24</f>
        <v>0</v>
      </c>
      <c r="C182" s="977">
        <f t="shared" si="268"/>
        <v>0</v>
      </c>
      <c r="D182" s="1130"/>
      <c r="E182" s="977">
        <v>1</v>
      </c>
      <c r="F182" s="977">
        <f t="shared" si="298"/>
        <v>0</v>
      </c>
      <c r="G182" s="977"/>
      <c r="H182" s="996">
        <f>'Drop Box Price Out'!D24</f>
        <v>0</v>
      </c>
      <c r="I182" s="979">
        <f t="shared" si="269"/>
        <v>0</v>
      </c>
      <c r="J182" s="1144">
        <f t="shared" si="270"/>
        <v>0</v>
      </c>
      <c r="K182" s="979">
        <f t="shared" si="271"/>
        <v>0</v>
      </c>
      <c r="L182" s="1146">
        <f>L181</f>
        <v>1440</v>
      </c>
      <c r="M182" s="1149" t="e">
        <f t="shared" si="295"/>
        <v>#VALUE!</v>
      </c>
      <c r="N182" s="980">
        <f t="shared" si="296"/>
        <v>0</v>
      </c>
      <c r="O182" s="981" t="e">
        <f t="shared" si="297"/>
        <v>#VALUE!</v>
      </c>
      <c r="P182" s="888"/>
      <c r="Q182" s="982">
        <v>900</v>
      </c>
      <c r="R182" s="983"/>
      <c r="S182" s="983"/>
      <c r="T182" s="984">
        <f t="shared" si="272"/>
        <v>0</v>
      </c>
      <c r="U182" s="984" t="e">
        <f t="shared" si="273"/>
        <v>#VALUE!</v>
      </c>
      <c r="V182" s="984" t="e">
        <f t="shared" si="274"/>
        <v>#VALUE!</v>
      </c>
      <c r="W182" s="888"/>
      <c r="X182" s="1151" t="e">
        <f t="shared" si="263"/>
        <v>#VALUE!</v>
      </c>
      <c r="Y182" s="977">
        <f t="shared" si="275"/>
        <v>0</v>
      </c>
      <c r="Z182" s="977"/>
      <c r="AA182" s="977" t="e">
        <f t="shared" si="276"/>
        <v>#VALUE!</v>
      </c>
      <c r="AB182" s="977" t="e">
        <f t="shared" si="277"/>
        <v>#VALUE!</v>
      </c>
      <c r="AC182" s="977" t="e">
        <f t="shared" si="278"/>
        <v>#VALUE!</v>
      </c>
      <c r="AD182" s="977" t="e">
        <f t="shared" si="279"/>
        <v>#VALUE!</v>
      </c>
      <c r="AE182" s="979" t="e">
        <f t="shared" si="264"/>
        <v>#VALUE!</v>
      </c>
      <c r="AF182" s="892"/>
      <c r="AG182" s="892"/>
      <c r="AH182" s="977">
        <f t="shared" si="280"/>
        <v>0</v>
      </c>
      <c r="AI182" s="977" t="e">
        <f t="shared" si="281"/>
        <v>#VALUE!</v>
      </c>
      <c r="AJ182" s="985" t="e">
        <f t="shared" si="282"/>
        <v>#VALUE!</v>
      </c>
      <c r="AK182" s="977">
        <f t="shared" si="283"/>
        <v>0</v>
      </c>
      <c r="AL182" s="977"/>
      <c r="AM182" s="977" t="e">
        <f t="shared" si="284"/>
        <v>#VALUE!</v>
      </c>
      <c r="AN182" s="977" t="e">
        <f t="shared" si="285"/>
        <v>#VALUE!</v>
      </c>
      <c r="AO182" s="977" t="e">
        <f t="shared" si="286"/>
        <v>#VALUE!</v>
      </c>
      <c r="AP182" s="986" t="e">
        <f t="shared" si="287"/>
        <v>#VALUE!</v>
      </c>
      <c r="AQ182" s="888"/>
      <c r="AR182" s="983">
        <f t="shared" si="288"/>
        <v>0</v>
      </c>
      <c r="AS182" s="888"/>
      <c r="AT182" s="987">
        <f t="shared" si="289"/>
        <v>0</v>
      </c>
      <c r="AU182" s="988">
        <f t="shared" si="290"/>
        <v>0</v>
      </c>
      <c r="AV182" s="989" t="str">
        <f t="shared" si="265"/>
        <v/>
      </c>
      <c r="AW182" s="990">
        <f t="shared" si="291"/>
        <v>0</v>
      </c>
      <c r="AX182" s="991">
        <f t="shared" si="292"/>
        <v>0</v>
      </c>
      <c r="AY182" s="992">
        <f>VLOOKUP(A182,'Drop Box Price Out'!$A$13:$G$93,7,FALSE)</f>
        <v>0</v>
      </c>
      <c r="AZ182" s="993">
        <f t="shared" si="293"/>
        <v>0</v>
      </c>
      <c r="BA182" s="994" t="str">
        <f t="shared" si="294"/>
        <v/>
      </c>
      <c r="BC182" s="1158">
        <f t="shared" si="266"/>
        <v>0</v>
      </c>
      <c r="BD182" s="1158">
        <f t="shared" si="267"/>
        <v>0</v>
      </c>
    </row>
    <row r="183" spans="1:56">
      <c r="A183" s="975" t="str">
        <f>'Drop Box Price Out'!A25</f>
        <v>15 yd Compactors</v>
      </c>
      <c r="B183" s="995">
        <f>'Drop Box Price Out'!B25</f>
        <v>0</v>
      </c>
      <c r="C183" s="977">
        <f t="shared" si="268"/>
        <v>0</v>
      </c>
      <c r="D183" s="1130"/>
      <c r="E183" s="977">
        <v>1</v>
      </c>
      <c r="F183" s="977">
        <f t="shared" si="298"/>
        <v>0</v>
      </c>
      <c r="G183" s="977"/>
      <c r="H183" s="996">
        <f>'Drop Box Price Out'!D25</f>
        <v>141.88</v>
      </c>
      <c r="I183" s="979">
        <f t="shared" si="269"/>
        <v>0</v>
      </c>
      <c r="J183" s="1144">
        <f t="shared" si="270"/>
        <v>0</v>
      </c>
      <c r="K183" s="979">
        <f t="shared" si="271"/>
        <v>0</v>
      </c>
      <c r="L183" s="1147">
        <f>$L$171/10*15</f>
        <v>5400</v>
      </c>
      <c r="M183" s="1149" t="e">
        <f t="shared" si="295"/>
        <v>#VALUE!</v>
      </c>
      <c r="N183" s="980">
        <f t="shared" si="296"/>
        <v>0</v>
      </c>
      <c r="O183" s="981" t="e">
        <f t="shared" si="297"/>
        <v>#VALUE!</v>
      </c>
      <c r="P183" s="888"/>
      <c r="Q183" s="982">
        <v>900</v>
      </c>
      <c r="R183" s="983"/>
      <c r="S183" s="983"/>
      <c r="T183" s="984">
        <f t="shared" si="272"/>
        <v>0</v>
      </c>
      <c r="U183" s="984" t="e">
        <f t="shared" si="273"/>
        <v>#VALUE!</v>
      </c>
      <c r="V183" s="984" t="e">
        <f t="shared" si="274"/>
        <v>#VALUE!</v>
      </c>
      <c r="W183" s="888"/>
      <c r="X183" s="1151" t="e">
        <f t="shared" si="263"/>
        <v>#VALUE!</v>
      </c>
      <c r="Y183" s="977">
        <f t="shared" si="275"/>
        <v>0</v>
      </c>
      <c r="Z183" s="977"/>
      <c r="AA183" s="977" t="e">
        <f t="shared" si="276"/>
        <v>#VALUE!</v>
      </c>
      <c r="AB183" s="977" t="e">
        <f t="shared" si="277"/>
        <v>#VALUE!</v>
      </c>
      <c r="AC183" s="977" t="e">
        <f t="shared" si="278"/>
        <v>#VALUE!</v>
      </c>
      <c r="AD183" s="977" t="e">
        <f t="shared" si="279"/>
        <v>#VALUE!</v>
      </c>
      <c r="AE183" s="979" t="e">
        <f t="shared" si="264"/>
        <v>#VALUE!</v>
      </c>
      <c r="AF183" s="892"/>
      <c r="AG183" s="892"/>
      <c r="AH183" s="977">
        <f t="shared" si="280"/>
        <v>0</v>
      </c>
      <c r="AI183" s="977" t="e">
        <f t="shared" si="281"/>
        <v>#VALUE!</v>
      </c>
      <c r="AJ183" s="985" t="e">
        <f t="shared" si="282"/>
        <v>#VALUE!</v>
      </c>
      <c r="AK183" s="977">
        <f t="shared" si="283"/>
        <v>0</v>
      </c>
      <c r="AL183" s="977"/>
      <c r="AM183" s="977" t="e">
        <f t="shared" si="284"/>
        <v>#VALUE!</v>
      </c>
      <c r="AN183" s="977" t="e">
        <f t="shared" si="285"/>
        <v>#VALUE!</v>
      </c>
      <c r="AO183" s="977" t="e">
        <f t="shared" si="286"/>
        <v>#VALUE!</v>
      </c>
      <c r="AP183" s="986" t="e">
        <f t="shared" si="287"/>
        <v>#VALUE!</v>
      </c>
      <c r="AQ183" s="888"/>
      <c r="AR183" s="983">
        <f t="shared" si="288"/>
        <v>0</v>
      </c>
      <c r="AS183" s="888"/>
      <c r="AT183" s="987">
        <f t="shared" si="289"/>
        <v>0</v>
      </c>
      <c r="AU183" s="988">
        <f t="shared" si="290"/>
        <v>0</v>
      </c>
      <c r="AV183" s="989" t="str">
        <f t="shared" si="265"/>
        <v/>
      </c>
      <c r="AW183" s="990">
        <f t="shared" si="291"/>
        <v>141.88</v>
      </c>
      <c r="AX183" s="991">
        <f t="shared" si="292"/>
        <v>0</v>
      </c>
      <c r="AY183" s="992">
        <f>VLOOKUP(A183,'Drop Box Price Out'!$A$13:$G$93,7,FALSE)</f>
        <v>149.15</v>
      </c>
      <c r="AZ183" s="993">
        <f t="shared" si="293"/>
        <v>0</v>
      </c>
      <c r="BA183" s="994">
        <f t="shared" si="294"/>
        <v>5.1240484916831197E-2</v>
      </c>
      <c r="BC183" s="1158">
        <f t="shared" si="266"/>
        <v>0</v>
      </c>
      <c r="BD183" s="1158">
        <f t="shared" si="267"/>
        <v>0</v>
      </c>
    </row>
    <row r="184" spans="1:56">
      <c r="A184" s="975" t="str">
        <f>'Drop Box Price Out'!A26</f>
        <v>15 yd Compactors MF</v>
      </c>
      <c r="B184" s="995">
        <f>'Drop Box Price Out'!B26</f>
        <v>0</v>
      </c>
      <c r="C184" s="977">
        <f t="shared" si="268"/>
        <v>0</v>
      </c>
      <c r="D184" s="1130"/>
      <c r="E184" s="977">
        <v>1</v>
      </c>
      <c r="F184" s="977">
        <f t="shared" si="298"/>
        <v>0</v>
      </c>
      <c r="G184" s="977"/>
      <c r="H184" s="996">
        <f>'Drop Box Price Out'!D26</f>
        <v>223.59</v>
      </c>
      <c r="I184" s="979">
        <f t="shared" si="269"/>
        <v>0</v>
      </c>
      <c r="J184" s="1144">
        <f t="shared" si="270"/>
        <v>0</v>
      </c>
      <c r="K184" s="979">
        <f t="shared" si="271"/>
        <v>0</v>
      </c>
      <c r="L184" s="1146">
        <f>L183</f>
        <v>5400</v>
      </c>
      <c r="M184" s="1149" t="e">
        <f t="shared" si="295"/>
        <v>#VALUE!</v>
      </c>
      <c r="N184" s="980">
        <f t="shared" si="296"/>
        <v>0</v>
      </c>
      <c r="O184" s="981" t="e">
        <f t="shared" si="297"/>
        <v>#VALUE!</v>
      </c>
      <c r="P184" s="888"/>
      <c r="Q184" s="982">
        <v>900</v>
      </c>
      <c r="R184" s="983"/>
      <c r="S184" s="983"/>
      <c r="T184" s="984">
        <f t="shared" si="272"/>
        <v>0</v>
      </c>
      <c r="U184" s="984" t="e">
        <f t="shared" si="273"/>
        <v>#VALUE!</v>
      </c>
      <c r="V184" s="984" t="e">
        <f t="shared" si="274"/>
        <v>#VALUE!</v>
      </c>
      <c r="W184" s="888"/>
      <c r="X184" s="1151" t="e">
        <f t="shared" si="263"/>
        <v>#VALUE!</v>
      </c>
      <c r="Y184" s="977">
        <f t="shared" si="275"/>
        <v>0</v>
      </c>
      <c r="Z184" s="977"/>
      <c r="AA184" s="977" t="e">
        <f t="shared" si="276"/>
        <v>#VALUE!</v>
      </c>
      <c r="AB184" s="977" t="e">
        <f t="shared" si="277"/>
        <v>#VALUE!</v>
      </c>
      <c r="AC184" s="977" t="e">
        <f t="shared" si="278"/>
        <v>#VALUE!</v>
      </c>
      <c r="AD184" s="977" t="e">
        <f t="shared" si="279"/>
        <v>#VALUE!</v>
      </c>
      <c r="AE184" s="979" t="e">
        <f t="shared" si="264"/>
        <v>#VALUE!</v>
      </c>
      <c r="AF184" s="892"/>
      <c r="AG184" s="892"/>
      <c r="AH184" s="977">
        <f t="shared" si="280"/>
        <v>0</v>
      </c>
      <c r="AI184" s="977" t="e">
        <f t="shared" si="281"/>
        <v>#VALUE!</v>
      </c>
      <c r="AJ184" s="985" t="e">
        <f t="shared" si="282"/>
        <v>#VALUE!</v>
      </c>
      <c r="AK184" s="977">
        <f t="shared" si="283"/>
        <v>0</v>
      </c>
      <c r="AL184" s="977"/>
      <c r="AM184" s="977" t="e">
        <f t="shared" si="284"/>
        <v>#VALUE!</v>
      </c>
      <c r="AN184" s="977" t="e">
        <f t="shared" si="285"/>
        <v>#VALUE!</v>
      </c>
      <c r="AO184" s="977" t="e">
        <f t="shared" si="286"/>
        <v>#VALUE!</v>
      </c>
      <c r="AP184" s="986" t="e">
        <f t="shared" si="287"/>
        <v>#VALUE!</v>
      </c>
      <c r="AQ184" s="888"/>
      <c r="AR184" s="983">
        <f t="shared" si="288"/>
        <v>0</v>
      </c>
      <c r="AS184" s="888"/>
      <c r="AT184" s="987">
        <f t="shared" si="289"/>
        <v>0</v>
      </c>
      <c r="AU184" s="988">
        <f t="shared" si="290"/>
        <v>0</v>
      </c>
      <c r="AV184" s="989" t="str">
        <f t="shared" si="265"/>
        <v/>
      </c>
      <c r="AW184" s="990">
        <f t="shared" si="291"/>
        <v>223.59</v>
      </c>
      <c r="AX184" s="991">
        <f t="shared" si="292"/>
        <v>0</v>
      </c>
      <c r="AY184" s="992">
        <f>VLOOKUP(A184,'Drop Box Price Out'!$A$13:$G$93,7,FALSE)</f>
        <v>235.05</v>
      </c>
      <c r="AZ184" s="993">
        <f t="shared" si="293"/>
        <v>0</v>
      </c>
      <c r="BA184" s="994">
        <f t="shared" si="294"/>
        <v>5.1254528377834466E-2</v>
      </c>
      <c r="BC184" s="1158">
        <f t="shared" si="266"/>
        <v>0</v>
      </c>
      <c r="BD184" s="1158">
        <f t="shared" si="267"/>
        <v>0</v>
      </c>
    </row>
    <row r="185" spans="1:56">
      <c r="A185" s="975" t="str">
        <f>'Drop Box Price Out'!A27</f>
        <v>15 yd Permanent</v>
      </c>
      <c r="B185" s="995">
        <f>'Drop Box Price Out'!B27</f>
        <v>0</v>
      </c>
      <c r="C185" s="977">
        <f t="shared" si="268"/>
        <v>0</v>
      </c>
      <c r="D185" s="1130"/>
      <c r="E185" s="977">
        <v>1</v>
      </c>
      <c r="F185" s="977">
        <f t="shared" si="298"/>
        <v>0</v>
      </c>
      <c r="G185" s="977"/>
      <c r="H185" s="996">
        <f>'Drop Box Price Out'!D27</f>
        <v>128.04</v>
      </c>
      <c r="I185" s="979">
        <f t="shared" si="269"/>
        <v>0</v>
      </c>
      <c r="J185" s="1144">
        <f t="shared" si="270"/>
        <v>0</v>
      </c>
      <c r="K185" s="979">
        <f t="shared" si="271"/>
        <v>0</v>
      </c>
      <c r="L185" s="1147">
        <f>L173/10*15</f>
        <v>1800</v>
      </c>
      <c r="M185" s="1149" t="e">
        <f t="shared" si="295"/>
        <v>#VALUE!</v>
      </c>
      <c r="N185" s="980">
        <f t="shared" si="296"/>
        <v>0</v>
      </c>
      <c r="O185" s="981" t="e">
        <f t="shared" si="297"/>
        <v>#VALUE!</v>
      </c>
      <c r="P185" s="959"/>
      <c r="Q185" s="998">
        <v>900</v>
      </c>
      <c r="R185" s="981"/>
      <c r="S185" s="981"/>
      <c r="T185" s="984">
        <f t="shared" si="272"/>
        <v>0</v>
      </c>
      <c r="U185" s="984" t="e">
        <f t="shared" si="273"/>
        <v>#VALUE!</v>
      </c>
      <c r="V185" s="984" t="e">
        <f t="shared" si="274"/>
        <v>#VALUE!</v>
      </c>
      <c r="W185" s="959"/>
      <c r="X185" s="1151" t="e">
        <f t="shared" si="263"/>
        <v>#VALUE!</v>
      </c>
      <c r="Y185" s="977">
        <f t="shared" si="275"/>
        <v>0</v>
      </c>
      <c r="Z185" s="977"/>
      <c r="AA185" s="977" t="e">
        <f t="shared" si="276"/>
        <v>#VALUE!</v>
      </c>
      <c r="AB185" s="977" t="e">
        <f t="shared" si="277"/>
        <v>#VALUE!</v>
      </c>
      <c r="AC185" s="977" t="e">
        <f t="shared" si="278"/>
        <v>#VALUE!</v>
      </c>
      <c r="AD185" s="977" t="e">
        <f t="shared" si="279"/>
        <v>#VALUE!</v>
      </c>
      <c r="AE185" s="979" t="e">
        <f t="shared" si="264"/>
        <v>#VALUE!</v>
      </c>
      <c r="AF185" s="892"/>
      <c r="AG185" s="892"/>
      <c r="AH185" s="977">
        <f t="shared" si="280"/>
        <v>0</v>
      </c>
      <c r="AI185" s="977" t="e">
        <f t="shared" si="281"/>
        <v>#VALUE!</v>
      </c>
      <c r="AJ185" s="985" t="e">
        <f t="shared" si="282"/>
        <v>#VALUE!</v>
      </c>
      <c r="AK185" s="977">
        <f t="shared" si="283"/>
        <v>0</v>
      </c>
      <c r="AL185" s="977"/>
      <c r="AM185" s="977" t="e">
        <f t="shared" si="284"/>
        <v>#VALUE!</v>
      </c>
      <c r="AN185" s="977" t="e">
        <f t="shared" si="285"/>
        <v>#VALUE!</v>
      </c>
      <c r="AO185" s="977" t="e">
        <f t="shared" si="286"/>
        <v>#VALUE!</v>
      </c>
      <c r="AP185" s="986" t="e">
        <f t="shared" si="287"/>
        <v>#VALUE!</v>
      </c>
      <c r="AQ185" s="959"/>
      <c r="AR185" s="983">
        <f t="shared" si="288"/>
        <v>0</v>
      </c>
      <c r="AS185" s="959"/>
      <c r="AT185" s="987">
        <f t="shared" si="289"/>
        <v>0</v>
      </c>
      <c r="AU185" s="988">
        <f t="shared" si="290"/>
        <v>0</v>
      </c>
      <c r="AV185" s="989" t="str">
        <f t="shared" si="265"/>
        <v/>
      </c>
      <c r="AW185" s="990">
        <f t="shared" si="291"/>
        <v>128.04</v>
      </c>
      <c r="AX185" s="991">
        <f t="shared" si="292"/>
        <v>0</v>
      </c>
      <c r="AY185" s="992">
        <f>VLOOKUP(A185,'Drop Box Price Out'!$A$13:$G$93,7,FALSE)</f>
        <v>134.6</v>
      </c>
      <c r="AZ185" s="993">
        <f t="shared" si="293"/>
        <v>0</v>
      </c>
      <c r="BA185" s="994">
        <f t="shared" si="294"/>
        <v>5.1233989378319293E-2</v>
      </c>
      <c r="BC185" s="1158">
        <f t="shared" si="266"/>
        <v>0</v>
      </c>
      <c r="BD185" s="1158">
        <f t="shared" si="267"/>
        <v>0</v>
      </c>
    </row>
    <row r="186" spans="1:56" s="160" customFormat="1">
      <c r="A186" s="975" t="str">
        <f>'Drop Box Price Out'!A28</f>
        <v>15 yd Temporary</v>
      </c>
      <c r="B186" s="995">
        <f>'Drop Box Price Out'!B28</f>
        <v>3</v>
      </c>
      <c r="C186" s="977">
        <f t="shared" si="268"/>
        <v>3.1821370492796959</v>
      </c>
      <c r="D186" s="1130"/>
      <c r="E186" s="977">
        <v>1</v>
      </c>
      <c r="F186" s="977">
        <f t="shared" si="298"/>
        <v>0.7349046303186364</v>
      </c>
      <c r="G186" s="977"/>
      <c r="H186" s="996">
        <f>'Drop Box Price Out'!D28</f>
        <v>133.21</v>
      </c>
      <c r="I186" s="979">
        <f t="shared" si="269"/>
        <v>33.302500000000002</v>
      </c>
      <c r="J186" s="1144">
        <f t="shared" si="270"/>
        <v>399.63</v>
      </c>
      <c r="K186" s="979">
        <f t="shared" si="271"/>
        <v>423.89247633454829</v>
      </c>
      <c r="L186" s="1146">
        <f>L185</f>
        <v>1800</v>
      </c>
      <c r="M186" s="1149" t="e">
        <f t="shared" si="295"/>
        <v>#VALUE!</v>
      </c>
      <c r="N186" s="980">
        <f t="shared" si="296"/>
        <v>2.86</v>
      </c>
      <c r="O186" s="981" t="e">
        <f t="shared" si="297"/>
        <v>#VALUE!</v>
      </c>
      <c r="P186" s="959"/>
      <c r="Q186" s="998">
        <v>900</v>
      </c>
      <c r="R186" s="981"/>
      <c r="S186" s="981"/>
      <c r="T186" s="984">
        <f t="shared" si="272"/>
        <v>0.79553426231992397</v>
      </c>
      <c r="U186" s="984" t="e">
        <f t="shared" si="273"/>
        <v>#VALUE!</v>
      </c>
      <c r="V186" s="984" t="e">
        <f t="shared" si="274"/>
        <v>#VALUE!</v>
      </c>
      <c r="W186" s="959"/>
      <c r="X186" s="1151" t="e">
        <f t="shared" si="263"/>
        <v>#VALUE!</v>
      </c>
      <c r="Y186" s="977">
        <f t="shared" si="275"/>
        <v>47.722327231301627</v>
      </c>
      <c r="Z186" s="977"/>
      <c r="AA186" s="977" t="e">
        <f t="shared" si="276"/>
        <v>#VALUE!</v>
      </c>
      <c r="AB186" s="977" t="e">
        <f t="shared" si="277"/>
        <v>#VALUE!</v>
      </c>
      <c r="AC186" s="977" t="e">
        <f t="shared" si="278"/>
        <v>#VALUE!</v>
      </c>
      <c r="AD186" s="977" t="e">
        <f t="shared" si="279"/>
        <v>#VALUE!</v>
      </c>
      <c r="AE186" s="979" t="e">
        <f t="shared" si="264"/>
        <v>#VALUE!</v>
      </c>
      <c r="AF186" s="892"/>
      <c r="AG186" s="892"/>
      <c r="AH186" s="977">
        <f t="shared" si="280"/>
        <v>0</v>
      </c>
      <c r="AI186" s="977" t="e">
        <f t="shared" si="281"/>
        <v>#VALUE!</v>
      </c>
      <c r="AJ186" s="985" t="e">
        <f t="shared" si="282"/>
        <v>#VALUE!</v>
      </c>
      <c r="AK186" s="977">
        <f t="shared" si="283"/>
        <v>0</v>
      </c>
      <c r="AL186" s="977"/>
      <c r="AM186" s="977" t="e">
        <f t="shared" si="284"/>
        <v>#VALUE!</v>
      </c>
      <c r="AN186" s="977" t="e">
        <f t="shared" si="285"/>
        <v>#VALUE!</v>
      </c>
      <c r="AO186" s="977" t="e">
        <f t="shared" si="286"/>
        <v>#VALUE!</v>
      </c>
      <c r="AP186" s="986" t="e">
        <f t="shared" si="287"/>
        <v>#VALUE!</v>
      </c>
      <c r="AQ186" s="959"/>
      <c r="AR186" s="983">
        <f t="shared" si="288"/>
        <v>0</v>
      </c>
      <c r="AS186" s="959"/>
      <c r="AT186" s="987">
        <f t="shared" si="289"/>
        <v>0</v>
      </c>
      <c r="AU186" s="988">
        <f t="shared" si="290"/>
        <v>0</v>
      </c>
      <c r="AV186" s="989" t="str">
        <f t="shared" si="265"/>
        <v/>
      </c>
      <c r="AW186" s="990">
        <f t="shared" si="291"/>
        <v>133.21</v>
      </c>
      <c r="AX186" s="991">
        <f t="shared" si="292"/>
        <v>423.89247633454829</v>
      </c>
      <c r="AY186" s="992">
        <f>VLOOKUP(A186,'Drop Box Price Out'!$A$13:$G$93,7,FALSE)</f>
        <v>140.05000000000001</v>
      </c>
      <c r="AZ186" s="993">
        <f t="shared" si="293"/>
        <v>445.65829375162144</v>
      </c>
      <c r="BA186" s="994">
        <f t="shared" si="294"/>
        <v>5.134749643420166E-2</v>
      </c>
      <c r="BC186" s="1158">
        <f t="shared" si="266"/>
        <v>-423.89247633454829</v>
      </c>
      <c r="BD186" s="1158">
        <f t="shared" si="267"/>
        <v>-445.65829375162144</v>
      </c>
    </row>
    <row r="187" spans="1:56">
      <c r="A187" s="975" t="str">
        <f>'Drop Box Price Out'!A29</f>
        <v>15 yd Permanent MF</v>
      </c>
      <c r="B187" s="995">
        <f>'Drop Box Price Out'!B29</f>
        <v>0</v>
      </c>
      <c r="C187" s="977">
        <f t="shared" si="268"/>
        <v>0</v>
      </c>
      <c r="D187" s="1130"/>
      <c r="E187" s="977">
        <v>1</v>
      </c>
      <c r="F187" s="977">
        <f t="shared" si="298"/>
        <v>0</v>
      </c>
      <c r="G187" s="977"/>
      <c r="H187" s="996">
        <f>'Drop Box Price Out'!D29</f>
        <v>163.97</v>
      </c>
      <c r="I187" s="979">
        <f t="shared" si="269"/>
        <v>0</v>
      </c>
      <c r="J187" s="1144">
        <f t="shared" si="270"/>
        <v>0</v>
      </c>
      <c r="K187" s="979">
        <f t="shared" si="271"/>
        <v>0</v>
      </c>
      <c r="L187" s="1146">
        <f>L186</f>
        <v>1800</v>
      </c>
      <c r="M187" s="1149" t="e">
        <f t="shared" si="295"/>
        <v>#VALUE!</v>
      </c>
      <c r="N187" s="980">
        <f t="shared" si="296"/>
        <v>0</v>
      </c>
      <c r="O187" s="981" t="e">
        <f t="shared" si="297"/>
        <v>#VALUE!</v>
      </c>
      <c r="P187" s="888"/>
      <c r="Q187" s="982">
        <v>900</v>
      </c>
      <c r="R187" s="983"/>
      <c r="S187" s="983"/>
      <c r="T187" s="984">
        <f t="shared" si="272"/>
        <v>0</v>
      </c>
      <c r="U187" s="984" t="e">
        <f t="shared" si="273"/>
        <v>#VALUE!</v>
      </c>
      <c r="V187" s="984" t="e">
        <f t="shared" si="274"/>
        <v>#VALUE!</v>
      </c>
      <c r="W187" s="888"/>
      <c r="X187" s="1151" t="e">
        <f t="shared" si="263"/>
        <v>#VALUE!</v>
      </c>
      <c r="Y187" s="977">
        <f t="shared" si="275"/>
        <v>0</v>
      </c>
      <c r="Z187" s="977"/>
      <c r="AA187" s="977" t="e">
        <f t="shared" si="276"/>
        <v>#VALUE!</v>
      </c>
      <c r="AB187" s="977" t="e">
        <f t="shared" si="277"/>
        <v>#VALUE!</v>
      </c>
      <c r="AC187" s="977" t="e">
        <f t="shared" si="278"/>
        <v>#VALUE!</v>
      </c>
      <c r="AD187" s="977" t="e">
        <f t="shared" si="279"/>
        <v>#VALUE!</v>
      </c>
      <c r="AE187" s="979" t="e">
        <f t="shared" si="264"/>
        <v>#VALUE!</v>
      </c>
      <c r="AF187" s="892"/>
      <c r="AG187" s="892"/>
      <c r="AH187" s="977">
        <f t="shared" si="280"/>
        <v>0</v>
      </c>
      <c r="AI187" s="977" t="e">
        <f t="shared" si="281"/>
        <v>#VALUE!</v>
      </c>
      <c r="AJ187" s="985" t="e">
        <f t="shared" si="282"/>
        <v>#VALUE!</v>
      </c>
      <c r="AK187" s="977">
        <f t="shared" si="283"/>
        <v>0</v>
      </c>
      <c r="AL187" s="977"/>
      <c r="AM187" s="977" t="e">
        <f t="shared" si="284"/>
        <v>#VALUE!</v>
      </c>
      <c r="AN187" s="977" t="e">
        <f t="shared" si="285"/>
        <v>#VALUE!</v>
      </c>
      <c r="AO187" s="977" t="e">
        <f t="shared" si="286"/>
        <v>#VALUE!</v>
      </c>
      <c r="AP187" s="986" t="e">
        <f t="shared" si="287"/>
        <v>#VALUE!</v>
      </c>
      <c r="AQ187" s="888"/>
      <c r="AR187" s="983">
        <f t="shared" si="288"/>
        <v>0</v>
      </c>
      <c r="AS187" s="888"/>
      <c r="AT187" s="987">
        <f t="shared" si="289"/>
        <v>0</v>
      </c>
      <c r="AU187" s="988">
        <f t="shared" si="290"/>
        <v>0</v>
      </c>
      <c r="AV187" s="989" t="str">
        <f t="shared" si="265"/>
        <v/>
      </c>
      <c r="AW187" s="990">
        <f t="shared" si="291"/>
        <v>163.97</v>
      </c>
      <c r="AX187" s="991">
        <f t="shared" si="292"/>
        <v>0</v>
      </c>
      <c r="AY187" s="992">
        <f>VLOOKUP(A187,'Drop Box Price Out'!$A$13:$G$93,7,FALSE)</f>
        <v>172.4</v>
      </c>
      <c r="AZ187" s="993">
        <f t="shared" si="293"/>
        <v>0</v>
      </c>
      <c r="BA187" s="994">
        <f t="shared" si="294"/>
        <v>5.1411843629932348E-2</v>
      </c>
      <c r="BC187" s="1158">
        <f t="shared" si="266"/>
        <v>0</v>
      </c>
      <c r="BD187" s="1158">
        <f t="shared" si="267"/>
        <v>0</v>
      </c>
    </row>
    <row r="188" spans="1:56">
      <c r="A188" s="975" t="str">
        <f>'Drop Box Price Out'!A30</f>
        <v>15 yd Temporary MF</v>
      </c>
      <c r="B188" s="995">
        <f>'Drop Box Price Out'!B30</f>
        <v>0</v>
      </c>
      <c r="C188" s="977">
        <f t="shared" si="268"/>
        <v>0</v>
      </c>
      <c r="D188" s="1130"/>
      <c r="E188" s="977">
        <v>1</v>
      </c>
      <c r="F188" s="977">
        <f t="shared" si="298"/>
        <v>0</v>
      </c>
      <c r="G188" s="977"/>
      <c r="H188" s="996">
        <f>'Drop Box Price Out'!D30</f>
        <v>169.12</v>
      </c>
      <c r="I188" s="979">
        <f t="shared" si="269"/>
        <v>0</v>
      </c>
      <c r="J188" s="1144">
        <f t="shared" si="270"/>
        <v>0</v>
      </c>
      <c r="K188" s="979">
        <f t="shared" si="271"/>
        <v>0</v>
      </c>
      <c r="L188" s="1146">
        <f>L187</f>
        <v>1800</v>
      </c>
      <c r="M188" s="1149" t="e">
        <f t="shared" si="295"/>
        <v>#VALUE!</v>
      </c>
      <c r="N188" s="980">
        <f t="shared" si="296"/>
        <v>0</v>
      </c>
      <c r="O188" s="981" t="e">
        <f t="shared" si="297"/>
        <v>#VALUE!</v>
      </c>
      <c r="P188" s="888"/>
      <c r="Q188" s="982">
        <v>900</v>
      </c>
      <c r="R188" s="983"/>
      <c r="S188" s="983"/>
      <c r="T188" s="984">
        <f t="shared" si="272"/>
        <v>0</v>
      </c>
      <c r="U188" s="984" t="e">
        <f t="shared" si="273"/>
        <v>#VALUE!</v>
      </c>
      <c r="V188" s="984" t="e">
        <f t="shared" si="274"/>
        <v>#VALUE!</v>
      </c>
      <c r="W188" s="888"/>
      <c r="X188" s="1151" t="e">
        <f t="shared" si="263"/>
        <v>#VALUE!</v>
      </c>
      <c r="Y188" s="977">
        <f t="shared" si="275"/>
        <v>0</v>
      </c>
      <c r="Z188" s="977"/>
      <c r="AA188" s="977" t="e">
        <f t="shared" si="276"/>
        <v>#VALUE!</v>
      </c>
      <c r="AB188" s="977" t="e">
        <f t="shared" si="277"/>
        <v>#VALUE!</v>
      </c>
      <c r="AC188" s="977" t="e">
        <f t="shared" si="278"/>
        <v>#VALUE!</v>
      </c>
      <c r="AD188" s="977" t="e">
        <f t="shared" si="279"/>
        <v>#VALUE!</v>
      </c>
      <c r="AE188" s="979" t="e">
        <f t="shared" si="264"/>
        <v>#VALUE!</v>
      </c>
      <c r="AF188" s="892"/>
      <c r="AG188" s="892"/>
      <c r="AH188" s="977">
        <f t="shared" si="280"/>
        <v>0</v>
      </c>
      <c r="AI188" s="977" t="e">
        <f t="shared" si="281"/>
        <v>#VALUE!</v>
      </c>
      <c r="AJ188" s="985" t="e">
        <f t="shared" si="282"/>
        <v>#VALUE!</v>
      </c>
      <c r="AK188" s="977">
        <f t="shared" si="283"/>
        <v>0</v>
      </c>
      <c r="AL188" s="977"/>
      <c r="AM188" s="977" t="e">
        <f t="shared" si="284"/>
        <v>#VALUE!</v>
      </c>
      <c r="AN188" s="977" t="e">
        <f t="shared" si="285"/>
        <v>#VALUE!</v>
      </c>
      <c r="AO188" s="977" t="e">
        <f t="shared" si="286"/>
        <v>#VALUE!</v>
      </c>
      <c r="AP188" s="986" t="e">
        <f t="shared" si="287"/>
        <v>#VALUE!</v>
      </c>
      <c r="AQ188" s="888"/>
      <c r="AR188" s="983">
        <f t="shared" si="288"/>
        <v>0</v>
      </c>
      <c r="AS188" s="888"/>
      <c r="AT188" s="987">
        <f t="shared" si="289"/>
        <v>0</v>
      </c>
      <c r="AU188" s="988">
        <f t="shared" si="290"/>
        <v>0</v>
      </c>
      <c r="AV188" s="989" t="str">
        <f t="shared" si="265"/>
        <v/>
      </c>
      <c r="AW188" s="990">
        <f t="shared" si="291"/>
        <v>169.12</v>
      </c>
      <c r="AX188" s="991">
        <f t="shared" si="292"/>
        <v>0</v>
      </c>
      <c r="AY188" s="992">
        <f>VLOOKUP(A188,'Drop Box Price Out'!$A$13:$G$93,7,FALSE)</f>
        <v>177.8</v>
      </c>
      <c r="AZ188" s="993">
        <f t="shared" si="293"/>
        <v>0</v>
      </c>
      <c r="BA188" s="994">
        <f t="shared" si="294"/>
        <v>5.1324503311258318E-2</v>
      </c>
      <c r="BC188" s="1158">
        <f t="shared" si="266"/>
        <v>0</v>
      </c>
      <c r="BD188" s="1158">
        <f t="shared" si="267"/>
        <v>0</v>
      </c>
    </row>
    <row r="189" spans="1:56">
      <c r="A189" s="975" t="str">
        <f>'Drop Box Price Out'!A31</f>
        <v>18 yd Compactors</v>
      </c>
      <c r="B189" s="995">
        <f>'Drop Box Price Out'!B31</f>
        <v>0</v>
      </c>
      <c r="C189" s="977">
        <f t="shared" si="268"/>
        <v>0</v>
      </c>
      <c r="D189" s="1130"/>
      <c r="E189" s="977">
        <v>1</v>
      </c>
      <c r="F189" s="977">
        <f t="shared" si="298"/>
        <v>0</v>
      </c>
      <c r="G189" s="977"/>
      <c r="H189" s="996">
        <f>'Drop Box Price Out'!D31</f>
        <v>141.88</v>
      </c>
      <c r="I189" s="979">
        <f t="shared" si="269"/>
        <v>0</v>
      </c>
      <c r="J189" s="1144">
        <f t="shared" si="270"/>
        <v>0</v>
      </c>
      <c r="K189" s="979">
        <f t="shared" si="271"/>
        <v>0</v>
      </c>
      <c r="L189" s="1147">
        <f>$L$171/10*18</f>
        <v>6480</v>
      </c>
      <c r="M189" s="1149" t="e">
        <f t="shared" si="295"/>
        <v>#VALUE!</v>
      </c>
      <c r="N189" s="980">
        <f t="shared" si="296"/>
        <v>0</v>
      </c>
      <c r="O189" s="981" t="e">
        <f t="shared" si="297"/>
        <v>#VALUE!</v>
      </c>
      <c r="P189" s="888"/>
      <c r="Q189" s="982">
        <v>900</v>
      </c>
      <c r="R189" s="983"/>
      <c r="S189" s="983"/>
      <c r="T189" s="984">
        <f t="shared" si="272"/>
        <v>0</v>
      </c>
      <c r="U189" s="984" t="e">
        <f t="shared" si="273"/>
        <v>#VALUE!</v>
      </c>
      <c r="V189" s="984" t="e">
        <f t="shared" si="274"/>
        <v>#VALUE!</v>
      </c>
      <c r="W189" s="888"/>
      <c r="X189" s="1151" t="e">
        <f t="shared" si="263"/>
        <v>#VALUE!</v>
      </c>
      <c r="Y189" s="977">
        <f t="shared" si="275"/>
        <v>0</v>
      </c>
      <c r="Z189" s="977"/>
      <c r="AA189" s="977" t="e">
        <f t="shared" si="276"/>
        <v>#VALUE!</v>
      </c>
      <c r="AB189" s="977" t="e">
        <f t="shared" si="277"/>
        <v>#VALUE!</v>
      </c>
      <c r="AC189" s="977" t="e">
        <f t="shared" si="278"/>
        <v>#VALUE!</v>
      </c>
      <c r="AD189" s="977" t="e">
        <f t="shared" si="279"/>
        <v>#VALUE!</v>
      </c>
      <c r="AE189" s="979" t="e">
        <f t="shared" si="264"/>
        <v>#VALUE!</v>
      </c>
      <c r="AF189" s="892"/>
      <c r="AG189" s="892"/>
      <c r="AH189" s="977">
        <f t="shared" si="280"/>
        <v>0</v>
      </c>
      <c r="AI189" s="977" t="e">
        <f t="shared" si="281"/>
        <v>#VALUE!</v>
      </c>
      <c r="AJ189" s="985" t="e">
        <f t="shared" si="282"/>
        <v>#VALUE!</v>
      </c>
      <c r="AK189" s="977">
        <f t="shared" si="283"/>
        <v>0</v>
      </c>
      <c r="AL189" s="977"/>
      <c r="AM189" s="977" t="e">
        <f t="shared" si="284"/>
        <v>#VALUE!</v>
      </c>
      <c r="AN189" s="977" t="e">
        <f t="shared" si="285"/>
        <v>#VALUE!</v>
      </c>
      <c r="AO189" s="977" t="e">
        <f t="shared" si="286"/>
        <v>#VALUE!</v>
      </c>
      <c r="AP189" s="986" t="e">
        <f t="shared" si="287"/>
        <v>#VALUE!</v>
      </c>
      <c r="AQ189" s="888"/>
      <c r="AR189" s="983">
        <f t="shared" si="288"/>
        <v>0</v>
      </c>
      <c r="AS189" s="888"/>
      <c r="AT189" s="987">
        <f t="shared" si="289"/>
        <v>0</v>
      </c>
      <c r="AU189" s="988">
        <f t="shared" si="290"/>
        <v>0</v>
      </c>
      <c r="AV189" s="989" t="str">
        <f t="shared" si="265"/>
        <v/>
      </c>
      <c r="AW189" s="990">
        <f t="shared" si="291"/>
        <v>141.88</v>
      </c>
      <c r="AX189" s="991">
        <f t="shared" si="292"/>
        <v>0</v>
      </c>
      <c r="AY189" s="992">
        <f>VLOOKUP(A189,'Drop Box Price Out'!$A$13:$G$93,7,FALSE)</f>
        <v>149.15</v>
      </c>
      <c r="AZ189" s="993">
        <f t="shared" si="293"/>
        <v>0</v>
      </c>
      <c r="BA189" s="994">
        <f t="shared" si="294"/>
        <v>5.1240484916831197E-2</v>
      </c>
      <c r="BC189" s="1158">
        <f t="shared" si="266"/>
        <v>0</v>
      </c>
      <c r="BD189" s="1158">
        <f t="shared" si="267"/>
        <v>0</v>
      </c>
    </row>
    <row r="190" spans="1:56">
      <c r="A190" s="975" t="str">
        <f>'Drop Box Price Out'!A32</f>
        <v>18 yd Compactors MF</v>
      </c>
      <c r="B190" s="995">
        <f>'Drop Box Price Out'!B32</f>
        <v>0</v>
      </c>
      <c r="C190" s="977">
        <f t="shared" si="268"/>
        <v>0</v>
      </c>
      <c r="D190" s="1130"/>
      <c r="E190" s="977">
        <v>1</v>
      </c>
      <c r="F190" s="977">
        <f t="shared" si="298"/>
        <v>0</v>
      </c>
      <c r="G190" s="977"/>
      <c r="H190" s="996">
        <f>'Drop Box Price Out'!D32</f>
        <v>0</v>
      </c>
      <c r="I190" s="979">
        <f t="shared" si="269"/>
        <v>0</v>
      </c>
      <c r="J190" s="1144">
        <f t="shared" si="270"/>
        <v>0</v>
      </c>
      <c r="K190" s="979">
        <f t="shared" si="271"/>
        <v>0</v>
      </c>
      <c r="L190" s="1146">
        <f>L189</f>
        <v>6480</v>
      </c>
      <c r="M190" s="1149" t="e">
        <f t="shared" si="295"/>
        <v>#VALUE!</v>
      </c>
      <c r="N190" s="980">
        <f t="shared" si="296"/>
        <v>0</v>
      </c>
      <c r="O190" s="981" t="e">
        <f t="shared" si="297"/>
        <v>#VALUE!</v>
      </c>
      <c r="P190" s="888"/>
      <c r="Q190" s="982">
        <v>900</v>
      </c>
      <c r="R190" s="983"/>
      <c r="S190" s="983"/>
      <c r="T190" s="984">
        <f t="shared" si="272"/>
        <v>0</v>
      </c>
      <c r="U190" s="984" t="e">
        <f t="shared" si="273"/>
        <v>#VALUE!</v>
      </c>
      <c r="V190" s="984" t="e">
        <f t="shared" si="274"/>
        <v>#VALUE!</v>
      </c>
      <c r="W190" s="888"/>
      <c r="X190" s="1151" t="e">
        <f t="shared" si="263"/>
        <v>#VALUE!</v>
      </c>
      <c r="Y190" s="977">
        <f t="shared" si="275"/>
        <v>0</v>
      </c>
      <c r="Z190" s="977"/>
      <c r="AA190" s="977" t="e">
        <f t="shared" si="276"/>
        <v>#VALUE!</v>
      </c>
      <c r="AB190" s="977" t="e">
        <f t="shared" si="277"/>
        <v>#VALUE!</v>
      </c>
      <c r="AC190" s="977" t="e">
        <f t="shared" si="278"/>
        <v>#VALUE!</v>
      </c>
      <c r="AD190" s="977" t="e">
        <f t="shared" si="279"/>
        <v>#VALUE!</v>
      </c>
      <c r="AE190" s="979" t="e">
        <f t="shared" si="264"/>
        <v>#VALUE!</v>
      </c>
      <c r="AF190" s="892"/>
      <c r="AG190" s="892"/>
      <c r="AH190" s="977">
        <f t="shared" si="280"/>
        <v>0</v>
      </c>
      <c r="AI190" s="977" t="e">
        <f t="shared" si="281"/>
        <v>#VALUE!</v>
      </c>
      <c r="AJ190" s="985" t="e">
        <f t="shared" si="282"/>
        <v>#VALUE!</v>
      </c>
      <c r="AK190" s="977">
        <f t="shared" si="283"/>
        <v>0</v>
      </c>
      <c r="AL190" s="977"/>
      <c r="AM190" s="977" t="e">
        <f t="shared" si="284"/>
        <v>#VALUE!</v>
      </c>
      <c r="AN190" s="977" t="e">
        <f t="shared" si="285"/>
        <v>#VALUE!</v>
      </c>
      <c r="AO190" s="977" t="e">
        <f t="shared" si="286"/>
        <v>#VALUE!</v>
      </c>
      <c r="AP190" s="986" t="e">
        <f t="shared" si="287"/>
        <v>#VALUE!</v>
      </c>
      <c r="AQ190" s="888"/>
      <c r="AR190" s="983">
        <f t="shared" si="288"/>
        <v>0</v>
      </c>
      <c r="AS190" s="888"/>
      <c r="AT190" s="987">
        <f t="shared" si="289"/>
        <v>0</v>
      </c>
      <c r="AU190" s="988">
        <f t="shared" si="290"/>
        <v>0</v>
      </c>
      <c r="AV190" s="989" t="str">
        <f t="shared" si="265"/>
        <v/>
      </c>
      <c r="AW190" s="990">
        <f t="shared" si="291"/>
        <v>0</v>
      </c>
      <c r="AX190" s="991">
        <f t="shared" si="292"/>
        <v>0</v>
      </c>
      <c r="AY190" s="992">
        <f>VLOOKUP(A190,'Drop Box Price Out'!$A$13:$G$93,7,FALSE)</f>
        <v>0</v>
      </c>
      <c r="AZ190" s="993">
        <f t="shared" si="293"/>
        <v>0</v>
      </c>
      <c r="BA190" s="994" t="str">
        <f t="shared" si="294"/>
        <v/>
      </c>
      <c r="BC190" s="1158">
        <f t="shared" si="266"/>
        <v>0</v>
      </c>
      <c r="BD190" s="1158">
        <f t="shared" si="267"/>
        <v>0</v>
      </c>
    </row>
    <row r="191" spans="1:56">
      <c r="A191" s="975" t="str">
        <f>'Drop Box Price Out'!A33</f>
        <v>18 yd Permanent</v>
      </c>
      <c r="B191" s="995">
        <f>'Drop Box Price Out'!B33</f>
        <v>0</v>
      </c>
      <c r="C191" s="977">
        <f t="shared" si="268"/>
        <v>0</v>
      </c>
      <c r="D191" s="1130"/>
      <c r="E191" s="977">
        <v>1</v>
      </c>
      <c r="F191" s="977">
        <f t="shared" si="298"/>
        <v>0</v>
      </c>
      <c r="G191" s="977"/>
      <c r="H191" s="996">
        <f>'Drop Box Price Out'!D33</f>
        <v>128.04</v>
      </c>
      <c r="I191" s="979">
        <f t="shared" si="269"/>
        <v>0</v>
      </c>
      <c r="J191" s="1144">
        <f t="shared" si="270"/>
        <v>0</v>
      </c>
      <c r="K191" s="979">
        <f t="shared" si="271"/>
        <v>0</v>
      </c>
      <c r="L191" s="1147">
        <f>L173/10*18</f>
        <v>2160</v>
      </c>
      <c r="M191" s="1149" t="e">
        <f t="shared" si="295"/>
        <v>#VALUE!</v>
      </c>
      <c r="N191" s="980">
        <f t="shared" si="296"/>
        <v>0</v>
      </c>
      <c r="O191" s="981" t="e">
        <f t="shared" si="297"/>
        <v>#VALUE!</v>
      </c>
      <c r="P191" s="888"/>
      <c r="Q191" s="982">
        <v>900</v>
      </c>
      <c r="R191" s="983"/>
      <c r="S191" s="983"/>
      <c r="T191" s="984">
        <f t="shared" si="272"/>
        <v>0</v>
      </c>
      <c r="U191" s="984" t="e">
        <f t="shared" si="273"/>
        <v>#VALUE!</v>
      </c>
      <c r="V191" s="984" t="e">
        <f t="shared" si="274"/>
        <v>#VALUE!</v>
      </c>
      <c r="W191" s="888"/>
      <c r="X191" s="1151" t="e">
        <f t="shared" si="263"/>
        <v>#VALUE!</v>
      </c>
      <c r="Y191" s="977">
        <f t="shared" si="275"/>
        <v>0</v>
      </c>
      <c r="Z191" s="977"/>
      <c r="AA191" s="977" t="e">
        <f t="shared" si="276"/>
        <v>#VALUE!</v>
      </c>
      <c r="AB191" s="977" t="e">
        <f t="shared" si="277"/>
        <v>#VALUE!</v>
      </c>
      <c r="AC191" s="977" t="e">
        <f t="shared" si="278"/>
        <v>#VALUE!</v>
      </c>
      <c r="AD191" s="977" t="e">
        <f t="shared" si="279"/>
        <v>#VALUE!</v>
      </c>
      <c r="AE191" s="979" t="e">
        <f t="shared" si="264"/>
        <v>#VALUE!</v>
      </c>
      <c r="AF191" s="892"/>
      <c r="AG191" s="892"/>
      <c r="AH191" s="977">
        <f t="shared" si="280"/>
        <v>0</v>
      </c>
      <c r="AI191" s="977" t="e">
        <f t="shared" si="281"/>
        <v>#VALUE!</v>
      </c>
      <c r="AJ191" s="985" t="e">
        <f t="shared" si="282"/>
        <v>#VALUE!</v>
      </c>
      <c r="AK191" s="977">
        <f t="shared" si="283"/>
        <v>0</v>
      </c>
      <c r="AL191" s="977"/>
      <c r="AM191" s="977" t="e">
        <f t="shared" si="284"/>
        <v>#VALUE!</v>
      </c>
      <c r="AN191" s="977" t="e">
        <f t="shared" si="285"/>
        <v>#VALUE!</v>
      </c>
      <c r="AO191" s="977" t="e">
        <f t="shared" si="286"/>
        <v>#VALUE!</v>
      </c>
      <c r="AP191" s="986" t="e">
        <f t="shared" si="287"/>
        <v>#VALUE!</v>
      </c>
      <c r="AQ191" s="888"/>
      <c r="AR191" s="983">
        <f t="shared" si="288"/>
        <v>0</v>
      </c>
      <c r="AS191" s="888"/>
      <c r="AT191" s="987">
        <f t="shared" si="289"/>
        <v>0</v>
      </c>
      <c r="AU191" s="988">
        <f t="shared" si="290"/>
        <v>0</v>
      </c>
      <c r="AV191" s="989" t="str">
        <f t="shared" si="265"/>
        <v/>
      </c>
      <c r="AW191" s="990">
        <f t="shared" si="291"/>
        <v>128.04</v>
      </c>
      <c r="AX191" s="991">
        <f t="shared" si="292"/>
        <v>0</v>
      </c>
      <c r="AY191" s="992">
        <f>VLOOKUP(A191,'Drop Box Price Out'!$A$13:$G$93,7,FALSE)</f>
        <v>134.6</v>
      </c>
      <c r="AZ191" s="993">
        <f t="shared" si="293"/>
        <v>0</v>
      </c>
      <c r="BA191" s="994">
        <f t="shared" si="294"/>
        <v>5.1233989378319293E-2</v>
      </c>
      <c r="BC191" s="1158">
        <f t="shared" si="266"/>
        <v>0</v>
      </c>
      <c r="BD191" s="1158">
        <f t="shared" si="267"/>
        <v>0</v>
      </c>
    </row>
    <row r="192" spans="1:56">
      <c r="A192" s="975" t="str">
        <f>'Drop Box Price Out'!A34</f>
        <v>18 yd Temporary</v>
      </c>
      <c r="B192" s="995">
        <f>'Drop Box Price Out'!B34</f>
        <v>0</v>
      </c>
      <c r="C192" s="977">
        <f t="shared" si="268"/>
        <v>0</v>
      </c>
      <c r="D192" s="1130"/>
      <c r="E192" s="977">
        <v>1</v>
      </c>
      <c r="F192" s="977">
        <f t="shared" si="298"/>
        <v>0</v>
      </c>
      <c r="G192" s="977"/>
      <c r="H192" s="996">
        <f>'Drop Box Price Out'!D34</f>
        <v>133.21</v>
      </c>
      <c r="I192" s="979">
        <f t="shared" si="269"/>
        <v>0</v>
      </c>
      <c r="J192" s="1144">
        <f t="shared" si="270"/>
        <v>0</v>
      </c>
      <c r="K192" s="979">
        <f t="shared" si="271"/>
        <v>0</v>
      </c>
      <c r="L192" s="1146">
        <f>L191</f>
        <v>2160</v>
      </c>
      <c r="M192" s="1149" t="e">
        <f t="shared" si="295"/>
        <v>#VALUE!</v>
      </c>
      <c r="N192" s="980">
        <f t="shared" si="296"/>
        <v>0</v>
      </c>
      <c r="O192" s="981" t="e">
        <f t="shared" si="297"/>
        <v>#VALUE!</v>
      </c>
      <c r="P192" s="888"/>
      <c r="Q192" s="982">
        <v>900</v>
      </c>
      <c r="R192" s="983"/>
      <c r="S192" s="983"/>
      <c r="T192" s="984">
        <f t="shared" si="272"/>
        <v>0</v>
      </c>
      <c r="U192" s="984" t="e">
        <f t="shared" si="273"/>
        <v>#VALUE!</v>
      </c>
      <c r="V192" s="984" t="e">
        <f t="shared" si="274"/>
        <v>#VALUE!</v>
      </c>
      <c r="W192" s="888"/>
      <c r="X192" s="1151" t="e">
        <f t="shared" si="263"/>
        <v>#VALUE!</v>
      </c>
      <c r="Y192" s="977">
        <f t="shared" si="275"/>
        <v>0</v>
      </c>
      <c r="Z192" s="977"/>
      <c r="AA192" s="977" t="e">
        <f t="shared" si="276"/>
        <v>#VALUE!</v>
      </c>
      <c r="AB192" s="977" t="e">
        <f t="shared" si="277"/>
        <v>#VALUE!</v>
      </c>
      <c r="AC192" s="977" t="e">
        <f t="shared" si="278"/>
        <v>#VALUE!</v>
      </c>
      <c r="AD192" s="977" t="e">
        <f t="shared" si="279"/>
        <v>#VALUE!</v>
      </c>
      <c r="AE192" s="979" t="e">
        <f t="shared" si="264"/>
        <v>#VALUE!</v>
      </c>
      <c r="AF192" s="892"/>
      <c r="AG192" s="892"/>
      <c r="AH192" s="977">
        <f t="shared" si="280"/>
        <v>0</v>
      </c>
      <c r="AI192" s="977" t="e">
        <f t="shared" si="281"/>
        <v>#VALUE!</v>
      </c>
      <c r="AJ192" s="985" t="e">
        <f t="shared" si="282"/>
        <v>#VALUE!</v>
      </c>
      <c r="AK192" s="977">
        <f t="shared" si="283"/>
        <v>0</v>
      </c>
      <c r="AL192" s="977"/>
      <c r="AM192" s="977" t="e">
        <f t="shared" si="284"/>
        <v>#VALUE!</v>
      </c>
      <c r="AN192" s="977" t="e">
        <f t="shared" si="285"/>
        <v>#VALUE!</v>
      </c>
      <c r="AO192" s="977" t="e">
        <f t="shared" si="286"/>
        <v>#VALUE!</v>
      </c>
      <c r="AP192" s="986" t="e">
        <f t="shared" si="287"/>
        <v>#VALUE!</v>
      </c>
      <c r="AQ192" s="888"/>
      <c r="AR192" s="983">
        <f t="shared" si="288"/>
        <v>0</v>
      </c>
      <c r="AS192" s="888"/>
      <c r="AT192" s="987">
        <f t="shared" si="289"/>
        <v>0</v>
      </c>
      <c r="AU192" s="988">
        <f t="shared" si="290"/>
        <v>0</v>
      </c>
      <c r="AV192" s="989" t="str">
        <f t="shared" si="265"/>
        <v/>
      </c>
      <c r="AW192" s="990">
        <f t="shared" si="291"/>
        <v>133.21</v>
      </c>
      <c r="AX192" s="991">
        <f t="shared" si="292"/>
        <v>0</v>
      </c>
      <c r="AY192" s="992">
        <f>VLOOKUP(A192,'Drop Box Price Out'!$A$13:$G$93,7,FALSE)</f>
        <v>140.05000000000001</v>
      </c>
      <c r="AZ192" s="993">
        <f t="shared" si="293"/>
        <v>0</v>
      </c>
      <c r="BA192" s="994">
        <f t="shared" si="294"/>
        <v>5.134749643420166E-2</v>
      </c>
      <c r="BC192" s="1158">
        <f t="shared" si="266"/>
        <v>0</v>
      </c>
      <c r="BD192" s="1158">
        <f t="shared" si="267"/>
        <v>0</v>
      </c>
    </row>
    <row r="193" spans="1:56">
      <c r="A193" s="975" t="str">
        <f>'Drop Box Price Out'!A35</f>
        <v>18 yd Permanent MF</v>
      </c>
      <c r="B193" s="995">
        <f>'Drop Box Price Out'!B35</f>
        <v>0</v>
      </c>
      <c r="C193" s="977">
        <f t="shared" si="268"/>
        <v>0</v>
      </c>
      <c r="D193" s="1130"/>
      <c r="E193" s="977">
        <v>1</v>
      </c>
      <c r="F193" s="977">
        <f t="shared" si="298"/>
        <v>0</v>
      </c>
      <c r="G193" s="977"/>
      <c r="H193" s="996">
        <f>'Drop Box Price Out'!D35</f>
        <v>0</v>
      </c>
      <c r="I193" s="979">
        <f t="shared" si="269"/>
        <v>0</v>
      </c>
      <c r="J193" s="1144">
        <f t="shared" si="270"/>
        <v>0</v>
      </c>
      <c r="K193" s="979">
        <f t="shared" si="271"/>
        <v>0</v>
      </c>
      <c r="L193" s="1146">
        <f>L192</f>
        <v>2160</v>
      </c>
      <c r="M193" s="1149" t="e">
        <f t="shared" si="295"/>
        <v>#VALUE!</v>
      </c>
      <c r="N193" s="980">
        <f t="shared" si="296"/>
        <v>0</v>
      </c>
      <c r="O193" s="981" t="e">
        <f t="shared" si="297"/>
        <v>#VALUE!</v>
      </c>
      <c r="P193" s="888"/>
      <c r="Q193" s="982">
        <v>900</v>
      </c>
      <c r="R193" s="983"/>
      <c r="S193" s="983"/>
      <c r="T193" s="984">
        <f t="shared" si="272"/>
        <v>0</v>
      </c>
      <c r="U193" s="984" t="e">
        <f t="shared" si="273"/>
        <v>#VALUE!</v>
      </c>
      <c r="V193" s="984" t="e">
        <f t="shared" si="274"/>
        <v>#VALUE!</v>
      </c>
      <c r="W193" s="888"/>
      <c r="X193" s="1151" t="e">
        <f t="shared" si="263"/>
        <v>#VALUE!</v>
      </c>
      <c r="Y193" s="977">
        <f t="shared" si="275"/>
        <v>0</v>
      </c>
      <c r="Z193" s="977"/>
      <c r="AA193" s="977" t="e">
        <f t="shared" si="276"/>
        <v>#VALUE!</v>
      </c>
      <c r="AB193" s="977" t="e">
        <f t="shared" si="277"/>
        <v>#VALUE!</v>
      </c>
      <c r="AC193" s="977" t="e">
        <f t="shared" si="278"/>
        <v>#VALUE!</v>
      </c>
      <c r="AD193" s="977" t="e">
        <f t="shared" si="279"/>
        <v>#VALUE!</v>
      </c>
      <c r="AE193" s="979" t="e">
        <f t="shared" si="264"/>
        <v>#VALUE!</v>
      </c>
      <c r="AF193" s="892"/>
      <c r="AG193" s="892"/>
      <c r="AH193" s="977">
        <f t="shared" si="280"/>
        <v>0</v>
      </c>
      <c r="AI193" s="977" t="e">
        <f t="shared" si="281"/>
        <v>#VALUE!</v>
      </c>
      <c r="AJ193" s="985" t="e">
        <f t="shared" si="282"/>
        <v>#VALUE!</v>
      </c>
      <c r="AK193" s="977">
        <f t="shared" si="283"/>
        <v>0</v>
      </c>
      <c r="AL193" s="977"/>
      <c r="AM193" s="977" t="e">
        <f t="shared" si="284"/>
        <v>#VALUE!</v>
      </c>
      <c r="AN193" s="977" t="e">
        <f t="shared" si="285"/>
        <v>#VALUE!</v>
      </c>
      <c r="AO193" s="977" t="e">
        <f t="shared" si="286"/>
        <v>#VALUE!</v>
      </c>
      <c r="AP193" s="986" t="e">
        <f t="shared" si="287"/>
        <v>#VALUE!</v>
      </c>
      <c r="AQ193" s="888"/>
      <c r="AR193" s="983">
        <f t="shared" si="288"/>
        <v>0</v>
      </c>
      <c r="AS193" s="888"/>
      <c r="AT193" s="987">
        <f t="shared" si="289"/>
        <v>0</v>
      </c>
      <c r="AU193" s="988">
        <f t="shared" si="290"/>
        <v>0</v>
      </c>
      <c r="AV193" s="989" t="str">
        <f t="shared" si="265"/>
        <v/>
      </c>
      <c r="AW193" s="990">
        <f t="shared" si="291"/>
        <v>0</v>
      </c>
      <c r="AX193" s="991">
        <f t="shared" si="292"/>
        <v>0</v>
      </c>
      <c r="AY193" s="992">
        <f>VLOOKUP(A193,'Drop Box Price Out'!$A$13:$G$93,7,FALSE)</f>
        <v>0</v>
      </c>
      <c r="AZ193" s="993">
        <f t="shared" si="293"/>
        <v>0</v>
      </c>
      <c r="BA193" s="994" t="str">
        <f t="shared" si="294"/>
        <v/>
      </c>
      <c r="BC193" s="1158">
        <f t="shared" si="266"/>
        <v>0</v>
      </c>
      <c r="BD193" s="1158">
        <f t="shared" si="267"/>
        <v>0</v>
      </c>
    </row>
    <row r="194" spans="1:56">
      <c r="A194" s="975" t="str">
        <f>'Drop Box Price Out'!A36</f>
        <v>18 yd Temporary MF</v>
      </c>
      <c r="B194" s="995">
        <f>'Drop Box Price Out'!B36</f>
        <v>0</v>
      </c>
      <c r="C194" s="977">
        <f t="shared" si="268"/>
        <v>0</v>
      </c>
      <c r="D194" s="1130"/>
      <c r="E194" s="977">
        <v>1</v>
      </c>
      <c r="F194" s="977">
        <f t="shared" si="298"/>
        <v>0</v>
      </c>
      <c r="G194" s="977"/>
      <c r="H194" s="996">
        <f>'Drop Box Price Out'!D36</f>
        <v>0</v>
      </c>
      <c r="I194" s="979">
        <f t="shared" si="269"/>
        <v>0</v>
      </c>
      <c r="J194" s="1144">
        <f t="shared" si="270"/>
        <v>0</v>
      </c>
      <c r="K194" s="979">
        <f t="shared" si="271"/>
        <v>0</v>
      </c>
      <c r="L194" s="1146">
        <f>L193</f>
        <v>2160</v>
      </c>
      <c r="M194" s="1149" t="e">
        <f t="shared" si="295"/>
        <v>#VALUE!</v>
      </c>
      <c r="N194" s="980">
        <f t="shared" si="296"/>
        <v>0</v>
      </c>
      <c r="O194" s="981" t="e">
        <f t="shared" si="297"/>
        <v>#VALUE!</v>
      </c>
      <c r="P194" s="888"/>
      <c r="Q194" s="982">
        <v>900</v>
      </c>
      <c r="R194" s="983"/>
      <c r="S194" s="983"/>
      <c r="T194" s="984">
        <f t="shared" si="272"/>
        <v>0</v>
      </c>
      <c r="U194" s="984" t="e">
        <f t="shared" si="273"/>
        <v>#VALUE!</v>
      </c>
      <c r="V194" s="984" t="e">
        <f t="shared" si="274"/>
        <v>#VALUE!</v>
      </c>
      <c r="W194" s="888"/>
      <c r="X194" s="1151" t="e">
        <f t="shared" si="263"/>
        <v>#VALUE!</v>
      </c>
      <c r="Y194" s="977">
        <f t="shared" si="275"/>
        <v>0</v>
      </c>
      <c r="Z194" s="977"/>
      <c r="AA194" s="977" t="e">
        <f t="shared" si="276"/>
        <v>#VALUE!</v>
      </c>
      <c r="AB194" s="977" t="e">
        <f t="shared" si="277"/>
        <v>#VALUE!</v>
      </c>
      <c r="AC194" s="977" t="e">
        <f t="shared" si="278"/>
        <v>#VALUE!</v>
      </c>
      <c r="AD194" s="977" t="e">
        <f t="shared" si="279"/>
        <v>#VALUE!</v>
      </c>
      <c r="AE194" s="979" t="e">
        <f t="shared" si="264"/>
        <v>#VALUE!</v>
      </c>
      <c r="AF194" s="892"/>
      <c r="AG194" s="892"/>
      <c r="AH194" s="977">
        <f t="shared" si="280"/>
        <v>0</v>
      </c>
      <c r="AI194" s="977" t="e">
        <f t="shared" si="281"/>
        <v>#VALUE!</v>
      </c>
      <c r="AJ194" s="985" t="e">
        <f t="shared" si="282"/>
        <v>#VALUE!</v>
      </c>
      <c r="AK194" s="977">
        <f t="shared" si="283"/>
        <v>0</v>
      </c>
      <c r="AL194" s="977"/>
      <c r="AM194" s="977" t="e">
        <f t="shared" si="284"/>
        <v>#VALUE!</v>
      </c>
      <c r="AN194" s="977" t="e">
        <f t="shared" si="285"/>
        <v>#VALUE!</v>
      </c>
      <c r="AO194" s="977" t="e">
        <f t="shared" si="286"/>
        <v>#VALUE!</v>
      </c>
      <c r="AP194" s="986" t="e">
        <f t="shared" si="287"/>
        <v>#VALUE!</v>
      </c>
      <c r="AQ194" s="888"/>
      <c r="AR194" s="983">
        <f t="shared" si="288"/>
        <v>0</v>
      </c>
      <c r="AS194" s="888"/>
      <c r="AT194" s="987">
        <f t="shared" si="289"/>
        <v>0</v>
      </c>
      <c r="AU194" s="988">
        <f t="shared" si="290"/>
        <v>0</v>
      </c>
      <c r="AV194" s="989" t="str">
        <f t="shared" si="265"/>
        <v/>
      </c>
      <c r="AW194" s="990">
        <f t="shared" si="291"/>
        <v>0</v>
      </c>
      <c r="AX194" s="991">
        <f t="shared" si="292"/>
        <v>0</v>
      </c>
      <c r="AY194" s="992">
        <f>VLOOKUP(A194,'Drop Box Price Out'!$A$13:$G$93,7,FALSE)</f>
        <v>0</v>
      </c>
      <c r="AZ194" s="993">
        <f t="shared" si="293"/>
        <v>0</v>
      </c>
      <c r="BA194" s="994" t="str">
        <f t="shared" si="294"/>
        <v/>
      </c>
      <c r="BC194" s="1158">
        <f t="shared" si="266"/>
        <v>0</v>
      </c>
      <c r="BD194" s="1158">
        <f t="shared" si="267"/>
        <v>0</v>
      </c>
    </row>
    <row r="195" spans="1:56">
      <c r="A195" s="975" t="str">
        <f>'Drop Box Price Out'!A37</f>
        <v>20 yd Compactors</v>
      </c>
      <c r="B195" s="995">
        <f>'Drop Box Price Out'!B37</f>
        <v>67</v>
      </c>
      <c r="C195" s="977">
        <f t="shared" si="268"/>
        <v>71.06772743391322</v>
      </c>
      <c r="D195" s="1130"/>
      <c r="E195" s="977">
        <v>1</v>
      </c>
      <c r="F195" s="977">
        <f t="shared" si="298"/>
        <v>16.412870077116217</v>
      </c>
      <c r="G195" s="977"/>
      <c r="H195" s="996">
        <f>'Drop Box Price Out'!D37</f>
        <v>141.88</v>
      </c>
      <c r="I195" s="979">
        <f t="shared" si="269"/>
        <v>792.1633333333333</v>
      </c>
      <c r="J195" s="1144">
        <f t="shared" si="270"/>
        <v>9505.9599999999991</v>
      </c>
      <c r="K195" s="979">
        <f t="shared" si="271"/>
        <v>10083.089168323606</v>
      </c>
      <c r="L195" s="1148">
        <f>'Meeks +'!F48</f>
        <v>7200</v>
      </c>
      <c r="M195" s="1149" t="e">
        <f t="shared" si="295"/>
        <v>#VALUE!</v>
      </c>
      <c r="N195" s="980">
        <f t="shared" si="296"/>
        <v>255.84</v>
      </c>
      <c r="O195" s="981" t="e">
        <f t="shared" si="297"/>
        <v>#VALUE!</v>
      </c>
      <c r="P195" s="888"/>
      <c r="Q195" s="982">
        <v>900</v>
      </c>
      <c r="R195" s="983"/>
      <c r="S195" s="983"/>
      <c r="T195" s="984">
        <f t="shared" si="272"/>
        <v>17.766931858478305</v>
      </c>
      <c r="U195" s="984" t="e">
        <f t="shared" si="273"/>
        <v>#VALUE!</v>
      </c>
      <c r="V195" s="984" t="e">
        <f t="shared" si="274"/>
        <v>#VALUE!</v>
      </c>
      <c r="W195" s="888"/>
      <c r="X195" s="1151" t="e">
        <f t="shared" si="263"/>
        <v>#VALUE!</v>
      </c>
      <c r="Y195" s="977">
        <f t="shared" si="275"/>
        <v>1135.1663633052174</v>
      </c>
      <c r="Z195" s="977"/>
      <c r="AA195" s="977" t="e">
        <f t="shared" si="276"/>
        <v>#VALUE!</v>
      </c>
      <c r="AB195" s="977" t="e">
        <f t="shared" si="277"/>
        <v>#VALUE!</v>
      </c>
      <c r="AC195" s="977" t="e">
        <f t="shared" si="278"/>
        <v>#VALUE!</v>
      </c>
      <c r="AD195" s="977" t="e">
        <f t="shared" si="279"/>
        <v>#VALUE!</v>
      </c>
      <c r="AE195" s="979" t="e">
        <f t="shared" si="264"/>
        <v>#VALUE!</v>
      </c>
      <c r="AF195" s="892"/>
      <c r="AG195" s="892"/>
      <c r="AH195" s="977">
        <f t="shared" si="280"/>
        <v>0</v>
      </c>
      <c r="AI195" s="977" t="e">
        <f t="shared" si="281"/>
        <v>#VALUE!</v>
      </c>
      <c r="AJ195" s="985" t="e">
        <f t="shared" si="282"/>
        <v>#VALUE!</v>
      </c>
      <c r="AK195" s="977">
        <f t="shared" si="283"/>
        <v>0</v>
      </c>
      <c r="AL195" s="977"/>
      <c r="AM195" s="977" t="e">
        <f t="shared" si="284"/>
        <v>#VALUE!</v>
      </c>
      <c r="AN195" s="977" t="e">
        <f t="shared" si="285"/>
        <v>#VALUE!</v>
      </c>
      <c r="AO195" s="977" t="e">
        <f t="shared" si="286"/>
        <v>#VALUE!</v>
      </c>
      <c r="AP195" s="986" t="e">
        <f t="shared" si="287"/>
        <v>#VALUE!</v>
      </c>
      <c r="AQ195" s="888"/>
      <c r="AR195" s="983">
        <f t="shared" si="288"/>
        <v>0</v>
      </c>
      <c r="AS195" s="888"/>
      <c r="AT195" s="987">
        <f t="shared" si="289"/>
        <v>0</v>
      </c>
      <c r="AU195" s="988">
        <f t="shared" si="290"/>
        <v>0</v>
      </c>
      <c r="AV195" s="989" t="str">
        <f t="shared" si="265"/>
        <v/>
      </c>
      <c r="AW195" s="990">
        <f t="shared" si="291"/>
        <v>141.88</v>
      </c>
      <c r="AX195" s="991">
        <f t="shared" si="292"/>
        <v>10083.089168323608</v>
      </c>
      <c r="AY195" s="992">
        <f>VLOOKUP(A195,'Drop Box Price Out'!$A$13:$G$93,7,FALSE)</f>
        <v>149.15</v>
      </c>
      <c r="AZ195" s="993">
        <f t="shared" si="293"/>
        <v>10599.751546768157</v>
      </c>
      <c r="BA195" s="994">
        <f t="shared" si="294"/>
        <v>5.1240484916831197E-2</v>
      </c>
      <c r="BC195" s="1158">
        <f t="shared" si="266"/>
        <v>-10083.089168323608</v>
      </c>
      <c r="BD195" s="1158">
        <f t="shared" si="267"/>
        <v>-10599.751546768157</v>
      </c>
    </row>
    <row r="196" spans="1:56">
      <c r="A196" s="975" t="str">
        <f>'Drop Box Price Out'!A38</f>
        <v>20 yd Compactors MF</v>
      </c>
      <c r="B196" s="995">
        <f>'Drop Box Price Out'!B38</f>
        <v>78</v>
      </c>
      <c r="C196" s="977">
        <f t="shared" si="268"/>
        <v>82.735563281272093</v>
      </c>
      <c r="D196" s="1130"/>
      <c r="E196" s="977">
        <v>1</v>
      </c>
      <c r="F196" s="977">
        <f t="shared" si="298"/>
        <v>19.107520388284549</v>
      </c>
      <c r="G196" s="977"/>
      <c r="H196" s="996">
        <f>'Drop Box Price Out'!D38</f>
        <v>252.34</v>
      </c>
      <c r="I196" s="979">
        <f t="shared" si="269"/>
        <v>1640.21</v>
      </c>
      <c r="J196" s="1144">
        <f t="shared" si="270"/>
        <v>19682.52</v>
      </c>
      <c r="K196" s="979">
        <f t="shared" si="271"/>
        <v>20877.492038396202</v>
      </c>
      <c r="L196" s="1146">
        <f>L195</f>
        <v>7200</v>
      </c>
      <c r="M196" s="1149" t="e">
        <f t="shared" si="295"/>
        <v>#VALUE!</v>
      </c>
      <c r="N196" s="980">
        <f t="shared" si="296"/>
        <v>297.85000000000002</v>
      </c>
      <c r="O196" s="981" t="e">
        <f t="shared" si="297"/>
        <v>#VALUE!</v>
      </c>
      <c r="P196" s="888"/>
      <c r="Q196" s="982">
        <v>900</v>
      </c>
      <c r="R196" s="983"/>
      <c r="S196" s="983"/>
      <c r="T196" s="984">
        <f t="shared" si="272"/>
        <v>20.683890820318023</v>
      </c>
      <c r="U196" s="984" t="e">
        <f t="shared" si="273"/>
        <v>#VALUE!</v>
      </c>
      <c r="V196" s="984" t="e">
        <f t="shared" si="274"/>
        <v>#VALUE!</v>
      </c>
      <c r="W196" s="888"/>
      <c r="X196" s="1151" t="e">
        <f t="shared" si="263"/>
        <v>#VALUE!</v>
      </c>
      <c r="Y196" s="977">
        <f t="shared" si="275"/>
        <v>2350.4132827281205</v>
      </c>
      <c r="Z196" s="977"/>
      <c r="AA196" s="977" t="e">
        <f t="shared" si="276"/>
        <v>#VALUE!</v>
      </c>
      <c r="AB196" s="977" t="e">
        <f t="shared" si="277"/>
        <v>#VALUE!</v>
      </c>
      <c r="AC196" s="977" t="e">
        <f t="shared" si="278"/>
        <v>#VALUE!</v>
      </c>
      <c r="AD196" s="977" t="e">
        <f t="shared" si="279"/>
        <v>#VALUE!</v>
      </c>
      <c r="AE196" s="979" t="e">
        <f t="shared" si="264"/>
        <v>#VALUE!</v>
      </c>
      <c r="AF196" s="892"/>
      <c r="AG196" s="892"/>
      <c r="AH196" s="977">
        <f t="shared" si="280"/>
        <v>0</v>
      </c>
      <c r="AI196" s="977" t="e">
        <f t="shared" si="281"/>
        <v>#VALUE!</v>
      </c>
      <c r="AJ196" s="985" t="e">
        <f t="shared" si="282"/>
        <v>#VALUE!</v>
      </c>
      <c r="AK196" s="977">
        <f t="shared" si="283"/>
        <v>0</v>
      </c>
      <c r="AL196" s="977"/>
      <c r="AM196" s="977" t="e">
        <f t="shared" si="284"/>
        <v>#VALUE!</v>
      </c>
      <c r="AN196" s="977" t="e">
        <f t="shared" si="285"/>
        <v>#VALUE!</v>
      </c>
      <c r="AO196" s="977" t="e">
        <f t="shared" si="286"/>
        <v>#VALUE!</v>
      </c>
      <c r="AP196" s="986" t="e">
        <f t="shared" si="287"/>
        <v>#VALUE!</v>
      </c>
      <c r="AQ196" s="888"/>
      <c r="AR196" s="983">
        <f t="shared" si="288"/>
        <v>0</v>
      </c>
      <c r="AS196" s="888"/>
      <c r="AT196" s="987">
        <f t="shared" si="289"/>
        <v>0</v>
      </c>
      <c r="AU196" s="988">
        <f t="shared" si="290"/>
        <v>0</v>
      </c>
      <c r="AV196" s="989" t="str">
        <f t="shared" si="265"/>
        <v/>
      </c>
      <c r="AW196" s="990">
        <f t="shared" si="291"/>
        <v>252.34</v>
      </c>
      <c r="AX196" s="991">
        <f t="shared" si="292"/>
        <v>20877.492038396202</v>
      </c>
      <c r="AY196" s="992">
        <f>VLOOKUP(A196,'Drop Box Price Out'!$A$13:$G$93,7,FALSE)</f>
        <v>265.3</v>
      </c>
      <c r="AZ196" s="993">
        <f t="shared" si="293"/>
        <v>21949.744938521486</v>
      </c>
      <c r="BA196" s="994">
        <f t="shared" si="294"/>
        <v>5.1359277165728807E-2</v>
      </c>
      <c r="BC196" s="1158">
        <f t="shared" si="266"/>
        <v>-20877.492038396202</v>
      </c>
      <c r="BD196" s="1158">
        <f t="shared" si="267"/>
        <v>-21949.744938521486</v>
      </c>
    </row>
    <row r="197" spans="1:56">
      <c r="A197" s="975" t="str">
        <f>'Drop Box Price Out'!A39</f>
        <v>20 yd Permanent</v>
      </c>
      <c r="B197" s="995">
        <f>'Drop Box Price Out'!B39</f>
        <v>0</v>
      </c>
      <c r="C197" s="977">
        <f t="shared" si="268"/>
        <v>0</v>
      </c>
      <c r="D197" s="1130"/>
      <c r="E197" s="977">
        <v>1</v>
      </c>
      <c r="F197" s="977">
        <f t="shared" si="298"/>
        <v>0</v>
      </c>
      <c r="G197" s="977"/>
      <c r="H197" s="996">
        <f>'Drop Box Price Out'!D39</f>
        <v>128.04</v>
      </c>
      <c r="I197" s="979">
        <f t="shared" si="269"/>
        <v>0</v>
      </c>
      <c r="J197" s="1144">
        <f t="shared" si="270"/>
        <v>0</v>
      </c>
      <c r="K197" s="979">
        <f t="shared" si="271"/>
        <v>0</v>
      </c>
      <c r="L197" s="1147">
        <f>'Meeks +'!F43</f>
        <v>2400</v>
      </c>
      <c r="M197" s="1149" t="e">
        <f t="shared" si="295"/>
        <v>#VALUE!</v>
      </c>
      <c r="N197" s="980">
        <f t="shared" si="296"/>
        <v>0</v>
      </c>
      <c r="O197" s="981" t="e">
        <f t="shared" si="297"/>
        <v>#VALUE!</v>
      </c>
      <c r="P197" s="888"/>
      <c r="Q197" s="982">
        <v>900</v>
      </c>
      <c r="R197" s="983"/>
      <c r="S197" s="983"/>
      <c r="T197" s="984">
        <f t="shared" si="272"/>
        <v>0</v>
      </c>
      <c r="U197" s="984" t="e">
        <f t="shared" si="273"/>
        <v>#VALUE!</v>
      </c>
      <c r="V197" s="984" t="e">
        <f t="shared" si="274"/>
        <v>#VALUE!</v>
      </c>
      <c r="W197" s="888"/>
      <c r="X197" s="1151" t="e">
        <f t="shared" si="263"/>
        <v>#VALUE!</v>
      </c>
      <c r="Y197" s="977">
        <f t="shared" si="275"/>
        <v>0</v>
      </c>
      <c r="Z197" s="977"/>
      <c r="AA197" s="977" t="e">
        <f t="shared" si="276"/>
        <v>#VALUE!</v>
      </c>
      <c r="AB197" s="977" t="e">
        <f t="shared" si="277"/>
        <v>#VALUE!</v>
      </c>
      <c r="AC197" s="977" t="e">
        <f t="shared" si="278"/>
        <v>#VALUE!</v>
      </c>
      <c r="AD197" s="977" t="e">
        <f t="shared" si="279"/>
        <v>#VALUE!</v>
      </c>
      <c r="AE197" s="979" t="e">
        <f t="shared" si="264"/>
        <v>#VALUE!</v>
      </c>
      <c r="AF197" s="892"/>
      <c r="AG197" s="892"/>
      <c r="AH197" s="977">
        <f t="shared" si="280"/>
        <v>0</v>
      </c>
      <c r="AI197" s="977" t="e">
        <f t="shared" si="281"/>
        <v>#VALUE!</v>
      </c>
      <c r="AJ197" s="985" t="e">
        <f t="shared" si="282"/>
        <v>#VALUE!</v>
      </c>
      <c r="AK197" s="977">
        <f t="shared" si="283"/>
        <v>0</v>
      </c>
      <c r="AL197" s="977"/>
      <c r="AM197" s="977" t="e">
        <f t="shared" si="284"/>
        <v>#VALUE!</v>
      </c>
      <c r="AN197" s="977" t="e">
        <f t="shared" si="285"/>
        <v>#VALUE!</v>
      </c>
      <c r="AO197" s="977" t="e">
        <f t="shared" si="286"/>
        <v>#VALUE!</v>
      </c>
      <c r="AP197" s="986" t="e">
        <f t="shared" si="287"/>
        <v>#VALUE!</v>
      </c>
      <c r="AQ197" s="888"/>
      <c r="AR197" s="983">
        <f t="shared" si="288"/>
        <v>0</v>
      </c>
      <c r="AS197" s="888"/>
      <c r="AT197" s="987">
        <f t="shared" si="289"/>
        <v>0</v>
      </c>
      <c r="AU197" s="988">
        <f t="shared" si="290"/>
        <v>0</v>
      </c>
      <c r="AV197" s="989" t="str">
        <f t="shared" si="265"/>
        <v/>
      </c>
      <c r="AW197" s="990">
        <f t="shared" si="291"/>
        <v>128.04</v>
      </c>
      <c r="AX197" s="991">
        <f t="shared" si="292"/>
        <v>0</v>
      </c>
      <c r="AY197" s="992">
        <f>VLOOKUP(A197,'Drop Box Price Out'!$A$13:$G$93,7,FALSE)</f>
        <v>134.6</v>
      </c>
      <c r="AZ197" s="993">
        <f t="shared" si="293"/>
        <v>0</v>
      </c>
      <c r="BA197" s="994">
        <f t="shared" si="294"/>
        <v>5.1233989378319293E-2</v>
      </c>
      <c r="BC197" s="1158">
        <f t="shared" si="266"/>
        <v>0</v>
      </c>
      <c r="BD197" s="1158">
        <f t="shared" si="267"/>
        <v>0</v>
      </c>
    </row>
    <row r="198" spans="1:56">
      <c r="A198" s="975" t="str">
        <f>'Drop Box Price Out'!A40</f>
        <v>20 yd Temporary</v>
      </c>
      <c r="B198" s="995">
        <f>'Drop Box Price Out'!B40</f>
        <v>11</v>
      </c>
      <c r="C198" s="977">
        <f t="shared" si="268"/>
        <v>11.667835847358885</v>
      </c>
      <c r="D198" s="1130"/>
      <c r="E198" s="977">
        <v>1</v>
      </c>
      <c r="F198" s="977">
        <f t="shared" si="298"/>
        <v>2.694650311168334</v>
      </c>
      <c r="G198" s="977"/>
      <c r="H198" s="996">
        <f>'Drop Box Price Out'!D40</f>
        <v>133.21</v>
      </c>
      <c r="I198" s="979">
        <f t="shared" si="269"/>
        <v>122.10916666666668</v>
      </c>
      <c r="J198" s="1144">
        <f t="shared" si="270"/>
        <v>1465.3100000000002</v>
      </c>
      <c r="K198" s="979">
        <f t="shared" si="271"/>
        <v>1554.2724132266774</v>
      </c>
      <c r="L198" s="1146">
        <f>L197</f>
        <v>2400</v>
      </c>
      <c r="M198" s="1149" t="e">
        <f t="shared" si="295"/>
        <v>#VALUE!</v>
      </c>
      <c r="N198" s="980">
        <f t="shared" si="296"/>
        <v>14</v>
      </c>
      <c r="O198" s="981" t="e">
        <f t="shared" si="297"/>
        <v>#VALUE!</v>
      </c>
      <c r="P198" s="888"/>
      <c r="Q198" s="982">
        <v>900</v>
      </c>
      <c r="R198" s="983"/>
      <c r="S198" s="983"/>
      <c r="T198" s="984">
        <f t="shared" si="272"/>
        <v>2.9169589618397214</v>
      </c>
      <c r="U198" s="984" t="e">
        <f t="shared" si="273"/>
        <v>#VALUE!</v>
      </c>
      <c r="V198" s="984" t="e">
        <f t="shared" si="274"/>
        <v>#VALUE!</v>
      </c>
      <c r="W198" s="888"/>
      <c r="X198" s="1151" t="e">
        <f t="shared" si="263"/>
        <v>#VALUE!</v>
      </c>
      <c r="Y198" s="977">
        <f t="shared" si="275"/>
        <v>174.98186651477266</v>
      </c>
      <c r="Z198" s="977"/>
      <c r="AA198" s="977" t="e">
        <f t="shared" si="276"/>
        <v>#VALUE!</v>
      </c>
      <c r="AB198" s="977" t="e">
        <f t="shared" si="277"/>
        <v>#VALUE!</v>
      </c>
      <c r="AC198" s="977" t="e">
        <f t="shared" si="278"/>
        <v>#VALUE!</v>
      </c>
      <c r="AD198" s="977" t="e">
        <f t="shared" si="279"/>
        <v>#VALUE!</v>
      </c>
      <c r="AE198" s="979" t="e">
        <f t="shared" si="264"/>
        <v>#VALUE!</v>
      </c>
      <c r="AF198" s="892"/>
      <c r="AG198" s="892"/>
      <c r="AH198" s="977">
        <f t="shared" si="280"/>
        <v>0</v>
      </c>
      <c r="AI198" s="977" t="e">
        <f t="shared" si="281"/>
        <v>#VALUE!</v>
      </c>
      <c r="AJ198" s="985" t="e">
        <f t="shared" si="282"/>
        <v>#VALUE!</v>
      </c>
      <c r="AK198" s="977">
        <f t="shared" si="283"/>
        <v>0</v>
      </c>
      <c r="AL198" s="977"/>
      <c r="AM198" s="977" t="e">
        <f t="shared" si="284"/>
        <v>#VALUE!</v>
      </c>
      <c r="AN198" s="977" t="e">
        <f t="shared" si="285"/>
        <v>#VALUE!</v>
      </c>
      <c r="AO198" s="977" t="e">
        <f t="shared" si="286"/>
        <v>#VALUE!</v>
      </c>
      <c r="AP198" s="986" t="e">
        <f t="shared" si="287"/>
        <v>#VALUE!</v>
      </c>
      <c r="AQ198" s="888"/>
      <c r="AR198" s="983">
        <f t="shared" si="288"/>
        <v>0</v>
      </c>
      <c r="AS198" s="888"/>
      <c r="AT198" s="987">
        <f t="shared" si="289"/>
        <v>0</v>
      </c>
      <c r="AU198" s="988">
        <f t="shared" si="290"/>
        <v>0</v>
      </c>
      <c r="AV198" s="989" t="str">
        <f t="shared" si="265"/>
        <v/>
      </c>
      <c r="AW198" s="990">
        <f t="shared" si="291"/>
        <v>133.21</v>
      </c>
      <c r="AX198" s="991">
        <f t="shared" si="292"/>
        <v>1554.2724132266771</v>
      </c>
      <c r="AY198" s="992">
        <f>VLOOKUP(A198,'Drop Box Price Out'!$A$13:$G$93,7,FALSE)</f>
        <v>140.05000000000001</v>
      </c>
      <c r="AZ198" s="993">
        <f t="shared" si="293"/>
        <v>1634.080410422612</v>
      </c>
      <c r="BA198" s="994">
        <f t="shared" si="294"/>
        <v>5.134749643420166E-2</v>
      </c>
      <c r="BC198" s="1158">
        <f t="shared" si="266"/>
        <v>-1554.2724132266771</v>
      </c>
      <c r="BD198" s="1158">
        <f t="shared" si="267"/>
        <v>-1634.080410422612</v>
      </c>
    </row>
    <row r="199" spans="1:56">
      <c r="A199" s="975" t="str">
        <f>'Drop Box Price Out'!A41</f>
        <v>20 yd Permanent MF</v>
      </c>
      <c r="B199" s="995">
        <f>'Drop Box Price Out'!B41</f>
        <v>0</v>
      </c>
      <c r="C199" s="977">
        <f t="shared" si="268"/>
        <v>0</v>
      </c>
      <c r="D199" s="1130"/>
      <c r="E199" s="977">
        <v>1</v>
      </c>
      <c r="F199" s="977">
        <f t="shared" si="298"/>
        <v>0</v>
      </c>
      <c r="G199" s="977"/>
      <c r="H199" s="996">
        <f>'Drop Box Price Out'!D41</f>
        <v>175.9</v>
      </c>
      <c r="I199" s="979">
        <f t="shared" si="269"/>
        <v>0</v>
      </c>
      <c r="J199" s="1144">
        <f t="shared" si="270"/>
        <v>0</v>
      </c>
      <c r="K199" s="979">
        <f t="shared" si="271"/>
        <v>0</v>
      </c>
      <c r="L199" s="1146">
        <f>L198</f>
        <v>2400</v>
      </c>
      <c r="M199" s="1149" t="e">
        <f t="shared" si="295"/>
        <v>#VALUE!</v>
      </c>
      <c r="N199" s="980">
        <f t="shared" si="296"/>
        <v>0</v>
      </c>
      <c r="O199" s="981" t="e">
        <f t="shared" si="297"/>
        <v>#VALUE!</v>
      </c>
      <c r="P199" s="888"/>
      <c r="Q199" s="982">
        <v>900</v>
      </c>
      <c r="R199" s="983"/>
      <c r="S199" s="983"/>
      <c r="T199" s="984">
        <f t="shared" si="272"/>
        <v>0</v>
      </c>
      <c r="U199" s="984" t="e">
        <f t="shared" si="273"/>
        <v>#VALUE!</v>
      </c>
      <c r="V199" s="984" t="e">
        <f t="shared" si="274"/>
        <v>#VALUE!</v>
      </c>
      <c r="W199" s="888"/>
      <c r="X199" s="1151" t="e">
        <f t="shared" si="263"/>
        <v>#VALUE!</v>
      </c>
      <c r="Y199" s="977">
        <f t="shared" si="275"/>
        <v>0</v>
      </c>
      <c r="Z199" s="977"/>
      <c r="AA199" s="977" t="e">
        <f t="shared" si="276"/>
        <v>#VALUE!</v>
      </c>
      <c r="AB199" s="977" t="e">
        <f t="shared" si="277"/>
        <v>#VALUE!</v>
      </c>
      <c r="AC199" s="977" t="e">
        <f t="shared" si="278"/>
        <v>#VALUE!</v>
      </c>
      <c r="AD199" s="977" t="e">
        <f t="shared" si="279"/>
        <v>#VALUE!</v>
      </c>
      <c r="AE199" s="979" t="e">
        <f t="shared" si="264"/>
        <v>#VALUE!</v>
      </c>
      <c r="AF199" s="892"/>
      <c r="AG199" s="892"/>
      <c r="AH199" s="977">
        <f t="shared" si="280"/>
        <v>0</v>
      </c>
      <c r="AI199" s="977" t="e">
        <f t="shared" si="281"/>
        <v>#VALUE!</v>
      </c>
      <c r="AJ199" s="985" t="e">
        <f t="shared" si="282"/>
        <v>#VALUE!</v>
      </c>
      <c r="AK199" s="977">
        <f t="shared" si="283"/>
        <v>0</v>
      </c>
      <c r="AL199" s="977"/>
      <c r="AM199" s="977" t="e">
        <f t="shared" si="284"/>
        <v>#VALUE!</v>
      </c>
      <c r="AN199" s="977" t="e">
        <f t="shared" si="285"/>
        <v>#VALUE!</v>
      </c>
      <c r="AO199" s="977" t="e">
        <f t="shared" si="286"/>
        <v>#VALUE!</v>
      </c>
      <c r="AP199" s="986" t="e">
        <f t="shared" si="287"/>
        <v>#VALUE!</v>
      </c>
      <c r="AQ199" s="888"/>
      <c r="AR199" s="983">
        <f t="shared" si="288"/>
        <v>0</v>
      </c>
      <c r="AS199" s="888"/>
      <c r="AT199" s="987">
        <f t="shared" si="289"/>
        <v>0</v>
      </c>
      <c r="AU199" s="988">
        <f t="shared" si="290"/>
        <v>0</v>
      </c>
      <c r="AV199" s="989" t="str">
        <f t="shared" si="265"/>
        <v/>
      </c>
      <c r="AW199" s="990">
        <f t="shared" si="291"/>
        <v>175.9</v>
      </c>
      <c r="AX199" s="991">
        <f t="shared" si="292"/>
        <v>0</v>
      </c>
      <c r="AY199" s="992">
        <f>VLOOKUP(A199,'Drop Box Price Out'!$A$13:$G$93,7,FALSE)</f>
        <v>184.95000000000002</v>
      </c>
      <c r="AZ199" s="993">
        <f t="shared" si="293"/>
        <v>0</v>
      </c>
      <c r="BA199" s="994">
        <f t="shared" si="294"/>
        <v>5.14496873223423E-2</v>
      </c>
      <c r="BC199" s="1158">
        <f t="shared" si="266"/>
        <v>0</v>
      </c>
      <c r="BD199" s="1158">
        <f t="shared" si="267"/>
        <v>0</v>
      </c>
    </row>
    <row r="200" spans="1:56">
      <c r="A200" s="975" t="str">
        <f>'Drop Box Price Out'!A42</f>
        <v>20 yd Temporary MF</v>
      </c>
      <c r="B200" s="995">
        <f>'Drop Box Price Out'!B42</f>
        <v>0</v>
      </c>
      <c r="C200" s="977">
        <f t="shared" si="268"/>
        <v>0</v>
      </c>
      <c r="D200" s="1130"/>
      <c r="E200" s="977">
        <v>1</v>
      </c>
      <c r="F200" s="977">
        <f t="shared" si="298"/>
        <v>0</v>
      </c>
      <c r="G200" s="977"/>
      <c r="H200" s="996">
        <f>'Drop Box Price Out'!D42</f>
        <v>181.05</v>
      </c>
      <c r="I200" s="979">
        <f t="shared" si="269"/>
        <v>0</v>
      </c>
      <c r="J200" s="1144">
        <f t="shared" si="270"/>
        <v>0</v>
      </c>
      <c r="K200" s="979">
        <f t="shared" si="271"/>
        <v>0</v>
      </c>
      <c r="L200" s="1146">
        <f>L199</f>
        <v>2400</v>
      </c>
      <c r="M200" s="1149" t="e">
        <f t="shared" si="295"/>
        <v>#VALUE!</v>
      </c>
      <c r="N200" s="980">
        <f t="shared" si="296"/>
        <v>0</v>
      </c>
      <c r="O200" s="981" t="e">
        <f t="shared" si="297"/>
        <v>#VALUE!</v>
      </c>
      <c r="P200" s="888"/>
      <c r="Q200" s="982">
        <v>900</v>
      </c>
      <c r="R200" s="983"/>
      <c r="S200" s="983"/>
      <c r="T200" s="984">
        <f t="shared" si="272"/>
        <v>0</v>
      </c>
      <c r="U200" s="984" t="e">
        <f t="shared" si="273"/>
        <v>#VALUE!</v>
      </c>
      <c r="V200" s="984" t="e">
        <f t="shared" si="274"/>
        <v>#VALUE!</v>
      </c>
      <c r="W200" s="888"/>
      <c r="X200" s="1151" t="e">
        <f t="shared" si="263"/>
        <v>#VALUE!</v>
      </c>
      <c r="Y200" s="977">
        <f t="shared" si="275"/>
        <v>0</v>
      </c>
      <c r="Z200" s="977"/>
      <c r="AA200" s="977" t="e">
        <f t="shared" si="276"/>
        <v>#VALUE!</v>
      </c>
      <c r="AB200" s="977" t="e">
        <f t="shared" si="277"/>
        <v>#VALUE!</v>
      </c>
      <c r="AC200" s="977" t="e">
        <f t="shared" si="278"/>
        <v>#VALUE!</v>
      </c>
      <c r="AD200" s="977" t="e">
        <f t="shared" si="279"/>
        <v>#VALUE!</v>
      </c>
      <c r="AE200" s="979" t="e">
        <f t="shared" si="264"/>
        <v>#VALUE!</v>
      </c>
      <c r="AF200" s="892"/>
      <c r="AG200" s="892"/>
      <c r="AH200" s="977">
        <f t="shared" si="280"/>
        <v>0</v>
      </c>
      <c r="AI200" s="977" t="e">
        <f t="shared" si="281"/>
        <v>#VALUE!</v>
      </c>
      <c r="AJ200" s="985" t="e">
        <f t="shared" si="282"/>
        <v>#VALUE!</v>
      </c>
      <c r="AK200" s="977">
        <f t="shared" si="283"/>
        <v>0</v>
      </c>
      <c r="AL200" s="977"/>
      <c r="AM200" s="977" t="e">
        <f t="shared" si="284"/>
        <v>#VALUE!</v>
      </c>
      <c r="AN200" s="977" t="e">
        <f t="shared" si="285"/>
        <v>#VALUE!</v>
      </c>
      <c r="AO200" s="977" t="e">
        <f t="shared" si="286"/>
        <v>#VALUE!</v>
      </c>
      <c r="AP200" s="986" t="e">
        <f t="shared" si="287"/>
        <v>#VALUE!</v>
      </c>
      <c r="AQ200" s="888"/>
      <c r="AR200" s="983">
        <f t="shared" si="288"/>
        <v>0</v>
      </c>
      <c r="AS200" s="888"/>
      <c r="AT200" s="987">
        <f t="shared" si="289"/>
        <v>0</v>
      </c>
      <c r="AU200" s="988">
        <f t="shared" si="290"/>
        <v>0</v>
      </c>
      <c r="AV200" s="989" t="str">
        <f t="shared" si="265"/>
        <v/>
      </c>
      <c r="AW200" s="990">
        <f t="shared" si="291"/>
        <v>181.05</v>
      </c>
      <c r="AX200" s="991">
        <f t="shared" si="292"/>
        <v>0</v>
      </c>
      <c r="AY200" s="992">
        <f>VLOOKUP(A200,'Drop Box Price Out'!$A$13:$G$93,7,FALSE)</f>
        <v>190.35000000000002</v>
      </c>
      <c r="AZ200" s="993">
        <f t="shared" si="293"/>
        <v>0</v>
      </c>
      <c r="BA200" s="994">
        <f t="shared" si="294"/>
        <v>5.1367025683512903E-2</v>
      </c>
      <c r="BC200" s="1158">
        <f t="shared" si="266"/>
        <v>0</v>
      </c>
      <c r="BD200" s="1158">
        <f t="shared" si="267"/>
        <v>0</v>
      </c>
    </row>
    <row r="201" spans="1:56">
      <c r="A201" s="975" t="str">
        <f>'Drop Box Price Out'!A43</f>
        <v>25 yd Compactors</v>
      </c>
      <c r="B201" s="995">
        <f>'Drop Box Price Out'!B43</f>
        <v>4</v>
      </c>
      <c r="C201" s="977">
        <f t="shared" si="268"/>
        <v>4.2428493990395948</v>
      </c>
      <c r="D201" s="1130"/>
      <c r="E201" s="977">
        <v>1</v>
      </c>
      <c r="F201" s="977">
        <f t="shared" si="298"/>
        <v>0.97987284042484868</v>
      </c>
      <c r="G201" s="977"/>
      <c r="H201" s="996">
        <f>'Drop Box Price Out'!D43</f>
        <v>141.88</v>
      </c>
      <c r="I201" s="979">
        <f t="shared" si="269"/>
        <v>47.293333333333329</v>
      </c>
      <c r="J201" s="1144">
        <f t="shared" si="270"/>
        <v>567.52</v>
      </c>
      <c r="K201" s="979">
        <f t="shared" si="271"/>
        <v>601.97547273573764</v>
      </c>
      <c r="L201" s="1148">
        <f>'Meeks +'!F49</f>
        <v>9000</v>
      </c>
      <c r="M201" s="1149" t="e">
        <f t="shared" si="295"/>
        <v>#VALUE!</v>
      </c>
      <c r="N201" s="980">
        <f t="shared" si="296"/>
        <v>19.09</v>
      </c>
      <c r="O201" s="981" t="e">
        <f t="shared" si="297"/>
        <v>#VALUE!</v>
      </c>
      <c r="P201" s="888"/>
      <c r="Q201" s="982">
        <v>900</v>
      </c>
      <c r="R201" s="983"/>
      <c r="S201" s="983"/>
      <c r="T201" s="984">
        <f t="shared" si="272"/>
        <v>1.0607123497598987</v>
      </c>
      <c r="U201" s="984" t="e">
        <f t="shared" si="273"/>
        <v>#VALUE!</v>
      </c>
      <c r="V201" s="984" t="e">
        <f t="shared" si="274"/>
        <v>#VALUE!</v>
      </c>
      <c r="W201" s="888"/>
      <c r="X201" s="1151" t="e">
        <f t="shared" si="263"/>
        <v>#VALUE!</v>
      </c>
      <c r="Y201" s="977">
        <f t="shared" si="275"/>
        <v>67.771126167475657</v>
      </c>
      <c r="Z201" s="977"/>
      <c r="AA201" s="977" t="e">
        <f t="shared" si="276"/>
        <v>#VALUE!</v>
      </c>
      <c r="AB201" s="977" t="e">
        <f t="shared" si="277"/>
        <v>#VALUE!</v>
      </c>
      <c r="AC201" s="977" t="e">
        <f t="shared" si="278"/>
        <v>#VALUE!</v>
      </c>
      <c r="AD201" s="977" t="e">
        <f t="shared" si="279"/>
        <v>#VALUE!</v>
      </c>
      <c r="AE201" s="979" t="e">
        <f t="shared" si="264"/>
        <v>#VALUE!</v>
      </c>
      <c r="AF201" s="892"/>
      <c r="AG201" s="892"/>
      <c r="AH201" s="977">
        <f t="shared" si="280"/>
        <v>0</v>
      </c>
      <c r="AI201" s="977" t="e">
        <f t="shared" si="281"/>
        <v>#VALUE!</v>
      </c>
      <c r="AJ201" s="985" t="e">
        <f t="shared" si="282"/>
        <v>#VALUE!</v>
      </c>
      <c r="AK201" s="977">
        <f t="shared" si="283"/>
        <v>0</v>
      </c>
      <c r="AL201" s="977"/>
      <c r="AM201" s="977" t="e">
        <f t="shared" si="284"/>
        <v>#VALUE!</v>
      </c>
      <c r="AN201" s="977" t="e">
        <f t="shared" si="285"/>
        <v>#VALUE!</v>
      </c>
      <c r="AO201" s="977" t="e">
        <f t="shared" si="286"/>
        <v>#VALUE!</v>
      </c>
      <c r="AP201" s="986" t="e">
        <f t="shared" si="287"/>
        <v>#VALUE!</v>
      </c>
      <c r="AQ201" s="888"/>
      <c r="AR201" s="983">
        <f t="shared" si="288"/>
        <v>0</v>
      </c>
      <c r="AS201" s="888"/>
      <c r="AT201" s="987">
        <f t="shared" si="289"/>
        <v>0</v>
      </c>
      <c r="AU201" s="988">
        <f t="shared" si="290"/>
        <v>0</v>
      </c>
      <c r="AV201" s="989" t="str">
        <f t="shared" si="265"/>
        <v/>
      </c>
      <c r="AW201" s="990">
        <f t="shared" si="291"/>
        <v>141.88</v>
      </c>
      <c r="AX201" s="991">
        <f t="shared" si="292"/>
        <v>601.97547273573764</v>
      </c>
      <c r="AY201" s="992">
        <f>VLOOKUP(A201,'Drop Box Price Out'!$A$13:$G$93,7,FALSE)</f>
        <v>149.15</v>
      </c>
      <c r="AZ201" s="993">
        <f t="shared" si="293"/>
        <v>632.82098786675556</v>
      </c>
      <c r="BA201" s="994">
        <f t="shared" si="294"/>
        <v>5.1240484916831197E-2</v>
      </c>
      <c r="BC201" s="1158">
        <f t="shared" si="266"/>
        <v>-601.97547273573764</v>
      </c>
      <c r="BD201" s="1158">
        <f t="shared" si="267"/>
        <v>-632.82098786675556</v>
      </c>
    </row>
    <row r="202" spans="1:56">
      <c r="A202" s="975" t="str">
        <f>'Drop Box Price Out'!A44</f>
        <v>25 yd Compactors MF</v>
      </c>
      <c r="B202" s="995">
        <f>'Drop Box Price Out'!B44</f>
        <v>0</v>
      </c>
      <c r="C202" s="977">
        <f t="shared" si="268"/>
        <v>0</v>
      </c>
      <c r="D202" s="1130"/>
      <c r="E202" s="977">
        <v>1</v>
      </c>
      <c r="F202" s="977">
        <f t="shared" si="298"/>
        <v>0</v>
      </c>
      <c r="G202" s="977"/>
      <c r="H202" s="996">
        <f>'Drop Box Price Out'!D44</f>
        <v>281.08999999999997</v>
      </c>
      <c r="I202" s="979">
        <f t="shared" si="269"/>
        <v>0</v>
      </c>
      <c r="J202" s="1144">
        <f t="shared" si="270"/>
        <v>0</v>
      </c>
      <c r="K202" s="979">
        <f t="shared" si="271"/>
        <v>0</v>
      </c>
      <c r="L202" s="1146">
        <f>L201</f>
        <v>9000</v>
      </c>
      <c r="M202" s="1149" t="e">
        <f t="shared" si="295"/>
        <v>#VALUE!</v>
      </c>
      <c r="N202" s="980">
        <f t="shared" si="296"/>
        <v>0</v>
      </c>
      <c r="O202" s="981" t="e">
        <f t="shared" si="297"/>
        <v>#VALUE!</v>
      </c>
      <c r="P202" s="888"/>
      <c r="Q202" s="982">
        <v>900</v>
      </c>
      <c r="R202" s="983"/>
      <c r="S202" s="983"/>
      <c r="T202" s="984">
        <f t="shared" si="272"/>
        <v>0</v>
      </c>
      <c r="U202" s="984" t="e">
        <f t="shared" si="273"/>
        <v>#VALUE!</v>
      </c>
      <c r="V202" s="984" t="e">
        <f t="shared" si="274"/>
        <v>#VALUE!</v>
      </c>
      <c r="W202" s="888"/>
      <c r="X202" s="1151" t="e">
        <f t="shared" si="263"/>
        <v>#VALUE!</v>
      </c>
      <c r="Y202" s="977">
        <f t="shared" si="275"/>
        <v>0</v>
      </c>
      <c r="Z202" s="977"/>
      <c r="AA202" s="977" t="e">
        <f t="shared" si="276"/>
        <v>#VALUE!</v>
      </c>
      <c r="AB202" s="977" t="e">
        <f t="shared" si="277"/>
        <v>#VALUE!</v>
      </c>
      <c r="AC202" s="977" t="e">
        <f t="shared" si="278"/>
        <v>#VALUE!</v>
      </c>
      <c r="AD202" s="977" t="e">
        <f t="shared" si="279"/>
        <v>#VALUE!</v>
      </c>
      <c r="AE202" s="979" t="e">
        <f t="shared" si="264"/>
        <v>#VALUE!</v>
      </c>
      <c r="AF202" s="892"/>
      <c r="AG202" s="892"/>
      <c r="AH202" s="977">
        <f t="shared" si="280"/>
        <v>0</v>
      </c>
      <c r="AI202" s="977" t="e">
        <f t="shared" si="281"/>
        <v>#VALUE!</v>
      </c>
      <c r="AJ202" s="985" t="e">
        <f t="shared" si="282"/>
        <v>#VALUE!</v>
      </c>
      <c r="AK202" s="977">
        <f t="shared" si="283"/>
        <v>0</v>
      </c>
      <c r="AL202" s="977"/>
      <c r="AM202" s="977" t="e">
        <f t="shared" si="284"/>
        <v>#VALUE!</v>
      </c>
      <c r="AN202" s="977" t="e">
        <f t="shared" si="285"/>
        <v>#VALUE!</v>
      </c>
      <c r="AO202" s="977" t="e">
        <f t="shared" si="286"/>
        <v>#VALUE!</v>
      </c>
      <c r="AP202" s="986" t="e">
        <f t="shared" si="287"/>
        <v>#VALUE!</v>
      </c>
      <c r="AQ202" s="888"/>
      <c r="AR202" s="983">
        <f t="shared" si="288"/>
        <v>0</v>
      </c>
      <c r="AS202" s="888"/>
      <c r="AT202" s="987">
        <f t="shared" si="289"/>
        <v>0</v>
      </c>
      <c r="AU202" s="988">
        <f t="shared" si="290"/>
        <v>0</v>
      </c>
      <c r="AV202" s="989" t="str">
        <f t="shared" si="265"/>
        <v/>
      </c>
      <c r="AW202" s="990">
        <f t="shared" si="291"/>
        <v>281.08999999999997</v>
      </c>
      <c r="AX202" s="991">
        <f t="shared" si="292"/>
        <v>0</v>
      </c>
      <c r="AY202" s="992">
        <f>VLOOKUP(A202,'Drop Box Price Out'!$A$13:$G$93,7,FALSE)</f>
        <v>295.5</v>
      </c>
      <c r="AZ202" s="993">
        <f t="shared" si="293"/>
        <v>0</v>
      </c>
      <c r="BA202" s="994">
        <f t="shared" si="294"/>
        <v>5.1264719484862595E-2</v>
      </c>
      <c r="BC202" s="1158">
        <f t="shared" si="266"/>
        <v>0</v>
      </c>
      <c r="BD202" s="1158">
        <f t="shared" si="267"/>
        <v>0</v>
      </c>
    </row>
    <row r="203" spans="1:56">
      <c r="A203" s="975" t="str">
        <f>'Drop Box Price Out'!A45</f>
        <v>25 yd Permanent</v>
      </c>
      <c r="B203" s="995">
        <f>'Drop Box Price Out'!B45</f>
        <v>7</v>
      </c>
      <c r="C203" s="977">
        <f t="shared" si="268"/>
        <v>7.4249864483192907</v>
      </c>
      <c r="D203" s="1130"/>
      <c r="E203" s="977">
        <v>1</v>
      </c>
      <c r="F203" s="977">
        <f t="shared" si="298"/>
        <v>1.7147774707434851</v>
      </c>
      <c r="G203" s="977"/>
      <c r="H203" s="996">
        <f>'Drop Box Price Out'!D45</f>
        <v>128.04</v>
      </c>
      <c r="I203" s="979">
        <f t="shared" si="269"/>
        <v>74.69</v>
      </c>
      <c r="J203" s="1144">
        <f t="shared" si="270"/>
        <v>896.28</v>
      </c>
      <c r="K203" s="979">
        <f t="shared" si="271"/>
        <v>950.69526484280198</v>
      </c>
      <c r="L203" s="1148">
        <f>'Meeks +'!F44</f>
        <v>3000</v>
      </c>
      <c r="M203" s="1149" t="e">
        <f t="shared" si="295"/>
        <v>#VALUE!</v>
      </c>
      <c r="N203" s="980">
        <f t="shared" si="296"/>
        <v>11.14</v>
      </c>
      <c r="O203" s="981" t="e">
        <f t="shared" si="297"/>
        <v>#VALUE!</v>
      </c>
      <c r="P203" s="888"/>
      <c r="Q203" s="982">
        <v>900</v>
      </c>
      <c r="R203" s="983"/>
      <c r="S203" s="983"/>
      <c r="T203" s="984">
        <f t="shared" si="272"/>
        <v>1.8562466120798227</v>
      </c>
      <c r="U203" s="984" t="e">
        <f t="shared" si="273"/>
        <v>#VALUE!</v>
      </c>
      <c r="V203" s="984" t="e">
        <f t="shared" si="274"/>
        <v>#VALUE!</v>
      </c>
      <c r="W203" s="888"/>
      <c r="X203" s="1151" t="e">
        <f t="shared" ref="X203:X234" si="299">+O203/$O$252*$X$4</f>
        <v>#VALUE!</v>
      </c>
      <c r="Y203" s="977">
        <f t="shared" si="275"/>
        <v>107.03042176731232</v>
      </c>
      <c r="Z203" s="977"/>
      <c r="AA203" s="977" t="e">
        <f t="shared" si="276"/>
        <v>#VALUE!</v>
      </c>
      <c r="AB203" s="977" t="e">
        <f t="shared" si="277"/>
        <v>#VALUE!</v>
      </c>
      <c r="AC203" s="977" t="e">
        <f t="shared" si="278"/>
        <v>#VALUE!</v>
      </c>
      <c r="AD203" s="977" t="e">
        <f t="shared" si="279"/>
        <v>#VALUE!</v>
      </c>
      <c r="AE203" s="979" t="e">
        <f t="shared" ref="AE203:AE234" si="300">$AE$4*V203/$V$252</f>
        <v>#VALUE!</v>
      </c>
      <c r="AF203" s="892"/>
      <c r="AG203" s="892"/>
      <c r="AH203" s="977">
        <f t="shared" si="280"/>
        <v>0</v>
      </c>
      <c r="AI203" s="977" t="e">
        <f t="shared" si="281"/>
        <v>#VALUE!</v>
      </c>
      <c r="AJ203" s="985" t="e">
        <f t="shared" si="282"/>
        <v>#VALUE!</v>
      </c>
      <c r="AK203" s="977">
        <f t="shared" si="283"/>
        <v>0</v>
      </c>
      <c r="AL203" s="977"/>
      <c r="AM203" s="977" t="e">
        <f t="shared" si="284"/>
        <v>#VALUE!</v>
      </c>
      <c r="AN203" s="977" t="e">
        <f t="shared" si="285"/>
        <v>#VALUE!</v>
      </c>
      <c r="AO203" s="977" t="e">
        <f t="shared" si="286"/>
        <v>#VALUE!</v>
      </c>
      <c r="AP203" s="986" t="e">
        <f t="shared" si="287"/>
        <v>#VALUE!</v>
      </c>
      <c r="AQ203" s="888"/>
      <c r="AR203" s="983">
        <f t="shared" si="288"/>
        <v>0</v>
      </c>
      <c r="AS203" s="888"/>
      <c r="AT203" s="987">
        <f t="shared" si="289"/>
        <v>0</v>
      </c>
      <c r="AU203" s="988">
        <f t="shared" si="290"/>
        <v>0</v>
      </c>
      <c r="AV203" s="989" t="str">
        <f t="shared" si="265"/>
        <v/>
      </c>
      <c r="AW203" s="990">
        <f t="shared" si="291"/>
        <v>128.04</v>
      </c>
      <c r="AX203" s="991">
        <f t="shared" si="292"/>
        <v>950.69526484280186</v>
      </c>
      <c r="AY203" s="992">
        <f>VLOOKUP(A203,'Drop Box Price Out'!$A$13:$G$93,7,FALSE)</f>
        <v>134.6</v>
      </c>
      <c r="AZ203" s="993">
        <f t="shared" si="293"/>
        <v>999.40317594377643</v>
      </c>
      <c r="BA203" s="994">
        <f t="shared" si="294"/>
        <v>5.1233989378319293E-2</v>
      </c>
      <c r="BC203" s="1158">
        <f t="shared" si="266"/>
        <v>-950.69526484280186</v>
      </c>
      <c r="BD203" s="1158">
        <f t="shared" si="267"/>
        <v>-999.40317594377643</v>
      </c>
    </row>
    <row r="204" spans="1:56">
      <c r="A204" s="975" t="str">
        <f>'Drop Box Price Out'!A46</f>
        <v>25 yd Temporary</v>
      </c>
      <c r="B204" s="995">
        <f>'Drop Box Price Out'!B46</f>
        <v>5</v>
      </c>
      <c r="C204" s="977">
        <f t="shared" si="268"/>
        <v>5.3035617487994937</v>
      </c>
      <c r="D204" s="1130"/>
      <c r="E204" s="977">
        <v>1</v>
      </c>
      <c r="F204" s="977">
        <f t="shared" si="298"/>
        <v>1.224841050531061</v>
      </c>
      <c r="G204" s="977"/>
      <c r="H204" s="996">
        <f>'Drop Box Price Out'!D46</f>
        <v>133.21</v>
      </c>
      <c r="I204" s="979">
        <f t="shared" si="269"/>
        <v>55.50416666666667</v>
      </c>
      <c r="J204" s="1144">
        <f t="shared" si="270"/>
        <v>666.05000000000007</v>
      </c>
      <c r="K204" s="979">
        <f t="shared" si="271"/>
        <v>706.48746055758056</v>
      </c>
      <c r="L204" s="1146">
        <f>L203</f>
        <v>3000</v>
      </c>
      <c r="M204" s="1149" t="e">
        <f t="shared" si="295"/>
        <v>#VALUE!</v>
      </c>
      <c r="N204" s="980">
        <f t="shared" si="296"/>
        <v>7.96</v>
      </c>
      <c r="O204" s="981" t="e">
        <f t="shared" si="297"/>
        <v>#VALUE!</v>
      </c>
      <c r="P204" s="888"/>
      <c r="Q204" s="982">
        <v>900</v>
      </c>
      <c r="R204" s="983"/>
      <c r="S204" s="983"/>
      <c r="T204" s="984">
        <f t="shared" si="272"/>
        <v>1.3258904371998732</v>
      </c>
      <c r="U204" s="984" t="e">
        <f t="shared" si="273"/>
        <v>#VALUE!</v>
      </c>
      <c r="V204" s="984" t="e">
        <f t="shared" si="274"/>
        <v>#VALUE!</v>
      </c>
      <c r="W204" s="888"/>
      <c r="X204" s="1151" t="e">
        <f t="shared" si="299"/>
        <v>#VALUE!</v>
      </c>
      <c r="Y204" s="977">
        <f t="shared" si="275"/>
        <v>79.53721205216938</v>
      </c>
      <c r="Z204" s="977"/>
      <c r="AA204" s="977" t="e">
        <f t="shared" si="276"/>
        <v>#VALUE!</v>
      </c>
      <c r="AB204" s="977" t="e">
        <f t="shared" si="277"/>
        <v>#VALUE!</v>
      </c>
      <c r="AC204" s="977" t="e">
        <f t="shared" si="278"/>
        <v>#VALUE!</v>
      </c>
      <c r="AD204" s="977" t="e">
        <f t="shared" si="279"/>
        <v>#VALUE!</v>
      </c>
      <c r="AE204" s="979" t="e">
        <f t="shared" si="300"/>
        <v>#VALUE!</v>
      </c>
      <c r="AF204" s="892"/>
      <c r="AG204" s="892"/>
      <c r="AH204" s="977">
        <f t="shared" si="280"/>
        <v>0</v>
      </c>
      <c r="AI204" s="977" t="e">
        <f t="shared" si="281"/>
        <v>#VALUE!</v>
      </c>
      <c r="AJ204" s="985" t="e">
        <f t="shared" si="282"/>
        <v>#VALUE!</v>
      </c>
      <c r="AK204" s="977">
        <f t="shared" si="283"/>
        <v>0</v>
      </c>
      <c r="AL204" s="977"/>
      <c r="AM204" s="977" t="e">
        <f t="shared" si="284"/>
        <v>#VALUE!</v>
      </c>
      <c r="AN204" s="977" t="e">
        <f t="shared" si="285"/>
        <v>#VALUE!</v>
      </c>
      <c r="AO204" s="977" t="e">
        <f t="shared" si="286"/>
        <v>#VALUE!</v>
      </c>
      <c r="AP204" s="986" t="e">
        <f t="shared" si="287"/>
        <v>#VALUE!</v>
      </c>
      <c r="AQ204" s="888"/>
      <c r="AR204" s="983">
        <f t="shared" si="288"/>
        <v>0</v>
      </c>
      <c r="AS204" s="888"/>
      <c r="AT204" s="987">
        <f t="shared" si="289"/>
        <v>0</v>
      </c>
      <c r="AU204" s="988">
        <f t="shared" si="290"/>
        <v>0</v>
      </c>
      <c r="AV204" s="989" t="str">
        <f t="shared" si="265"/>
        <v/>
      </c>
      <c r="AW204" s="990">
        <f t="shared" si="291"/>
        <v>133.21</v>
      </c>
      <c r="AX204" s="991">
        <f t="shared" si="292"/>
        <v>706.48746055758056</v>
      </c>
      <c r="AY204" s="992">
        <f>VLOOKUP(A204,'Drop Box Price Out'!$A$13:$G$93,7,FALSE)</f>
        <v>140.05000000000001</v>
      </c>
      <c r="AZ204" s="993">
        <f t="shared" si="293"/>
        <v>742.7638229193692</v>
      </c>
      <c r="BA204" s="994">
        <f t="shared" si="294"/>
        <v>5.134749643420166E-2</v>
      </c>
      <c r="BC204" s="1158">
        <f t="shared" si="266"/>
        <v>-706.48746055758056</v>
      </c>
      <c r="BD204" s="1158">
        <f t="shared" si="267"/>
        <v>-742.7638229193692</v>
      </c>
    </row>
    <row r="205" spans="1:56">
      <c r="A205" s="975" t="str">
        <f>'Drop Box Price Out'!A47</f>
        <v>25 yd Permanent MF</v>
      </c>
      <c r="B205" s="995">
        <f>'Drop Box Price Out'!B47</f>
        <v>0</v>
      </c>
      <c r="C205" s="977">
        <f t="shared" si="268"/>
        <v>0</v>
      </c>
      <c r="D205" s="1130"/>
      <c r="E205" s="977">
        <v>1</v>
      </c>
      <c r="F205" s="977">
        <f t="shared" si="298"/>
        <v>0</v>
      </c>
      <c r="G205" s="977"/>
      <c r="H205" s="996">
        <f>'Drop Box Price Out'!D47</f>
        <v>187.82</v>
      </c>
      <c r="I205" s="979">
        <f t="shared" si="269"/>
        <v>0</v>
      </c>
      <c r="J205" s="1144">
        <f t="shared" si="270"/>
        <v>0</v>
      </c>
      <c r="K205" s="979">
        <f t="shared" si="271"/>
        <v>0</v>
      </c>
      <c r="L205" s="1146">
        <f>L204</f>
        <v>3000</v>
      </c>
      <c r="M205" s="1149" t="e">
        <f t="shared" si="295"/>
        <v>#VALUE!</v>
      </c>
      <c r="N205" s="980">
        <f t="shared" si="296"/>
        <v>0</v>
      </c>
      <c r="O205" s="981" t="e">
        <f t="shared" si="297"/>
        <v>#VALUE!</v>
      </c>
      <c r="P205" s="888"/>
      <c r="Q205" s="982">
        <v>900</v>
      </c>
      <c r="R205" s="983"/>
      <c r="S205" s="983"/>
      <c r="T205" s="984">
        <f t="shared" si="272"/>
        <v>0</v>
      </c>
      <c r="U205" s="984" t="e">
        <f t="shared" si="273"/>
        <v>#VALUE!</v>
      </c>
      <c r="V205" s="984" t="e">
        <f t="shared" si="274"/>
        <v>#VALUE!</v>
      </c>
      <c r="W205" s="888"/>
      <c r="X205" s="1151" t="e">
        <f t="shared" si="299"/>
        <v>#VALUE!</v>
      </c>
      <c r="Y205" s="977">
        <f t="shared" si="275"/>
        <v>0</v>
      </c>
      <c r="Z205" s="977"/>
      <c r="AA205" s="977" t="e">
        <f t="shared" si="276"/>
        <v>#VALUE!</v>
      </c>
      <c r="AB205" s="977" t="e">
        <f t="shared" si="277"/>
        <v>#VALUE!</v>
      </c>
      <c r="AC205" s="977" t="e">
        <f t="shared" si="278"/>
        <v>#VALUE!</v>
      </c>
      <c r="AD205" s="977" t="e">
        <f t="shared" si="279"/>
        <v>#VALUE!</v>
      </c>
      <c r="AE205" s="979" t="e">
        <f t="shared" si="300"/>
        <v>#VALUE!</v>
      </c>
      <c r="AF205" s="892"/>
      <c r="AG205" s="892"/>
      <c r="AH205" s="977">
        <f t="shared" si="280"/>
        <v>0</v>
      </c>
      <c r="AI205" s="977" t="e">
        <f t="shared" si="281"/>
        <v>#VALUE!</v>
      </c>
      <c r="AJ205" s="985" t="e">
        <f t="shared" si="282"/>
        <v>#VALUE!</v>
      </c>
      <c r="AK205" s="977">
        <f t="shared" si="283"/>
        <v>0</v>
      </c>
      <c r="AL205" s="977"/>
      <c r="AM205" s="977" t="e">
        <f t="shared" si="284"/>
        <v>#VALUE!</v>
      </c>
      <c r="AN205" s="977" t="e">
        <f t="shared" si="285"/>
        <v>#VALUE!</v>
      </c>
      <c r="AO205" s="977" t="e">
        <f t="shared" si="286"/>
        <v>#VALUE!</v>
      </c>
      <c r="AP205" s="986" t="e">
        <f t="shared" si="287"/>
        <v>#VALUE!</v>
      </c>
      <c r="AQ205" s="888"/>
      <c r="AR205" s="983">
        <f t="shared" si="288"/>
        <v>0</v>
      </c>
      <c r="AS205" s="888"/>
      <c r="AT205" s="987">
        <f t="shared" si="289"/>
        <v>0</v>
      </c>
      <c r="AU205" s="988">
        <f t="shared" si="290"/>
        <v>0</v>
      </c>
      <c r="AV205" s="989" t="str">
        <f t="shared" si="265"/>
        <v/>
      </c>
      <c r="AW205" s="990">
        <f t="shared" si="291"/>
        <v>187.82</v>
      </c>
      <c r="AX205" s="991">
        <f t="shared" si="292"/>
        <v>0</v>
      </c>
      <c r="AY205" s="992">
        <f>VLOOKUP(A205,'Drop Box Price Out'!$A$13:$G$93,7,FALSE)</f>
        <v>197.45000000000002</v>
      </c>
      <c r="AZ205" s="993">
        <f t="shared" si="293"/>
        <v>0</v>
      </c>
      <c r="BA205" s="994">
        <f t="shared" si="294"/>
        <v>5.127249494196584E-2</v>
      </c>
      <c r="BC205" s="1158">
        <f t="shared" si="266"/>
        <v>0</v>
      </c>
      <c r="BD205" s="1158">
        <f t="shared" si="267"/>
        <v>0</v>
      </c>
    </row>
    <row r="206" spans="1:56">
      <c r="A206" s="975" t="str">
        <f>'Drop Box Price Out'!A48</f>
        <v>25 yd Temporary MF</v>
      </c>
      <c r="B206" s="995">
        <f>'Drop Box Price Out'!B48</f>
        <v>0</v>
      </c>
      <c r="C206" s="977">
        <f t="shared" si="268"/>
        <v>0</v>
      </c>
      <c r="D206" s="1130"/>
      <c r="E206" s="977">
        <v>1</v>
      </c>
      <c r="F206" s="977">
        <f t="shared" si="298"/>
        <v>0</v>
      </c>
      <c r="G206" s="977"/>
      <c r="H206" s="996">
        <f>'Drop Box Price Out'!D48</f>
        <v>192.97</v>
      </c>
      <c r="I206" s="979">
        <f t="shared" si="269"/>
        <v>0</v>
      </c>
      <c r="J206" s="1144">
        <f t="shared" si="270"/>
        <v>0</v>
      </c>
      <c r="K206" s="979">
        <f t="shared" si="271"/>
        <v>0</v>
      </c>
      <c r="L206" s="1146">
        <f>L205</f>
        <v>3000</v>
      </c>
      <c r="M206" s="1149" t="e">
        <f t="shared" si="295"/>
        <v>#VALUE!</v>
      </c>
      <c r="N206" s="980">
        <f t="shared" si="296"/>
        <v>0</v>
      </c>
      <c r="O206" s="981" t="e">
        <f t="shared" si="297"/>
        <v>#VALUE!</v>
      </c>
      <c r="P206" s="888"/>
      <c r="Q206" s="982">
        <v>900</v>
      </c>
      <c r="R206" s="983"/>
      <c r="S206" s="983"/>
      <c r="T206" s="984">
        <f t="shared" si="272"/>
        <v>0</v>
      </c>
      <c r="U206" s="984" t="e">
        <f t="shared" si="273"/>
        <v>#VALUE!</v>
      </c>
      <c r="V206" s="984" t="e">
        <f t="shared" si="274"/>
        <v>#VALUE!</v>
      </c>
      <c r="W206" s="888"/>
      <c r="X206" s="1151" t="e">
        <f t="shared" si="299"/>
        <v>#VALUE!</v>
      </c>
      <c r="Y206" s="977">
        <f t="shared" si="275"/>
        <v>0</v>
      </c>
      <c r="Z206" s="977"/>
      <c r="AA206" s="977" t="e">
        <f t="shared" si="276"/>
        <v>#VALUE!</v>
      </c>
      <c r="AB206" s="977" t="e">
        <f t="shared" si="277"/>
        <v>#VALUE!</v>
      </c>
      <c r="AC206" s="977" t="e">
        <f t="shared" si="278"/>
        <v>#VALUE!</v>
      </c>
      <c r="AD206" s="977" t="e">
        <f t="shared" si="279"/>
        <v>#VALUE!</v>
      </c>
      <c r="AE206" s="979" t="e">
        <f t="shared" si="300"/>
        <v>#VALUE!</v>
      </c>
      <c r="AF206" s="892"/>
      <c r="AG206" s="892"/>
      <c r="AH206" s="977">
        <f t="shared" si="280"/>
        <v>0</v>
      </c>
      <c r="AI206" s="977" t="e">
        <f t="shared" si="281"/>
        <v>#VALUE!</v>
      </c>
      <c r="AJ206" s="985" t="e">
        <f t="shared" si="282"/>
        <v>#VALUE!</v>
      </c>
      <c r="AK206" s="977">
        <f t="shared" si="283"/>
        <v>0</v>
      </c>
      <c r="AL206" s="977"/>
      <c r="AM206" s="977" t="e">
        <f t="shared" si="284"/>
        <v>#VALUE!</v>
      </c>
      <c r="AN206" s="977" t="e">
        <f t="shared" si="285"/>
        <v>#VALUE!</v>
      </c>
      <c r="AO206" s="977" t="e">
        <f t="shared" si="286"/>
        <v>#VALUE!</v>
      </c>
      <c r="AP206" s="986" t="e">
        <f t="shared" si="287"/>
        <v>#VALUE!</v>
      </c>
      <c r="AQ206" s="888"/>
      <c r="AR206" s="983">
        <f t="shared" si="288"/>
        <v>0</v>
      </c>
      <c r="AS206" s="888"/>
      <c r="AT206" s="987">
        <f t="shared" si="289"/>
        <v>0</v>
      </c>
      <c r="AU206" s="988">
        <f t="shared" si="290"/>
        <v>0</v>
      </c>
      <c r="AV206" s="989" t="str">
        <f t="shared" si="265"/>
        <v/>
      </c>
      <c r="AW206" s="990">
        <f t="shared" si="291"/>
        <v>192.97</v>
      </c>
      <c r="AX206" s="991">
        <f t="shared" si="292"/>
        <v>0</v>
      </c>
      <c r="AY206" s="992">
        <f>VLOOKUP(A206,'Drop Box Price Out'!$A$13:$G$93,7,FALSE)</f>
        <v>202.85000000000002</v>
      </c>
      <c r="AZ206" s="993">
        <f t="shared" si="293"/>
        <v>0</v>
      </c>
      <c r="BA206" s="994">
        <f t="shared" si="294"/>
        <v>5.1199668342229485E-2</v>
      </c>
      <c r="BC206" s="1158">
        <f t="shared" si="266"/>
        <v>0</v>
      </c>
      <c r="BD206" s="1158">
        <f t="shared" si="267"/>
        <v>0</v>
      </c>
    </row>
    <row r="207" spans="1:56">
      <c r="A207" s="975" t="str">
        <f>'Drop Box Price Out'!A49</f>
        <v>30 yd Compactors</v>
      </c>
      <c r="B207" s="995">
        <f>'Drop Box Price Out'!B49</f>
        <v>16</v>
      </c>
      <c r="C207" s="977">
        <f t="shared" si="268"/>
        <v>16.971397596158379</v>
      </c>
      <c r="D207" s="1130"/>
      <c r="E207" s="977">
        <v>1</v>
      </c>
      <c r="F207" s="977">
        <f t="shared" si="298"/>
        <v>3.9194913616993947</v>
      </c>
      <c r="G207" s="977"/>
      <c r="H207" s="996">
        <f>'Drop Box Price Out'!D49</f>
        <v>141.88</v>
      </c>
      <c r="I207" s="979">
        <f t="shared" si="269"/>
        <v>189.17333333333332</v>
      </c>
      <c r="J207" s="1144">
        <f t="shared" si="270"/>
        <v>2270.08</v>
      </c>
      <c r="K207" s="979">
        <f t="shared" si="271"/>
        <v>2407.9018909429506</v>
      </c>
      <c r="L207" s="1148">
        <f>'Meeks +'!F50</f>
        <v>10800</v>
      </c>
      <c r="M207" s="1149" t="e">
        <f t="shared" si="295"/>
        <v>#VALUE!</v>
      </c>
      <c r="N207" s="980">
        <f t="shared" si="296"/>
        <v>91.65</v>
      </c>
      <c r="O207" s="981" t="e">
        <f t="shared" si="297"/>
        <v>#VALUE!</v>
      </c>
      <c r="P207" s="888"/>
      <c r="Q207" s="982">
        <v>900</v>
      </c>
      <c r="R207" s="983"/>
      <c r="S207" s="983"/>
      <c r="T207" s="984">
        <f t="shared" si="272"/>
        <v>4.2428493990395948</v>
      </c>
      <c r="U207" s="984" t="e">
        <f t="shared" si="273"/>
        <v>#VALUE!</v>
      </c>
      <c r="V207" s="984" t="e">
        <f t="shared" si="274"/>
        <v>#VALUE!</v>
      </c>
      <c r="W207" s="888"/>
      <c r="X207" s="1151" t="e">
        <f t="shared" si="299"/>
        <v>#VALUE!</v>
      </c>
      <c r="Y207" s="977">
        <f t="shared" si="275"/>
        <v>271.08450466990263</v>
      </c>
      <c r="Z207" s="977"/>
      <c r="AA207" s="977" t="e">
        <f t="shared" si="276"/>
        <v>#VALUE!</v>
      </c>
      <c r="AB207" s="977" t="e">
        <f t="shared" si="277"/>
        <v>#VALUE!</v>
      </c>
      <c r="AC207" s="977" t="e">
        <f t="shared" si="278"/>
        <v>#VALUE!</v>
      </c>
      <c r="AD207" s="977" t="e">
        <f t="shared" si="279"/>
        <v>#VALUE!</v>
      </c>
      <c r="AE207" s="979" t="e">
        <f t="shared" si="300"/>
        <v>#VALUE!</v>
      </c>
      <c r="AF207" s="892"/>
      <c r="AG207" s="892"/>
      <c r="AH207" s="977">
        <f t="shared" si="280"/>
        <v>0</v>
      </c>
      <c r="AI207" s="977" t="e">
        <f t="shared" si="281"/>
        <v>#VALUE!</v>
      </c>
      <c r="AJ207" s="985" t="e">
        <f t="shared" si="282"/>
        <v>#VALUE!</v>
      </c>
      <c r="AK207" s="977">
        <f t="shared" si="283"/>
        <v>0</v>
      </c>
      <c r="AL207" s="977"/>
      <c r="AM207" s="977" t="e">
        <f t="shared" si="284"/>
        <v>#VALUE!</v>
      </c>
      <c r="AN207" s="977" t="e">
        <f t="shared" si="285"/>
        <v>#VALUE!</v>
      </c>
      <c r="AO207" s="977" t="e">
        <f t="shared" si="286"/>
        <v>#VALUE!</v>
      </c>
      <c r="AP207" s="986" t="e">
        <f t="shared" si="287"/>
        <v>#VALUE!</v>
      </c>
      <c r="AQ207" s="888"/>
      <c r="AR207" s="983">
        <f t="shared" si="288"/>
        <v>0</v>
      </c>
      <c r="AS207" s="888"/>
      <c r="AT207" s="987">
        <f t="shared" si="289"/>
        <v>0</v>
      </c>
      <c r="AU207" s="988">
        <f t="shared" si="290"/>
        <v>0</v>
      </c>
      <c r="AV207" s="989" t="str">
        <f t="shared" si="265"/>
        <v/>
      </c>
      <c r="AW207" s="990">
        <f t="shared" si="291"/>
        <v>141.88</v>
      </c>
      <c r="AX207" s="991">
        <f t="shared" si="292"/>
        <v>2407.9018909429506</v>
      </c>
      <c r="AY207" s="992">
        <f>VLOOKUP(A207,'Drop Box Price Out'!$A$13:$G$93,7,FALSE)</f>
        <v>149.15</v>
      </c>
      <c r="AZ207" s="993">
        <f t="shared" si="293"/>
        <v>2531.2839514670222</v>
      </c>
      <c r="BA207" s="994">
        <f t="shared" si="294"/>
        <v>5.1240484916831197E-2</v>
      </c>
      <c r="BC207" s="1158">
        <f t="shared" si="266"/>
        <v>-2407.9018909429506</v>
      </c>
      <c r="BD207" s="1158">
        <f t="shared" si="267"/>
        <v>-2531.2839514670222</v>
      </c>
    </row>
    <row r="208" spans="1:56">
      <c r="A208" s="975" t="str">
        <f>'Drop Box Price Out'!A50</f>
        <v>30 yd Compactors MF</v>
      </c>
      <c r="B208" s="995">
        <f>'Drop Box Price Out'!B50</f>
        <v>104</v>
      </c>
      <c r="C208" s="977">
        <f t="shared" si="268"/>
        <v>110.31408437502947</v>
      </c>
      <c r="D208" s="1130"/>
      <c r="E208" s="977">
        <v>1</v>
      </c>
      <c r="F208" s="977">
        <f t="shared" si="298"/>
        <v>25.476693851046065</v>
      </c>
      <c r="G208" s="977"/>
      <c r="H208" s="996">
        <f>'Drop Box Price Out'!D50</f>
        <v>309.83999999999997</v>
      </c>
      <c r="I208" s="979">
        <f t="shared" si="269"/>
        <v>2685.2799999999997</v>
      </c>
      <c r="J208" s="1144">
        <f t="shared" si="270"/>
        <v>32223.359999999997</v>
      </c>
      <c r="K208" s="979">
        <f t="shared" si="271"/>
        <v>34179.715902759126</v>
      </c>
      <c r="L208" s="1146">
        <f>L207</f>
        <v>10800</v>
      </c>
      <c r="M208" s="1149" t="e">
        <f t="shared" si="295"/>
        <v>#VALUE!</v>
      </c>
      <c r="N208" s="980">
        <f t="shared" si="296"/>
        <v>595.70000000000005</v>
      </c>
      <c r="O208" s="981" t="e">
        <f t="shared" si="297"/>
        <v>#VALUE!</v>
      </c>
      <c r="P208" s="888"/>
      <c r="Q208" s="982">
        <v>900</v>
      </c>
      <c r="R208" s="983"/>
      <c r="S208" s="983"/>
      <c r="T208" s="984">
        <f t="shared" si="272"/>
        <v>27.578521093757367</v>
      </c>
      <c r="U208" s="984" t="e">
        <f t="shared" si="273"/>
        <v>#VALUE!</v>
      </c>
      <c r="V208" s="984" t="e">
        <f t="shared" si="274"/>
        <v>#VALUE!</v>
      </c>
      <c r="W208" s="888"/>
      <c r="X208" s="1151" t="e">
        <f t="shared" si="299"/>
        <v>#VALUE!</v>
      </c>
      <c r="Y208" s="977">
        <f t="shared" si="275"/>
        <v>3847.9937202212932</v>
      </c>
      <c r="Z208" s="977"/>
      <c r="AA208" s="977" t="e">
        <f t="shared" si="276"/>
        <v>#VALUE!</v>
      </c>
      <c r="AB208" s="977" t="e">
        <f t="shared" si="277"/>
        <v>#VALUE!</v>
      </c>
      <c r="AC208" s="977" t="e">
        <f t="shared" si="278"/>
        <v>#VALUE!</v>
      </c>
      <c r="AD208" s="977" t="e">
        <f t="shared" si="279"/>
        <v>#VALUE!</v>
      </c>
      <c r="AE208" s="979" t="e">
        <f t="shared" si="300"/>
        <v>#VALUE!</v>
      </c>
      <c r="AF208" s="892"/>
      <c r="AG208" s="892"/>
      <c r="AH208" s="977">
        <f t="shared" si="280"/>
        <v>0</v>
      </c>
      <c r="AI208" s="977" t="e">
        <f t="shared" si="281"/>
        <v>#VALUE!</v>
      </c>
      <c r="AJ208" s="985" t="e">
        <f t="shared" si="282"/>
        <v>#VALUE!</v>
      </c>
      <c r="AK208" s="977">
        <f t="shared" si="283"/>
        <v>0</v>
      </c>
      <c r="AL208" s="977"/>
      <c r="AM208" s="977" t="e">
        <f t="shared" si="284"/>
        <v>#VALUE!</v>
      </c>
      <c r="AN208" s="977" t="e">
        <f t="shared" si="285"/>
        <v>#VALUE!</v>
      </c>
      <c r="AO208" s="977" t="e">
        <f t="shared" si="286"/>
        <v>#VALUE!</v>
      </c>
      <c r="AP208" s="986" t="e">
        <f t="shared" si="287"/>
        <v>#VALUE!</v>
      </c>
      <c r="AQ208" s="888"/>
      <c r="AR208" s="983">
        <f t="shared" si="288"/>
        <v>0</v>
      </c>
      <c r="AS208" s="888"/>
      <c r="AT208" s="987">
        <f t="shared" si="289"/>
        <v>0</v>
      </c>
      <c r="AU208" s="988">
        <f t="shared" si="290"/>
        <v>0</v>
      </c>
      <c r="AV208" s="989" t="str">
        <f t="shared" si="265"/>
        <v/>
      </c>
      <c r="AW208" s="990">
        <f t="shared" si="291"/>
        <v>309.83999999999997</v>
      </c>
      <c r="AX208" s="991">
        <f t="shared" si="292"/>
        <v>34179.715902759126</v>
      </c>
      <c r="AY208" s="992">
        <f>VLOOKUP(A208,'Drop Box Price Out'!$A$13:$G$93,7,FALSE)</f>
        <v>325.75</v>
      </c>
      <c r="AZ208" s="993">
        <f t="shared" si="293"/>
        <v>35934.812985165852</v>
      </c>
      <c r="BA208" s="994">
        <f t="shared" si="294"/>
        <v>5.1349083397882862E-2</v>
      </c>
      <c r="BC208" s="1158">
        <f t="shared" si="266"/>
        <v>-34179.715902759126</v>
      </c>
      <c r="BD208" s="1158">
        <f t="shared" si="267"/>
        <v>-35934.812985165852</v>
      </c>
    </row>
    <row r="209" spans="1:56">
      <c r="A209" s="975" t="str">
        <f>'Drop Box Price Out'!A51</f>
        <v>30 yd Permanent</v>
      </c>
      <c r="B209" s="995">
        <f>'Drop Box Price Out'!B51</f>
        <v>35</v>
      </c>
      <c r="C209" s="977">
        <f t="shared" si="268"/>
        <v>37.124932241596454</v>
      </c>
      <c r="D209" s="1130"/>
      <c r="E209" s="977">
        <v>1</v>
      </c>
      <c r="F209" s="977">
        <f t="shared" si="298"/>
        <v>8.5738873537174261</v>
      </c>
      <c r="G209" s="977"/>
      <c r="H209" s="996">
        <f>'Drop Box Price Out'!D51</f>
        <v>128.04</v>
      </c>
      <c r="I209" s="979">
        <f t="shared" si="269"/>
        <v>373.45</v>
      </c>
      <c r="J209" s="1144">
        <f t="shared" si="270"/>
        <v>4481.3999999999996</v>
      </c>
      <c r="K209" s="979">
        <f t="shared" si="271"/>
        <v>4753.4763242140098</v>
      </c>
      <c r="L209" s="1148">
        <f>'Meeks +'!F45</f>
        <v>3600</v>
      </c>
      <c r="M209" s="1149" t="e">
        <f t="shared" si="295"/>
        <v>#VALUE!</v>
      </c>
      <c r="N209" s="980">
        <f t="shared" si="296"/>
        <v>66.819999999999993</v>
      </c>
      <c r="O209" s="981" t="e">
        <f t="shared" si="297"/>
        <v>#VALUE!</v>
      </c>
      <c r="P209" s="888"/>
      <c r="Q209" s="982">
        <v>900</v>
      </c>
      <c r="R209" s="983"/>
      <c r="S209" s="983"/>
      <c r="T209" s="984">
        <f t="shared" si="272"/>
        <v>9.2812330603991136</v>
      </c>
      <c r="U209" s="984" t="e">
        <f t="shared" si="273"/>
        <v>#VALUE!</v>
      </c>
      <c r="V209" s="984" t="e">
        <f t="shared" si="274"/>
        <v>#VALUE!</v>
      </c>
      <c r="W209" s="888"/>
      <c r="X209" s="1151" t="e">
        <f t="shared" si="299"/>
        <v>#VALUE!</v>
      </c>
      <c r="Y209" s="977">
        <f t="shared" si="275"/>
        <v>535.15210883656152</v>
      </c>
      <c r="Z209" s="977"/>
      <c r="AA209" s="977" t="e">
        <f t="shared" si="276"/>
        <v>#VALUE!</v>
      </c>
      <c r="AB209" s="977" t="e">
        <f t="shared" si="277"/>
        <v>#VALUE!</v>
      </c>
      <c r="AC209" s="977" t="e">
        <f t="shared" si="278"/>
        <v>#VALUE!</v>
      </c>
      <c r="AD209" s="977" t="e">
        <f t="shared" si="279"/>
        <v>#VALUE!</v>
      </c>
      <c r="AE209" s="979" t="e">
        <f t="shared" si="300"/>
        <v>#VALUE!</v>
      </c>
      <c r="AF209" s="892"/>
      <c r="AG209" s="892"/>
      <c r="AH209" s="977">
        <f t="shared" si="280"/>
        <v>0</v>
      </c>
      <c r="AI209" s="977" t="e">
        <f t="shared" si="281"/>
        <v>#VALUE!</v>
      </c>
      <c r="AJ209" s="985" t="e">
        <f t="shared" si="282"/>
        <v>#VALUE!</v>
      </c>
      <c r="AK209" s="977">
        <f t="shared" si="283"/>
        <v>0</v>
      </c>
      <c r="AL209" s="977"/>
      <c r="AM209" s="977" t="e">
        <f t="shared" si="284"/>
        <v>#VALUE!</v>
      </c>
      <c r="AN209" s="977" t="e">
        <f t="shared" si="285"/>
        <v>#VALUE!</v>
      </c>
      <c r="AO209" s="977" t="e">
        <f t="shared" si="286"/>
        <v>#VALUE!</v>
      </c>
      <c r="AP209" s="986" t="e">
        <f t="shared" si="287"/>
        <v>#VALUE!</v>
      </c>
      <c r="AQ209" s="888"/>
      <c r="AR209" s="983">
        <f t="shared" si="288"/>
        <v>0</v>
      </c>
      <c r="AS209" s="888"/>
      <c r="AT209" s="987">
        <f t="shared" si="289"/>
        <v>0</v>
      </c>
      <c r="AU209" s="988">
        <f t="shared" si="290"/>
        <v>0</v>
      </c>
      <c r="AV209" s="989" t="str">
        <f t="shared" si="265"/>
        <v/>
      </c>
      <c r="AW209" s="990">
        <f t="shared" si="291"/>
        <v>128.04</v>
      </c>
      <c r="AX209" s="991">
        <f t="shared" si="292"/>
        <v>4753.4763242140098</v>
      </c>
      <c r="AY209" s="992">
        <f>VLOOKUP(A209,'Drop Box Price Out'!$A$13:$G$93,7,FALSE)</f>
        <v>134.6</v>
      </c>
      <c r="AZ209" s="993">
        <f t="shared" si="293"/>
        <v>4997.0158797188824</v>
      </c>
      <c r="BA209" s="994">
        <f t="shared" si="294"/>
        <v>5.1233989378319293E-2</v>
      </c>
      <c r="BC209" s="1158">
        <f t="shared" si="266"/>
        <v>-4753.4763242140098</v>
      </c>
      <c r="BD209" s="1158">
        <f t="shared" si="267"/>
        <v>-4997.0158797188824</v>
      </c>
    </row>
    <row r="210" spans="1:56">
      <c r="A210" s="975" t="str">
        <f>'Drop Box Price Out'!A52</f>
        <v>30 yd Temporary</v>
      </c>
      <c r="B210" s="995">
        <f>'Drop Box Price Out'!B52</f>
        <v>13</v>
      </c>
      <c r="C210" s="977">
        <f t="shared" si="268"/>
        <v>13.789260546878683</v>
      </c>
      <c r="D210" s="1130"/>
      <c r="E210" s="977">
        <v>1</v>
      </c>
      <c r="F210" s="977">
        <f t="shared" si="298"/>
        <v>3.1845867313807581</v>
      </c>
      <c r="G210" s="977"/>
      <c r="H210" s="996">
        <f>'Drop Box Price Out'!D52</f>
        <v>133.21</v>
      </c>
      <c r="I210" s="979">
        <f t="shared" si="269"/>
        <v>144.31083333333333</v>
      </c>
      <c r="J210" s="1144">
        <f t="shared" si="270"/>
        <v>1731.73</v>
      </c>
      <c r="K210" s="979">
        <f t="shared" si="271"/>
        <v>1836.8673974497094</v>
      </c>
      <c r="L210" s="1146">
        <f>L209</f>
        <v>3600</v>
      </c>
      <c r="M210" s="1149" t="e">
        <f t="shared" si="295"/>
        <v>#VALUE!</v>
      </c>
      <c r="N210" s="980">
        <f t="shared" si="296"/>
        <v>24.82</v>
      </c>
      <c r="O210" s="981" t="e">
        <f t="shared" si="297"/>
        <v>#VALUE!</v>
      </c>
      <c r="P210" s="888"/>
      <c r="Q210" s="982">
        <v>900</v>
      </c>
      <c r="R210" s="983"/>
      <c r="S210" s="983"/>
      <c r="T210" s="984">
        <f t="shared" si="272"/>
        <v>3.4473151367196708</v>
      </c>
      <c r="U210" s="984" t="e">
        <f t="shared" si="273"/>
        <v>#VALUE!</v>
      </c>
      <c r="V210" s="984" t="e">
        <f t="shared" si="274"/>
        <v>#VALUE!</v>
      </c>
      <c r="W210" s="888"/>
      <c r="X210" s="1151" t="e">
        <f t="shared" si="299"/>
        <v>#VALUE!</v>
      </c>
      <c r="Y210" s="977">
        <f t="shared" si="275"/>
        <v>206.79675133564035</v>
      </c>
      <c r="Z210" s="977"/>
      <c r="AA210" s="977" t="e">
        <f t="shared" si="276"/>
        <v>#VALUE!</v>
      </c>
      <c r="AB210" s="977" t="e">
        <f t="shared" si="277"/>
        <v>#VALUE!</v>
      </c>
      <c r="AC210" s="977" t="e">
        <f t="shared" si="278"/>
        <v>#VALUE!</v>
      </c>
      <c r="AD210" s="977" t="e">
        <f t="shared" si="279"/>
        <v>#VALUE!</v>
      </c>
      <c r="AE210" s="979" t="e">
        <f t="shared" si="300"/>
        <v>#VALUE!</v>
      </c>
      <c r="AF210" s="892"/>
      <c r="AG210" s="892"/>
      <c r="AH210" s="977">
        <f t="shared" si="280"/>
        <v>0</v>
      </c>
      <c r="AI210" s="977" t="e">
        <f t="shared" si="281"/>
        <v>#VALUE!</v>
      </c>
      <c r="AJ210" s="985" t="e">
        <f t="shared" si="282"/>
        <v>#VALUE!</v>
      </c>
      <c r="AK210" s="977">
        <f t="shared" si="283"/>
        <v>0</v>
      </c>
      <c r="AL210" s="977"/>
      <c r="AM210" s="977" t="e">
        <f t="shared" si="284"/>
        <v>#VALUE!</v>
      </c>
      <c r="AN210" s="977" t="e">
        <f t="shared" si="285"/>
        <v>#VALUE!</v>
      </c>
      <c r="AO210" s="977" t="e">
        <f t="shared" si="286"/>
        <v>#VALUE!</v>
      </c>
      <c r="AP210" s="986" t="e">
        <f t="shared" si="287"/>
        <v>#VALUE!</v>
      </c>
      <c r="AQ210" s="888"/>
      <c r="AR210" s="983">
        <f t="shared" si="288"/>
        <v>0</v>
      </c>
      <c r="AS210" s="888"/>
      <c r="AT210" s="987">
        <f t="shared" si="289"/>
        <v>0</v>
      </c>
      <c r="AU210" s="988">
        <f t="shared" si="290"/>
        <v>0</v>
      </c>
      <c r="AV210" s="989" t="str">
        <f t="shared" si="265"/>
        <v/>
      </c>
      <c r="AW210" s="990">
        <f t="shared" si="291"/>
        <v>133.21</v>
      </c>
      <c r="AX210" s="991">
        <f t="shared" si="292"/>
        <v>1836.8673974497094</v>
      </c>
      <c r="AY210" s="992">
        <f>VLOOKUP(A210,'Drop Box Price Out'!$A$13:$G$93,7,FALSE)</f>
        <v>140.05000000000001</v>
      </c>
      <c r="AZ210" s="993">
        <f t="shared" si="293"/>
        <v>1931.1859395903598</v>
      </c>
      <c r="BA210" s="994">
        <f t="shared" si="294"/>
        <v>5.134749643420166E-2</v>
      </c>
      <c r="BC210" s="1158">
        <f t="shared" si="266"/>
        <v>-1836.8673974497094</v>
      </c>
      <c r="BD210" s="1158">
        <f t="shared" si="267"/>
        <v>-1931.1859395903598</v>
      </c>
    </row>
    <row r="211" spans="1:56">
      <c r="A211" s="975" t="str">
        <f>'Drop Box Price Out'!A53</f>
        <v>30 yd Permanent MF</v>
      </c>
      <c r="B211" s="995">
        <f>'Drop Box Price Out'!B53</f>
        <v>0</v>
      </c>
      <c r="C211" s="977">
        <f t="shared" si="268"/>
        <v>0</v>
      </c>
      <c r="D211" s="1130"/>
      <c r="E211" s="977">
        <v>1</v>
      </c>
      <c r="F211" s="977">
        <f t="shared" si="298"/>
        <v>0</v>
      </c>
      <c r="G211" s="977"/>
      <c r="H211" s="996">
        <f>'Drop Box Price Out'!D53</f>
        <v>199.75</v>
      </c>
      <c r="I211" s="979">
        <f t="shared" si="269"/>
        <v>0</v>
      </c>
      <c r="J211" s="1144">
        <f t="shared" si="270"/>
        <v>0</v>
      </c>
      <c r="K211" s="979">
        <f t="shared" si="271"/>
        <v>0</v>
      </c>
      <c r="L211" s="1146">
        <f>L210</f>
        <v>3600</v>
      </c>
      <c r="M211" s="1149" t="e">
        <f t="shared" si="295"/>
        <v>#VALUE!</v>
      </c>
      <c r="N211" s="980">
        <f t="shared" si="296"/>
        <v>0</v>
      </c>
      <c r="O211" s="981" t="e">
        <f t="shared" si="297"/>
        <v>#VALUE!</v>
      </c>
      <c r="P211" s="888"/>
      <c r="Q211" s="982">
        <v>900</v>
      </c>
      <c r="R211" s="983"/>
      <c r="S211" s="983"/>
      <c r="T211" s="984">
        <f t="shared" si="272"/>
        <v>0</v>
      </c>
      <c r="U211" s="984" t="e">
        <f t="shared" si="273"/>
        <v>#VALUE!</v>
      </c>
      <c r="V211" s="984" t="e">
        <f t="shared" si="274"/>
        <v>#VALUE!</v>
      </c>
      <c r="W211" s="888"/>
      <c r="X211" s="1151" t="e">
        <f t="shared" si="299"/>
        <v>#VALUE!</v>
      </c>
      <c r="Y211" s="977">
        <f t="shared" si="275"/>
        <v>0</v>
      </c>
      <c r="Z211" s="977"/>
      <c r="AA211" s="977" t="e">
        <f t="shared" si="276"/>
        <v>#VALUE!</v>
      </c>
      <c r="AB211" s="977" t="e">
        <f t="shared" si="277"/>
        <v>#VALUE!</v>
      </c>
      <c r="AC211" s="977" t="e">
        <f t="shared" si="278"/>
        <v>#VALUE!</v>
      </c>
      <c r="AD211" s="977" t="e">
        <f t="shared" si="279"/>
        <v>#VALUE!</v>
      </c>
      <c r="AE211" s="979" t="e">
        <f t="shared" si="300"/>
        <v>#VALUE!</v>
      </c>
      <c r="AF211" s="892"/>
      <c r="AG211" s="892"/>
      <c r="AH211" s="977">
        <f t="shared" si="280"/>
        <v>0</v>
      </c>
      <c r="AI211" s="977" t="e">
        <f t="shared" si="281"/>
        <v>#VALUE!</v>
      </c>
      <c r="AJ211" s="985" t="e">
        <f t="shared" si="282"/>
        <v>#VALUE!</v>
      </c>
      <c r="AK211" s="977">
        <f t="shared" si="283"/>
        <v>0</v>
      </c>
      <c r="AL211" s="977"/>
      <c r="AM211" s="977" t="e">
        <f t="shared" si="284"/>
        <v>#VALUE!</v>
      </c>
      <c r="AN211" s="977" t="e">
        <f t="shared" si="285"/>
        <v>#VALUE!</v>
      </c>
      <c r="AO211" s="977" t="e">
        <f t="shared" si="286"/>
        <v>#VALUE!</v>
      </c>
      <c r="AP211" s="986" t="e">
        <f t="shared" si="287"/>
        <v>#VALUE!</v>
      </c>
      <c r="AQ211" s="888"/>
      <c r="AR211" s="983">
        <f t="shared" si="288"/>
        <v>0</v>
      </c>
      <c r="AS211" s="888"/>
      <c r="AT211" s="987">
        <f t="shared" si="289"/>
        <v>0</v>
      </c>
      <c r="AU211" s="988">
        <f t="shared" si="290"/>
        <v>0</v>
      </c>
      <c r="AV211" s="989" t="str">
        <f t="shared" si="265"/>
        <v/>
      </c>
      <c r="AW211" s="990">
        <f t="shared" si="291"/>
        <v>199.75</v>
      </c>
      <c r="AX211" s="991">
        <f t="shared" si="292"/>
        <v>0</v>
      </c>
      <c r="AY211" s="992">
        <f>VLOOKUP(A211,'Drop Box Price Out'!$A$13:$G$93,7,FALSE)</f>
        <v>210</v>
      </c>
      <c r="AZ211" s="993">
        <f t="shared" si="293"/>
        <v>0</v>
      </c>
      <c r="BA211" s="994">
        <f t="shared" si="294"/>
        <v>5.1314142678347933E-2</v>
      </c>
      <c r="BC211" s="1158">
        <f t="shared" si="266"/>
        <v>0</v>
      </c>
      <c r="BD211" s="1158">
        <f t="shared" si="267"/>
        <v>0</v>
      </c>
    </row>
    <row r="212" spans="1:56">
      <c r="A212" s="975" t="str">
        <f>'Drop Box Price Out'!A54</f>
        <v>30 yd Temporary MF</v>
      </c>
      <c r="B212" s="995">
        <f>'Drop Box Price Out'!B54</f>
        <v>0</v>
      </c>
      <c r="C212" s="977">
        <f t="shared" si="268"/>
        <v>0</v>
      </c>
      <c r="D212" s="1130"/>
      <c r="E212" s="977">
        <v>1</v>
      </c>
      <c r="F212" s="977">
        <f t="shared" si="298"/>
        <v>0</v>
      </c>
      <c r="G212" s="977"/>
      <c r="H212" s="996">
        <f>'Drop Box Price Out'!D54</f>
        <v>204.9</v>
      </c>
      <c r="I212" s="979">
        <f t="shared" si="269"/>
        <v>0</v>
      </c>
      <c r="J212" s="1144">
        <f t="shared" si="270"/>
        <v>0</v>
      </c>
      <c r="K212" s="979">
        <f t="shared" si="271"/>
        <v>0</v>
      </c>
      <c r="L212" s="1146">
        <f>L211</f>
        <v>3600</v>
      </c>
      <c r="M212" s="1149" t="e">
        <f t="shared" si="295"/>
        <v>#VALUE!</v>
      </c>
      <c r="N212" s="980">
        <f t="shared" si="296"/>
        <v>0</v>
      </c>
      <c r="O212" s="981" t="e">
        <f t="shared" si="297"/>
        <v>#VALUE!</v>
      </c>
      <c r="P212" s="888"/>
      <c r="Q212" s="982">
        <v>900</v>
      </c>
      <c r="R212" s="983"/>
      <c r="S212" s="983"/>
      <c r="T212" s="984">
        <f t="shared" si="272"/>
        <v>0</v>
      </c>
      <c r="U212" s="984" t="e">
        <f t="shared" si="273"/>
        <v>#VALUE!</v>
      </c>
      <c r="V212" s="984" t="e">
        <f t="shared" si="274"/>
        <v>#VALUE!</v>
      </c>
      <c r="W212" s="888"/>
      <c r="X212" s="1151" t="e">
        <f t="shared" si="299"/>
        <v>#VALUE!</v>
      </c>
      <c r="Y212" s="977">
        <f t="shared" si="275"/>
        <v>0</v>
      </c>
      <c r="Z212" s="977"/>
      <c r="AA212" s="977" t="e">
        <f t="shared" si="276"/>
        <v>#VALUE!</v>
      </c>
      <c r="AB212" s="977" t="e">
        <f t="shared" si="277"/>
        <v>#VALUE!</v>
      </c>
      <c r="AC212" s="977" t="e">
        <f t="shared" si="278"/>
        <v>#VALUE!</v>
      </c>
      <c r="AD212" s="977" t="e">
        <f t="shared" si="279"/>
        <v>#VALUE!</v>
      </c>
      <c r="AE212" s="979" t="e">
        <f t="shared" si="300"/>
        <v>#VALUE!</v>
      </c>
      <c r="AF212" s="892"/>
      <c r="AG212" s="892"/>
      <c r="AH212" s="977">
        <f t="shared" si="280"/>
        <v>0</v>
      </c>
      <c r="AI212" s="977" t="e">
        <f t="shared" si="281"/>
        <v>#VALUE!</v>
      </c>
      <c r="AJ212" s="985" t="e">
        <f t="shared" si="282"/>
        <v>#VALUE!</v>
      </c>
      <c r="AK212" s="977">
        <f t="shared" si="283"/>
        <v>0</v>
      </c>
      <c r="AL212" s="977"/>
      <c r="AM212" s="977" t="e">
        <f t="shared" si="284"/>
        <v>#VALUE!</v>
      </c>
      <c r="AN212" s="977" t="e">
        <f t="shared" si="285"/>
        <v>#VALUE!</v>
      </c>
      <c r="AO212" s="977" t="e">
        <f t="shared" si="286"/>
        <v>#VALUE!</v>
      </c>
      <c r="AP212" s="986" t="e">
        <f t="shared" si="287"/>
        <v>#VALUE!</v>
      </c>
      <c r="AQ212" s="888"/>
      <c r="AR212" s="983">
        <f t="shared" si="288"/>
        <v>0</v>
      </c>
      <c r="AS212" s="888"/>
      <c r="AT212" s="987">
        <f t="shared" si="289"/>
        <v>0</v>
      </c>
      <c r="AU212" s="988">
        <f t="shared" si="290"/>
        <v>0</v>
      </c>
      <c r="AV212" s="989" t="str">
        <f t="shared" si="265"/>
        <v/>
      </c>
      <c r="AW212" s="990">
        <f t="shared" si="291"/>
        <v>204.9</v>
      </c>
      <c r="AX212" s="991">
        <f t="shared" si="292"/>
        <v>0</v>
      </c>
      <c r="AY212" s="992">
        <f>VLOOKUP(A212,'Drop Box Price Out'!$A$13:$G$93,7,FALSE)</f>
        <v>215.4</v>
      </c>
      <c r="AZ212" s="993">
        <f t="shared" si="293"/>
        <v>0</v>
      </c>
      <c r="BA212" s="994">
        <f t="shared" si="294"/>
        <v>5.1244509516837483E-2</v>
      </c>
      <c r="BC212" s="1158">
        <f t="shared" si="266"/>
        <v>0</v>
      </c>
      <c r="BD212" s="1158">
        <f t="shared" si="267"/>
        <v>0</v>
      </c>
    </row>
    <row r="213" spans="1:56">
      <c r="A213" s="975" t="str">
        <f>'Drop Box Price Out'!A55</f>
        <v>35 yd Compactors</v>
      </c>
      <c r="B213" s="995">
        <f>'Drop Box Price Out'!B55</f>
        <v>0</v>
      </c>
      <c r="C213" s="977">
        <f t="shared" si="268"/>
        <v>0</v>
      </c>
      <c r="D213" s="1130"/>
      <c r="E213" s="977">
        <v>1</v>
      </c>
      <c r="F213" s="977">
        <f t="shared" si="298"/>
        <v>0</v>
      </c>
      <c r="G213" s="977"/>
      <c r="H213" s="996">
        <f>'Drop Box Price Out'!D55</f>
        <v>141.88</v>
      </c>
      <c r="I213" s="979">
        <f t="shared" si="269"/>
        <v>0</v>
      </c>
      <c r="J213" s="1144">
        <f t="shared" si="270"/>
        <v>0</v>
      </c>
      <c r="K213" s="979">
        <f t="shared" si="271"/>
        <v>0</v>
      </c>
      <c r="L213" s="1147">
        <f>L207/30*35</f>
        <v>12600</v>
      </c>
      <c r="M213" s="1149" t="e">
        <f t="shared" si="295"/>
        <v>#VALUE!</v>
      </c>
      <c r="N213" s="980">
        <f t="shared" si="296"/>
        <v>0</v>
      </c>
      <c r="O213" s="981" t="e">
        <f t="shared" si="297"/>
        <v>#VALUE!</v>
      </c>
      <c r="P213" s="888"/>
      <c r="Q213" s="982">
        <v>900</v>
      </c>
      <c r="R213" s="983"/>
      <c r="S213" s="983"/>
      <c r="T213" s="984">
        <f t="shared" si="272"/>
        <v>0</v>
      </c>
      <c r="U213" s="984" t="e">
        <f t="shared" si="273"/>
        <v>#VALUE!</v>
      </c>
      <c r="V213" s="984" t="e">
        <f t="shared" si="274"/>
        <v>#VALUE!</v>
      </c>
      <c r="W213" s="888"/>
      <c r="X213" s="1151" t="e">
        <f t="shared" si="299"/>
        <v>#VALUE!</v>
      </c>
      <c r="Y213" s="977">
        <f t="shared" si="275"/>
        <v>0</v>
      </c>
      <c r="Z213" s="977"/>
      <c r="AA213" s="977" t="e">
        <f t="shared" si="276"/>
        <v>#VALUE!</v>
      </c>
      <c r="AB213" s="977" t="e">
        <f t="shared" si="277"/>
        <v>#VALUE!</v>
      </c>
      <c r="AC213" s="977" t="e">
        <f t="shared" si="278"/>
        <v>#VALUE!</v>
      </c>
      <c r="AD213" s="977" t="e">
        <f t="shared" si="279"/>
        <v>#VALUE!</v>
      </c>
      <c r="AE213" s="979" t="e">
        <f t="shared" si="300"/>
        <v>#VALUE!</v>
      </c>
      <c r="AF213" s="892"/>
      <c r="AG213" s="892"/>
      <c r="AH213" s="977">
        <f t="shared" si="280"/>
        <v>0</v>
      </c>
      <c r="AI213" s="977" t="e">
        <f t="shared" si="281"/>
        <v>#VALUE!</v>
      </c>
      <c r="AJ213" s="985" t="e">
        <f t="shared" si="282"/>
        <v>#VALUE!</v>
      </c>
      <c r="AK213" s="977">
        <f t="shared" si="283"/>
        <v>0</v>
      </c>
      <c r="AL213" s="977"/>
      <c r="AM213" s="977" t="e">
        <f t="shared" si="284"/>
        <v>#VALUE!</v>
      </c>
      <c r="AN213" s="977" t="e">
        <f t="shared" si="285"/>
        <v>#VALUE!</v>
      </c>
      <c r="AO213" s="977" t="e">
        <f t="shared" si="286"/>
        <v>#VALUE!</v>
      </c>
      <c r="AP213" s="986" t="e">
        <f t="shared" si="287"/>
        <v>#VALUE!</v>
      </c>
      <c r="AQ213" s="888"/>
      <c r="AR213" s="983">
        <f t="shared" si="288"/>
        <v>0</v>
      </c>
      <c r="AS213" s="888"/>
      <c r="AT213" s="987">
        <f t="shared" si="289"/>
        <v>0</v>
      </c>
      <c r="AU213" s="988">
        <f t="shared" si="290"/>
        <v>0</v>
      </c>
      <c r="AV213" s="989" t="str">
        <f t="shared" si="265"/>
        <v/>
      </c>
      <c r="AW213" s="990">
        <f t="shared" si="291"/>
        <v>141.88</v>
      </c>
      <c r="AX213" s="991">
        <f t="shared" si="292"/>
        <v>0</v>
      </c>
      <c r="AY213" s="992">
        <f>VLOOKUP(A213,'Drop Box Price Out'!$A$13:$G$93,7,FALSE)</f>
        <v>149.15</v>
      </c>
      <c r="AZ213" s="993">
        <f t="shared" si="293"/>
        <v>0</v>
      </c>
      <c r="BA213" s="994">
        <f t="shared" si="294"/>
        <v>5.1240484916831197E-2</v>
      </c>
      <c r="BC213" s="1158">
        <f t="shared" si="266"/>
        <v>0</v>
      </c>
      <c r="BD213" s="1158">
        <f t="shared" si="267"/>
        <v>0</v>
      </c>
    </row>
    <row r="214" spans="1:56">
      <c r="A214" s="975" t="str">
        <f>'Drop Box Price Out'!A56</f>
        <v>35 yd Compactors MF</v>
      </c>
      <c r="B214" s="995">
        <f>'Drop Box Price Out'!B56</f>
        <v>0</v>
      </c>
      <c r="C214" s="977">
        <f t="shared" si="268"/>
        <v>0</v>
      </c>
      <c r="D214" s="1130"/>
      <c r="E214" s="977">
        <v>1</v>
      </c>
      <c r="F214" s="977">
        <f t="shared" si="298"/>
        <v>0</v>
      </c>
      <c r="G214" s="977"/>
      <c r="H214" s="996">
        <f>'Drop Box Price Out'!D56</f>
        <v>338.58</v>
      </c>
      <c r="I214" s="979">
        <f t="shared" si="269"/>
        <v>0</v>
      </c>
      <c r="J214" s="1144">
        <f t="shared" si="270"/>
        <v>0</v>
      </c>
      <c r="K214" s="979">
        <f t="shared" si="271"/>
        <v>0</v>
      </c>
      <c r="L214" s="1146">
        <f>L213</f>
        <v>12600</v>
      </c>
      <c r="M214" s="1149" t="e">
        <f t="shared" si="295"/>
        <v>#VALUE!</v>
      </c>
      <c r="N214" s="980">
        <f t="shared" si="296"/>
        <v>0</v>
      </c>
      <c r="O214" s="981" t="e">
        <f t="shared" si="297"/>
        <v>#VALUE!</v>
      </c>
      <c r="P214" s="888"/>
      <c r="Q214" s="982">
        <v>900</v>
      </c>
      <c r="R214" s="983"/>
      <c r="S214" s="983"/>
      <c r="T214" s="984">
        <f t="shared" si="272"/>
        <v>0</v>
      </c>
      <c r="U214" s="984" t="e">
        <f t="shared" si="273"/>
        <v>#VALUE!</v>
      </c>
      <c r="V214" s="984" t="e">
        <f t="shared" si="274"/>
        <v>#VALUE!</v>
      </c>
      <c r="W214" s="888"/>
      <c r="X214" s="1151" t="e">
        <f t="shared" si="299"/>
        <v>#VALUE!</v>
      </c>
      <c r="Y214" s="977">
        <f t="shared" si="275"/>
        <v>0</v>
      </c>
      <c r="Z214" s="977"/>
      <c r="AA214" s="977" t="e">
        <f t="shared" si="276"/>
        <v>#VALUE!</v>
      </c>
      <c r="AB214" s="977" t="e">
        <f t="shared" si="277"/>
        <v>#VALUE!</v>
      </c>
      <c r="AC214" s="977" t="e">
        <f t="shared" si="278"/>
        <v>#VALUE!</v>
      </c>
      <c r="AD214" s="977" t="e">
        <f t="shared" si="279"/>
        <v>#VALUE!</v>
      </c>
      <c r="AE214" s="979" t="e">
        <f t="shared" si="300"/>
        <v>#VALUE!</v>
      </c>
      <c r="AF214" s="892"/>
      <c r="AG214" s="892"/>
      <c r="AH214" s="977">
        <f t="shared" si="280"/>
        <v>0</v>
      </c>
      <c r="AI214" s="977" t="e">
        <f t="shared" si="281"/>
        <v>#VALUE!</v>
      </c>
      <c r="AJ214" s="985" t="e">
        <f t="shared" si="282"/>
        <v>#VALUE!</v>
      </c>
      <c r="AK214" s="977">
        <f t="shared" si="283"/>
        <v>0</v>
      </c>
      <c r="AL214" s="977"/>
      <c r="AM214" s="977" t="e">
        <f t="shared" si="284"/>
        <v>#VALUE!</v>
      </c>
      <c r="AN214" s="977" t="e">
        <f t="shared" si="285"/>
        <v>#VALUE!</v>
      </c>
      <c r="AO214" s="977" t="e">
        <f t="shared" si="286"/>
        <v>#VALUE!</v>
      </c>
      <c r="AP214" s="986" t="e">
        <f t="shared" si="287"/>
        <v>#VALUE!</v>
      </c>
      <c r="AQ214" s="888"/>
      <c r="AR214" s="983">
        <f t="shared" si="288"/>
        <v>0</v>
      </c>
      <c r="AS214" s="888"/>
      <c r="AT214" s="987">
        <f t="shared" si="289"/>
        <v>0</v>
      </c>
      <c r="AU214" s="988">
        <f t="shared" si="290"/>
        <v>0</v>
      </c>
      <c r="AV214" s="989" t="str">
        <f t="shared" si="265"/>
        <v/>
      </c>
      <c r="AW214" s="990">
        <f t="shared" si="291"/>
        <v>338.58</v>
      </c>
      <c r="AX214" s="991">
        <f t="shared" si="292"/>
        <v>0</v>
      </c>
      <c r="AY214" s="992">
        <f>VLOOKUP(A214,'Drop Box Price Out'!$A$13:$G$93,7,FALSE)</f>
        <v>355.95000000000005</v>
      </c>
      <c r="AZ214" s="993">
        <f t="shared" si="293"/>
        <v>0</v>
      </c>
      <c r="BA214" s="994">
        <f t="shared" si="294"/>
        <v>5.1302498670919905E-2</v>
      </c>
      <c r="BC214" s="1158">
        <f t="shared" si="266"/>
        <v>0</v>
      </c>
      <c r="BD214" s="1158">
        <f t="shared" si="267"/>
        <v>0</v>
      </c>
    </row>
    <row r="215" spans="1:56">
      <c r="A215" s="975" t="str">
        <f>'Drop Box Price Out'!A57</f>
        <v>35 yd Permanent</v>
      </c>
      <c r="B215" s="995">
        <f>'Drop Box Price Out'!B57</f>
        <v>0</v>
      </c>
      <c r="C215" s="977">
        <f t="shared" si="268"/>
        <v>0</v>
      </c>
      <c r="D215" s="1130"/>
      <c r="E215" s="977">
        <v>1</v>
      </c>
      <c r="F215" s="977">
        <f t="shared" si="298"/>
        <v>0</v>
      </c>
      <c r="G215" s="977"/>
      <c r="H215" s="996">
        <f>'Drop Box Price Out'!D57</f>
        <v>128.04</v>
      </c>
      <c r="I215" s="979">
        <f t="shared" si="269"/>
        <v>0</v>
      </c>
      <c r="J215" s="1144">
        <f t="shared" si="270"/>
        <v>0</v>
      </c>
      <c r="K215" s="979">
        <f t="shared" si="271"/>
        <v>0</v>
      </c>
      <c r="L215" s="1147">
        <f>L209/30*35</f>
        <v>4200</v>
      </c>
      <c r="M215" s="1149" t="e">
        <f t="shared" si="295"/>
        <v>#VALUE!</v>
      </c>
      <c r="N215" s="980">
        <f t="shared" si="296"/>
        <v>0</v>
      </c>
      <c r="O215" s="981" t="e">
        <f t="shared" si="297"/>
        <v>#VALUE!</v>
      </c>
      <c r="P215" s="888"/>
      <c r="Q215" s="982">
        <v>900</v>
      </c>
      <c r="R215" s="983"/>
      <c r="S215" s="983"/>
      <c r="T215" s="984">
        <f t="shared" si="272"/>
        <v>0</v>
      </c>
      <c r="U215" s="984" t="e">
        <f t="shared" si="273"/>
        <v>#VALUE!</v>
      </c>
      <c r="V215" s="984" t="e">
        <f t="shared" si="274"/>
        <v>#VALUE!</v>
      </c>
      <c r="W215" s="888"/>
      <c r="X215" s="1151" t="e">
        <f t="shared" si="299"/>
        <v>#VALUE!</v>
      </c>
      <c r="Y215" s="977">
        <f t="shared" si="275"/>
        <v>0</v>
      </c>
      <c r="Z215" s="977"/>
      <c r="AA215" s="977" t="e">
        <f t="shared" si="276"/>
        <v>#VALUE!</v>
      </c>
      <c r="AB215" s="977" t="e">
        <f t="shared" si="277"/>
        <v>#VALUE!</v>
      </c>
      <c r="AC215" s="977" t="e">
        <f t="shared" si="278"/>
        <v>#VALUE!</v>
      </c>
      <c r="AD215" s="977" t="e">
        <f t="shared" si="279"/>
        <v>#VALUE!</v>
      </c>
      <c r="AE215" s="979" t="e">
        <f t="shared" si="300"/>
        <v>#VALUE!</v>
      </c>
      <c r="AF215" s="892"/>
      <c r="AG215" s="892"/>
      <c r="AH215" s="977">
        <f t="shared" si="280"/>
        <v>0</v>
      </c>
      <c r="AI215" s="977" t="e">
        <f t="shared" si="281"/>
        <v>#VALUE!</v>
      </c>
      <c r="AJ215" s="985" t="e">
        <f t="shared" si="282"/>
        <v>#VALUE!</v>
      </c>
      <c r="AK215" s="977">
        <f t="shared" si="283"/>
        <v>0</v>
      </c>
      <c r="AL215" s="977"/>
      <c r="AM215" s="977" t="e">
        <f t="shared" si="284"/>
        <v>#VALUE!</v>
      </c>
      <c r="AN215" s="977" t="e">
        <f t="shared" si="285"/>
        <v>#VALUE!</v>
      </c>
      <c r="AO215" s="977" t="e">
        <f t="shared" si="286"/>
        <v>#VALUE!</v>
      </c>
      <c r="AP215" s="986" t="e">
        <f t="shared" si="287"/>
        <v>#VALUE!</v>
      </c>
      <c r="AQ215" s="888"/>
      <c r="AR215" s="983">
        <f t="shared" si="288"/>
        <v>0</v>
      </c>
      <c r="AS215" s="888"/>
      <c r="AT215" s="987">
        <f t="shared" si="289"/>
        <v>0</v>
      </c>
      <c r="AU215" s="988">
        <f t="shared" si="290"/>
        <v>0</v>
      </c>
      <c r="AV215" s="989" t="str">
        <f t="shared" si="265"/>
        <v/>
      </c>
      <c r="AW215" s="990">
        <f t="shared" si="291"/>
        <v>128.04</v>
      </c>
      <c r="AX215" s="991">
        <f t="shared" si="292"/>
        <v>0</v>
      </c>
      <c r="AY215" s="992">
        <f>VLOOKUP(A215,'Drop Box Price Out'!$A$13:$G$93,7,FALSE)</f>
        <v>134.6</v>
      </c>
      <c r="AZ215" s="993">
        <f t="shared" si="293"/>
        <v>0</v>
      </c>
      <c r="BA215" s="994">
        <f t="shared" si="294"/>
        <v>5.1233989378319293E-2</v>
      </c>
      <c r="BC215" s="1158">
        <f t="shared" si="266"/>
        <v>0</v>
      </c>
      <c r="BD215" s="1158">
        <f t="shared" si="267"/>
        <v>0</v>
      </c>
    </row>
    <row r="216" spans="1:56">
      <c r="A216" s="975" t="str">
        <f>'Drop Box Price Out'!A58</f>
        <v>35 yd Temporary</v>
      </c>
      <c r="B216" s="995">
        <f>'Drop Box Price Out'!B58</f>
        <v>0</v>
      </c>
      <c r="C216" s="977">
        <f t="shared" si="268"/>
        <v>0</v>
      </c>
      <c r="D216" s="1130"/>
      <c r="E216" s="977">
        <v>1</v>
      </c>
      <c r="F216" s="977">
        <f t="shared" si="298"/>
        <v>0</v>
      </c>
      <c r="G216" s="977"/>
      <c r="H216" s="996">
        <f>'Drop Box Price Out'!D58</f>
        <v>133.21</v>
      </c>
      <c r="I216" s="979">
        <f t="shared" si="269"/>
        <v>0</v>
      </c>
      <c r="J216" s="1144">
        <f t="shared" si="270"/>
        <v>0</v>
      </c>
      <c r="K216" s="979">
        <f t="shared" si="271"/>
        <v>0</v>
      </c>
      <c r="L216" s="1146">
        <f>L215</f>
        <v>4200</v>
      </c>
      <c r="M216" s="1149" t="e">
        <f t="shared" si="295"/>
        <v>#VALUE!</v>
      </c>
      <c r="N216" s="980">
        <f t="shared" si="296"/>
        <v>0</v>
      </c>
      <c r="O216" s="981" t="e">
        <f t="shared" si="297"/>
        <v>#VALUE!</v>
      </c>
      <c r="P216" s="888"/>
      <c r="Q216" s="982">
        <v>900</v>
      </c>
      <c r="R216" s="983"/>
      <c r="S216" s="983"/>
      <c r="T216" s="984">
        <f t="shared" si="272"/>
        <v>0</v>
      </c>
      <c r="U216" s="984" t="e">
        <f t="shared" si="273"/>
        <v>#VALUE!</v>
      </c>
      <c r="V216" s="984" t="e">
        <f t="shared" si="274"/>
        <v>#VALUE!</v>
      </c>
      <c r="W216" s="888"/>
      <c r="X216" s="1151" t="e">
        <f t="shared" si="299"/>
        <v>#VALUE!</v>
      </c>
      <c r="Y216" s="977">
        <f t="shared" si="275"/>
        <v>0</v>
      </c>
      <c r="Z216" s="977"/>
      <c r="AA216" s="977" t="e">
        <f t="shared" si="276"/>
        <v>#VALUE!</v>
      </c>
      <c r="AB216" s="977" t="e">
        <f t="shared" si="277"/>
        <v>#VALUE!</v>
      </c>
      <c r="AC216" s="977" t="e">
        <f t="shared" si="278"/>
        <v>#VALUE!</v>
      </c>
      <c r="AD216" s="977" t="e">
        <f t="shared" si="279"/>
        <v>#VALUE!</v>
      </c>
      <c r="AE216" s="979" t="e">
        <f t="shared" si="300"/>
        <v>#VALUE!</v>
      </c>
      <c r="AF216" s="892"/>
      <c r="AG216" s="892"/>
      <c r="AH216" s="977">
        <f t="shared" si="280"/>
        <v>0</v>
      </c>
      <c r="AI216" s="977" t="e">
        <f t="shared" si="281"/>
        <v>#VALUE!</v>
      </c>
      <c r="AJ216" s="985" t="e">
        <f t="shared" si="282"/>
        <v>#VALUE!</v>
      </c>
      <c r="AK216" s="977">
        <f t="shared" si="283"/>
        <v>0</v>
      </c>
      <c r="AL216" s="977"/>
      <c r="AM216" s="977" t="e">
        <f t="shared" si="284"/>
        <v>#VALUE!</v>
      </c>
      <c r="AN216" s="977" t="e">
        <f t="shared" si="285"/>
        <v>#VALUE!</v>
      </c>
      <c r="AO216" s="977" t="e">
        <f t="shared" si="286"/>
        <v>#VALUE!</v>
      </c>
      <c r="AP216" s="986" t="e">
        <f t="shared" si="287"/>
        <v>#VALUE!</v>
      </c>
      <c r="AQ216" s="888"/>
      <c r="AR216" s="983">
        <f t="shared" si="288"/>
        <v>0</v>
      </c>
      <c r="AS216" s="888"/>
      <c r="AT216" s="987">
        <f t="shared" si="289"/>
        <v>0</v>
      </c>
      <c r="AU216" s="988">
        <f t="shared" si="290"/>
        <v>0</v>
      </c>
      <c r="AV216" s="989" t="str">
        <f t="shared" si="265"/>
        <v/>
      </c>
      <c r="AW216" s="990">
        <f t="shared" si="291"/>
        <v>133.21</v>
      </c>
      <c r="AX216" s="991">
        <f t="shared" si="292"/>
        <v>0</v>
      </c>
      <c r="AY216" s="992">
        <f>VLOOKUP(A216,'Drop Box Price Out'!$A$13:$G$93,7,FALSE)</f>
        <v>140.05000000000001</v>
      </c>
      <c r="AZ216" s="993">
        <f t="shared" si="293"/>
        <v>0</v>
      </c>
      <c r="BA216" s="994">
        <f t="shared" si="294"/>
        <v>5.134749643420166E-2</v>
      </c>
      <c r="BC216" s="1158">
        <f t="shared" si="266"/>
        <v>0</v>
      </c>
      <c r="BD216" s="1158">
        <f t="shared" si="267"/>
        <v>0</v>
      </c>
    </row>
    <row r="217" spans="1:56">
      <c r="A217" s="975" t="str">
        <f>'Drop Box Price Out'!A59</f>
        <v>35 yd Permanent MF</v>
      </c>
      <c r="B217" s="995">
        <f>'Drop Box Price Out'!B59</f>
        <v>0</v>
      </c>
      <c r="C217" s="977">
        <f t="shared" si="268"/>
        <v>0</v>
      </c>
      <c r="D217" s="1130"/>
      <c r="E217" s="977">
        <v>1</v>
      </c>
      <c r="F217" s="977">
        <f t="shared" si="298"/>
        <v>0</v>
      </c>
      <c r="G217" s="977"/>
      <c r="H217" s="996">
        <f>'Drop Box Price Out'!D59</f>
        <v>0</v>
      </c>
      <c r="I217" s="979">
        <f t="shared" si="269"/>
        <v>0</v>
      </c>
      <c r="J217" s="1144">
        <f t="shared" si="270"/>
        <v>0</v>
      </c>
      <c r="K217" s="979">
        <f t="shared" si="271"/>
        <v>0</v>
      </c>
      <c r="L217" s="1146">
        <f>L216</f>
        <v>4200</v>
      </c>
      <c r="M217" s="1149" t="e">
        <f t="shared" si="295"/>
        <v>#VALUE!</v>
      </c>
      <c r="N217" s="980">
        <f t="shared" si="296"/>
        <v>0</v>
      </c>
      <c r="O217" s="981" t="e">
        <f t="shared" si="297"/>
        <v>#VALUE!</v>
      </c>
      <c r="P217" s="888"/>
      <c r="Q217" s="982">
        <v>900</v>
      </c>
      <c r="R217" s="983"/>
      <c r="S217" s="983"/>
      <c r="T217" s="984">
        <f t="shared" si="272"/>
        <v>0</v>
      </c>
      <c r="U217" s="984" t="e">
        <f t="shared" si="273"/>
        <v>#VALUE!</v>
      </c>
      <c r="V217" s="984" t="e">
        <f t="shared" si="274"/>
        <v>#VALUE!</v>
      </c>
      <c r="W217" s="888"/>
      <c r="X217" s="1151" t="e">
        <f t="shared" si="299"/>
        <v>#VALUE!</v>
      </c>
      <c r="Y217" s="977">
        <f t="shared" si="275"/>
        <v>0</v>
      </c>
      <c r="Z217" s="977"/>
      <c r="AA217" s="977" t="e">
        <f t="shared" si="276"/>
        <v>#VALUE!</v>
      </c>
      <c r="AB217" s="977" t="e">
        <f t="shared" si="277"/>
        <v>#VALUE!</v>
      </c>
      <c r="AC217" s="977" t="e">
        <f t="shared" si="278"/>
        <v>#VALUE!</v>
      </c>
      <c r="AD217" s="977" t="e">
        <f t="shared" si="279"/>
        <v>#VALUE!</v>
      </c>
      <c r="AE217" s="979" t="e">
        <f t="shared" si="300"/>
        <v>#VALUE!</v>
      </c>
      <c r="AF217" s="892"/>
      <c r="AG217" s="892"/>
      <c r="AH217" s="977">
        <f t="shared" si="280"/>
        <v>0</v>
      </c>
      <c r="AI217" s="977" t="e">
        <f t="shared" si="281"/>
        <v>#VALUE!</v>
      </c>
      <c r="AJ217" s="985" t="e">
        <f t="shared" si="282"/>
        <v>#VALUE!</v>
      </c>
      <c r="AK217" s="977">
        <f t="shared" si="283"/>
        <v>0</v>
      </c>
      <c r="AL217" s="977"/>
      <c r="AM217" s="977" t="e">
        <f t="shared" si="284"/>
        <v>#VALUE!</v>
      </c>
      <c r="AN217" s="977" t="e">
        <f t="shared" si="285"/>
        <v>#VALUE!</v>
      </c>
      <c r="AO217" s="977" t="e">
        <f t="shared" si="286"/>
        <v>#VALUE!</v>
      </c>
      <c r="AP217" s="986" t="e">
        <f t="shared" si="287"/>
        <v>#VALUE!</v>
      </c>
      <c r="AQ217" s="888"/>
      <c r="AR217" s="983">
        <f t="shared" si="288"/>
        <v>0</v>
      </c>
      <c r="AS217" s="888"/>
      <c r="AT217" s="987">
        <f t="shared" si="289"/>
        <v>0</v>
      </c>
      <c r="AU217" s="988">
        <f t="shared" si="290"/>
        <v>0</v>
      </c>
      <c r="AV217" s="989" t="str">
        <f t="shared" si="265"/>
        <v/>
      </c>
      <c r="AW217" s="990">
        <f t="shared" si="291"/>
        <v>0</v>
      </c>
      <c r="AX217" s="991">
        <f t="shared" si="292"/>
        <v>0</v>
      </c>
      <c r="AY217" s="992">
        <f>VLOOKUP(A217,'Drop Box Price Out'!$A$13:$G$93,7,FALSE)</f>
        <v>0</v>
      </c>
      <c r="AZ217" s="993">
        <f t="shared" si="293"/>
        <v>0</v>
      </c>
      <c r="BA217" s="994" t="str">
        <f t="shared" si="294"/>
        <v/>
      </c>
      <c r="BC217" s="1158">
        <f t="shared" si="266"/>
        <v>0</v>
      </c>
      <c r="BD217" s="1158">
        <f t="shared" si="267"/>
        <v>0</v>
      </c>
    </row>
    <row r="218" spans="1:56">
      <c r="A218" s="975" t="str">
        <f>'Drop Box Price Out'!A60</f>
        <v>35 yd Temporary MF</v>
      </c>
      <c r="B218" s="995">
        <f>'Drop Box Price Out'!B60</f>
        <v>0</v>
      </c>
      <c r="C218" s="977">
        <f t="shared" si="268"/>
        <v>0</v>
      </c>
      <c r="D218" s="1130"/>
      <c r="E218" s="977">
        <v>1</v>
      </c>
      <c r="F218" s="977">
        <f t="shared" si="298"/>
        <v>0</v>
      </c>
      <c r="G218" s="977"/>
      <c r="H218" s="996">
        <f>'Drop Box Price Out'!D60</f>
        <v>0</v>
      </c>
      <c r="I218" s="979">
        <f t="shared" si="269"/>
        <v>0</v>
      </c>
      <c r="J218" s="1144">
        <f t="shared" si="270"/>
        <v>0</v>
      </c>
      <c r="K218" s="979">
        <f t="shared" si="271"/>
        <v>0</v>
      </c>
      <c r="L218" s="1146">
        <f>L217</f>
        <v>4200</v>
      </c>
      <c r="M218" s="1149" t="e">
        <f t="shared" si="295"/>
        <v>#VALUE!</v>
      </c>
      <c r="N218" s="980">
        <f t="shared" si="296"/>
        <v>0</v>
      </c>
      <c r="O218" s="981" t="e">
        <f t="shared" si="297"/>
        <v>#VALUE!</v>
      </c>
      <c r="P218" s="888"/>
      <c r="Q218" s="982">
        <v>900</v>
      </c>
      <c r="R218" s="983"/>
      <c r="S218" s="983"/>
      <c r="T218" s="984">
        <f t="shared" si="272"/>
        <v>0</v>
      </c>
      <c r="U218" s="984" t="e">
        <f t="shared" si="273"/>
        <v>#VALUE!</v>
      </c>
      <c r="V218" s="984" t="e">
        <f t="shared" si="274"/>
        <v>#VALUE!</v>
      </c>
      <c r="W218" s="888"/>
      <c r="X218" s="1151" t="e">
        <f t="shared" si="299"/>
        <v>#VALUE!</v>
      </c>
      <c r="Y218" s="977">
        <f t="shared" si="275"/>
        <v>0</v>
      </c>
      <c r="Z218" s="977"/>
      <c r="AA218" s="977" t="e">
        <f t="shared" si="276"/>
        <v>#VALUE!</v>
      </c>
      <c r="AB218" s="977" t="e">
        <f t="shared" si="277"/>
        <v>#VALUE!</v>
      </c>
      <c r="AC218" s="977" t="e">
        <f t="shared" si="278"/>
        <v>#VALUE!</v>
      </c>
      <c r="AD218" s="977" t="e">
        <f t="shared" si="279"/>
        <v>#VALUE!</v>
      </c>
      <c r="AE218" s="979" t="e">
        <f t="shared" si="300"/>
        <v>#VALUE!</v>
      </c>
      <c r="AF218" s="892"/>
      <c r="AG218" s="892"/>
      <c r="AH218" s="977">
        <f t="shared" si="280"/>
        <v>0</v>
      </c>
      <c r="AI218" s="977" t="e">
        <f t="shared" si="281"/>
        <v>#VALUE!</v>
      </c>
      <c r="AJ218" s="985" t="e">
        <f t="shared" si="282"/>
        <v>#VALUE!</v>
      </c>
      <c r="AK218" s="977">
        <f t="shared" si="283"/>
        <v>0</v>
      </c>
      <c r="AL218" s="977"/>
      <c r="AM218" s="977" t="e">
        <f t="shared" si="284"/>
        <v>#VALUE!</v>
      </c>
      <c r="AN218" s="977" t="e">
        <f t="shared" si="285"/>
        <v>#VALUE!</v>
      </c>
      <c r="AO218" s="977" t="e">
        <f t="shared" si="286"/>
        <v>#VALUE!</v>
      </c>
      <c r="AP218" s="986" t="e">
        <f t="shared" si="287"/>
        <v>#VALUE!</v>
      </c>
      <c r="AQ218" s="888"/>
      <c r="AR218" s="983">
        <f t="shared" si="288"/>
        <v>0</v>
      </c>
      <c r="AS218" s="888"/>
      <c r="AT218" s="987">
        <f t="shared" si="289"/>
        <v>0</v>
      </c>
      <c r="AU218" s="988">
        <f t="shared" si="290"/>
        <v>0</v>
      </c>
      <c r="AV218" s="989" t="str">
        <f t="shared" si="265"/>
        <v/>
      </c>
      <c r="AW218" s="990">
        <f t="shared" si="291"/>
        <v>0</v>
      </c>
      <c r="AX218" s="991">
        <f t="shared" si="292"/>
        <v>0</v>
      </c>
      <c r="AY218" s="992">
        <f>VLOOKUP(A218,'Drop Box Price Out'!$A$13:$G$93,7,FALSE)</f>
        <v>0</v>
      </c>
      <c r="AZ218" s="993">
        <f t="shared" si="293"/>
        <v>0</v>
      </c>
      <c r="BA218" s="994" t="str">
        <f t="shared" si="294"/>
        <v/>
      </c>
      <c r="BC218" s="1158">
        <f t="shared" si="266"/>
        <v>0</v>
      </c>
      <c r="BD218" s="1158">
        <f t="shared" si="267"/>
        <v>0</v>
      </c>
    </row>
    <row r="219" spans="1:56">
      <c r="A219" s="975" t="str">
        <f>'Drop Box Price Out'!A61</f>
        <v>40 yd Compactors</v>
      </c>
      <c r="B219" s="995">
        <f>'Drop Box Price Out'!B61</f>
        <v>0</v>
      </c>
      <c r="C219" s="977">
        <f t="shared" si="268"/>
        <v>0</v>
      </c>
      <c r="D219" s="1130"/>
      <c r="E219" s="977">
        <v>1</v>
      </c>
      <c r="F219" s="977">
        <f t="shared" si="298"/>
        <v>0</v>
      </c>
      <c r="G219" s="977"/>
      <c r="H219" s="996">
        <f>'Drop Box Price Out'!D61</f>
        <v>141.88</v>
      </c>
      <c r="I219" s="979">
        <f t="shared" si="269"/>
        <v>0</v>
      </c>
      <c r="J219" s="1144">
        <f t="shared" si="270"/>
        <v>0</v>
      </c>
      <c r="K219" s="979">
        <f t="shared" si="271"/>
        <v>0</v>
      </c>
      <c r="L219" s="1148">
        <f>'Meeks +'!F51</f>
        <v>14400</v>
      </c>
      <c r="M219" s="1149" t="e">
        <f t="shared" si="295"/>
        <v>#VALUE!</v>
      </c>
      <c r="N219" s="980">
        <f t="shared" si="296"/>
        <v>0</v>
      </c>
      <c r="O219" s="981" t="e">
        <f t="shared" si="297"/>
        <v>#VALUE!</v>
      </c>
      <c r="P219" s="888"/>
      <c r="Q219" s="982">
        <v>900</v>
      </c>
      <c r="R219" s="983"/>
      <c r="S219" s="983"/>
      <c r="T219" s="984">
        <f t="shared" si="272"/>
        <v>0</v>
      </c>
      <c r="U219" s="984" t="e">
        <f t="shared" si="273"/>
        <v>#VALUE!</v>
      </c>
      <c r="V219" s="984" t="e">
        <f t="shared" si="274"/>
        <v>#VALUE!</v>
      </c>
      <c r="W219" s="888"/>
      <c r="X219" s="1151" t="e">
        <f t="shared" si="299"/>
        <v>#VALUE!</v>
      </c>
      <c r="Y219" s="977">
        <f t="shared" si="275"/>
        <v>0</v>
      </c>
      <c r="Z219" s="977"/>
      <c r="AA219" s="977" t="e">
        <f t="shared" si="276"/>
        <v>#VALUE!</v>
      </c>
      <c r="AB219" s="977" t="e">
        <f t="shared" si="277"/>
        <v>#VALUE!</v>
      </c>
      <c r="AC219" s="977" t="e">
        <f t="shared" si="278"/>
        <v>#VALUE!</v>
      </c>
      <c r="AD219" s="977" t="e">
        <f t="shared" si="279"/>
        <v>#VALUE!</v>
      </c>
      <c r="AE219" s="979" t="e">
        <f t="shared" si="300"/>
        <v>#VALUE!</v>
      </c>
      <c r="AF219" s="892"/>
      <c r="AG219" s="892"/>
      <c r="AH219" s="977">
        <f t="shared" si="280"/>
        <v>0</v>
      </c>
      <c r="AI219" s="977" t="e">
        <f t="shared" si="281"/>
        <v>#VALUE!</v>
      </c>
      <c r="AJ219" s="985" t="e">
        <f t="shared" si="282"/>
        <v>#VALUE!</v>
      </c>
      <c r="AK219" s="977">
        <f t="shared" si="283"/>
        <v>0</v>
      </c>
      <c r="AL219" s="977"/>
      <c r="AM219" s="977" t="e">
        <f t="shared" si="284"/>
        <v>#VALUE!</v>
      </c>
      <c r="AN219" s="977" t="e">
        <f t="shared" si="285"/>
        <v>#VALUE!</v>
      </c>
      <c r="AO219" s="977" t="e">
        <f t="shared" si="286"/>
        <v>#VALUE!</v>
      </c>
      <c r="AP219" s="986" t="e">
        <f t="shared" si="287"/>
        <v>#VALUE!</v>
      </c>
      <c r="AQ219" s="888"/>
      <c r="AR219" s="983">
        <f t="shared" si="288"/>
        <v>0</v>
      </c>
      <c r="AS219" s="888"/>
      <c r="AT219" s="987">
        <f t="shared" si="289"/>
        <v>0</v>
      </c>
      <c r="AU219" s="988">
        <f t="shared" si="290"/>
        <v>0</v>
      </c>
      <c r="AV219" s="989" t="str">
        <f t="shared" si="265"/>
        <v/>
      </c>
      <c r="AW219" s="990">
        <f t="shared" si="291"/>
        <v>141.88</v>
      </c>
      <c r="AX219" s="991">
        <f t="shared" si="292"/>
        <v>0</v>
      </c>
      <c r="AY219" s="992">
        <f>VLOOKUP(A219,'Drop Box Price Out'!$A$13:$G$93,7,FALSE)</f>
        <v>149.15</v>
      </c>
      <c r="AZ219" s="993">
        <f t="shared" si="293"/>
        <v>0</v>
      </c>
      <c r="BA219" s="994">
        <f t="shared" si="294"/>
        <v>5.1240484916831197E-2</v>
      </c>
      <c r="BC219" s="1158">
        <f t="shared" si="266"/>
        <v>0</v>
      </c>
      <c r="BD219" s="1158">
        <f t="shared" si="267"/>
        <v>0</v>
      </c>
    </row>
    <row r="220" spans="1:56">
      <c r="A220" s="975" t="str">
        <f>'Drop Box Price Out'!A62</f>
        <v>40 yd Compactors MF</v>
      </c>
      <c r="B220" s="995">
        <f>'Drop Box Price Out'!B62</f>
        <v>0</v>
      </c>
      <c r="C220" s="977">
        <f t="shared" si="268"/>
        <v>0</v>
      </c>
      <c r="D220" s="1130"/>
      <c r="E220" s="977">
        <v>1</v>
      </c>
      <c r="F220" s="977">
        <f t="shared" si="298"/>
        <v>0</v>
      </c>
      <c r="G220" s="977"/>
      <c r="H220" s="996">
        <f>'Drop Box Price Out'!D62</f>
        <v>367.33</v>
      </c>
      <c r="I220" s="979">
        <f t="shared" si="269"/>
        <v>0</v>
      </c>
      <c r="J220" s="1144">
        <f t="shared" si="270"/>
        <v>0</v>
      </c>
      <c r="K220" s="979">
        <f t="shared" si="271"/>
        <v>0</v>
      </c>
      <c r="L220" s="1146">
        <f>L219</f>
        <v>14400</v>
      </c>
      <c r="M220" s="1149" t="e">
        <f t="shared" si="295"/>
        <v>#VALUE!</v>
      </c>
      <c r="N220" s="980">
        <f t="shared" si="296"/>
        <v>0</v>
      </c>
      <c r="O220" s="981" t="e">
        <f t="shared" si="297"/>
        <v>#VALUE!</v>
      </c>
      <c r="P220" s="888"/>
      <c r="Q220" s="982">
        <v>900</v>
      </c>
      <c r="R220" s="983"/>
      <c r="S220" s="983"/>
      <c r="T220" s="984">
        <f t="shared" si="272"/>
        <v>0</v>
      </c>
      <c r="U220" s="984" t="e">
        <f t="shared" si="273"/>
        <v>#VALUE!</v>
      </c>
      <c r="V220" s="984" t="e">
        <f t="shared" si="274"/>
        <v>#VALUE!</v>
      </c>
      <c r="W220" s="888"/>
      <c r="X220" s="1151" t="e">
        <f t="shared" si="299"/>
        <v>#VALUE!</v>
      </c>
      <c r="Y220" s="977">
        <f t="shared" si="275"/>
        <v>0</v>
      </c>
      <c r="Z220" s="977"/>
      <c r="AA220" s="977" t="e">
        <f t="shared" si="276"/>
        <v>#VALUE!</v>
      </c>
      <c r="AB220" s="977" t="e">
        <f t="shared" si="277"/>
        <v>#VALUE!</v>
      </c>
      <c r="AC220" s="977" t="e">
        <f t="shared" si="278"/>
        <v>#VALUE!</v>
      </c>
      <c r="AD220" s="977" t="e">
        <f t="shared" si="279"/>
        <v>#VALUE!</v>
      </c>
      <c r="AE220" s="979" t="e">
        <f t="shared" si="300"/>
        <v>#VALUE!</v>
      </c>
      <c r="AF220" s="892"/>
      <c r="AG220" s="892"/>
      <c r="AH220" s="977">
        <f t="shared" si="280"/>
        <v>0</v>
      </c>
      <c r="AI220" s="977" t="e">
        <f t="shared" si="281"/>
        <v>#VALUE!</v>
      </c>
      <c r="AJ220" s="985" t="e">
        <f t="shared" si="282"/>
        <v>#VALUE!</v>
      </c>
      <c r="AK220" s="977">
        <f t="shared" si="283"/>
        <v>0</v>
      </c>
      <c r="AL220" s="977"/>
      <c r="AM220" s="977" t="e">
        <f t="shared" si="284"/>
        <v>#VALUE!</v>
      </c>
      <c r="AN220" s="977" t="e">
        <f t="shared" si="285"/>
        <v>#VALUE!</v>
      </c>
      <c r="AO220" s="977" t="e">
        <f t="shared" si="286"/>
        <v>#VALUE!</v>
      </c>
      <c r="AP220" s="986" t="e">
        <f t="shared" si="287"/>
        <v>#VALUE!</v>
      </c>
      <c r="AQ220" s="888"/>
      <c r="AR220" s="983">
        <f t="shared" si="288"/>
        <v>0</v>
      </c>
      <c r="AS220" s="888"/>
      <c r="AT220" s="987">
        <f t="shared" si="289"/>
        <v>0</v>
      </c>
      <c r="AU220" s="988">
        <f t="shared" si="290"/>
        <v>0</v>
      </c>
      <c r="AV220" s="989" t="str">
        <f t="shared" si="265"/>
        <v/>
      </c>
      <c r="AW220" s="990">
        <f t="shared" si="291"/>
        <v>367.33</v>
      </c>
      <c r="AX220" s="991">
        <f t="shared" si="292"/>
        <v>0</v>
      </c>
      <c r="AY220" s="992">
        <f>VLOOKUP(A220,'Drop Box Price Out'!$A$13:$G$93,7,FALSE)</f>
        <v>386.20000000000005</v>
      </c>
      <c r="AZ220" s="993">
        <f t="shared" si="293"/>
        <v>0</v>
      </c>
      <c r="BA220" s="994">
        <f t="shared" si="294"/>
        <v>5.1370702093485592E-2</v>
      </c>
      <c r="BC220" s="1158">
        <f t="shared" si="266"/>
        <v>0</v>
      </c>
      <c r="BD220" s="1158">
        <f t="shared" si="267"/>
        <v>0</v>
      </c>
    </row>
    <row r="221" spans="1:56">
      <c r="A221" s="975" t="str">
        <f>'Drop Box Price Out'!A63</f>
        <v>40 yd Permanent</v>
      </c>
      <c r="B221" s="995">
        <f>'Drop Box Price Out'!B63</f>
        <v>1095</v>
      </c>
      <c r="C221" s="977">
        <f t="shared" si="268"/>
        <v>1161.4800229870891</v>
      </c>
      <c r="D221" s="1130"/>
      <c r="E221" s="977">
        <v>1</v>
      </c>
      <c r="F221" s="977">
        <f t="shared" si="298"/>
        <v>268.24019006630232</v>
      </c>
      <c r="G221" s="977"/>
      <c r="H221" s="996">
        <f>'Drop Box Price Out'!D63</f>
        <v>128.04</v>
      </c>
      <c r="I221" s="979">
        <f t="shared" si="269"/>
        <v>11683.65</v>
      </c>
      <c r="J221" s="1144">
        <f t="shared" si="270"/>
        <v>140203.79999999999</v>
      </c>
      <c r="K221" s="979">
        <f t="shared" si="271"/>
        <v>148715.90214326687</v>
      </c>
      <c r="L221" s="1148">
        <f>'Meeks +'!F46</f>
        <v>4800</v>
      </c>
      <c r="M221" s="1149" t="e">
        <f t="shared" si="295"/>
        <v>#VALUE!</v>
      </c>
      <c r="N221" s="980">
        <f t="shared" si="296"/>
        <v>2787.55</v>
      </c>
      <c r="O221" s="981" t="e">
        <f t="shared" si="297"/>
        <v>#VALUE!</v>
      </c>
      <c r="P221" s="888"/>
      <c r="Q221" s="982">
        <v>900</v>
      </c>
      <c r="R221" s="983"/>
      <c r="S221" s="983"/>
      <c r="T221" s="984">
        <f t="shared" si="272"/>
        <v>290.37000574677228</v>
      </c>
      <c r="U221" s="984" t="e">
        <f t="shared" si="273"/>
        <v>#VALUE!</v>
      </c>
      <c r="V221" s="984" t="e">
        <f t="shared" si="274"/>
        <v>#VALUE!</v>
      </c>
      <c r="W221" s="888"/>
      <c r="X221" s="1151" t="e">
        <f t="shared" si="299"/>
        <v>#VALUE!</v>
      </c>
      <c r="Y221" s="977">
        <f t="shared" si="275"/>
        <v>16742.615976458139</v>
      </c>
      <c r="Z221" s="977"/>
      <c r="AA221" s="977" t="e">
        <f t="shared" si="276"/>
        <v>#VALUE!</v>
      </c>
      <c r="AB221" s="977" t="e">
        <f t="shared" si="277"/>
        <v>#VALUE!</v>
      </c>
      <c r="AC221" s="977" t="e">
        <f t="shared" si="278"/>
        <v>#VALUE!</v>
      </c>
      <c r="AD221" s="977" t="e">
        <f t="shared" si="279"/>
        <v>#VALUE!</v>
      </c>
      <c r="AE221" s="979" t="e">
        <f t="shared" si="300"/>
        <v>#VALUE!</v>
      </c>
      <c r="AF221" s="892"/>
      <c r="AG221" s="892"/>
      <c r="AH221" s="977">
        <f t="shared" si="280"/>
        <v>0</v>
      </c>
      <c r="AI221" s="977" t="e">
        <f t="shared" si="281"/>
        <v>#VALUE!</v>
      </c>
      <c r="AJ221" s="985" t="e">
        <f t="shared" si="282"/>
        <v>#VALUE!</v>
      </c>
      <c r="AK221" s="977">
        <f t="shared" si="283"/>
        <v>0</v>
      </c>
      <c r="AL221" s="977"/>
      <c r="AM221" s="977" t="e">
        <f t="shared" si="284"/>
        <v>#VALUE!</v>
      </c>
      <c r="AN221" s="977" t="e">
        <f t="shared" si="285"/>
        <v>#VALUE!</v>
      </c>
      <c r="AO221" s="977" t="e">
        <f t="shared" si="286"/>
        <v>#VALUE!</v>
      </c>
      <c r="AP221" s="986" t="e">
        <f t="shared" si="287"/>
        <v>#VALUE!</v>
      </c>
      <c r="AQ221" s="888"/>
      <c r="AR221" s="983">
        <f t="shared" si="288"/>
        <v>0</v>
      </c>
      <c r="AS221" s="888"/>
      <c r="AT221" s="987">
        <f t="shared" si="289"/>
        <v>0</v>
      </c>
      <c r="AU221" s="988">
        <f t="shared" si="290"/>
        <v>0</v>
      </c>
      <c r="AV221" s="989" t="str">
        <f t="shared" si="265"/>
        <v/>
      </c>
      <c r="AW221" s="990">
        <f t="shared" si="291"/>
        <v>128.04</v>
      </c>
      <c r="AX221" s="991">
        <f t="shared" si="292"/>
        <v>148715.90214326687</v>
      </c>
      <c r="AY221" s="992">
        <f>VLOOKUP(A221,'Drop Box Price Out'!$A$13:$G$93,7,FALSE)</f>
        <v>134.6</v>
      </c>
      <c r="AZ221" s="993">
        <f t="shared" si="293"/>
        <v>156335.21109406219</v>
      </c>
      <c r="BA221" s="994">
        <f t="shared" si="294"/>
        <v>5.1233989378319293E-2</v>
      </c>
      <c r="BC221" s="1158">
        <f t="shared" si="266"/>
        <v>-148715.90214326687</v>
      </c>
      <c r="BD221" s="1158">
        <f t="shared" si="267"/>
        <v>-156335.21109406219</v>
      </c>
    </row>
    <row r="222" spans="1:56">
      <c r="A222" s="975" t="str">
        <f>'Drop Box Price Out'!A64</f>
        <v>40 yd Temp</v>
      </c>
      <c r="B222" s="995">
        <f>'Drop Box Price Out'!B64</f>
        <v>6</v>
      </c>
      <c r="C222" s="977">
        <f t="shared" si="268"/>
        <v>6.3642740985593917</v>
      </c>
      <c r="D222" s="1130"/>
      <c r="E222" s="977">
        <v>1</v>
      </c>
      <c r="F222" s="977">
        <f t="shared" si="298"/>
        <v>1.4698092606372728</v>
      </c>
      <c r="G222" s="977"/>
      <c r="H222" s="996">
        <f>'Drop Box Price Out'!D64</f>
        <v>133.21</v>
      </c>
      <c r="I222" s="979">
        <f t="shared" si="269"/>
        <v>66.605000000000004</v>
      </c>
      <c r="J222" s="1144">
        <f t="shared" si="270"/>
        <v>799.26</v>
      </c>
      <c r="K222" s="979">
        <f t="shared" si="271"/>
        <v>847.78495266909658</v>
      </c>
      <c r="L222" s="1146">
        <f>L221</f>
        <v>4800</v>
      </c>
      <c r="M222" s="1149" t="e">
        <f t="shared" si="295"/>
        <v>#VALUE!</v>
      </c>
      <c r="N222" s="980">
        <f t="shared" si="296"/>
        <v>15.27</v>
      </c>
      <c r="O222" s="981" t="e">
        <f t="shared" si="297"/>
        <v>#VALUE!</v>
      </c>
      <c r="P222" s="888"/>
      <c r="Q222" s="982">
        <v>900</v>
      </c>
      <c r="R222" s="983"/>
      <c r="S222" s="983"/>
      <c r="T222" s="984">
        <f t="shared" si="272"/>
        <v>1.5910685246398479</v>
      </c>
      <c r="U222" s="984" t="e">
        <f t="shared" si="273"/>
        <v>#VALUE!</v>
      </c>
      <c r="V222" s="984" t="e">
        <f t="shared" si="274"/>
        <v>#VALUE!</v>
      </c>
      <c r="W222" s="888"/>
      <c r="X222" s="1151" t="e">
        <f t="shared" si="299"/>
        <v>#VALUE!</v>
      </c>
      <c r="Y222" s="977">
        <f t="shared" si="275"/>
        <v>95.444654462603253</v>
      </c>
      <c r="Z222" s="977"/>
      <c r="AA222" s="977" t="e">
        <f t="shared" si="276"/>
        <v>#VALUE!</v>
      </c>
      <c r="AB222" s="977" t="e">
        <f t="shared" si="277"/>
        <v>#VALUE!</v>
      </c>
      <c r="AC222" s="977" t="e">
        <f t="shared" si="278"/>
        <v>#VALUE!</v>
      </c>
      <c r="AD222" s="977" t="e">
        <f t="shared" si="279"/>
        <v>#VALUE!</v>
      </c>
      <c r="AE222" s="979" t="e">
        <f t="shared" si="300"/>
        <v>#VALUE!</v>
      </c>
      <c r="AF222" s="892"/>
      <c r="AG222" s="892"/>
      <c r="AH222" s="977">
        <f t="shared" si="280"/>
        <v>0</v>
      </c>
      <c r="AI222" s="977" t="e">
        <f t="shared" si="281"/>
        <v>#VALUE!</v>
      </c>
      <c r="AJ222" s="985" t="e">
        <f t="shared" si="282"/>
        <v>#VALUE!</v>
      </c>
      <c r="AK222" s="977">
        <f t="shared" si="283"/>
        <v>0</v>
      </c>
      <c r="AL222" s="977"/>
      <c r="AM222" s="977" t="e">
        <f t="shared" si="284"/>
        <v>#VALUE!</v>
      </c>
      <c r="AN222" s="977" t="e">
        <f t="shared" si="285"/>
        <v>#VALUE!</v>
      </c>
      <c r="AO222" s="977" t="e">
        <f t="shared" si="286"/>
        <v>#VALUE!</v>
      </c>
      <c r="AP222" s="986" t="e">
        <f t="shared" si="287"/>
        <v>#VALUE!</v>
      </c>
      <c r="AQ222" s="888"/>
      <c r="AR222" s="983">
        <f t="shared" si="288"/>
        <v>0</v>
      </c>
      <c r="AS222" s="888"/>
      <c r="AT222" s="987">
        <f t="shared" si="289"/>
        <v>0</v>
      </c>
      <c r="AU222" s="988">
        <f t="shared" si="290"/>
        <v>0</v>
      </c>
      <c r="AV222" s="989" t="str">
        <f t="shared" si="265"/>
        <v/>
      </c>
      <c r="AW222" s="990">
        <f t="shared" si="291"/>
        <v>133.21</v>
      </c>
      <c r="AX222" s="991">
        <f t="shared" si="292"/>
        <v>847.78495266909658</v>
      </c>
      <c r="AY222" s="992">
        <f>VLOOKUP(A222,'Drop Box Price Out'!$A$13:$G$93,7,FALSE)</f>
        <v>140.05000000000001</v>
      </c>
      <c r="AZ222" s="993">
        <f t="shared" si="293"/>
        <v>891.31658750324289</v>
      </c>
      <c r="BA222" s="994">
        <f t="shared" si="294"/>
        <v>5.134749643420166E-2</v>
      </c>
      <c r="BC222" s="1158">
        <f t="shared" si="266"/>
        <v>-847.78495266909658</v>
      </c>
      <c r="BD222" s="1158">
        <f t="shared" si="267"/>
        <v>-891.31658750324289</v>
      </c>
    </row>
    <row r="223" spans="1:56">
      <c r="A223" s="975" t="str">
        <f>'Drop Box Price Out'!A65</f>
        <v>40 yd Permanent MF</v>
      </c>
      <c r="B223" s="995">
        <f>'Drop Box Price Out'!B65</f>
        <v>0</v>
      </c>
      <c r="C223" s="977">
        <f t="shared" si="268"/>
        <v>0</v>
      </c>
      <c r="D223" s="1130"/>
      <c r="E223" s="977">
        <v>1</v>
      </c>
      <c r="F223" s="977">
        <f t="shared" si="298"/>
        <v>0</v>
      </c>
      <c r="G223" s="977"/>
      <c r="H223" s="996">
        <f>'Drop Box Price Out'!D65</f>
        <v>223.6</v>
      </c>
      <c r="I223" s="979">
        <f t="shared" si="269"/>
        <v>0</v>
      </c>
      <c r="J223" s="1144">
        <f t="shared" si="270"/>
        <v>0</v>
      </c>
      <c r="K223" s="979">
        <f t="shared" si="271"/>
        <v>0</v>
      </c>
      <c r="L223" s="1146">
        <f>L222</f>
        <v>4800</v>
      </c>
      <c r="M223" s="1149" t="e">
        <f t="shared" si="295"/>
        <v>#VALUE!</v>
      </c>
      <c r="N223" s="980">
        <f t="shared" si="296"/>
        <v>0</v>
      </c>
      <c r="O223" s="981" t="e">
        <f t="shared" si="297"/>
        <v>#VALUE!</v>
      </c>
      <c r="P223" s="888"/>
      <c r="Q223" s="982">
        <v>900</v>
      </c>
      <c r="R223" s="983"/>
      <c r="S223" s="983"/>
      <c r="T223" s="984">
        <f t="shared" si="272"/>
        <v>0</v>
      </c>
      <c r="U223" s="984" t="e">
        <f t="shared" si="273"/>
        <v>#VALUE!</v>
      </c>
      <c r="V223" s="984" t="e">
        <f t="shared" si="274"/>
        <v>#VALUE!</v>
      </c>
      <c r="W223" s="888"/>
      <c r="X223" s="1151" t="e">
        <f t="shared" si="299"/>
        <v>#VALUE!</v>
      </c>
      <c r="Y223" s="977">
        <f t="shared" si="275"/>
        <v>0</v>
      </c>
      <c r="Z223" s="977"/>
      <c r="AA223" s="977" t="e">
        <f t="shared" si="276"/>
        <v>#VALUE!</v>
      </c>
      <c r="AB223" s="977" t="e">
        <f t="shared" si="277"/>
        <v>#VALUE!</v>
      </c>
      <c r="AC223" s="977" t="e">
        <f t="shared" si="278"/>
        <v>#VALUE!</v>
      </c>
      <c r="AD223" s="977" t="e">
        <f t="shared" si="279"/>
        <v>#VALUE!</v>
      </c>
      <c r="AE223" s="979" t="e">
        <f t="shared" si="300"/>
        <v>#VALUE!</v>
      </c>
      <c r="AF223" s="892"/>
      <c r="AG223" s="892"/>
      <c r="AH223" s="977">
        <f t="shared" si="280"/>
        <v>0</v>
      </c>
      <c r="AI223" s="977" t="e">
        <f t="shared" si="281"/>
        <v>#VALUE!</v>
      </c>
      <c r="AJ223" s="985" t="e">
        <f t="shared" si="282"/>
        <v>#VALUE!</v>
      </c>
      <c r="AK223" s="977">
        <f t="shared" si="283"/>
        <v>0</v>
      </c>
      <c r="AL223" s="977"/>
      <c r="AM223" s="977" t="e">
        <f t="shared" si="284"/>
        <v>#VALUE!</v>
      </c>
      <c r="AN223" s="977" t="e">
        <f t="shared" si="285"/>
        <v>#VALUE!</v>
      </c>
      <c r="AO223" s="977" t="e">
        <f t="shared" si="286"/>
        <v>#VALUE!</v>
      </c>
      <c r="AP223" s="986" t="e">
        <f t="shared" si="287"/>
        <v>#VALUE!</v>
      </c>
      <c r="AQ223" s="888"/>
      <c r="AR223" s="983">
        <f t="shared" si="288"/>
        <v>0</v>
      </c>
      <c r="AS223" s="888"/>
      <c r="AT223" s="987">
        <f t="shared" si="289"/>
        <v>0</v>
      </c>
      <c r="AU223" s="988">
        <f t="shared" si="290"/>
        <v>0</v>
      </c>
      <c r="AV223" s="989" t="str">
        <f t="shared" si="265"/>
        <v/>
      </c>
      <c r="AW223" s="990">
        <f t="shared" si="291"/>
        <v>223.6</v>
      </c>
      <c r="AX223" s="991">
        <f t="shared" si="292"/>
        <v>0</v>
      </c>
      <c r="AY223" s="992">
        <f>VLOOKUP(A223,'Drop Box Price Out'!$A$13:$G$93,7,FALSE)</f>
        <v>235.10000000000002</v>
      </c>
      <c r="AZ223" s="993">
        <f t="shared" si="293"/>
        <v>0</v>
      </c>
      <c r="BA223" s="994">
        <f t="shared" si="294"/>
        <v>5.143112701252249E-2</v>
      </c>
      <c r="BC223" s="1158">
        <f t="shared" si="266"/>
        <v>0</v>
      </c>
      <c r="BD223" s="1158">
        <f t="shared" si="267"/>
        <v>0</v>
      </c>
    </row>
    <row r="224" spans="1:56">
      <c r="A224" s="975" t="str">
        <f>'Drop Box Price Out'!A66</f>
        <v>40 yd Temporary MF</v>
      </c>
      <c r="B224" s="995">
        <f>'Drop Box Price Out'!B66</f>
        <v>0</v>
      </c>
      <c r="C224" s="977">
        <f t="shared" si="268"/>
        <v>0</v>
      </c>
      <c r="D224" s="1130"/>
      <c r="E224" s="977">
        <v>1</v>
      </c>
      <c r="F224" s="977">
        <f t="shared" si="298"/>
        <v>0</v>
      </c>
      <c r="G224" s="977"/>
      <c r="H224" s="996">
        <f>'Drop Box Price Out'!D66</f>
        <v>228.75</v>
      </c>
      <c r="I224" s="979">
        <f t="shared" si="269"/>
        <v>0</v>
      </c>
      <c r="J224" s="1144">
        <f t="shared" si="270"/>
        <v>0</v>
      </c>
      <c r="K224" s="979">
        <f t="shared" si="271"/>
        <v>0</v>
      </c>
      <c r="L224" s="1146">
        <f>L223</f>
        <v>4800</v>
      </c>
      <c r="M224" s="1149" t="e">
        <f t="shared" si="295"/>
        <v>#VALUE!</v>
      </c>
      <c r="N224" s="980">
        <f t="shared" si="296"/>
        <v>0</v>
      </c>
      <c r="O224" s="981" t="e">
        <f t="shared" si="297"/>
        <v>#VALUE!</v>
      </c>
      <c r="P224" s="888"/>
      <c r="Q224" s="982">
        <v>900</v>
      </c>
      <c r="R224" s="983"/>
      <c r="S224" s="983"/>
      <c r="T224" s="984">
        <f t="shared" si="272"/>
        <v>0</v>
      </c>
      <c r="U224" s="984" t="e">
        <f t="shared" si="273"/>
        <v>#VALUE!</v>
      </c>
      <c r="V224" s="984" t="e">
        <f t="shared" si="274"/>
        <v>#VALUE!</v>
      </c>
      <c r="W224" s="888"/>
      <c r="X224" s="1151" t="e">
        <f t="shared" si="299"/>
        <v>#VALUE!</v>
      </c>
      <c r="Y224" s="977">
        <f t="shared" si="275"/>
        <v>0</v>
      </c>
      <c r="Z224" s="977"/>
      <c r="AA224" s="977" t="e">
        <f t="shared" si="276"/>
        <v>#VALUE!</v>
      </c>
      <c r="AB224" s="977" t="e">
        <f t="shared" si="277"/>
        <v>#VALUE!</v>
      </c>
      <c r="AC224" s="977" t="e">
        <f t="shared" si="278"/>
        <v>#VALUE!</v>
      </c>
      <c r="AD224" s="977" t="e">
        <f t="shared" si="279"/>
        <v>#VALUE!</v>
      </c>
      <c r="AE224" s="979" t="e">
        <f t="shared" si="300"/>
        <v>#VALUE!</v>
      </c>
      <c r="AF224" s="892"/>
      <c r="AG224" s="892"/>
      <c r="AH224" s="977">
        <f t="shared" si="280"/>
        <v>0</v>
      </c>
      <c r="AI224" s="977" t="e">
        <f t="shared" si="281"/>
        <v>#VALUE!</v>
      </c>
      <c r="AJ224" s="985" t="e">
        <f t="shared" si="282"/>
        <v>#VALUE!</v>
      </c>
      <c r="AK224" s="977">
        <f t="shared" si="283"/>
        <v>0</v>
      </c>
      <c r="AL224" s="977"/>
      <c r="AM224" s="977" t="e">
        <f t="shared" si="284"/>
        <v>#VALUE!</v>
      </c>
      <c r="AN224" s="977" t="e">
        <f t="shared" si="285"/>
        <v>#VALUE!</v>
      </c>
      <c r="AO224" s="977" t="e">
        <f t="shared" si="286"/>
        <v>#VALUE!</v>
      </c>
      <c r="AP224" s="986" t="e">
        <f t="shared" si="287"/>
        <v>#VALUE!</v>
      </c>
      <c r="AQ224" s="888"/>
      <c r="AR224" s="983">
        <f t="shared" si="288"/>
        <v>0</v>
      </c>
      <c r="AS224" s="888"/>
      <c r="AT224" s="987">
        <f t="shared" si="289"/>
        <v>0</v>
      </c>
      <c r="AU224" s="988">
        <f t="shared" si="290"/>
        <v>0</v>
      </c>
      <c r="AV224" s="989" t="str">
        <f t="shared" si="265"/>
        <v/>
      </c>
      <c r="AW224" s="990">
        <f t="shared" si="291"/>
        <v>228.75</v>
      </c>
      <c r="AX224" s="991">
        <f t="shared" si="292"/>
        <v>0</v>
      </c>
      <c r="AY224" s="992">
        <f>VLOOKUP(A224,'Drop Box Price Out'!$A$13:$G$93,7,FALSE)</f>
        <v>240.5</v>
      </c>
      <c r="AZ224" s="993">
        <f t="shared" si="293"/>
        <v>0</v>
      </c>
      <c r="BA224" s="994">
        <f t="shared" si="294"/>
        <v>5.1366120218579232E-2</v>
      </c>
      <c r="BC224" s="1158">
        <f t="shared" si="266"/>
        <v>0</v>
      </c>
      <c r="BD224" s="1158">
        <f t="shared" si="267"/>
        <v>0</v>
      </c>
    </row>
    <row r="225" spans="1:56">
      <c r="A225" s="975" t="str">
        <f>'Drop Box Price Out'!A67</f>
        <v>45 yd Compactors</v>
      </c>
      <c r="B225" s="995">
        <f>'Drop Box Price Out'!B67</f>
        <v>0</v>
      </c>
      <c r="C225" s="977">
        <f t="shared" si="268"/>
        <v>0</v>
      </c>
      <c r="D225" s="1130"/>
      <c r="E225" s="977">
        <v>1</v>
      </c>
      <c r="F225" s="977">
        <f t="shared" si="298"/>
        <v>0</v>
      </c>
      <c r="G225" s="977"/>
      <c r="H225" s="996">
        <f>'Drop Box Price Out'!D67</f>
        <v>141.88</v>
      </c>
      <c r="I225" s="979">
        <f t="shared" si="269"/>
        <v>0</v>
      </c>
      <c r="J225" s="1144">
        <f t="shared" si="270"/>
        <v>0</v>
      </c>
      <c r="K225" s="979">
        <f t="shared" si="271"/>
        <v>0</v>
      </c>
      <c r="L225" s="1147">
        <f>L219/40*45</f>
        <v>16200</v>
      </c>
      <c r="M225" s="1149" t="e">
        <f t="shared" si="295"/>
        <v>#VALUE!</v>
      </c>
      <c r="N225" s="980">
        <f t="shared" si="296"/>
        <v>0</v>
      </c>
      <c r="O225" s="981" t="e">
        <f t="shared" si="297"/>
        <v>#VALUE!</v>
      </c>
      <c r="P225" s="888"/>
      <c r="Q225" s="982">
        <v>900</v>
      </c>
      <c r="R225" s="983"/>
      <c r="S225" s="983"/>
      <c r="T225" s="984">
        <f t="shared" si="272"/>
        <v>0</v>
      </c>
      <c r="U225" s="984" t="e">
        <f t="shared" si="273"/>
        <v>#VALUE!</v>
      </c>
      <c r="V225" s="984" t="e">
        <f t="shared" si="274"/>
        <v>#VALUE!</v>
      </c>
      <c r="W225" s="888"/>
      <c r="X225" s="1151" t="e">
        <f t="shared" si="299"/>
        <v>#VALUE!</v>
      </c>
      <c r="Y225" s="977">
        <f t="shared" si="275"/>
        <v>0</v>
      </c>
      <c r="Z225" s="977"/>
      <c r="AA225" s="977" t="e">
        <f t="shared" si="276"/>
        <v>#VALUE!</v>
      </c>
      <c r="AB225" s="977" t="e">
        <f t="shared" si="277"/>
        <v>#VALUE!</v>
      </c>
      <c r="AC225" s="977" t="e">
        <f t="shared" si="278"/>
        <v>#VALUE!</v>
      </c>
      <c r="AD225" s="977" t="e">
        <f t="shared" si="279"/>
        <v>#VALUE!</v>
      </c>
      <c r="AE225" s="979" t="e">
        <f t="shared" si="300"/>
        <v>#VALUE!</v>
      </c>
      <c r="AF225" s="892"/>
      <c r="AG225" s="892"/>
      <c r="AH225" s="977">
        <f t="shared" si="280"/>
        <v>0</v>
      </c>
      <c r="AI225" s="977" t="e">
        <f t="shared" si="281"/>
        <v>#VALUE!</v>
      </c>
      <c r="AJ225" s="985" t="e">
        <f t="shared" si="282"/>
        <v>#VALUE!</v>
      </c>
      <c r="AK225" s="977">
        <f t="shared" si="283"/>
        <v>0</v>
      </c>
      <c r="AL225" s="977"/>
      <c r="AM225" s="977" t="e">
        <f t="shared" si="284"/>
        <v>#VALUE!</v>
      </c>
      <c r="AN225" s="977" t="e">
        <f t="shared" si="285"/>
        <v>#VALUE!</v>
      </c>
      <c r="AO225" s="977" t="e">
        <f t="shared" si="286"/>
        <v>#VALUE!</v>
      </c>
      <c r="AP225" s="986" t="e">
        <f t="shared" si="287"/>
        <v>#VALUE!</v>
      </c>
      <c r="AQ225" s="888"/>
      <c r="AR225" s="983">
        <f t="shared" si="288"/>
        <v>0</v>
      </c>
      <c r="AS225" s="888"/>
      <c r="AT225" s="987">
        <f t="shared" si="289"/>
        <v>0</v>
      </c>
      <c r="AU225" s="988">
        <f t="shared" si="290"/>
        <v>0</v>
      </c>
      <c r="AV225" s="989" t="str">
        <f t="shared" si="265"/>
        <v/>
      </c>
      <c r="AW225" s="990">
        <f t="shared" si="291"/>
        <v>141.88</v>
      </c>
      <c r="AX225" s="991">
        <f t="shared" si="292"/>
        <v>0</v>
      </c>
      <c r="AY225" s="992">
        <f>VLOOKUP(A225,'Drop Box Price Out'!$A$13:$G$93,7,FALSE)</f>
        <v>149.15</v>
      </c>
      <c r="AZ225" s="993">
        <f t="shared" si="293"/>
        <v>0</v>
      </c>
      <c r="BA225" s="994">
        <f t="shared" si="294"/>
        <v>5.1240484916831197E-2</v>
      </c>
      <c r="BC225" s="1158">
        <f t="shared" si="266"/>
        <v>0</v>
      </c>
      <c r="BD225" s="1158">
        <f t="shared" si="267"/>
        <v>0</v>
      </c>
    </row>
    <row r="226" spans="1:56">
      <c r="A226" s="975" t="str">
        <f>'Drop Box Price Out'!A68</f>
        <v>45 yd Compactors MF</v>
      </c>
      <c r="B226" s="995">
        <f>'Drop Box Price Out'!B68</f>
        <v>0</v>
      </c>
      <c r="C226" s="977">
        <f t="shared" si="268"/>
        <v>0</v>
      </c>
      <c r="D226" s="1130"/>
      <c r="E226" s="977">
        <v>1</v>
      </c>
      <c r="F226" s="977">
        <f t="shared" si="298"/>
        <v>0</v>
      </c>
      <c r="G226" s="977"/>
      <c r="H226" s="996">
        <f>'Drop Box Price Out'!D68</f>
        <v>0</v>
      </c>
      <c r="I226" s="979">
        <f t="shared" si="269"/>
        <v>0</v>
      </c>
      <c r="J226" s="1144">
        <f t="shared" si="270"/>
        <v>0</v>
      </c>
      <c r="K226" s="979">
        <f t="shared" si="271"/>
        <v>0</v>
      </c>
      <c r="L226" s="1146">
        <f>L225</f>
        <v>16200</v>
      </c>
      <c r="M226" s="1149" t="e">
        <f t="shared" si="295"/>
        <v>#VALUE!</v>
      </c>
      <c r="N226" s="980">
        <f t="shared" si="296"/>
        <v>0</v>
      </c>
      <c r="O226" s="981" t="e">
        <f t="shared" si="297"/>
        <v>#VALUE!</v>
      </c>
      <c r="P226" s="888"/>
      <c r="Q226" s="982">
        <v>900</v>
      </c>
      <c r="R226" s="983"/>
      <c r="S226" s="983"/>
      <c r="T226" s="984">
        <f t="shared" si="272"/>
        <v>0</v>
      </c>
      <c r="U226" s="984" t="e">
        <f t="shared" si="273"/>
        <v>#VALUE!</v>
      </c>
      <c r="V226" s="984" t="e">
        <f t="shared" si="274"/>
        <v>#VALUE!</v>
      </c>
      <c r="W226" s="888"/>
      <c r="X226" s="1151" t="e">
        <f t="shared" si="299"/>
        <v>#VALUE!</v>
      </c>
      <c r="Y226" s="977">
        <f t="shared" si="275"/>
        <v>0</v>
      </c>
      <c r="Z226" s="977"/>
      <c r="AA226" s="977" t="e">
        <f t="shared" si="276"/>
        <v>#VALUE!</v>
      </c>
      <c r="AB226" s="977" t="e">
        <f t="shared" si="277"/>
        <v>#VALUE!</v>
      </c>
      <c r="AC226" s="977" t="e">
        <f t="shared" si="278"/>
        <v>#VALUE!</v>
      </c>
      <c r="AD226" s="977" t="e">
        <f t="shared" si="279"/>
        <v>#VALUE!</v>
      </c>
      <c r="AE226" s="979" t="e">
        <f t="shared" si="300"/>
        <v>#VALUE!</v>
      </c>
      <c r="AF226" s="892"/>
      <c r="AG226" s="892"/>
      <c r="AH226" s="977">
        <f t="shared" si="280"/>
        <v>0</v>
      </c>
      <c r="AI226" s="977" t="e">
        <f t="shared" si="281"/>
        <v>#VALUE!</v>
      </c>
      <c r="AJ226" s="985" t="e">
        <f t="shared" si="282"/>
        <v>#VALUE!</v>
      </c>
      <c r="AK226" s="977">
        <f t="shared" si="283"/>
        <v>0</v>
      </c>
      <c r="AL226" s="977"/>
      <c r="AM226" s="977" t="e">
        <f t="shared" si="284"/>
        <v>#VALUE!</v>
      </c>
      <c r="AN226" s="977" t="e">
        <f t="shared" si="285"/>
        <v>#VALUE!</v>
      </c>
      <c r="AO226" s="977" t="e">
        <f t="shared" si="286"/>
        <v>#VALUE!</v>
      </c>
      <c r="AP226" s="986" t="e">
        <f t="shared" si="287"/>
        <v>#VALUE!</v>
      </c>
      <c r="AQ226" s="888"/>
      <c r="AR226" s="983">
        <f t="shared" si="288"/>
        <v>0</v>
      </c>
      <c r="AS226" s="888"/>
      <c r="AT226" s="987">
        <f t="shared" si="289"/>
        <v>0</v>
      </c>
      <c r="AU226" s="988">
        <f t="shared" si="290"/>
        <v>0</v>
      </c>
      <c r="AV226" s="989" t="str">
        <f t="shared" si="265"/>
        <v/>
      </c>
      <c r="AW226" s="990">
        <f t="shared" si="291"/>
        <v>0</v>
      </c>
      <c r="AX226" s="991">
        <f t="shared" si="292"/>
        <v>0</v>
      </c>
      <c r="AY226" s="992">
        <f>VLOOKUP(A226,'Drop Box Price Out'!$A$13:$G$93,7,FALSE)</f>
        <v>0</v>
      </c>
      <c r="AZ226" s="993">
        <f t="shared" si="293"/>
        <v>0</v>
      </c>
      <c r="BA226" s="994" t="str">
        <f t="shared" si="294"/>
        <v/>
      </c>
      <c r="BC226" s="1158">
        <f t="shared" si="266"/>
        <v>0</v>
      </c>
      <c r="BD226" s="1158">
        <f t="shared" si="267"/>
        <v>0</v>
      </c>
    </row>
    <row r="227" spans="1:56">
      <c r="A227" s="975" t="str">
        <f>'Drop Box Price Out'!A69</f>
        <v>45 yd Permanent</v>
      </c>
      <c r="B227" s="995">
        <f>'Drop Box Price Out'!B69</f>
        <v>0</v>
      </c>
      <c r="C227" s="977">
        <f t="shared" si="268"/>
        <v>0</v>
      </c>
      <c r="D227" s="1130"/>
      <c r="E227" s="977">
        <v>1</v>
      </c>
      <c r="F227" s="977">
        <f t="shared" si="298"/>
        <v>0</v>
      </c>
      <c r="G227" s="977"/>
      <c r="H227" s="996">
        <f>'Drop Box Price Out'!D69</f>
        <v>128.04</v>
      </c>
      <c r="I227" s="979">
        <f t="shared" si="269"/>
        <v>0</v>
      </c>
      <c r="J227" s="1144">
        <f t="shared" si="270"/>
        <v>0</v>
      </c>
      <c r="K227" s="979">
        <f t="shared" si="271"/>
        <v>0</v>
      </c>
      <c r="L227" s="1147">
        <f>L221/40*45</f>
        <v>5400</v>
      </c>
      <c r="M227" s="1149" t="e">
        <f t="shared" si="295"/>
        <v>#VALUE!</v>
      </c>
      <c r="N227" s="980">
        <f t="shared" si="296"/>
        <v>0</v>
      </c>
      <c r="O227" s="981" t="e">
        <f t="shared" si="297"/>
        <v>#VALUE!</v>
      </c>
      <c r="P227" s="888"/>
      <c r="Q227" s="982">
        <v>900</v>
      </c>
      <c r="R227" s="983"/>
      <c r="S227" s="983"/>
      <c r="T227" s="984">
        <f t="shared" si="272"/>
        <v>0</v>
      </c>
      <c r="U227" s="984" t="e">
        <f t="shared" si="273"/>
        <v>#VALUE!</v>
      </c>
      <c r="V227" s="984" t="e">
        <f t="shared" si="274"/>
        <v>#VALUE!</v>
      </c>
      <c r="W227" s="888"/>
      <c r="X227" s="1151" t="e">
        <f t="shared" si="299"/>
        <v>#VALUE!</v>
      </c>
      <c r="Y227" s="977">
        <f t="shared" si="275"/>
        <v>0</v>
      </c>
      <c r="Z227" s="977"/>
      <c r="AA227" s="977" t="e">
        <f t="shared" si="276"/>
        <v>#VALUE!</v>
      </c>
      <c r="AB227" s="977" t="e">
        <f t="shared" si="277"/>
        <v>#VALUE!</v>
      </c>
      <c r="AC227" s="977" t="e">
        <f t="shared" si="278"/>
        <v>#VALUE!</v>
      </c>
      <c r="AD227" s="977" t="e">
        <f t="shared" si="279"/>
        <v>#VALUE!</v>
      </c>
      <c r="AE227" s="979" t="e">
        <f t="shared" si="300"/>
        <v>#VALUE!</v>
      </c>
      <c r="AF227" s="892"/>
      <c r="AG227" s="892"/>
      <c r="AH227" s="977">
        <f t="shared" si="280"/>
        <v>0</v>
      </c>
      <c r="AI227" s="977" t="e">
        <f t="shared" si="281"/>
        <v>#VALUE!</v>
      </c>
      <c r="AJ227" s="985" t="e">
        <f t="shared" si="282"/>
        <v>#VALUE!</v>
      </c>
      <c r="AK227" s="977">
        <f t="shared" si="283"/>
        <v>0</v>
      </c>
      <c r="AL227" s="977"/>
      <c r="AM227" s="977" t="e">
        <f t="shared" si="284"/>
        <v>#VALUE!</v>
      </c>
      <c r="AN227" s="977" t="e">
        <f t="shared" si="285"/>
        <v>#VALUE!</v>
      </c>
      <c r="AO227" s="977" t="e">
        <f t="shared" si="286"/>
        <v>#VALUE!</v>
      </c>
      <c r="AP227" s="986" t="e">
        <f t="shared" si="287"/>
        <v>#VALUE!</v>
      </c>
      <c r="AQ227" s="888"/>
      <c r="AR227" s="983">
        <f t="shared" si="288"/>
        <v>0</v>
      </c>
      <c r="AS227" s="888"/>
      <c r="AT227" s="987">
        <f t="shared" si="289"/>
        <v>0</v>
      </c>
      <c r="AU227" s="988">
        <f t="shared" si="290"/>
        <v>0</v>
      </c>
      <c r="AV227" s="989" t="str">
        <f t="shared" si="265"/>
        <v/>
      </c>
      <c r="AW227" s="990">
        <f t="shared" si="291"/>
        <v>128.04</v>
      </c>
      <c r="AX227" s="991">
        <f t="shared" si="292"/>
        <v>0</v>
      </c>
      <c r="AY227" s="992">
        <f>VLOOKUP(A227,'Drop Box Price Out'!$A$13:$G$93,7,FALSE)</f>
        <v>134.6</v>
      </c>
      <c r="AZ227" s="993">
        <f t="shared" si="293"/>
        <v>0</v>
      </c>
      <c r="BA227" s="994">
        <f t="shared" si="294"/>
        <v>5.1233989378319293E-2</v>
      </c>
      <c r="BC227" s="1158">
        <f t="shared" si="266"/>
        <v>0</v>
      </c>
      <c r="BD227" s="1158">
        <f t="shared" si="267"/>
        <v>0</v>
      </c>
    </row>
    <row r="228" spans="1:56">
      <c r="A228" s="975" t="str">
        <f>'Drop Box Price Out'!A70</f>
        <v>45 yd Temporary</v>
      </c>
      <c r="B228" s="995">
        <f>'Drop Box Price Out'!B70</f>
        <v>0</v>
      </c>
      <c r="C228" s="977">
        <f t="shared" si="268"/>
        <v>0</v>
      </c>
      <c r="D228" s="1130"/>
      <c r="E228" s="977">
        <v>1</v>
      </c>
      <c r="F228" s="977">
        <f t="shared" si="298"/>
        <v>0</v>
      </c>
      <c r="G228" s="977"/>
      <c r="H228" s="996">
        <f>'Drop Box Price Out'!D70</f>
        <v>133.21</v>
      </c>
      <c r="I228" s="979">
        <f t="shared" si="269"/>
        <v>0</v>
      </c>
      <c r="J228" s="1144">
        <f t="shared" si="270"/>
        <v>0</v>
      </c>
      <c r="K228" s="979">
        <f t="shared" si="271"/>
        <v>0</v>
      </c>
      <c r="L228" s="1146">
        <f>L227</f>
        <v>5400</v>
      </c>
      <c r="M228" s="1149" t="e">
        <f t="shared" si="295"/>
        <v>#VALUE!</v>
      </c>
      <c r="N228" s="980">
        <f t="shared" si="296"/>
        <v>0</v>
      </c>
      <c r="O228" s="981" t="e">
        <f t="shared" si="297"/>
        <v>#VALUE!</v>
      </c>
      <c r="P228" s="888"/>
      <c r="Q228" s="982">
        <v>900</v>
      </c>
      <c r="R228" s="983"/>
      <c r="S228" s="983"/>
      <c r="T228" s="984">
        <f t="shared" si="272"/>
        <v>0</v>
      </c>
      <c r="U228" s="984" t="e">
        <f t="shared" si="273"/>
        <v>#VALUE!</v>
      </c>
      <c r="V228" s="984" t="e">
        <f t="shared" si="274"/>
        <v>#VALUE!</v>
      </c>
      <c r="W228" s="888"/>
      <c r="X228" s="1151" t="e">
        <f t="shared" si="299"/>
        <v>#VALUE!</v>
      </c>
      <c r="Y228" s="977">
        <f t="shared" si="275"/>
        <v>0</v>
      </c>
      <c r="Z228" s="977"/>
      <c r="AA228" s="977" t="e">
        <f t="shared" si="276"/>
        <v>#VALUE!</v>
      </c>
      <c r="AB228" s="977" t="e">
        <f t="shared" si="277"/>
        <v>#VALUE!</v>
      </c>
      <c r="AC228" s="977" t="e">
        <f t="shared" si="278"/>
        <v>#VALUE!</v>
      </c>
      <c r="AD228" s="977" t="e">
        <f t="shared" si="279"/>
        <v>#VALUE!</v>
      </c>
      <c r="AE228" s="979" t="e">
        <f t="shared" si="300"/>
        <v>#VALUE!</v>
      </c>
      <c r="AF228" s="892"/>
      <c r="AG228" s="892"/>
      <c r="AH228" s="977">
        <f t="shared" si="280"/>
        <v>0</v>
      </c>
      <c r="AI228" s="977" t="e">
        <f t="shared" si="281"/>
        <v>#VALUE!</v>
      </c>
      <c r="AJ228" s="985" t="e">
        <f t="shared" si="282"/>
        <v>#VALUE!</v>
      </c>
      <c r="AK228" s="977">
        <f t="shared" si="283"/>
        <v>0</v>
      </c>
      <c r="AL228" s="977"/>
      <c r="AM228" s="977" t="e">
        <f t="shared" si="284"/>
        <v>#VALUE!</v>
      </c>
      <c r="AN228" s="977" t="e">
        <f t="shared" si="285"/>
        <v>#VALUE!</v>
      </c>
      <c r="AO228" s="977" t="e">
        <f t="shared" si="286"/>
        <v>#VALUE!</v>
      </c>
      <c r="AP228" s="986" t="e">
        <f t="shared" si="287"/>
        <v>#VALUE!</v>
      </c>
      <c r="AQ228" s="888"/>
      <c r="AR228" s="983">
        <f t="shared" si="288"/>
        <v>0</v>
      </c>
      <c r="AS228" s="888"/>
      <c r="AT228" s="987">
        <f t="shared" si="289"/>
        <v>0</v>
      </c>
      <c r="AU228" s="988">
        <f t="shared" si="290"/>
        <v>0</v>
      </c>
      <c r="AV228" s="989" t="str">
        <f t="shared" si="265"/>
        <v/>
      </c>
      <c r="AW228" s="990">
        <f t="shared" si="291"/>
        <v>133.21</v>
      </c>
      <c r="AX228" s="991">
        <f t="shared" si="292"/>
        <v>0</v>
      </c>
      <c r="AY228" s="992">
        <f>VLOOKUP(A228,'Drop Box Price Out'!$A$13:$G$93,7,FALSE)</f>
        <v>140.05000000000001</v>
      </c>
      <c r="AZ228" s="993">
        <f t="shared" si="293"/>
        <v>0</v>
      </c>
      <c r="BA228" s="994">
        <f t="shared" si="294"/>
        <v>5.134749643420166E-2</v>
      </c>
      <c r="BC228" s="1158">
        <f t="shared" si="266"/>
        <v>0</v>
      </c>
      <c r="BD228" s="1158">
        <f t="shared" si="267"/>
        <v>0</v>
      </c>
    </row>
    <row r="229" spans="1:56">
      <c r="A229" s="975" t="str">
        <f>'Drop Box Price Out'!A71</f>
        <v>45 yd Permanent MF</v>
      </c>
      <c r="B229" s="995">
        <f>'Drop Box Price Out'!B71</f>
        <v>0</v>
      </c>
      <c r="C229" s="977">
        <f t="shared" si="268"/>
        <v>0</v>
      </c>
      <c r="D229" s="1130"/>
      <c r="E229" s="977">
        <v>1</v>
      </c>
      <c r="F229" s="977">
        <f t="shared" si="298"/>
        <v>0</v>
      </c>
      <c r="G229" s="977"/>
      <c r="H229" s="996">
        <f>'Drop Box Price Out'!D71</f>
        <v>0</v>
      </c>
      <c r="I229" s="979">
        <f t="shared" si="269"/>
        <v>0</v>
      </c>
      <c r="J229" s="1144">
        <f t="shared" si="270"/>
        <v>0</v>
      </c>
      <c r="K229" s="979">
        <f t="shared" si="271"/>
        <v>0</v>
      </c>
      <c r="L229" s="1146">
        <f>L228</f>
        <v>5400</v>
      </c>
      <c r="M229" s="1149" t="e">
        <f t="shared" si="295"/>
        <v>#VALUE!</v>
      </c>
      <c r="N229" s="980">
        <f t="shared" si="296"/>
        <v>0</v>
      </c>
      <c r="O229" s="981" t="e">
        <f t="shared" si="297"/>
        <v>#VALUE!</v>
      </c>
      <c r="P229" s="888"/>
      <c r="Q229" s="982">
        <v>900</v>
      </c>
      <c r="R229" s="983"/>
      <c r="S229" s="983"/>
      <c r="T229" s="984">
        <f t="shared" si="272"/>
        <v>0</v>
      </c>
      <c r="U229" s="984" t="e">
        <f t="shared" si="273"/>
        <v>#VALUE!</v>
      </c>
      <c r="V229" s="984" t="e">
        <f t="shared" si="274"/>
        <v>#VALUE!</v>
      </c>
      <c r="W229" s="888"/>
      <c r="X229" s="1151" t="e">
        <f t="shared" si="299"/>
        <v>#VALUE!</v>
      </c>
      <c r="Y229" s="977">
        <f t="shared" si="275"/>
        <v>0</v>
      </c>
      <c r="Z229" s="977"/>
      <c r="AA229" s="977" t="e">
        <f t="shared" si="276"/>
        <v>#VALUE!</v>
      </c>
      <c r="AB229" s="977" t="e">
        <f t="shared" si="277"/>
        <v>#VALUE!</v>
      </c>
      <c r="AC229" s="977" t="e">
        <f t="shared" si="278"/>
        <v>#VALUE!</v>
      </c>
      <c r="AD229" s="977" t="e">
        <f t="shared" si="279"/>
        <v>#VALUE!</v>
      </c>
      <c r="AE229" s="979" t="e">
        <f t="shared" si="300"/>
        <v>#VALUE!</v>
      </c>
      <c r="AF229" s="892"/>
      <c r="AG229" s="892"/>
      <c r="AH229" s="977">
        <f t="shared" si="280"/>
        <v>0</v>
      </c>
      <c r="AI229" s="977" t="e">
        <f t="shared" si="281"/>
        <v>#VALUE!</v>
      </c>
      <c r="AJ229" s="985" t="e">
        <f t="shared" si="282"/>
        <v>#VALUE!</v>
      </c>
      <c r="AK229" s="977">
        <f t="shared" si="283"/>
        <v>0</v>
      </c>
      <c r="AL229" s="977"/>
      <c r="AM229" s="977" t="e">
        <f t="shared" si="284"/>
        <v>#VALUE!</v>
      </c>
      <c r="AN229" s="977" t="e">
        <f t="shared" si="285"/>
        <v>#VALUE!</v>
      </c>
      <c r="AO229" s="977" t="e">
        <f t="shared" si="286"/>
        <v>#VALUE!</v>
      </c>
      <c r="AP229" s="986" t="e">
        <f t="shared" si="287"/>
        <v>#VALUE!</v>
      </c>
      <c r="AQ229" s="888"/>
      <c r="AR229" s="983">
        <f t="shared" si="288"/>
        <v>0</v>
      </c>
      <c r="AS229" s="888"/>
      <c r="AT229" s="987">
        <f t="shared" si="289"/>
        <v>0</v>
      </c>
      <c r="AU229" s="988">
        <f t="shared" si="290"/>
        <v>0</v>
      </c>
      <c r="AV229" s="989" t="str">
        <f t="shared" si="265"/>
        <v/>
      </c>
      <c r="AW229" s="990">
        <f t="shared" si="291"/>
        <v>0</v>
      </c>
      <c r="AX229" s="991">
        <f t="shared" si="292"/>
        <v>0</v>
      </c>
      <c r="AY229" s="992">
        <f>VLOOKUP(A229,'Drop Box Price Out'!$A$13:$G$93,7,FALSE)</f>
        <v>0</v>
      </c>
      <c r="AZ229" s="993">
        <f t="shared" si="293"/>
        <v>0</v>
      </c>
      <c r="BA229" s="994" t="str">
        <f t="shared" si="294"/>
        <v/>
      </c>
      <c r="BC229" s="1158">
        <f t="shared" si="266"/>
        <v>0</v>
      </c>
      <c r="BD229" s="1158">
        <f t="shared" si="267"/>
        <v>0</v>
      </c>
    </row>
    <row r="230" spans="1:56">
      <c r="A230" s="975" t="str">
        <f>'Drop Box Price Out'!A72</f>
        <v>45 yd Temporary MF</v>
      </c>
      <c r="B230" s="995">
        <f>'Drop Box Price Out'!B72</f>
        <v>0</v>
      </c>
      <c r="C230" s="977">
        <f t="shared" si="268"/>
        <v>0</v>
      </c>
      <c r="D230" s="1130"/>
      <c r="E230" s="977">
        <v>1</v>
      </c>
      <c r="F230" s="977">
        <f t="shared" si="298"/>
        <v>0</v>
      </c>
      <c r="G230" s="979"/>
      <c r="H230" s="996">
        <f>'Drop Box Price Out'!D72</f>
        <v>0</v>
      </c>
      <c r="I230" s="979">
        <f t="shared" si="269"/>
        <v>0</v>
      </c>
      <c r="J230" s="1144">
        <f t="shared" si="270"/>
        <v>0</v>
      </c>
      <c r="K230" s="979">
        <f t="shared" si="271"/>
        <v>0</v>
      </c>
      <c r="L230" s="1146">
        <f>L229</f>
        <v>5400</v>
      </c>
      <c r="M230" s="1149" t="e">
        <f t="shared" si="295"/>
        <v>#VALUE!</v>
      </c>
      <c r="N230" s="980">
        <f t="shared" si="296"/>
        <v>0</v>
      </c>
      <c r="O230" s="981" t="e">
        <f t="shared" si="297"/>
        <v>#VALUE!</v>
      </c>
      <c r="P230" s="959"/>
      <c r="Q230" s="998">
        <v>900</v>
      </c>
      <c r="R230" s="981"/>
      <c r="S230" s="981"/>
      <c r="T230" s="984">
        <f t="shared" si="272"/>
        <v>0</v>
      </c>
      <c r="U230" s="984" t="e">
        <f t="shared" si="273"/>
        <v>#VALUE!</v>
      </c>
      <c r="V230" s="984" t="e">
        <f t="shared" si="274"/>
        <v>#VALUE!</v>
      </c>
      <c r="W230" s="959"/>
      <c r="X230" s="1151" t="e">
        <f t="shared" si="299"/>
        <v>#VALUE!</v>
      </c>
      <c r="Y230" s="977">
        <f t="shared" si="275"/>
        <v>0</v>
      </c>
      <c r="Z230" s="977"/>
      <c r="AA230" s="977" t="e">
        <f t="shared" si="276"/>
        <v>#VALUE!</v>
      </c>
      <c r="AB230" s="977" t="e">
        <f t="shared" si="277"/>
        <v>#VALUE!</v>
      </c>
      <c r="AC230" s="977" t="e">
        <f t="shared" si="278"/>
        <v>#VALUE!</v>
      </c>
      <c r="AD230" s="977" t="e">
        <f t="shared" si="279"/>
        <v>#VALUE!</v>
      </c>
      <c r="AE230" s="979" t="e">
        <f t="shared" si="300"/>
        <v>#VALUE!</v>
      </c>
      <c r="AF230" s="892"/>
      <c r="AG230" s="892"/>
      <c r="AH230" s="977">
        <f t="shared" si="280"/>
        <v>0</v>
      </c>
      <c r="AI230" s="977" t="e">
        <f t="shared" si="281"/>
        <v>#VALUE!</v>
      </c>
      <c r="AJ230" s="985" t="e">
        <f t="shared" si="282"/>
        <v>#VALUE!</v>
      </c>
      <c r="AK230" s="977">
        <f t="shared" si="283"/>
        <v>0</v>
      </c>
      <c r="AL230" s="977"/>
      <c r="AM230" s="977" t="e">
        <f t="shared" si="284"/>
        <v>#VALUE!</v>
      </c>
      <c r="AN230" s="977" t="e">
        <f t="shared" si="285"/>
        <v>#VALUE!</v>
      </c>
      <c r="AO230" s="977" t="e">
        <f t="shared" si="286"/>
        <v>#VALUE!</v>
      </c>
      <c r="AP230" s="986" t="e">
        <f t="shared" si="287"/>
        <v>#VALUE!</v>
      </c>
      <c r="AQ230" s="959"/>
      <c r="AR230" s="983">
        <f t="shared" si="288"/>
        <v>0</v>
      </c>
      <c r="AS230" s="959"/>
      <c r="AT230" s="987">
        <f t="shared" si="289"/>
        <v>0</v>
      </c>
      <c r="AU230" s="988">
        <f t="shared" si="290"/>
        <v>0</v>
      </c>
      <c r="AV230" s="989" t="str">
        <f t="shared" si="265"/>
        <v/>
      </c>
      <c r="AW230" s="990">
        <f t="shared" si="291"/>
        <v>0</v>
      </c>
      <c r="AX230" s="991">
        <f t="shared" si="292"/>
        <v>0</v>
      </c>
      <c r="AY230" s="992">
        <f>VLOOKUP(A230,'Drop Box Price Out'!$A$13:$G$93,7,FALSE)</f>
        <v>0</v>
      </c>
      <c r="AZ230" s="993">
        <f t="shared" si="293"/>
        <v>0</v>
      </c>
      <c r="BA230" s="994" t="str">
        <f t="shared" si="294"/>
        <v/>
      </c>
      <c r="BC230" s="1158">
        <f t="shared" si="266"/>
        <v>0</v>
      </c>
      <c r="BD230" s="1158">
        <f t="shared" si="267"/>
        <v>0</v>
      </c>
    </row>
    <row r="231" spans="1:56">
      <c r="A231" s="975" t="str">
        <f>'Drop Box Price Out'!A73</f>
        <v>50 yd Compactors</v>
      </c>
      <c r="B231" s="995">
        <f>'Drop Box Price Out'!B73</f>
        <v>0</v>
      </c>
      <c r="C231" s="977">
        <f t="shared" si="268"/>
        <v>0</v>
      </c>
      <c r="D231" s="1130"/>
      <c r="E231" s="977">
        <v>1</v>
      </c>
      <c r="F231" s="977">
        <f t="shared" si="298"/>
        <v>0</v>
      </c>
      <c r="G231" s="979"/>
      <c r="H231" s="996">
        <f>'Drop Box Price Out'!D73</f>
        <v>141.88</v>
      </c>
      <c r="I231" s="979">
        <f t="shared" si="269"/>
        <v>0</v>
      </c>
      <c r="J231" s="1144">
        <f t="shared" si="270"/>
        <v>0</v>
      </c>
      <c r="K231" s="979">
        <f t="shared" si="271"/>
        <v>0</v>
      </c>
      <c r="L231" s="1147">
        <f>L225/45*50</f>
        <v>18000</v>
      </c>
      <c r="M231" s="1149" t="e">
        <f t="shared" si="295"/>
        <v>#VALUE!</v>
      </c>
      <c r="N231" s="980">
        <f t="shared" si="296"/>
        <v>0</v>
      </c>
      <c r="O231" s="981" t="e">
        <f t="shared" si="297"/>
        <v>#VALUE!</v>
      </c>
      <c r="P231" s="959"/>
      <c r="Q231" s="998">
        <v>900</v>
      </c>
      <c r="R231" s="981"/>
      <c r="S231" s="981"/>
      <c r="T231" s="984">
        <f t="shared" si="272"/>
        <v>0</v>
      </c>
      <c r="U231" s="984" t="e">
        <f t="shared" si="273"/>
        <v>#VALUE!</v>
      </c>
      <c r="V231" s="984" t="e">
        <f t="shared" si="274"/>
        <v>#VALUE!</v>
      </c>
      <c r="W231" s="959"/>
      <c r="X231" s="1151" t="e">
        <f t="shared" si="299"/>
        <v>#VALUE!</v>
      </c>
      <c r="Y231" s="977">
        <f t="shared" si="275"/>
        <v>0</v>
      </c>
      <c r="Z231" s="977"/>
      <c r="AA231" s="977" t="e">
        <f t="shared" si="276"/>
        <v>#VALUE!</v>
      </c>
      <c r="AB231" s="977" t="e">
        <f t="shared" si="277"/>
        <v>#VALUE!</v>
      </c>
      <c r="AC231" s="977" t="e">
        <f t="shared" si="278"/>
        <v>#VALUE!</v>
      </c>
      <c r="AD231" s="977" t="e">
        <f t="shared" si="279"/>
        <v>#VALUE!</v>
      </c>
      <c r="AE231" s="979" t="e">
        <f t="shared" si="300"/>
        <v>#VALUE!</v>
      </c>
      <c r="AF231" s="892"/>
      <c r="AG231" s="892"/>
      <c r="AH231" s="977">
        <f t="shared" si="280"/>
        <v>0</v>
      </c>
      <c r="AI231" s="977" t="e">
        <f t="shared" si="281"/>
        <v>#VALUE!</v>
      </c>
      <c r="AJ231" s="985" t="e">
        <f t="shared" si="282"/>
        <v>#VALUE!</v>
      </c>
      <c r="AK231" s="977">
        <f t="shared" si="283"/>
        <v>0</v>
      </c>
      <c r="AL231" s="977"/>
      <c r="AM231" s="977" t="e">
        <f t="shared" si="284"/>
        <v>#VALUE!</v>
      </c>
      <c r="AN231" s="977" t="e">
        <f t="shared" si="285"/>
        <v>#VALUE!</v>
      </c>
      <c r="AO231" s="977" t="e">
        <f t="shared" si="286"/>
        <v>#VALUE!</v>
      </c>
      <c r="AP231" s="986" t="e">
        <f t="shared" si="287"/>
        <v>#VALUE!</v>
      </c>
      <c r="AQ231" s="959"/>
      <c r="AR231" s="983">
        <f t="shared" si="288"/>
        <v>0</v>
      </c>
      <c r="AS231" s="959"/>
      <c r="AT231" s="987">
        <f t="shared" si="289"/>
        <v>0</v>
      </c>
      <c r="AU231" s="988">
        <f t="shared" si="290"/>
        <v>0</v>
      </c>
      <c r="AV231" s="989" t="str">
        <f t="shared" si="265"/>
        <v/>
      </c>
      <c r="AW231" s="990">
        <f t="shared" si="291"/>
        <v>141.88</v>
      </c>
      <c r="AX231" s="991">
        <f t="shared" si="292"/>
        <v>0</v>
      </c>
      <c r="AY231" s="992">
        <f>VLOOKUP(A231,'Drop Box Price Out'!$A$13:$G$93,7,FALSE)</f>
        <v>149.15</v>
      </c>
      <c r="AZ231" s="993">
        <f t="shared" si="293"/>
        <v>0</v>
      </c>
      <c r="BA231" s="994">
        <f t="shared" si="294"/>
        <v>5.1240484916831197E-2</v>
      </c>
      <c r="BC231" s="1158">
        <f t="shared" si="266"/>
        <v>0</v>
      </c>
      <c r="BD231" s="1158">
        <f t="shared" si="267"/>
        <v>0</v>
      </c>
    </row>
    <row r="232" spans="1:56">
      <c r="A232" s="975" t="str">
        <f>'Drop Box Price Out'!A74</f>
        <v>50 yd Compactors MF</v>
      </c>
      <c r="B232" s="995">
        <f>'Drop Box Price Out'!B74</f>
        <v>0</v>
      </c>
      <c r="C232" s="977">
        <f t="shared" si="268"/>
        <v>0</v>
      </c>
      <c r="D232" s="1130"/>
      <c r="E232" s="977">
        <v>1</v>
      </c>
      <c r="F232" s="977">
        <f t="shared" si="298"/>
        <v>0</v>
      </c>
      <c r="G232" s="979"/>
      <c r="H232" s="996">
        <f>'Drop Box Price Out'!D74</f>
        <v>0</v>
      </c>
      <c r="I232" s="979">
        <f t="shared" si="269"/>
        <v>0</v>
      </c>
      <c r="J232" s="1144">
        <f t="shared" si="270"/>
        <v>0</v>
      </c>
      <c r="K232" s="979">
        <f t="shared" si="271"/>
        <v>0</v>
      </c>
      <c r="L232" s="1146">
        <f>L231</f>
        <v>18000</v>
      </c>
      <c r="M232" s="1149" t="e">
        <f t="shared" si="295"/>
        <v>#VALUE!</v>
      </c>
      <c r="N232" s="980">
        <f t="shared" si="296"/>
        <v>0</v>
      </c>
      <c r="O232" s="981" t="e">
        <f t="shared" si="297"/>
        <v>#VALUE!</v>
      </c>
      <c r="P232" s="959"/>
      <c r="Q232" s="998">
        <v>900</v>
      </c>
      <c r="R232" s="981"/>
      <c r="S232" s="981"/>
      <c r="T232" s="984">
        <f t="shared" si="272"/>
        <v>0</v>
      </c>
      <c r="U232" s="984" t="e">
        <f t="shared" si="273"/>
        <v>#VALUE!</v>
      </c>
      <c r="V232" s="984" t="e">
        <f t="shared" si="274"/>
        <v>#VALUE!</v>
      </c>
      <c r="W232" s="959"/>
      <c r="X232" s="1151" t="e">
        <f t="shared" si="299"/>
        <v>#VALUE!</v>
      </c>
      <c r="Y232" s="977">
        <f t="shared" si="275"/>
        <v>0</v>
      </c>
      <c r="Z232" s="977"/>
      <c r="AA232" s="977" t="e">
        <f t="shared" si="276"/>
        <v>#VALUE!</v>
      </c>
      <c r="AB232" s="977" t="e">
        <f t="shared" si="277"/>
        <v>#VALUE!</v>
      </c>
      <c r="AC232" s="977" t="e">
        <f t="shared" si="278"/>
        <v>#VALUE!</v>
      </c>
      <c r="AD232" s="977" t="e">
        <f t="shared" si="279"/>
        <v>#VALUE!</v>
      </c>
      <c r="AE232" s="979" t="e">
        <f t="shared" si="300"/>
        <v>#VALUE!</v>
      </c>
      <c r="AF232" s="892"/>
      <c r="AG232" s="892"/>
      <c r="AH232" s="977">
        <f t="shared" si="280"/>
        <v>0</v>
      </c>
      <c r="AI232" s="977" t="e">
        <f t="shared" si="281"/>
        <v>#VALUE!</v>
      </c>
      <c r="AJ232" s="985" t="e">
        <f t="shared" si="282"/>
        <v>#VALUE!</v>
      </c>
      <c r="AK232" s="977">
        <f t="shared" si="283"/>
        <v>0</v>
      </c>
      <c r="AL232" s="977"/>
      <c r="AM232" s="977" t="e">
        <f t="shared" si="284"/>
        <v>#VALUE!</v>
      </c>
      <c r="AN232" s="977" t="e">
        <f t="shared" si="285"/>
        <v>#VALUE!</v>
      </c>
      <c r="AO232" s="977" t="e">
        <f t="shared" si="286"/>
        <v>#VALUE!</v>
      </c>
      <c r="AP232" s="986" t="e">
        <f t="shared" si="287"/>
        <v>#VALUE!</v>
      </c>
      <c r="AQ232" s="959"/>
      <c r="AR232" s="983">
        <f t="shared" si="288"/>
        <v>0</v>
      </c>
      <c r="AS232" s="959"/>
      <c r="AT232" s="987">
        <f t="shared" si="289"/>
        <v>0</v>
      </c>
      <c r="AU232" s="988">
        <f t="shared" si="290"/>
        <v>0</v>
      </c>
      <c r="AV232" s="989" t="str">
        <f t="shared" si="265"/>
        <v/>
      </c>
      <c r="AW232" s="990">
        <f t="shared" si="291"/>
        <v>0</v>
      </c>
      <c r="AX232" s="991">
        <f t="shared" si="292"/>
        <v>0</v>
      </c>
      <c r="AY232" s="992">
        <f>VLOOKUP(A232,'Drop Box Price Out'!$A$13:$G$93,7,FALSE)</f>
        <v>0</v>
      </c>
      <c r="AZ232" s="993">
        <f t="shared" si="293"/>
        <v>0</v>
      </c>
      <c r="BA232" s="994" t="str">
        <f t="shared" si="294"/>
        <v/>
      </c>
      <c r="BC232" s="1158">
        <f t="shared" si="266"/>
        <v>0</v>
      </c>
      <c r="BD232" s="1158">
        <f t="shared" si="267"/>
        <v>0</v>
      </c>
    </row>
    <row r="233" spans="1:56">
      <c r="A233" s="975" t="str">
        <f>'Drop Box Price Out'!A75</f>
        <v>50 yd Permanent</v>
      </c>
      <c r="B233" s="995">
        <f>'Drop Box Price Out'!B75</f>
        <v>0</v>
      </c>
      <c r="C233" s="977">
        <f t="shared" si="268"/>
        <v>0</v>
      </c>
      <c r="D233" s="1130"/>
      <c r="E233" s="977">
        <v>1</v>
      </c>
      <c r="F233" s="977">
        <f t="shared" si="298"/>
        <v>0</v>
      </c>
      <c r="G233" s="979"/>
      <c r="H233" s="996">
        <f>'Drop Box Price Out'!D75</f>
        <v>128.04</v>
      </c>
      <c r="I233" s="979">
        <f t="shared" si="269"/>
        <v>0</v>
      </c>
      <c r="J233" s="1144">
        <f t="shared" si="270"/>
        <v>0</v>
      </c>
      <c r="K233" s="979">
        <f t="shared" si="271"/>
        <v>0</v>
      </c>
      <c r="L233" s="1148">
        <f>'Meeks +'!F47</f>
        <v>6000</v>
      </c>
      <c r="M233" s="1149" t="e">
        <f t="shared" si="295"/>
        <v>#VALUE!</v>
      </c>
      <c r="N233" s="980">
        <f t="shared" si="296"/>
        <v>0</v>
      </c>
      <c r="O233" s="981" t="e">
        <f t="shared" si="297"/>
        <v>#VALUE!</v>
      </c>
      <c r="P233" s="959"/>
      <c r="Q233" s="998">
        <v>900</v>
      </c>
      <c r="R233" s="981"/>
      <c r="S233" s="981"/>
      <c r="T233" s="984">
        <f t="shared" si="272"/>
        <v>0</v>
      </c>
      <c r="U233" s="984" t="e">
        <f t="shared" si="273"/>
        <v>#VALUE!</v>
      </c>
      <c r="V233" s="984" t="e">
        <f t="shared" si="274"/>
        <v>#VALUE!</v>
      </c>
      <c r="W233" s="959"/>
      <c r="X233" s="1151" t="e">
        <f t="shared" si="299"/>
        <v>#VALUE!</v>
      </c>
      <c r="Y233" s="977">
        <f t="shared" si="275"/>
        <v>0</v>
      </c>
      <c r="Z233" s="977"/>
      <c r="AA233" s="977" t="e">
        <f t="shared" si="276"/>
        <v>#VALUE!</v>
      </c>
      <c r="AB233" s="977" t="e">
        <f t="shared" si="277"/>
        <v>#VALUE!</v>
      </c>
      <c r="AC233" s="977" t="e">
        <f t="shared" si="278"/>
        <v>#VALUE!</v>
      </c>
      <c r="AD233" s="977" t="e">
        <f t="shared" si="279"/>
        <v>#VALUE!</v>
      </c>
      <c r="AE233" s="979" t="e">
        <f t="shared" si="300"/>
        <v>#VALUE!</v>
      </c>
      <c r="AF233" s="892"/>
      <c r="AG233" s="892"/>
      <c r="AH233" s="977">
        <f t="shared" si="280"/>
        <v>0</v>
      </c>
      <c r="AI233" s="977" t="e">
        <f t="shared" si="281"/>
        <v>#VALUE!</v>
      </c>
      <c r="AJ233" s="985" t="e">
        <f t="shared" si="282"/>
        <v>#VALUE!</v>
      </c>
      <c r="AK233" s="977">
        <f t="shared" si="283"/>
        <v>0</v>
      </c>
      <c r="AL233" s="977"/>
      <c r="AM233" s="977" t="e">
        <f t="shared" si="284"/>
        <v>#VALUE!</v>
      </c>
      <c r="AN233" s="977" t="e">
        <f t="shared" si="285"/>
        <v>#VALUE!</v>
      </c>
      <c r="AO233" s="977" t="e">
        <f t="shared" si="286"/>
        <v>#VALUE!</v>
      </c>
      <c r="AP233" s="986" t="e">
        <f t="shared" si="287"/>
        <v>#VALUE!</v>
      </c>
      <c r="AQ233" s="959"/>
      <c r="AR233" s="983">
        <f t="shared" si="288"/>
        <v>0</v>
      </c>
      <c r="AS233" s="959"/>
      <c r="AT233" s="987">
        <f t="shared" si="289"/>
        <v>0</v>
      </c>
      <c r="AU233" s="988">
        <f t="shared" si="290"/>
        <v>0</v>
      </c>
      <c r="AV233" s="989" t="str">
        <f t="shared" si="265"/>
        <v/>
      </c>
      <c r="AW233" s="990">
        <f t="shared" si="291"/>
        <v>128.04</v>
      </c>
      <c r="AX233" s="991">
        <f t="shared" si="292"/>
        <v>0</v>
      </c>
      <c r="AY233" s="992">
        <f>VLOOKUP(A233,'Drop Box Price Out'!$A$13:$G$93,7,FALSE)</f>
        <v>134.6</v>
      </c>
      <c r="AZ233" s="993">
        <f t="shared" si="293"/>
        <v>0</v>
      </c>
      <c r="BA233" s="994">
        <f t="shared" si="294"/>
        <v>5.1233989378319293E-2</v>
      </c>
      <c r="BC233" s="1158">
        <f t="shared" si="266"/>
        <v>0</v>
      </c>
      <c r="BD233" s="1158">
        <f t="shared" si="267"/>
        <v>0</v>
      </c>
    </row>
    <row r="234" spans="1:56">
      <c r="A234" s="975" t="str">
        <f>'Drop Box Price Out'!A76</f>
        <v>50 yd Temp</v>
      </c>
      <c r="B234" s="995">
        <f>'Drop Box Price Out'!B76</f>
        <v>0</v>
      </c>
      <c r="C234" s="977">
        <f t="shared" si="268"/>
        <v>0</v>
      </c>
      <c r="D234" s="1130"/>
      <c r="E234" s="977">
        <v>1</v>
      </c>
      <c r="F234" s="977">
        <f t="shared" si="298"/>
        <v>0</v>
      </c>
      <c r="G234" s="979"/>
      <c r="H234" s="996">
        <f>'Drop Box Price Out'!D76</f>
        <v>133.21</v>
      </c>
      <c r="I234" s="979">
        <f t="shared" si="269"/>
        <v>0</v>
      </c>
      <c r="J234" s="1144">
        <f t="shared" si="270"/>
        <v>0</v>
      </c>
      <c r="K234" s="979">
        <f t="shared" si="271"/>
        <v>0</v>
      </c>
      <c r="L234" s="1146">
        <f>L233</f>
        <v>6000</v>
      </c>
      <c r="M234" s="1149" t="e">
        <f t="shared" si="295"/>
        <v>#VALUE!</v>
      </c>
      <c r="N234" s="980">
        <f t="shared" si="296"/>
        <v>0</v>
      </c>
      <c r="O234" s="981" t="e">
        <f t="shared" si="297"/>
        <v>#VALUE!</v>
      </c>
      <c r="P234" s="959"/>
      <c r="Q234" s="998">
        <v>900</v>
      </c>
      <c r="R234" s="981"/>
      <c r="S234" s="981"/>
      <c r="T234" s="984">
        <f t="shared" si="272"/>
        <v>0</v>
      </c>
      <c r="U234" s="984" t="e">
        <f t="shared" si="273"/>
        <v>#VALUE!</v>
      </c>
      <c r="V234" s="984" t="e">
        <f t="shared" si="274"/>
        <v>#VALUE!</v>
      </c>
      <c r="W234" s="959"/>
      <c r="X234" s="1151" t="e">
        <f t="shared" si="299"/>
        <v>#VALUE!</v>
      </c>
      <c r="Y234" s="977">
        <f t="shared" si="275"/>
        <v>0</v>
      </c>
      <c r="Z234" s="977"/>
      <c r="AA234" s="977" t="e">
        <f t="shared" si="276"/>
        <v>#VALUE!</v>
      </c>
      <c r="AB234" s="977" t="e">
        <f t="shared" si="277"/>
        <v>#VALUE!</v>
      </c>
      <c r="AC234" s="977" t="e">
        <f t="shared" si="278"/>
        <v>#VALUE!</v>
      </c>
      <c r="AD234" s="977" t="e">
        <f t="shared" si="279"/>
        <v>#VALUE!</v>
      </c>
      <c r="AE234" s="979" t="e">
        <f t="shared" si="300"/>
        <v>#VALUE!</v>
      </c>
      <c r="AF234" s="892"/>
      <c r="AG234" s="892"/>
      <c r="AH234" s="977">
        <f t="shared" si="280"/>
        <v>0</v>
      </c>
      <c r="AI234" s="977" t="e">
        <f t="shared" si="281"/>
        <v>#VALUE!</v>
      </c>
      <c r="AJ234" s="985" t="e">
        <f t="shared" si="282"/>
        <v>#VALUE!</v>
      </c>
      <c r="AK234" s="977">
        <f t="shared" si="283"/>
        <v>0</v>
      </c>
      <c r="AL234" s="977"/>
      <c r="AM234" s="977" t="e">
        <f t="shared" si="284"/>
        <v>#VALUE!</v>
      </c>
      <c r="AN234" s="977" t="e">
        <f t="shared" si="285"/>
        <v>#VALUE!</v>
      </c>
      <c r="AO234" s="977" t="e">
        <f t="shared" si="286"/>
        <v>#VALUE!</v>
      </c>
      <c r="AP234" s="986" t="e">
        <f t="shared" si="287"/>
        <v>#VALUE!</v>
      </c>
      <c r="AQ234" s="959"/>
      <c r="AR234" s="983">
        <f t="shared" si="288"/>
        <v>0</v>
      </c>
      <c r="AS234" s="959"/>
      <c r="AT234" s="987">
        <f t="shared" si="289"/>
        <v>0</v>
      </c>
      <c r="AU234" s="988">
        <f t="shared" si="290"/>
        <v>0</v>
      </c>
      <c r="AV234" s="989" t="str">
        <f t="shared" si="265"/>
        <v/>
      </c>
      <c r="AW234" s="990">
        <f t="shared" si="291"/>
        <v>133.21</v>
      </c>
      <c r="AX234" s="991">
        <f t="shared" si="292"/>
        <v>0</v>
      </c>
      <c r="AY234" s="992">
        <f>VLOOKUP(A234,'Drop Box Price Out'!$A$13:$G$93,7,FALSE)</f>
        <v>140.05000000000001</v>
      </c>
      <c r="AZ234" s="993">
        <f t="shared" si="293"/>
        <v>0</v>
      </c>
      <c r="BA234" s="994">
        <f t="shared" si="294"/>
        <v>5.134749643420166E-2</v>
      </c>
      <c r="BC234" s="1158">
        <f t="shared" si="266"/>
        <v>0</v>
      </c>
      <c r="BD234" s="1158">
        <f t="shared" si="267"/>
        <v>0</v>
      </c>
    </row>
    <row r="235" spans="1:56">
      <c r="A235" s="975" t="str">
        <f>'Drop Box Price Out'!A77</f>
        <v>50 yd Permanent MF</v>
      </c>
      <c r="B235" s="995">
        <f>'Drop Box Price Out'!B77</f>
        <v>0</v>
      </c>
      <c r="C235" s="977">
        <f t="shared" si="268"/>
        <v>0</v>
      </c>
      <c r="D235" s="1130"/>
      <c r="E235" s="977">
        <v>1</v>
      </c>
      <c r="F235" s="977">
        <f t="shared" si="298"/>
        <v>0</v>
      </c>
      <c r="G235" s="979"/>
      <c r="H235" s="996">
        <f>'Drop Box Price Out'!D77</f>
        <v>247.45</v>
      </c>
      <c r="I235" s="979">
        <f t="shared" si="269"/>
        <v>0</v>
      </c>
      <c r="J235" s="1144">
        <f t="shared" si="270"/>
        <v>0</v>
      </c>
      <c r="K235" s="979">
        <f t="shared" si="271"/>
        <v>0</v>
      </c>
      <c r="L235" s="1146">
        <f>L234</f>
        <v>6000</v>
      </c>
      <c r="M235" s="1149" t="e">
        <f t="shared" si="295"/>
        <v>#VALUE!</v>
      </c>
      <c r="N235" s="980">
        <f t="shared" si="296"/>
        <v>0</v>
      </c>
      <c r="O235" s="981" t="e">
        <f t="shared" si="297"/>
        <v>#VALUE!</v>
      </c>
      <c r="P235" s="959"/>
      <c r="Q235" s="998">
        <v>900</v>
      </c>
      <c r="R235" s="981"/>
      <c r="S235" s="981"/>
      <c r="T235" s="984">
        <f t="shared" si="272"/>
        <v>0</v>
      </c>
      <c r="U235" s="984" t="e">
        <f t="shared" si="273"/>
        <v>#VALUE!</v>
      </c>
      <c r="V235" s="984" t="e">
        <f t="shared" si="274"/>
        <v>#VALUE!</v>
      </c>
      <c r="W235" s="959"/>
      <c r="X235" s="1151" t="e">
        <f t="shared" ref="X235:X251" si="301">+O235/$O$252*$X$4</f>
        <v>#VALUE!</v>
      </c>
      <c r="Y235" s="977">
        <f t="shared" si="275"/>
        <v>0</v>
      </c>
      <c r="Z235" s="977"/>
      <c r="AA235" s="977" t="e">
        <f t="shared" si="276"/>
        <v>#VALUE!</v>
      </c>
      <c r="AB235" s="977" t="e">
        <f t="shared" si="277"/>
        <v>#VALUE!</v>
      </c>
      <c r="AC235" s="977" t="e">
        <f t="shared" si="278"/>
        <v>#VALUE!</v>
      </c>
      <c r="AD235" s="977" t="e">
        <f t="shared" si="279"/>
        <v>#VALUE!</v>
      </c>
      <c r="AE235" s="979" t="e">
        <f t="shared" ref="AE235:AE251" si="302">$AE$4*V235/$V$252</f>
        <v>#VALUE!</v>
      </c>
      <c r="AF235" s="892"/>
      <c r="AG235" s="892"/>
      <c r="AH235" s="977">
        <f t="shared" si="280"/>
        <v>0</v>
      </c>
      <c r="AI235" s="977" t="e">
        <f t="shared" si="281"/>
        <v>#VALUE!</v>
      </c>
      <c r="AJ235" s="985" t="e">
        <f t="shared" si="282"/>
        <v>#VALUE!</v>
      </c>
      <c r="AK235" s="977">
        <f t="shared" si="283"/>
        <v>0</v>
      </c>
      <c r="AL235" s="977"/>
      <c r="AM235" s="977" t="e">
        <f t="shared" si="284"/>
        <v>#VALUE!</v>
      </c>
      <c r="AN235" s="977" t="e">
        <f t="shared" si="285"/>
        <v>#VALUE!</v>
      </c>
      <c r="AO235" s="977" t="e">
        <f t="shared" si="286"/>
        <v>#VALUE!</v>
      </c>
      <c r="AP235" s="986" t="e">
        <f t="shared" si="287"/>
        <v>#VALUE!</v>
      </c>
      <c r="AQ235" s="959"/>
      <c r="AR235" s="983">
        <f t="shared" si="288"/>
        <v>0</v>
      </c>
      <c r="AS235" s="959"/>
      <c r="AT235" s="987">
        <f t="shared" si="289"/>
        <v>0</v>
      </c>
      <c r="AU235" s="988">
        <f t="shared" si="290"/>
        <v>0</v>
      </c>
      <c r="AV235" s="989" t="str">
        <f t="shared" ref="AV235:AV251" si="303">IF(AT235=0,"",(+AT235-AW235)/AW235)</f>
        <v/>
      </c>
      <c r="AW235" s="990">
        <f t="shared" si="291"/>
        <v>247.45</v>
      </c>
      <c r="AX235" s="991">
        <f t="shared" si="292"/>
        <v>0</v>
      </c>
      <c r="AY235" s="992">
        <f>VLOOKUP(A235,'Drop Box Price Out'!$A$13:$G$93,7,FALSE)</f>
        <v>260.15000000000003</v>
      </c>
      <c r="AZ235" s="993">
        <f t="shared" si="293"/>
        <v>0</v>
      </c>
      <c r="BA235" s="994">
        <f t="shared" ref="BA235:BA251" si="304">IF(AW235=0,"",(+AY235-AW235)/AW235)</f>
        <v>5.132349969690865E-2</v>
      </c>
      <c r="BC235" s="1158">
        <f t="shared" ref="BC235:BC251" si="305">+AU235-AX235</f>
        <v>0</v>
      </c>
      <c r="BD235" s="1158">
        <f t="shared" ref="BD235:BD251" si="306">+AU235-AZ235</f>
        <v>0</v>
      </c>
    </row>
    <row r="236" spans="1:56">
      <c r="A236" s="975" t="str">
        <f>'Drop Box Price Out'!A78</f>
        <v>50 yd Temporary MF</v>
      </c>
      <c r="B236" s="995">
        <f>'Drop Box Price Out'!B78</f>
        <v>0</v>
      </c>
      <c r="C236" s="977">
        <f t="shared" ref="C236:C251" si="307">+B236*$K$4</f>
        <v>0</v>
      </c>
      <c r="D236" s="1130"/>
      <c r="E236" s="977">
        <v>1</v>
      </c>
      <c r="F236" s="977">
        <f t="shared" si="298"/>
        <v>0</v>
      </c>
      <c r="G236" s="979"/>
      <c r="H236" s="996">
        <f>'Drop Box Price Out'!D78</f>
        <v>252.6</v>
      </c>
      <c r="I236" s="979">
        <f t="shared" ref="I236:I249" si="308">B236*H236/12</f>
        <v>0</v>
      </c>
      <c r="J236" s="1144">
        <f t="shared" ref="J236:J250" si="309">I236*12</f>
        <v>0</v>
      </c>
      <c r="K236" s="979">
        <f t="shared" ref="K236:K250" si="310">J236*$K$4</f>
        <v>0</v>
      </c>
      <c r="L236" s="1146">
        <f>L235</f>
        <v>6000</v>
      </c>
      <c r="M236" s="1149" t="e">
        <f t="shared" si="295"/>
        <v>#VALUE!</v>
      </c>
      <c r="N236" s="980">
        <f t="shared" si="296"/>
        <v>0</v>
      </c>
      <c r="O236" s="981" t="e">
        <f t="shared" si="297"/>
        <v>#VALUE!</v>
      </c>
      <c r="P236" s="959"/>
      <c r="Q236" s="998">
        <v>900</v>
      </c>
      <c r="R236" s="981"/>
      <c r="S236" s="981"/>
      <c r="T236" s="984">
        <f t="shared" ref="T236:T250" si="311">C236*Q236/3600</f>
        <v>0</v>
      </c>
      <c r="U236" s="984" t="e">
        <f t="shared" ref="U236:U250" si="312">($T$4-$T$5)*O236/($O$5-$O$6-$O$7)</f>
        <v>#VALUE!</v>
      </c>
      <c r="V236" s="984" t="e">
        <f t="shared" ref="V236:V250" si="313">+U236+T236</f>
        <v>#VALUE!</v>
      </c>
      <c r="W236" s="959"/>
      <c r="X236" s="1151" t="e">
        <f t="shared" si="301"/>
        <v>#VALUE!</v>
      </c>
      <c r="Y236" s="977">
        <f t="shared" ref="Y236:Y250" si="314">($Y$4*(I236)/(($I$6)+$I$7+$I$8+$I$9))</f>
        <v>0</v>
      </c>
      <c r="Z236" s="977"/>
      <c r="AA236" s="977" t="e">
        <f t="shared" ref="AA236:AA250" si="315">+AA$4/(V$8+(V$9))*V236</f>
        <v>#VALUE!</v>
      </c>
      <c r="AB236" s="977" t="e">
        <f t="shared" ref="AB236:AB250" si="316">$AB$4*V236/($V$4+$T$4)</f>
        <v>#VALUE!</v>
      </c>
      <c r="AC236" s="977" t="e">
        <f t="shared" ref="AC236:AC250" si="317">$AC$4*V236/($V$4+$T$4)</f>
        <v>#VALUE!</v>
      </c>
      <c r="AD236" s="977" t="e">
        <f t="shared" ref="AD236:AD250" si="318">$AD$4*V236/($V$4+$T$4)</f>
        <v>#VALUE!</v>
      </c>
      <c r="AE236" s="979" t="e">
        <f t="shared" si="302"/>
        <v>#VALUE!</v>
      </c>
      <c r="AF236" s="892"/>
      <c r="AG236" s="892"/>
      <c r="AH236" s="977">
        <f t="shared" ref="AH236:AH250" si="319">($AH$4*G236)/$G$8</f>
        <v>0</v>
      </c>
      <c r="AI236" s="977" t="e">
        <f t="shared" ref="AI236:AI250" si="320">+$AI$4*($V236/($V$8+($V$9)))</f>
        <v>#VALUE!</v>
      </c>
      <c r="AJ236" s="985" t="e">
        <f t="shared" ref="AJ236:AJ250" si="321">SUM(X236:AI236)</f>
        <v>#VALUE!</v>
      </c>
      <c r="AK236" s="977">
        <f t="shared" ref="AK236:AK250" si="322">($AK$4*F236/($F$5))</f>
        <v>0</v>
      </c>
      <c r="AL236" s="977"/>
      <c r="AM236" s="977" t="e">
        <f t="shared" ref="AM236:AM250" si="323">$AM$4*(K236+X236)/($K$5+$X$5)</f>
        <v>#VALUE!</v>
      </c>
      <c r="AN236" s="977" t="e">
        <f t="shared" ref="AN236:AN250" si="324">$AN$4*(K236+X236)/($K$5+$X$5)</f>
        <v>#VALUE!</v>
      </c>
      <c r="AO236" s="977" t="e">
        <f t="shared" ref="AO236:AO250" si="325">$AO$4*(K236+X236)/($K$5+$X$5)</f>
        <v>#VALUE!</v>
      </c>
      <c r="AP236" s="986" t="e">
        <f t="shared" ref="AP236:AP250" si="326">SUM(AJ236:AO236)</f>
        <v>#VALUE!</v>
      </c>
      <c r="AQ236" s="959"/>
      <c r="AR236" s="983">
        <f t="shared" ref="AR236:AR251" si="327">IF(ISERROR(AP236/C236), 0,(AP236/C236))</f>
        <v>0</v>
      </c>
      <c r="AS236" s="959"/>
      <c r="AT236" s="987">
        <f t="shared" ref="AT236:AT250" si="328">AR236/$AT$4</f>
        <v>0</v>
      </c>
      <c r="AU236" s="988">
        <f t="shared" ref="AU236:AU250" si="329">+AT236*C236</f>
        <v>0</v>
      </c>
      <c r="AV236" s="989" t="str">
        <f t="shared" si="303"/>
        <v/>
      </c>
      <c r="AW236" s="990">
        <f t="shared" ref="AW236:AW250" si="330">H236</f>
        <v>252.6</v>
      </c>
      <c r="AX236" s="991">
        <f t="shared" ref="AX236:AX250" si="331">+AW236*C236</f>
        <v>0</v>
      </c>
      <c r="AY236" s="992">
        <f>VLOOKUP(A236,'Drop Box Price Out'!$A$13:$G$93,7,FALSE)</f>
        <v>265.55</v>
      </c>
      <c r="AZ236" s="993">
        <f t="shared" ref="AZ236:AZ250" si="332">+AY236*C236</f>
        <v>0</v>
      </c>
      <c r="BA236" s="994">
        <f t="shared" si="304"/>
        <v>5.126682501979421E-2</v>
      </c>
      <c r="BC236" s="1158">
        <f t="shared" si="305"/>
        <v>0</v>
      </c>
      <c r="BD236" s="1158">
        <f t="shared" si="306"/>
        <v>0</v>
      </c>
    </row>
    <row r="237" spans="1:56">
      <c r="A237" s="975" t="str">
        <f>'Drop Box Price Out'!A79</f>
        <v>10 yd Rent</v>
      </c>
      <c r="B237" s="995">
        <f>'Drop Box Price Out'!B79</f>
        <v>0</v>
      </c>
      <c r="C237" s="977">
        <f t="shared" si="307"/>
        <v>0</v>
      </c>
      <c r="D237" s="1130"/>
      <c r="E237" s="977">
        <v>1</v>
      </c>
      <c r="F237" s="977"/>
      <c r="G237" s="979">
        <f>B237</f>
        <v>0</v>
      </c>
      <c r="H237" s="996">
        <f>'Drop Box Price Out'!D79</f>
        <v>30.99</v>
      </c>
      <c r="I237" s="979">
        <f t="shared" si="308"/>
        <v>0</v>
      </c>
      <c r="J237" s="1144">
        <f t="shared" si="309"/>
        <v>0</v>
      </c>
      <c r="K237" s="979">
        <f t="shared" si="310"/>
        <v>0</v>
      </c>
      <c r="L237" s="1147">
        <v>0</v>
      </c>
      <c r="M237" s="1149" t="e">
        <f t="shared" si="295"/>
        <v>#VALUE!</v>
      </c>
      <c r="N237" s="980">
        <f t="shared" si="296"/>
        <v>0</v>
      </c>
      <c r="O237" s="981" t="e">
        <f t="shared" si="297"/>
        <v>#VALUE!</v>
      </c>
      <c r="P237" s="959"/>
      <c r="Q237" s="998">
        <v>0</v>
      </c>
      <c r="R237" s="981"/>
      <c r="S237" s="981"/>
      <c r="T237" s="984">
        <f t="shared" si="311"/>
        <v>0</v>
      </c>
      <c r="U237" s="984" t="e">
        <f t="shared" si="312"/>
        <v>#VALUE!</v>
      </c>
      <c r="V237" s="984" t="e">
        <f t="shared" si="313"/>
        <v>#VALUE!</v>
      </c>
      <c r="W237" s="959"/>
      <c r="X237" s="1151" t="e">
        <f t="shared" si="301"/>
        <v>#VALUE!</v>
      </c>
      <c r="Y237" s="977">
        <f t="shared" si="314"/>
        <v>0</v>
      </c>
      <c r="Z237" s="977"/>
      <c r="AA237" s="977" t="e">
        <f t="shared" si="315"/>
        <v>#VALUE!</v>
      </c>
      <c r="AB237" s="977" t="e">
        <f t="shared" si="316"/>
        <v>#VALUE!</v>
      </c>
      <c r="AC237" s="977" t="e">
        <f t="shared" si="317"/>
        <v>#VALUE!</v>
      </c>
      <c r="AD237" s="977" t="e">
        <f t="shared" si="318"/>
        <v>#VALUE!</v>
      </c>
      <c r="AE237" s="979" t="e">
        <f t="shared" si="302"/>
        <v>#VALUE!</v>
      </c>
      <c r="AF237" s="892"/>
      <c r="AG237" s="892"/>
      <c r="AH237" s="977">
        <f t="shared" si="319"/>
        <v>0</v>
      </c>
      <c r="AI237" s="977" t="e">
        <f t="shared" si="320"/>
        <v>#VALUE!</v>
      </c>
      <c r="AJ237" s="985" t="e">
        <f t="shared" si="321"/>
        <v>#VALUE!</v>
      </c>
      <c r="AK237" s="977">
        <f t="shared" si="322"/>
        <v>0</v>
      </c>
      <c r="AL237" s="977"/>
      <c r="AM237" s="977" t="e">
        <f t="shared" si="323"/>
        <v>#VALUE!</v>
      </c>
      <c r="AN237" s="977" t="e">
        <f t="shared" si="324"/>
        <v>#VALUE!</v>
      </c>
      <c r="AO237" s="977" t="e">
        <f t="shared" si="325"/>
        <v>#VALUE!</v>
      </c>
      <c r="AP237" s="986" t="e">
        <f t="shared" si="326"/>
        <v>#VALUE!</v>
      </c>
      <c r="AQ237" s="959"/>
      <c r="AR237" s="983">
        <f t="shared" si="327"/>
        <v>0</v>
      </c>
      <c r="AS237" s="959"/>
      <c r="AT237" s="987">
        <f t="shared" si="328"/>
        <v>0</v>
      </c>
      <c r="AU237" s="988">
        <f t="shared" si="329"/>
        <v>0</v>
      </c>
      <c r="AV237" s="989" t="str">
        <f t="shared" si="303"/>
        <v/>
      </c>
      <c r="AW237" s="990">
        <f t="shared" si="330"/>
        <v>30.99</v>
      </c>
      <c r="AX237" s="991">
        <f t="shared" si="331"/>
        <v>0</v>
      </c>
      <c r="AY237" s="992">
        <f>VLOOKUP(A237,'Drop Box Price Out'!$A$13:$G$93,7,FALSE)</f>
        <v>32.6</v>
      </c>
      <c r="AZ237" s="993">
        <f t="shared" si="332"/>
        <v>0</v>
      </c>
      <c r="BA237" s="994">
        <f t="shared" si="304"/>
        <v>5.1952242658922329E-2</v>
      </c>
      <c r="BC237" s="1158">
        <f t="shared" si="305"/>
        <v>0</v>
      </c>
      <c r="BD237" s="1158">
        <f t="shared" si="306"/>
        <v>0</v>
      </c>
    </row>
    <row r="238" spans="1:56">
      <c r="A238" s="975" t="str">
        <f>'Drop Box Price Out'!A80</f>
        <v>12 yd Rent</v>
      </c>
      <c r="B238" s="995">
        <f>'Drop Box Price Out'!B80</f>
        <v>0</v>
      </c>
      <c r="C238" s="977">
        <f t="shared" si="307"/>
        <v>0</v>
      </c>
      <c r="D238" s="1130"/>
      <c r="E238" s="977">
        <v>1</v>
      </c>
      <c r="F238" s="977"/>
      <c r="G238" s="979">
        <f t="shared" ref="G238:G247" si="333">B238</f>
        <v>0</v>
      </c>
      <c r="H238" s="996">
        <f>'Drop Box Price Out'!D80</f>
        <v>0</v>
      </c>
      <c r="I238" s="979">
        <f t="shared" si="308"/>
        <v>0</v>
      </c>
      <c r="J238" s="1144">
        <f t="shared" si="309"/>
        <v>0</v>
      </c>
      <c r="K238" s="979">
        <f t="shared" si="310"/>
        <v>0</v>
      </c>
      <c r="L238" s="1147">
        <v>0</v>
      </c>
      <c r="M238" s="1149" t="e">
        <f t="shared" ref="M238:M250" si="334">L238*$O$4</f>
        <v>#VALUE!</v>
      </c>
      <c r="N238" s="980">
        <f t="shared" ref="N238:N250" si="335">ROUND(((C238*L238)/2000),2)</f>
        <v>0</v>
      </c>
      <c r="O238" s="981" t="e">
        <f t="shared" ref="O238:O250" si="336">$O$4*N238</f>
        <v>#VALUE!</v>
      </c>
      <c r="P238" s="959"/>
      <c r="Q238" s="998">
        <v>0</v>
      </c>
      <c r="R238" s="981"/>
      <c r="S238" s="981"/>
      <c r="T238" s="984">
        <f t="shared" si="311"/>
        <v>0</v>
      </c>
      <c r="U238" s="984" t="e">
        <f t="shared" si="312"/>
        <v>#VALUE!</v>
      </c>
      <c r="V238" s="984" t="e">
        <f t="shared" si="313"/>
        <v>#VALUE!</v>
      </c>
      <c r="W238" s="959"/>
      <c r="X238" s="1151" t="e">
        <f t="shared" si="301"/>
        <v>#VALUE!</v>
      </c>
      <c r="Y238" s="977">
        <f t="shared" si="314"/>
        <v>0</v>
      </c>
      <c r="Z238" s="977"/>
      <c r="AA238" s="977" t="e">
        <f t="shared" si="315"/>
        <v>#VALUE!</v>
      </c>
      <c r="AB238" s="977" t="e">
        <f t="shared" si="316"/>
        <v>#VALUE!</v>
      </c>
      <c r="AC238" s="977" t="e">
        <f t="shared" si="317"/>
        <v>#VALUE!</v>
      </c>
      <c r="AD238" s="977" t="e">
        <f t="shared" si="318"/>
        <v>#VALUE!</v>
      </c>
      <c r="AE238" s="979" t="e">
        <f t="shared" si="302"/>
        <v>#VALUE!</v>
      </c>
      <c r="AF238" s="892"/>
      <c r="AG238" s="892"/>
      <c r="AH238" s="977">
        <f t="shared" si="319"/>
        <v>0</v>
      </c>
      <c r="AI238" s="977" t="e">
        <f t="shared" si="320"/>
        <v>#VALUE!</v>
      </c>
      <c r="AJ238" s="985" t="e">
        <f t="shared" si="321"/>
        <v>#VALUE!</v>
      </c>
      <c r="AK238" s="977">
        <f t="shared" si="322"/>
        <v>0</v>
      </c>
      <c r="AL238" s="977"/>
      <c r="AM238" s="977" t="e">
        <f t="shared" si="323"/>
        <v>#VALUE!</v>
      </c>
      <c r="AN238" s="977" t="e">
        <f t="shared" si="324"/>
        <v>#VALUE!</v>
      </c>
      <c r="AO238" s="977" t="e">
        <f t="shared" si="325"/>
        <v>#VALUE!</v>
      </c>
      <c r="AP238" s="986" t="e">
        <f t="shared" si="326"/>
        <v>#VALUE!</v>
      </c>
      <c r="AQ238" s="959"/>
      <c r="AR238" s="983">
        <f t="shared" si="327"/>
        <v>0</v>
      </c>
      <c r="AS238" s="959"/>
      <c r="AT238" s="987">
        <f t="shared" si="328"/>
        <v>0</v>
      </c>
      <c r="AU238" s="988">
        <f t="shared" si="329"/>
        <v>0</v>
      </c>
      <c r="AV238" s="989" t="str">
        <f t="shared" si="303"/>
        <v/>
      </c>
      <c r="AW238" s="990">
        <f t="shared" si="330"/>
        <v>0</v>
      </c>
      <c r="AX238" s="991">
        <f t="shared" si="331"/>
        <v>0</v>
      </c>
      <c r="AY238" s="992">
        <f>VLOOKUP(A238,'Drop Box Price Out'!$A$13:$G$93,7,FALSE)</f>
        <v>0</v>
      </c>
      <c r="AZ238" s="993">
        <f t="shared" si="332"/>
        <v>0</v>
      </c>
      <c r="BA238" s="994" t="str">
        <f t="shared" si="304"/>
        <v/>
      </c>
      <c r="BC238" s="1158">
        <f t="shared" si="305"/>
        <v>0</v>
      </c>
      <c r="BD238" s="1158">
        <f t="shared" si="306"/>
        <v>0</v>
      </c>
    </row>
    <row r="239" spans="1:56">
      <c r="A239" s="975" t="str">
        <f>'Drop Box Price Out'!A81</f>
        <v>15 yd Rent</v>
      </c>
      <c r="B239" s="995">
        <f>'Drop Box Price Out'!B81</f>
        <v>0.66597831698502841</v>
      </c>
      <c r="C239" s="977">
        <f t="shared" si="307"/>
        <v>0.70641142549833214</v>
      </c>
      <c r="D239" s="1130"/>
      <c r="E239" s="977">
        <v>1</v>
      </c>
      <c r="F239" s="977"/>
      <c r="G239" s="979">
        <f t="shared" si="333"/>
        <v>0.66597831698502841</v>
      </c>
      <c r="H239" s="996">
        <f>'Drop Box Price Out'!D81</f>
        <v>38.74</v>
      </c>
      <c r="I239" s="979">
        <f t="shared" si="308"/>
        <v>2.15</v>
      </c>
      <c r="J239" s="1144">
        <f t="shared" si="309"/>
        <v>25.799999999999997</v>
      </c>
      <c r="K239" s="979">
        <f t="shared" si="310"/>
        <v>27.366378623805382</v>
      </c>
      <c r="L239" s="997">
        <v>0</v>
      </c>
      <c r="M239" s="1149" t="e">
        <f t="shared" si="334"/>
        <v>#VALUE!</v>
      </c>
      <c r="N239" s="980">
        <f t="shared" si="335"/>
        <v>0</v>
      </c>
      <c r="O239" s="981" t="e">
        <f t="shared" si="336"/>
        <v>#VALUE!</v>
      </c>
      <c r="P239" s="959"/>
      <c r="Q239" s="998">
        <v>0</v>
      </c>
      <c r="R239" s="981"/>
      <c r="S239" s="981"/>
      <c r="T239" s="984">
        <f t="shared" si="311"/>
        <v>0</v>
      </c>
      <c r="U239" s="984" t="e">
        <f t="shared" si="312"/>
        <v>#VALUE!</v>
      </c>
      <c r="V239" s="984" t="e">
        <f t="shared" si="313"/>
        <v>#VALUE!</v>
      </c>
      <c r="W239" s="959"/>
      <c r="X239" s="1151" t="e">
        <f t="shared" si="301"/>
        <v>#VALUE!</v>
      </c>
      <c r="Y239" s="977">
        <f t="shared" si="314"/>
        <v>3.0809399758966589</v>
      </c>
      <c r="Z239" s="977"/>
      <c r="AA239" s="977" t="e">
        <f t="shared" si="315"/>
        <v>#VALUE!</v>
      </c>
      <c r="AB239" s="977" t="e">
        <f t="shared" si="316"/>
        <v>#VALUE!</v>
      </c>
      <c r="AC239" s="977" t="e">
        <f t="shared" si="317"/>
        <v>#VALUE!</v>
      </c>
      <c r="AD239" s="977" t="e">
        <f t="shared" si="318"/>
        <v>#VALUE!</v>
      </c>
      <c r="AE239" s="979" t="e">
        <f t="shared" si="302"/>
        <v>#VALUE!</v>
      </c>
      <c r="AF239" s="892"/>
      <c r="AG239" s="892"/>
      <c r="AH239" s="977">
        <f t="shared" si="319"/>
        <v>4.5801836507326232</v>
      </c>
      <c r="AI239" s="977" t="e">
        <f t="shared" si="320"/>
        <v>#VALUE!</v>
      </c>
      <c r="AJ239" s="985" t="e">
        <f t="shared" si="321"/>
        <v>#VALUE!</v>
      </c>
      <c r="AK239" s="977">
        <f t="shared" si="322"/>
        <v>0</v>
      </c>
      <c r="AL239" s="977"/>
      <c r="AM239" s="977" t="e">
        <f t="shared" si="323"/>
        <v>#VALUE!</v>
      </c>
      <c r="AN239" s="977" t="e">
        <f t="shared" si="324"/>
        <v>#VALUE!</v>
      </c>
      <c r="AO239" s="977" t="e">
        <f t="shared" si="325"/>
        <v>#VALUE!</v>
      </c>
      <c r="AP239" s="986" t="e">
        <f t="shared" si="326"/>
        <v>#VALUE!</v>
      </c>
      <c r="AQ239" s="959"/>
      <c r="AR239" s="983">
        <f t="shared" si="327"/>
        <v>0</v>
      </c>
      <c r="AS239" s="959"/>
      <c r="AT239" s="987">
        <f t="shared" si="328"/>
        <v>0</v>
      </c>
      <c r="AU239" s="988">
        <f t="shared" si="329"/>
        <v>0</v>
      </c>
      <c r="AV239" s="989" t="str">
        <f t="shared" si="303"/>
        <v/>
      </c>
      <c r="AW239" s="990">
        <f t="shared" si="330"/>
        <v>38.74</v>
      </c>
      <c r="AX239" s="991">
        <f t="shared" si="331"/>
        <v>27.366378623805389</v>
      </c>
      <c r="AY239" s="992">
        <f>VLOOKUP(A239,'Drop Box Price Out'!$A$13:$G$93,7,FALSE)</f>
        <v>40.75</v>
      </c>
      <c r="AZ239" s="993">
        <f t="shared" si="332"/>
        <v>28.786265589057034</v>
      </c>
      <c r="BA239" s="994">
        <f t="shared" si="304"/>
        <v>5.1884357253484718E-2</v>
      </c>
      <c r="BC239" s="1158">
        <f t="shared" si="305"/>
        <v>-27.366378623805389</v>
      </c>
      <c r="BD239" s="1158">
        <f t="shared" si="306"/>
        <v>-28.786265589057034</v>
      </c>
    </row>
    <row r="240" spans="1:56">
      <c r="A240" s="975" t="str">
        <f>'Drop Box Price Out'!A82</f>
        <v>18 yd Rent</v>
      </c>
      <c r="B240" s="995">
        <f>'Drop Box Price Out'!B82</f>
        <v>0</v>
      </c>
      <c r="C240" s="977">
        <f>+B240*$K$4</f>
        <v>0</v>
      </c>
      <c r="D240" s="1130"/>
      <c r="E240" s="977">
        <v>1</v>
      </c>
      <c r="F240" s="977"/>
      <c r="G240" s="979">
        <f>B240</f>
        <v>0</v>
      </c>
      <c r="H240" s="996">
        <f>'Drop Box Price Out'!D82</f>
        <v>0</v>
      </c>
      <c r="I240" s="979">
        <f>B240*H240/12</f>
        <v>0</v>
      </c>
      <c r="J240" s="1144">
        <f>I240*12</f>
        <v>0</v>
      </c>
      <c r="K240" s="979">
        <f>J240*$K$4</f>
        <v>0</v>
      </c>
      <c r="L240" s="997">
        <v>0</v>
      </c>
      <c r="M240" s="1149" t="e">
        <f>L240*$O$4</f>
        <v>#VALUE!</v>
      </c>
      <c r="N240" s="980">
        <f>ROUND(((C240*L240)/2000),2)</f>
        <v>0</v>
      </c>
      <c r="O240" s="981" t="e">
        <f>$O$4*N240</f>
        <v>#VALUE!</v>
      </c>
      <c r="P240" s="959"/>
      <c r="Q240" s="998">
        <v>0</v>
      </c>
      <c r="R240" s="981"/>
      <c r="S240" s="981"/>
      <c r="T240" s="984">
        <f>C240*Q240/3600</f>
        <v>0</v>
      </c>
      <c r="U240" s="984" t="e">
        <f>($T$4-$T$5)*O240/($O$5-$O$6-$O$7)</f>
        <v>#VALUE!</v>
      </c>
      <c r="V240" s="984" t="e">
        <f>+U240+T240</f>
        <v>#VALUE!</v>
      </c>
      <c r="W240" s="959"/>
      <c r="X240" s="1151" t="e">
        <f t="shared" si="301"/>
        <v>#VALUE!</v>
      </c>
      <c r="Y240" s="977">
        <f>($Y$4*(I240)/(($I$6)+$I$7+$I$8+$I$9))</f>
        <v>0</v>
      </c>
      <c r="Z240" s="977"/>
      <c r="AA240" s="977" t="e">
        <f>+AA$4/(V$8+(V$9))*V240</f>
        <v>#VALUE!</v>
      </c>
      <c r="AB240" s="977" t="e">
        <f>$AB$4*V240/($V$4+$T$4)</f>
        <v>#VALUE!</v>
      </c>
      <c r="AC240" s="977" t="e">
        <f>$AC$4*V240/($V$4+$T$4)</f>
        <v>#VALUE!</v>
      </c>
      <c r="AD240" s="977" t="e">
        <f>$AD$4*V240/($V$4+$T$4)</f>
        <v>#VALUE!</v>
      </c>
      <c r="AE240" s="979" t="e">
        <f t="shared" si="302"/>
        <v>#VALUE!</v>
      </c>
      <c r="AF240" s="892"/>
      <c r="AG240" s="892"/>
      <c r="AH240" s="977">
        <f>($AH$4*G240)/$G$8</f>
        <v>0</v>
      </c>
      <c r="AI240" s="977" t="e">
        <f t="shared" si="320"/>
        <v>#VALUE!</v>
      </c>
      <c r="AJ240" s="985" t="e">
        <f>SUM(X240:AI240)</f>
        <v>#VALUE!</v>
      </c>
      <c r="AK240" s="977">
        <f>($AK$4*F240/($F$5))</f>
        <v>0</v>
      </c>
      <c r="AL240" s="977"/>
      <c r="AM240" s="977" t="e">
        <f>$AM$4*(K240+X240)/($K$5+$X$5)</f>
        <v>#VALUE!</v>
      </c>
      <c r="AN240" s="977" t="e">
        <f>$AN$4*(K240+X240)/($K$5+$X$5)</f>
        <v>#VALUE!</v>
      </c>
      <c r="AO240" s="977" t="e">
        <f>$AO$4*(K240+X240)/($K$5+$X$5)</f>
        <v>#VALUE!</v>
      </c>
      <c r="AP240" s="986" t="e">
        <f>SUM(AJ240:AO240)</f>
        <v>#VALUE!</v>
      </c>
      <c r="AQ240" s="959"/>
      <c r="AR240" s="983">
        <f>IF(ISERROR(AP240/C240), 0,(AP240/C240))</f>
        <v>0</v>
      </c>
      <c r="AS240" s="959"/>
      <c r="AT240" s="987">
        <f>AR240/$AT$4</f>
        <v>0</v>
      </c>
      <c r="AU240" s="988">
        <f>+AT240*C240</f>
        <v>0</v>
      </c>
      <c r="AV240" s="989" t="str">
        <f>IF(AT240=0,"",(+AT240-AW240)/AW240)</f>
        <v/>
      </c>
      <c r="AW240" s="990">
        <f>H240</f>
        <v>0</v>
      </c>
      <c r="AX240" s="991">
        <f>+AW240*C240</f>
        <v>0</v>
      </c>
      <c r="AY240" s="992">
        <f>VLOOKUP(A240,'Drop Box Price Out'!$A$13:$G$93,7,FALSE)</f>
        <v>0</v>
      </c>
      <c r="AZ240" s="993">
        <f>+AY240*C240</f>
        <v>0</v>
      </c>
      <c r="BA240" s="994" t="str">
        <f>IF(AW240=0,"",(+AY240-AW240)/AW240)</f>
        <v/>
      </c>
      <c r="BC240" s="1158">
        <f>+AU240-AX240</f>
        <v>0</v>
      </c>
      <c r="BD240" s="1158">
        <f>+AU240-AZ240</f>
        <v>0</v>
      </c>
    </row>
    <row r="241" spans="1:56">
      <c r="A241" s="975" t="str">
        <f>'Drop Box Price Out'!A83</f>
        <v>20 yd Rent</v>
      </c>
      <c r="B241" s="995">
        <f>'Drop Box Price Out'!B83</f>
        <v>17.038952164009114</v>
      </c>
      <c r="C241" s="977">
        <f t="shared" si="307"/>
        <v>18.073426987332617</v>
      </c>
      <c r="D241" s="1130"/>
      <c r="E241" s="977">
        <v>1</v>
      </c>
      <c r="F241" s="977"/>
      <c r="G241" s="979">
        <f t="shared" si="333"/>
        <v>17.038952164009114</v>
      </c>
      <c r="H241" s="996">
        <f>'Drop Box Price Out'!D83</f>
        <v>43.9</v>
      </c>
      <c r="I241" s="979">
        <f t="shared" si="308"/>
        <v>62.334166666666675</v>
      </c>
      <c r="J241" s="1144">
        <f t="shared" si="309"/>
        <v>748.0100000000001</v>
      </c>
      <c r="K241" s="979">
        <f t="shared" si="310"/>
        <v>793.42344474390188</v>
      </c>
      <c r="L241" s="997">
        <v>0</v>
      </c>
      <c r="M241" s="1149" t="e">
        <f t="shared" si="334"/>
        <v>#VALUE!</v>
      </c>
      <c r="N241" s="980">
        <f t="shared" si="335"/>
        <v>0</v>
      </c>
      <c r="O241" s="981" t="e">
        <f t="shared" si="336"/>
        <v>#VALUE!</v>
      </c>
      <c r="P241" s="959"/>
      <c r="Q241" s="998">
        <v>0</v>
      </c>
      <c r="R241" s="981"/>
      <c r="S241" s="981"/>
      <c r="T241" s="984">
        <f t="shared" si="311"/>
        <v>0</v>
      </c>
      <c r="U241" s="984" t="e">
        <f t="shared" si="312"/>
        <v>#VALUE!</v>
      </c>
      <c r="V241" s="984" t="e">
        <f t="shared" si="313"/>
        <v>#VALUE!</v>
      </c>
      <c r="W241" s="959"/>
      <c r="X241" s="1151" t="e">
        <f t="shared" si="301"/>
        <v>#VALUE!</v>
      </c>
      <c r="Y241" s="977">
        <f t="shared" si="314"/>
        <v>89.324570208157382</v>
      </c>
      <c r="Z241" s="977"/>
      <c r="AA241" s="977" t="e">
        <f t="shared" si="315"/>
        <v>#VALUE!</v>
      </c>
      <c r="AB241" s="977" t="e">
        <f t="shared" si="316"/>
        <v>#VALUE!</v>
      </c>
      <c r="AC241" s="977" t="e">
        <f t="shared" si="317"/>
        <v>#VALUE!</v>
      </c>
      <c r="AD241" s="977" t="e">
        <f t="shared" si="318"/>
        <v>#VALUE!</v>
      </c>
      <c r="AE241" s="979" t="e">
        <f t="shared" si="302"/>
        <v>#VALUE!</v>
      </c>
      <c r="AF241" s="892"/>
      <c r="AG241" s="892"/>
      <c r="AH241" s="977">
        <f t="shared" si="319"/>
        <v>117.18328981116694</v>
      </c>
      <c r="AI241" s="977" t="e">
        <f t="shared" si="320"/>
        <v>#VALUE!</v>
      </c>
      <c r="AJ241" s="985" t="e">
        <f t="shared" si="321"/>
        <v>#VALUE!</v>
      </c>
      <c r="AK241" s="977">
        <f t="shared" si="322"/>
        <v>0</v>
      </c>
      <c r="AL241" s="977"/>
      <c r="AM241" s="977" t="e">
        <f t="shared" si="323"/>
        <v>#VALUE!</v>
      </c>
      <c r="AN241" s="977" t="e">
        <f t="shared" si="324"/>
        <v>#VALUE!</v>
      </c>
      <c r="AO241" s="977" t="e">
        <f t="shared" si="325"/>
        <v>#VALUE!</v>
      </c>
      <c r="AP241" s="986" t="e">
        <f t="shared" si="326"/>
        <v>#VALUE!</v>
      </c>
      <c r="AQ241" s="959"/>
      <c r="AR241" s="983">
        <f t="shared" si="327"/>
        <v>0</v>
      </c>
      <c r="AS241" s="959"/>
      <c r="AT241" s="987">
        <f t="shared" si="328"/>
        <v>0</v>
      </c>
      <c r="AU241" s="988">
        <f t="shared" si="329"/>
        <v>0</v>
      </c>
      <c r="AV241" s="989" t="str">
        <f t="shared" si="303"/>
        <v/>
      </c>
      <c r="AW241" s="990">
        <f t="shared" si="330"/>
        <v>43.9</v>
      </c>
      <c r="AX241" s="991">
        <f t="shared" si="331"/>
        <v>793.42344474390188</v>
      </c>
      <c r="AY241" s="992">
        <f>VLOOKUP(A241,'Drop Box Price Out'!$A$13:$G$93,7,FALSE)</f>
        <v>46.150000000000006</v>
      </c>
      <c r="AZ241" s="993">
        <f t="shared" si="332"/>
        <v>834.08865546540039</v>
      </c>
      <c r="BA241" s="994">
        <f t="shared" si="304"/>
        <v>5.1252847380410187E-2</v>
      </c>
      <c r="BC241" s="1158">
        <f t="shared" si="305"/>
        <v>-793.42344474390188</v>
      </c>
      <c r="BD241" s="1158">
        <f t="shared" si="306"/>
        <v>-834.08865546540039</v>
      </c>
    </row>
    <row r="242" spans="1:56">
      <c r="A242" s="975" t="str">
        <f>'Drop Box Price Out'!A84</f>
        <v>25 yd Rent</v>
      </c>
      <c r="B242" s="995">
        <f>'Drop Box Price Out'!B84</f>
        <v>22.459547585082539</v>
      </c>
      <c r="C242" s="977">
        <f t="shared" si="307"/>
        <v>23.823119493517158</v>
      </c>
      <c r="D242" s="1130"/>
      <c r="E242" s="977">
        <v>1</v>
      </c>
      <c r="F242" s="977"/>
      <c r="G242" s="979">
        <f t="shared" si="333"/>
        <v>22.459547585082539</v>
      </c>
      <c r="H242" s="996">
        <f>'Drop Box Price Out'!D84</f>
        <v>49.07</v>
      </c>
      <c r="I242" s="979">
        <f t="shared" si="308"/>
        <v>91.84083333333335</v>
      </c>
      <c r="J242" s="1144">
        <f t="shared" si="309"/>
        <v>1102.0900000000001</v>
      </c>
      <c r="K242" s="979">
        <f t="shared" si="310"/>
        <v>1169.000473546887</v>
      </c>
      <c r="L242" s="997">
        <v>0</v>
      </c>
      <c r="M242" s="1149" t="e">
        <f t="shared" si="334"/>
        <v>#VALUE!</v>
      </c>
      <c r="N242" s="980">
        <f t="shared" si="335"/>
        <v>0</v>
      </c>
      <c r="O242" s="981" t="e">
        <f t="shared" si="336"/>
        <v>#VALUE!</v>
      </c>
      <c r="P242" s="959"/>
      <c r="Q242" s="998">
        <v>0</v>
      </c>
      <c r="R242" s="981"/>
      <c r="S242" s="981"/>
      <c r="T242" s="984">
        <f t="shared" si="311"/>
        <v>0</v>
      </c>
      <c r="U242" s="984" t="e">
        <f t="shared" si="312"/>
        <v>#VALUE!</v>
      </c>
      <c r="V242" s="984" t="e">
        <f t="shared" si="313"/>
        <v>#VALUE!</v>
      </c>
      <c r="W242" s="959"/>
      <c r="X242" s="1151" t="e">
        <f t="shared" si="301"/>
        <v>#VALUE!</v>
      </c>
      <c r="Y242" s="977">
        <f t="shared" si="314"/>
        <v>131.60748597038565</v>
      </c>
      <c r="Z242" s="977"/>
      <c r="AA242" s="977" t="e">
        <f t="shared" si="315"/>
        <v>#VALUE!</v>
      </c>
      <c r="AB242" s="977" t="e">
        <f t="shared" si="316"/>
        <v>#VALUE!</v>
      </c>
      <c r="AC242" s="977" t="e">
        <f t="shared" si="317"/>
        <v>#VALUE!</v>
      </c>
      <c r="AD242" s="977" t="e">
        <f t="shared" si="318"/>
        <v>#VALUE!</v>
      </c>
      <c r="AE242" s="979" t="e">
        <f t="shared" si="302"/>
        <v>#VALUE!</v>
      </c>
      <c r="AF242" s="892"/>
      <c r="AG242" s="892"/>
      <c r="AH242" s="977">
        <f t="shared" si="319"/>
        <v>154.46276557132859</v>
      </c>
      <c r="AI242" s="977" t="e">
        <f t="shared" si="320"/>
        <v>#VALUE!</v>
      </c>
      <c r="AJ242" s="985" t="e">
        <f t="shared" si="321"/>
        <v>#VALUE!</v>
      </c>
      <c r="AK242" s="977">
        <f t="shared" si="322"/>
        <v>0</v>
      </c>
      <c r="AL242" s="977"/>
      <c r="AM242" s="977" t="e">
        <f t="shared" si="323"/>
        <v>#VALUE!</v>
      </c>
      <c r="AN242" s="977" t="e">
        <f t="shared" si="324"/>
        <v>#VALUE!</v>
      </c>
      <c r="AO242" s="977" t="e">
        <f t="shared" si="325"/>
        <v>#VALUE!</v>
      </c>
      <c r="AP242" s="986" t="e">
        <f t="shared" si="326"/>
        <v>#VALUE!</v>
      </c>
      <c r="AQ242" s="959"/>
      <c r="AR242" s="983">
        <f t="shared" si="327"/>
        <v>0</v>
      </c>
      <c r="AS242" s="959"/>
      <c r="AT242" s="987">
        <f t="shared" si="328"/>
        <v>0</v>
      </c>
      <c r="AU242" s="988">
        <f t="shared" si="329"/>
        <v>0</v>
      </c>
      <c r="AV242" s="989" t="str">
        <f t="shared" si="303"/>
        <v/>
      </c>
      <c r="AW242" s="990">
        <f t="shared" si="330"/>
        <v>49.07</v>
      </c>
      <c r="AX242" s="991">
        <f t="shared" si="331"/>
        <v>1169.000473546887</v>
      </c>
      <c r="AY242" s="992">
        <f>VLOOKUP(A242,'Drop Box Price Out'!$A$13:$G$93,7,FALSE)</f>
        <v>51.6</v>
      </c>
      <c r="AZ242" s="993">
        <f t="shared" si="332"/>
        <v>1229.2729658654853</v>
      </c>
      <c r="BA242" s="994">
        <f t="shared" si="304"/>
        <v>5.155899735072348E-2</v>
      </c>
      <c r="BC242" s="1158">
        <f t="shared" si="305"/>
        <v>-1169.000473546887</v>
      </c>
      <c r="BD242" s="1158">
        <f t="shared" si="306"/>
        <v>-1229.2729658654853</v>
      </c>
    </row>
    <row r="243" spans="1:56">
      <c r="A243" s="975" t="str">
        <f>'Drop Box Price Out'!A85</f>
        <v>30 yd Rent</v>
      </c>
      <c r="B243" s="995">
        <f>'Drop Box Price Out'!B85</f>
        <v>18.746464646464645</v>
      </c>
      <c r="C243" s="977">
        <f t="shared" si="307"/>
        <v>19.884606564842382</v>
      </c>
      <c r="D243" s="1130"/>
      <c r="E243" s="977">
        <v>1</v>
      </c>
      <c r="F243" s="977"/>
      <c r="G243" s="979">
        <f t="shared" si="333"/>
        <v>18.746464646464645</v>
      </c>
      <c r="H243" s="996">
        <f>'Drop Box Price Out'!D85</f>
        <v>59.4</v>
      </c>
      <c r="I243" s="979">
        <f t="shared" si="308"/>
        <v>92.795000000000002</v>
      </c>
      <c r="J243" s="1144">
        <f t="shared" si="309"/>
        <v>1113.54</v>
      </c>
      <c r="K243" s="979">
        <f t="shared" si="310"/>
        <v>1181.1456299516376</v>
      </c>
      <c r="L243" s="997">
        <v>0</v>
      </c>
      <c r="M243" s="1149" t="e">
        <f t="shared" si="334"/>
        <v>#VALUE!</v>
      </c>
      <c r="N243" s="980">
        <f t="shared" si="335"/>
        <v>0</v>
      </c>
      <c r="O243" s="981" t="e">
        <f t="shared" si="336"/>
        <v>#VALUE!</v>
      </c>
      <c r="P243" s="959"/>
      <c r="Q243" s="998">
        <v>0</v>
      </c>
      <c r="R243" s="981"/>
      <c r="S243" s="981"/>
      <c r="T243" s="984">
        <f t="shared" si="311"/>
        <v>0</v>
      </c>
      <c r="U243" s="984" t="e">
        <f t="shared" si="312"/>
        <v>#VALUE!</v>
      </c>
      <c r="V243" s="984" t="e">
        <f t="shared" si="313"/>
        <v>#VALUE!</v>
      </c>
      <c r="W243" s="959"/>
      <c r="X243" s="1151" t="e">
        <f t="shared" si="301"/>
        <v>#VALUE!</v>
      </c>
      <c r="Y243" s="977">
        <f t="shared" si="314"/>
        <v>132.97480235503744</v>
      </c>
      <c r="Z243" s="977"/>
      <c r="AA243" s="977" t="e">
        <f t="shared" si="315"/>
        <v>#VALUE!</v>
      </c>
      <c r="AB243" s="977" t="e">
        <f t="shared" si="316"/>
        <v>#VALUE!</v>
      </c>
      <c r="AC243" s="977" t="e">
        <f t="shared" si="317"/>
        <v>#VALUE!</v>
      </c>
      <c r="AD243" s="977" t="e">
        <f t="shared" si="318"/>
        <v>#VALUE!</v>
      </c>
      <c r="AE243" s="979" t="e">
        <f t="shared" si="302"/>
        <v>#VALUE!</v>
      </c>
      <c r="AF243" s="892"/>
      <c r="AG243" s="892"/>
      <c r="AH243" s="977">
        <f t="shared" si="319"/>
        <v>128.92649609297223</v>
      </c>
      <c r="AI243" s="977" t="e">
        <f t="shared" si="320"/>
        <v>#VALUE!</v>
      </c>
      <c r="AJ243" s="985" t="e">
        <f t="shared" si="321"/>
        <v>#VALUE!</v>
      </c>
      <c r="AK243" s="977">
        <f t="shared" si="322"/>
        <v>0</v>
      </c>
      <c r="AL243" s="977"/>
      <c r="AM243" s="977" t="e">
        <f t="shared" si="323"/>
        <v>#VALUE!</v>
      </c>
      <c r="AN243" s="977" t="e">
        <f t="shared" si="324"/>
        <v>#VALUE!</v>
      </c>
      <c r="AO243" s="977" t="e">
        <f t="shared" si="325"/>
        <v>#VALUE!</v>
      </c>
      <c r="AP243" s="986" t="e">
        <f t="shared" si="326"/>
        <v>#VALUE!</v>
      </c>
      <c r="AQ243" s="959"/>
      <c r="AR243" s="983">
        <f t="shared" si="327"/>
        <v>0</v>
      </c>
      <c r="AS243" s="959"/>
      <c r="AT243" s="987">
        <f t="shared" si="328"/>
        <v>0</v>
      </c>
      <c r="AU243" s="988">
        <f t="shared" si="329"/>
        <v>0</v>
      </c>
      <c r="AV243" s="989" t="str">
        <f t="shared" si="303"/>
        <v/>
      </c>
      <c r="AW243" s="990">
        <f t="shared" si="330"/>
        <v>59.4</v>
      </c>
      <c r="AX243" s="991">
        <f t="shared" si="331"/>
        <v>1181.1456299516374</v>
      </c>
      <c r="AY243" s="992">
        <f>VLOOKUP(A243,'Drop Box Price Out'!$A$13:$G$93,7,FALSE)</f>
        <v>62.45</v>
      </c>
      <c r="AZ243" s="993">
        <f t="shared" si="332"/>
        <v>1241.7936799744068</v>
      </c>
      <c r="BA243" s="994">
        <f t="shared" si="304"/>
        <v>5.1346801346801418E-2</v>
      </c>
      <c r="BC243" s="1158">
        <f t="shared" si="305"/>
        <v>-1181.1456299516374</v>
      </c>
      <c r="BD243" s="1158">
        <f t="shared" si="306"/>
        <v>-1241.7936799744068</v>
      </c>
    </row>
    <row r="244" spans="1:56">
      <c r="A244" s="975" t="str">
        <f>'Drop Box Price Out'!A86</f>
        <v>35 yd Rent</v>
      </c>
      <c r="B244" s="995">
        <f>'Drop Box Price Out'!B86</f>
        <v>0</v>
      </c>
      <c r="C244" s="977">
        <f t="shared" si="307"/>
        <v>0</v>
      </c>
      <c r="D244" s="1130"/>
      <c r="E244" s="977">
        <v>1</v>
      </c>
      <c r="F244" s="977"/>
      <c r="G244" s="979">
        <f t="shared" si="333"/>
        <v>0</v>
      </c>
      <c r="H244" s="996">
        <f>'Drop Box Price Out'!D86</f>
        <v>0</v>
      </c>
      <c r="I244" s="979">
        <f t="shared" si="308"/>
        <v>0</v>
      </c>
      <c r="J244" s="1144">
        <f t="shared" si="309"/>
        <v>0</v>
      </c>
      <c r="K244" s="979">
        <f t="shared" si="310"/>
        <v>0</v>
      </c>
      <c r="L244" s="997">
        <v>0</v>
      </c>
      <c r="M244" s="1149" t="e">
        <f t="shared" si="334"/>
        <v>#VALUE!</v>
      </c>
      <c r="N244" s="980">
        <f t="shared" si="335"/>
        <v>0</v>
      </c>
      <c r="O244" s="981" t="e">
        <f t="shared" si="336"/>
        <v>#VALUE!</v>
      </c>
      <c r="P244" s="959"/>
      <c r="Q244" s="998">
        <v>0</v>
      </c>
      <c r="R244" s="981"/>
      <c r="S244" s="981"/>
      <c r="T244" s="984">
        <f t="shared" si="311"/>
        <v>0</v>
      </c>
      <c r="U244" s="984" t="e">
        <f t="shared" si="312"/>
        <v>#VALUE!</v>
      </c>
      <c r="V244" s="984" t="e">
        <f t="shared" si="313"/>
        <v>#VALUE!</v>
      </c>
      <c r="W244" s="959"/>
      <c r="X244" s="1151" t="e">
        <f t="shared" si="301"/>
        <v>#VALUE!</v>
      </c>
      <c r="Y244" s="977">
        <f t="shared" si="314"/>
        <v>0</v>
      </c>
      <c r="Z244" s="977"/>
      <c r="AA244" s="977" t="e">
        <f t="shared" si="315"/>
        <v>#VALUE!</v>
      </c>
      <c r="AB244" s="977" t="e">
        <f t="shared" si="316"/>
        <v>#VALUE!</v>
      </c>
      <c r="AC244" s="977" t="e">
        <f t="shared" si="317"/>
        <v>#VALUE!</v>
      </c>
      <c r="AD244" s="977" t="e">
        <f t="shared" si="318"/>
        <v>#VALUE!</v>
      </c>
      <c r="AE244" s="979" t="e">
        <f t="shared" si="302"/>
        <v>#VALUE!</v>
      </c>
      <c r="AF244" s="892"/>
      <c r="AG244" s="892"/>
      <c r="AH244" s="977">
        <f t="shared" si="319"/>
        <v>0</v>
      </c>
      <c r="AI244" s="977" t="e">
        <f t="shared" si="320"/>
        <v>#VALUE!</v>
      </c>
      <c r="AJ244" s="985" t="e">
        <f t="shared" si="321"/>
        <v>#VALUE!</v>
      </c>
      <c r="AK244" s="977">
        <f t="shared" si="322"/>
        <v>0</v>
      </c>
      <c r="AL244" s="977"/>
      <c r="AM244" s="977" t="e">
        <f t="shared" si="323"/>
        <v>#VALUE!</v>
      </c>
      <c r="AN244" s="977" t="e">
        <f t="shared" si="324"/>
        <v>#VALUE!</v>
      </c>
      <c r="AO244" s="977" t="e">
        <f t="shared" si="325"/>
        <v>#VALUE!</v>
      </c>
      <c r="AP244" s="986" t="e">
        <f t="shared" si="326"/>
        <v>#VALUE!</v>
      </c>
      <c r="AQ244" s="959"/>
      <c r="AR244" s="983">
        <f t="shared" si="327"/>
        <v>0</v>
      </c>
      <c r="AS244" s="959"/>
      <c r="AT244" s="987">
        <f t="shared" si="328"/>
        <v>0</v>
      </c>
      <c r="AU244" s="988">
        <f t="shared" si="329"/>
        <v>0</v>
      </c>
      <c r="AV244" s="989" t="str">
        <f t="shared" si="303"/>
        <v/>
      </c>
      <c r="AW244" s="990">
        <f t="shared" si="330"/>
        <v>0</v>
      </c>
      <c r="AX244" s="991">
        <f t="shared" si="331"/>
        <v>0</v>
      </c>
      <c r="AY244" s="992">
        <f>VLOOKUP(A244,'Drop Box Price Out'!$A$13:$G$93,7,FALSE)</f>
        <v>0</v>
      </c>
      <c r="AZ244" s="993">
        <f t="shared" si="332"/>
        <v>0</v>
      </c>
      <c r="BA244" s="994" t="str">
        <f t="shared" si="304"/>
        <v/>
      </c>
      <c r="BC244" s="1158">
        <f t="shared" si="305"/>
        <v>0</v>
      </c>
      <c r="BD244" s="1158">
        <f t="shared" si="306"/>
        <v>0</v>
      </c>
    </row>
    <row r="245" spans="1:56">
      <c r="A245" s="975" t="str">
        <f>'Drop Box Price Out'!A87</f>
        <v>40 yd Rent</v>
      </c>
      <c r="B245" s="995">
        <f>'Drop Box Price Out'!B87</f>
        <v>90.264161766814851</v>
      </c>
      <c r="C245" s="977">
        <f t="shared" si="307"/>
        <v>95.744311126785789</v>
      </c>
      <c r="D245" s="1130"/>
      <c r="E245" s="977">
        <v>1</v>
      </c>
      <c r="F245" s="977"/>
      <c r="G245" s="979">
        <f t="shared" si="333"/>
        <v>90.264161766814851</v>
      </c>
      <c r="H245" s="996">
        <f>'Drop Box Price Out'!D87</f>
        <v>69.73</v>
      </c>
      <c r="I245" s="979">
        <f t="shared" si="308"/>
        <v>524.51</v>
      </c>
      <c r="J245" s="1144">
        <f t="shared" si="309"/>
        <v>6294.12</v>
      </c>
      <c r="K245" s="979">
        <f t="shared" si="310"/>
        <v>6676.2508148707739</v>
      </c>
      <c r="L245" s="997">
        <v>0</v>
      </c>
      <c r="M245" s="1149" t="e">
        <f t="shared" si="334"/>
        <v>#VALUE!</v>
      </c>
      <c r="N245" s="980">
        <f t="shared" si="335"/>
        <v>0</v>
      </c>
      <c r="O245" s="981" t="e">
        <f t="shared" si="336"/>
        <v>#VALUE!</v>
      </c>
      <c r="P245" s="959"/>
      <c r="Q245" s="998">
        <v>0</v>
      </c>
      <c r="R245" s="981"/>
      <c r="S245" s="981"/>
      <c r="T245" s="984">
        <f t="shared" si="311"/>
        <v>0</v>
      </c>
      <c r="U245" s="984" t="e">
        <f t="shared" si="312"/>
        <v>#VALUE!</v>
      </c>
      <c r="V245" s="984" t="e">
        <f t="shared" si="313"/>
        <v>#VALUE!</v>
      </c>
      <c r="W245" s="959"/>
      <c r="X245" s="1151" t="e">
        <f t="shared" si="301"/>
        <v>#VALUE!</v>
      </c>
      <c r="Y245" s="977">
        <f t="shared" si="314"/>
        <v>751.62038453839841</v>
      </c>
      <c r="Z245" s="977"/>
      <c r="AA245" s="977" t="e">
        <f t="shared" si="315"/>
        <v>#VALUE!</v>
      </c>
      <c r="AB245" s="977" t="e">
        <f t="shared" si="316"/>
        <v>#VALUE!</v>
      </c>
      <c r="AC245" s="977" t="e">
        <f t="shared" si="317"/>
        <v>#VALUE!</v>
      </c>
      <c r="AD245" s="977" t="e">
        <f t="shared" si="318"/>
        <v>#VALUE!</v>
      </c>
      <c r="AE245" s="979" t="e">
        <f t="shared" si="302"/>
        <v>#VALUE!</v>
      </c>
      <c r="AF245" s="892"/>
      <c r="AG245" s="892"/>
      <c r="AH245" s="977">
        <f t="shared" si="319"/>
        <v>620.78062817883631</v>
      </c>
      <c r="AI245" s="977" t="e">
        <f t="shared" si="320"/>
        <v>#VALUE!</v>
      </c>
      <c r="AJ245" s="985" t="e">
        <f t="shared" si="321"/>
        <v>#VALUE!</v>
      </c>
      <c r="AK245" s="977">
        <f t="shared" si="322"/>
        <v>0</v>
      </c>
      <c r="AL245" s="977"/>
      <c r="AM245" s="977" t="e">
        <f t="shared" si="323"/>
        <v>#VALUE!</v>
      </c>
      <c r="AN245" s="977" t="e">
        <f t="shared" si="324"/>
        <v>#VALUE!</v>
      </c>
      <c r="AO245" s="977" t="e">
        <f t="shared" si="325"/>
        <v>#VALUE!</v>
      </c>
      <c r="AP245" s="986" t="e">
        <f t="shared" si="326"/>
        <v>#VALUE!</v>
      </c>
      <c r="AQ245" s="959"/>
      <c r="AR245" s="983">
        <f t="shared" si="327"/>
        <v>0</v>
      </c>
      <c r="AS245" s="959"/>
      <c r="AT245" s="987">
        <f t="shared" si="328"/>
        <v>0</v>
      </c>
      <c r="AU245" s="988">
        <f t="shared" si="329"/>
        <v>0</v>
      </c>
      <c r="AV245" s="989" t="str">
        <f t="shared" si="303"/>
        <v/>
      </c>
      <c r="AW245" s="990">
        <f t="shared" si="330"/>
        <v>69.73</v>
      </c>
      <c r="AX245" s="991">
        <f t="shared" si="331"/>
        <v>6676.2508148707739</v>
      </c>
      <c r="AY245" s="992">
        <f>VLOOKUP(A245,'Drop Box Price Out'!$A$13:$G$93,7,FALSE)</f>
        <v>73.3</v>
      </c>
      <c r="AZ245" s="993">
        <f t="shared" si="332"/>
        <v>7018.0580055933979</v>
      </c>
      <c r="BA245" s="994">
        <f t="shared" si="304"/>
        <v>5.1197475978775178E-2</v>
      </c>
      <c r="BC245" s="1158">
        <f t="shared" si="305"/>
        <v>-6676.2508148707739</v>
      </c>
      <c r="BD245" s="1158">
        <f t="shared" si="306"/>
        <v>-7018.0580055933979</v>
      </c>
    </row>
    <row r="246" spans="1:56">
      <c r="A246" s="975" t="str">
        <f>'Drop Box Price Out'!A88</f>
        <v>45 yd Rent</v>
      </c>
      <c r="B246" s="995">
        <f>'Drop Box Price Out'!B88</f>
        <v>0</v>
      </c>
      <c r="C246" s="977">
        <f t="shared" si="307"/>
        <v>0</v>
      </c>
      <c r="D246" s="1130"/>
      <c r="E246" s="977">
        <v>1</v>
      </c>
      <c r="F246" s="977"/>
      <c r="G246" s="979">
        <f t="shared" si="333"/>
        <v>0</v>
      </c>
      <c r="H246" s="996">
        <f>'Drop Box Price Out'!D88</f>
        <v>0</v>
      </c>
      <c r="I246" s="979">
        <f t="shared" si="308"/>
        <v>0</v>
      </c>
      <c r="J246" s="1144">
        <f t="shared" si="309"/>
        <v>0</v>
      </c>
      <c r="K246" s="979">
        <f t="shared" si="310"/>
        <v>0</v>
      </c>
      <c r="L246" s="997">
        <v>0</v>
      </c>
      <c r="M246" s="1149" t="e">
        <f t="shared" si="334"/>
        <v>#VALUE!</v>
      </c>
      <c r="N246" s="980">
        <f t="shared" si="335"/>
        <v>0</v>
      </c>
      <c r="O246" s="981" t="e">
        <f t="shared" si="336"/>
        <v>#VALUE!</v>
      </c>
      <c r="P246" s="959"/>
      <c r="Q246" s="998">
        <v>0</v>
      </c>
      <c r="R246" s="981"/>
      <c r="S246" s="981"/>
      <c r="T246" s="984">
        <f t="shared" si="311"/>
        <v>0</v>
      </c>
      <c r="U246" s="984" t="e">
        <f t="shared" si="312"/>
        <v>#VALUE!</v>
      </c>
      <c r="V246" s="984" t="e">
        <f t="shared" si="313"/>
        <v>#VALUE!</v>
      </c>
      <c r="W246" s="959"/>
      <c r="X246" s="1151" t="e">
        <f t="shared" si="301"/>
        <v>#VALUE!</v>
      </c>
      <c r="Y246" s="977">
        <f t="shared" si="314"/>
        <v>0</v>
      </c>
      <c r="Z246" s="977"/>
      <c r="AA246" s="977" t="e">
        <f t="shared" si="315"/>
        <v>#VALUE!</v>
      </c>
      <c r="AB246" s="977" t="e">
        <f t="shared" si="316"/>
        <v>#VALUE!</v>
      </c>
      <c r="AC246" s="977" t="e">
        <f t="shared" si="317"/>
        <v>#VALUE!</v>
      </c>
      <c r="AD246" s="977" t="e">
        <f t="shared" si="318"/>
        <v>#VALUE!</v>
      </c>
      <c r="AE246" s="979" t="e">
        <f t="shared" si="302"/>
        <v>#VALUE!</v>
      </c>
      <c r="AF246" s="892"/>
      <c r="AG246" s="892"/>
      <c r="AH246" s="977">
        <f t="shared" si="319"/>
        <v>0</v>
      </c>
      <c r="AI246" s="977" t="e">
        <f t="shared" si="320"/>
        <v>#VALUE!</v>
      </c>
      <c r="AJ246" s="985" t="e">
        <f t="shared" si="321"/>
        <v>#VALUE!</v>
      </c>
      <c r="AK246" s="977">
        <f t="shared" si="322"/>
        <v>0</v>
      </c>
      <c r="AL246" s="977"/>
      <c r="AM246" s="977" t="e">
        <f t="shared" si="323"/>
        <v>#VALUE!</v>
      </c>
      <c r="AN246" s="977" t="e">
        <f t="shared" si="324"/>
        <v>#VALUE!</v>
      </c>
      <c r="AO246" s="977" t="e">
        <f t="shared" si="325"/>
        <v>#VALUE!</v>
      </c>
      <c r="AP246" s="986" t="e">
        <f t="shared" si="326"/>
        <v>#VALUE!</v>
      </c>
      <c r="AQ246" s="959"/>
      <c r="AR246" s="983">
        <f t="shared" si="327"/>
        <v>0</v>
      </c>
      <c r="AS246" s="959"/>
      <c r="AT246" s="987">
        <f t="shared" si="328"/>
        <v>0</v>
      </c>
      <c r="AU246" s="988">
        <f t="shared" si="329"/>
        <v>0</v>
      </c>
      <c r="AV246" s="989" t="str">
        <f t="shared" si="303"/>
        <v/>
      </c>
      <c r="AW246" s="990">
        <f t="shared" si="330"/>
        <v>0</v>
      </c>
      <c r="AX246" s="991">
        <f t="shared" si="331"/>
        <v>0</v>
      </c>
      <c r="AY246" s="992">
        <f>VLOOKUP(A246,'Drop Box Price Out'!$A$13:$G$93,7,FALSE)</f>
        <v>0</v>
      </c>
      <c r="AZ246" s="993">
        <f t="shared" si="332"/>
        <v>0</v>
      </c>
      <c r="BA246" s="994" t="str">
        <f t="shared" si="304"/>
        <v/>
      </c>
      <c r="BC246" s="1158">
        <f t="shared" si="305"/>
        <v>0</v>
      </c>
      <c r="BD246" s="1158">
        <f t="shared" si="306"/>
        <v>0</v>
      </c>
    </row>
    <row r="247" spans="1:56">
      <c r="A247" s="975" t="str">
        <f>'Drop Box Price Out'!A89</f>
        <v>50 yd Rent</v>
      </c>
      <c r="B247" s="995">
        <f>'Drop Box Price Out'!B89</f>
        <v>0</v>
      </c>
      <c r="C247" s="977">
        <f t="shared" si="307"/>
        <v>0</v>
      </c>
      <c r="D247" s="1130"/>
      <c r="E247" s="977">
        <v>1</v>
      </c>
      <c r="F247" s="977"/>
      <c r="G247" s="979">
        <f t="shared" si="333"/>
        <v>0</v>
      </c>
      <c r="H247" s="996">
        <f>'Drop Box Price Out'!D89</f>
        <v>80.06</v>
      </c>
      <c r="I247" s="979">
        <f t="shared" si="308"/>
        <v>0</v>
      </c>
      <c r="J247" s="1144">
        <f t="shared" si="309"/>
        <v>0</v>
      </c>
      <c r="K247" s="979">
        <f t="shared" si="310"/>
        <v>0</v>
      </c>
      <c r="L247" s="997">
        <v>0</v>
      </c>
      <c r="M247" s="1149" t="e">
        <f t="shared" si="334"/>
        <v>#VALUE!</v>
      </c>
      <c r="N247" s="980">
        <f t="shared" si="335"/>
        <v>0</v>
      </c>
      <c r="O247" s="981" t="e">
        <f t="shared" si="336"/>
        <v>#VALUE!</v>
      </c>
      <c r="P247" s="959"/>
      <c r="Q247" s="998">
        <v>0</v>
      </c>
      <c r="R247" s="981"/>
      <c r="S247" s="981"/>
      <c r="T247" s="984">
        <f t="shared" si="311"/>
        <v>0</v>
      </c>
      <c r="U247" s="984" t="e">
        <f t="shared" si="312"/>
        <v>#VALUE!</v>
      </c>
      <c r="V247" s="984" t="e">
        <f t="shared" si="313"/>
        <v>#VALUE!</v>
      </c>
      <c r="W247" s="959"/>
      <c r="X247" s="1151" t="e">
        <f t="shared" si="301"/>
        <v>#VALUE!</v>
      </c>
      <c r="Y247" s="977">
        <f t="shared" si="314"/>
        <v>0</v>
      </c>
      <c r="Z247" s="977"/>
      <c r="AA247" s="977" t="e">
        <f t="shared" si="315"/>
        <v>#VALUE!</v>
      </c>
      <c r="AB247" s="977" t="e">
        <f t="shared" si="316"/>
        <v>#VALUE!</v>
      </c>
      <c r="AC247" s="977" t="e">
        <f t="shared" si="317"/>
        <v>#VALUE!</v>
      </c>
      <c r="AD247" s="977" t="e">
        <f t="shared" si="318"/>
        <v>#VALUE!</v>
      </c>
      <c r="AE247" s="979" t="e">
        <f t="shared" si="302"/>
        <v>#VALUE!</v>
      </c>
      <c r="AF247" s="892"/>
      <c r="AG247" s="892"/>
      <c r="AH247" s="977">
        <f t="shared" si="319"/>
        <v>0</v>
      </c>
      <c r="AI247" s="977" t="e">
        <f t="shared" si="320"/>
        <v>#VALUE!</v>
      </c>
      <c r="AJ247" s="985" t="e">
        <f t="shared" si="321"/>
        <v>#VALUE!</v>
      </c>
      <c r="AK247" s="977">
        <f t="shared" si="322"/>
        <v>0</v>
      </c>
      <c r="AL247" s="977"/>
      <c r="AM247" s="977" t="e">
        <f t="shared" si="323"/>
        <v>#VALUE!</v>
      </c>
      <c r="AN247" s="977" t="e">
        <f t="shared" si="324"/>
        <v>#VALUE!</v>
      </c>
      <c r="AO247" s="977" t="e">
        <f t="shared" si="325"/>
        <v>#VALUE!</v>
      </c>
      <c r="AP247" s="986" t="e">
        <f t="shared" si="326"/>
        <v>#VALUE!</v>
      </c>
      <c r="AQ247" s="959"/>
      <c r="AR247" s="983">
        <f t="shared" si="327"/>
        <v>0</v>
      </c>
      <c r="AS247" s="959"/>
      <c r="AT247" s="987">
        <f t="shared" si="328"/>
        <v>0</v>
      </c>
      <c r="AU247" s="988">
        <f t="shared" si="329"/>
        <v>0</v>
      </c>
      <c r="AV247" s="989" t="str">
        <f t="shared" si="303"/>
        <v/>
      </c>
      <c r="AW247" s="990">
        <f t="shared" si="330"/>
        <v>80.06</v>
      </c>
      <c r="AX247" s="991">
        <f t="shared" si="331"/>
        <v>0</v>
      </c>
      <c r="AY247" s="992">
        <f>VLOOKUP(A247,'Drop Box Price Out'!$A$13:$G$93,7,FALSE)</f>
        <v>84.15</v>
      </c>
      <c r="AZ247" s="993">
        <f t="shared" si="332"/>
        <v>0</v>
      </c>
      <c r="BA247" s="994">
        <f t="shared" si="304"/>
        <v>5.1086684986260344E-2</v>
      </c>
      <c r="BC247" s="1158">
        <f t="shared" si="305"/>
        <v>0</v>
      </c>
      <c r="BD247" s="1158">
        <f t="shared" si="306"/>
        <v>0</v>
      </c>
    </row>
    <row r="248" spans="1:56">
      <c r="A248" s="975" t="str">
        <f>'Drop Box Price Out'!A90</f>
        <v xml:space="preserve">  Rent (days)</v>
      </c>
      <c r="B248" s="995">
        <f>'Drop Box Price Out'!B90</f>
        <v>0</v>
      </c>
      <c r="C248" s="977">
        <f t="shared" si="307"/>
        <v>0</v>
      </c>
      <c r="D248" s="1130"/>
      <c r="E248" s="977">
        <v>1</v>
      </c>
      <c r="F248" s="977"/>
      <c r="G248" s="979"/>
      <c r="H248" s="996">
        <f>'Drop Box Price Out'!D90</f>
        <v>2.58</v>
      </c>
      <c r="I248" s="979">
        <f t="shared" si="308"/>
        <v>0</v>
      </c>
      <c r="J248" s="1144">
        <f t="shared" si="309"/>
        <v>0</v>
      </c>
      <c r="K248" s="979">
        <f t="shared" si="310"/>
        <v>0</v>
      </c>
      <c r="L248" s="997">
        <v>0</v>
      </c>
      <c r="M248" s="1149" t="e">
        <f t="shared" si="334"/>
        <v>#VALUE!</v>
      </c>
      <c r="N248" s="980">
        <f t="shared" si="335"/>
        <v>0</v>
      </c>
      <c r="O248" s="981" t="e">
        <f t="shared" si="336"/>
        <v>#VALUE!</v>
      </c>
      <c r="P248" s="959"/>
      <c r="Q248" s="998">
        <v>0</v>
      </c>
      <c r="R248" s="981"/>
      <c r="S248" s="981"/>
      <c r="T248" s="984">
        <f t="shared" si="311"/>
        <v>0</v>
      </c>
      <c r="U248" s="984" t="e">
        <f t="shared" si="312"/>
        <v>#VALUE!</v>
      </c>
      <c r="V248" s="984" t="e">
        <f t="shared" si="313"/>
        <v>#VALUE!</v>
      </c>
      <c r="W248" s="959"/>
      <c r="X248" s="1151" t="e">
        <f t="shared" si="301"/>
        <v>#VALUE!</v>
      </c>
      <c r="Y248" s="977">
        <f t="shared" si="314"/>
        <v>0</v>
      </c>
      <c r="Z248" s="977"/>
      <c r="AA248" s="977" t="e">
        <f t="shared" si="315"/>
        <v>#VALUE!</v>
      </c>
      <c r="AB248" s="977" t="e">
        <f t="shared" si="316"/>
        <v>#VALUE!</v>
      </c>
      <c r="AC248" s="977" t="e">
        <f t="shared" si="317"/>
        <v>#VALUE!</v>
      </c>
      <c r="AD248" s="977" t="e">
        <f t="shared" si="318"/>
        <v>#VALUE!</v>
      </c>
      <c r="AE248" s="979" t="e">
        <f t="shared" si="302"/>
        <v>#VALUE!</v>
      </c>
      <c r="AF248" s="892"/>
      <c r="AG248" s="892"/>
      <c r="AH248" s="977">
        <f t="shared" si="319"/>
        <v>0</v>
      </c>
      <c r="AI248" s="977" t="e">
        <f t="shared" si="320"/>
        <v>#VALUE!</v>
      </c>
      <c r="AJ248" s="985" t="e">
        <f t="shared" si="321"/>
        <v>#VALUE!</v>
      </c>
      <c r="AK248" s="977">
        <f t="shared" si="322"/>
        <v>0</v>
      </c>
      <c r="AL248" s="977"/>
      <c r="AM248" s="977" t="e">
        <f t="shared" si="323"/>
        <v>#VALUE!</v>
      </c>
      <c r="AN248" s="977" t="e">
        <f t="shared" si="324"/>
        <v>#VALUE!</v>
      </c>
      <c r="AO248" s="977" t="e">
        <f t="shared" si="325"/>
        <v>#VALUE!</v>
      </c>
      <c r="AP248" s="986" t="e">
        <f t="shared" si="326"/>
        <v>#VALUE!</v>
      </c>
      <c r="AQ248" s="959"/>
      <c r="AR248" s="983">
        <f t="shared" si="327"/>
        <v>0</v>
      </c>
      <c r="AS248" s="959"/>
      <c r="AT248" s="987">
        <f t="shared" si="328"/>
        <v>0</v>
      </c>
      <c r="AU248" s="988">
        <f t="shared" si="329"/>
        <v>0</v>
      </c>
      <c r="AV248" s="989" t="str">
        <f t="shared" si="303"/>
        <v/>
      </c>
      <c r="AW248" s="990">
        <f t="shared" si="330"/>
        <v>2.58</v>
      </c>
      <c r="AX248" s="991">
        <f t="shared" si="331"/>
        <v>0</v>
      </c>
      <c r="AY248" s="992">
        <f>VLOOKUP(A248,'Drop Box Price Out'!$A$13:$G$93,7,FALSE)</f>
        <v>3</v>
      </c>
      <c r="AZ248" s="993">
        <f t="shared" si="332"/>
        <v>0</v>
      </c>
      <c r="BA248" s="994">
        <f t="shared" si="304"/>
        <v>0.16279069767441856</v>
      </c>
      <c r="BC248" s="1158">
        <f t="shared" si="305"/>
        <v>0</v>
      </c>
      <c r="BD248" s="1158">
        <f t="shared" si="306"/>
        <v>0</v>
      </c>
    </row>
    <row r="249" spans="1:56">
      <c r="A249" s="975" t="str">
        <f>'Drop Box Price Out'!A91</f>
        <v>Mileage</v>
      </c>
      <c r="B249" s="995">
        <f>'Drop Box Price Out'!B91</f>
        <v>0</v>
      </c>
      <c r="C249" s="977">
        <f t="shared" si="307"/>
        <v>0</v>
      </c>
      <c r="D249" s="1130"/>
      <c r="E249" s="977">
        <v>1</v>
      </c>
      <c r="F249" s="977"/>
      <c r="G249" s="979"/>
      <c r="H249" s="996">
        <f>'Drop Box Price Out'!D91</f>
        <v>1.7</v>
      </c>
      <c r="I249" s="979">
        <f t="shared" si="308"/>
        <v>0</v>
      </c>
      <c r="J249" s="1144">
        <f>I249*12</f>
        <v>0</v>
      </c>
      <c r="K249" s="979">
        <f t="shared" si="310"/>
        <v>0</v>
      </c>
      <c r="L249" s="997">
        <v>0</v>
      </c>
      <c r="M249" s="1149" t="e">
        <f t="shared" si="334"/>
        <v>#VALUE!</v>
      </c>
      <c r="N249" s="980">
        <f t="shared" si="335"/>
        <v>0</v>
      </c>
      <c r="O249" s="981" t="e">
        <f t="shared" si="336"/>
        <v>#VALUE!</v>
      </c>
      <c r="P249" s="959"/>
      <c r="Q249" s="998">
        <v>0</v>
      </c>
      <c r="R249" s="981"/>
      <c r="S249" s="981"/>
      <c r="T249" s="984">
        <f>C249*Q249/3600</f>
        <v>0</v>
      </c>
      <c r="U249" s="984" t="e">
        <f t="shared" si="312"/>
        <v>#VALUE!</v>
      </c>
      <c r="V249" s="984" t="e">
        <f t="shared" si="313"/>
        <v>#VALUE!</v>
      </c>
      <c r="W249" s="959"/>
      <c r="X249" s="1151" t="e">
        <f t="shared" si="301"/>
        <v>#VALUE!</v>
      </c>
      <c r="Y249" s="977">
        <f t="shared" si="314"/>
        <v>0</v>
      </c>
      <c r="Z249" s="977"/>
      <c r="AA249" s="977" t="e">
        <f t="shared" si="315"/>
        <v>#VALUE!</v>
      </c>
      <c r="AB249" s="977" t="e">
        <f t="shared" si="316"/>
        <v>#VALUE!</v>
      </c>
      <c r="AC249" s="977" t="e">
        <f t="shared" si="317"/>
        <v>#VALUE!</v>
      </c>
      <c r="AD249" s="977" t="e">
        <f t="shared" si="318"/>
        <v>#VALUE!</v>
      </c>
      <c r="AE249" s="979" t="e">
        <f t="shared" si="302"/>
        <v>#VALUE!</v>
      </c>
      <c r="AF249" s="892"/>
      <c r="AG249" s="892"/>
      <c r="AH249" s="977">
        <f t="shared" si="319"/>
        <v>0</v>
      </c>
      <c r="AI249" s="977" t="e">
        <f t="shared" si="320"/>
        <v>#VALUE!</v>
      </c>
      <c r="AJ249" s="985" t="e">
        <f t="shared" si="321"/>
        <v>#VALUE!</v>
      </c>
      <c r="AK249" s="977">
        <f t="shared" si="322"/>
        <v>0</v>
      </c>
      <c r="AL249" s="977"/>
      <c r="AM249" s="977" t="e">
        <f t="shared" si="323"/>
        <v>#VALUE!</v>
      </c>
      <c r="AN249" s="977" t="e">
        <f t="shared" si="324"/>
        <v>#VALUE!</v>
      </c>
      <c r="AO249" s="977" t="e">
        <f t="shared" si="325"/>
        <v>#VALUE!</v>
      </c>
      <c r="AP249" s="986" t="e">
        <f t="shared" si="326"/>
        <v>#VALUE!</v>
      </c>
      <c r="AQ249" s="959"/>
      <c r="AR249" s="983">
        <f t="shared" si="327"/>
        <v>0</v>
      </c>
      <c r="AS249" s="959"/>
      <c r="AT249" s="987">
        <f t="shared" si="328"/>
        <v>0</v>
      </c>
      <c r="AU249" s="988">
        <f t="shared" si="329"/>
        <v>0</v>
      </c>
      <c r="AV249" s="989" t="str">
        <f t="shared" si="303"/>
        <v/>
      </c>
      <c r="AW249" s="990">
        <f t="shared" si="330"/>
        <v>1.7</v>
      </c>
      <c r="AX249" s="991">
        <f t="shared" si="331"/>
        <v>0</v>
      </c>
      <c r="AY249" s="992">
        <f>VLOOKUP(A249,'Drop Box Price Out'!$A$13:$G$93,7,FALSE)</f>
        <v>2</v>
      </c>
      <c r="AZ249" s="993">
        <f t="shared" si="332"/>
        <v>0</v>
      </c>
      <c r="BA249" s="994">
        <f t="shared" si="304"/>
        <v>0.17647058823529416</v>
      </c>
      <c r="BC249" s="1158">
        <f t="shared" si="305"/>
        <v>0</v>
      </c>
      <c r="BD249" s="1158">
        <f t="shared" si="306"/>
        <v>0</v>
      </c>
    </row>
    <row r="250" spans="1:56">
      <c r="A250" s="975" t="str">
        <f>'Drop Box Price Out'!A92</f>
        <v>Sunday Work (OT Hours)</v>
      </c>
      <c r="B250" s="995">
        <f>'Drop Box Price Out'!B92</f>
        <v>0</v>
      </c>
      <c r="C250" s="977">
        <f t="shared" si="307"/>
        <v>0</v>
      </c>
      <c r="D250" s="1130"/>
      <c r="E250" s="977">
        <v>1</v>
      </c>
      <c r="F250" s="977"/>
      <c r="G250" s="979"/>
      <c r="H250" s="996">
        <f>'Drop Box Price Out'!D92</f>
        <v>0</v>
      </c>
      <c r="I250" s="979">
        <f>B250*H250/12</f>
        <v>0</v>
      </c>
      <c r="J250" s="1144">
        <f t="shared" si="309"/>
        <v>0</v>
      </c>
      <c r="K250" s="979">
        <f t="shared" si="310"/>
        <v>0</v>
      </c>
      <c r="L250" s="997">
        <v>0</v>
      </c>
      <c r="M250" s="1149" t="e">
        <f t="shared" si="334"/>
        <v>#VALUE!</v>
      </c>
      <c r="N250" s="980">
        <f t="shared" si="335"/>
        <v>0</v>
      </c>
      <c r="O250" s="981" t="e">
        <f t="shared" si="336"/>
        <v>#VALUE!</v>
      </c>
      <c r="P250" s="959"/>
      <c r="Q250" s="998">
        <v>0</v>
      </c>
      <c r="R250" s="981"/>
      <c r="S250" s="981"/>
      <c r="T250" s="984">
        <f t="shared" si="311"/>
        <v>0</v>
      </c>
      <c r="U250" s="984" t="e">
        <f t="shared" si="312"/>
        <v>#VALUE!</v>
      </c>
      <c r="V250" s="984" t="e">
        <f t="shared" si="313"/>
        <v>#VALUE!</v>
      </c>
      <c r="W250" s="959"/>
      <c r="X250" s="1151" t="e">
        <f t="shared" si="301"/>
        <v>#VALUE!</v>
      </c>
      <c r="Y250" s="977">
        <f t="shared" si="314"/>
        <v>0</v>
      </c>
      <c r="Z250" s="977"/>
      <c r="AA250" s="977" t="e">
        <f t="shared" si="315"/>
        <v>#VALUE!</v>
      </c>
      <c r="AB250" s="977" t="e">
        <f t="shared" si="316"/>
        <v>#VALUE!</v>
      </c>
      <c r="AC250" s="977" t="e">
        <f t="shared" si="317"/>
        <v>#VALUE!</v>
      </c>
      <c r="AD250" s="977" t="e">
        <f t="shared" si="318"/>
        <v>#VALUE!</v>
      </c>
      <c r="AE250" s="979" t="e">
        <f t="shared" si="302"/>
        <v>#VALUE!</v>
      </c>
      <c r="AF250" s="892"/>
      <c r="AG250" s="892"/>
      <c r="AH250" s="977">
        <f t="shared" si="319"/>
        <v>0</v>
      </c>
      <c r="AI250" s="977" t="e">
        <f t="shared" si="320"/>
        <v>#VALUE!</v>
      </c>
      <c r="AJ250" s="985" t="e">
        <f t="shared" si="321"/>
        <v>#VALUE!</v>
      </c>
      <c r="AK250" s="977">
        <f t="shared" si="322"/>
        <v>0</v>
      </c>
      <c r="AL250" s="977"/>
      <c r="AM250" s="977" t="e">
        <f t="shared" si="323"/>
        <v>#VALUE!</v>
      </c>
      <c r="AN250" s="977" t="e">
        <f t="shared" si="324"/>
        <v>#VALUE!</v>
      </c>
      <c r="AO250" s="977" t="e">
        <f t="shared" si="325"/>
        <v>#VALUE!</v>
      </c>
      <c r="AP250" s="986" t="e">
        <f t="shared" si="326"/>
        <v>#VALUE!</v>
      </c>
      <c r="AQ250" s="959"/>
      <c r="AR250" s="983">
        <f t="shared" si="327"/>
        <v>0</v>
      </c>
      <c r="AS250" s="959"/>
      <c r="AT250" s="987">
        <f t="shared" si="328"/>
        <v>0</v>
      </c>
      <c r="AU250" s="988">
        <f t="shared" si="329"/>
        <v>0</v>
      </c>
      <c r="AV250" s="989" t="str">
        <f t="shared" si="303"/>
        <v/>
      </c>
      <c r="AW250" s="990">
        <f t="shared" si="330"/>
        <v>0</v>
      </c>
      <c r="AX250" s="991">
        <f t="shared" si="331"/>
        <v>0</v>
      </c>
      <c r="AY250" s="992">
        <f>VLOOKUP(A250,'Drop Box Price Out'!$A$13:$G$93,7,FALSE)</f>
        <v>0</v>
      </c>
      <c r="AZ250" s="993">
        <f t="shared" si="332"/>
        <v>0</v>
      </c>
      <c r="BA250" s="994" t="str">
        <f t="shared" si="304"/>
        <v/>
      </c>
      <c r="BC250" s="1158">
        <f t="shared" si="305"/>
        <v>0</v>
      </c>
      <c r="BD250" s="1158">
        <f t="shared" si="306"/>
        <v>0</v>
      </c>
    </row>
    <row r="251" spans="1:56">
      <c r="A251" s="975" t="str">
        <f>'Drop Box Price Out'!A93</f>
        <v>Deliveries</v>
      </c>
      <c r="B251" s="999">
        <f>'Drop Box Price Out'!B93</f>
        <v>33</v>
      </c>
      <c r="C251" s="1000">
        <f t="shared" si="307"/>
        <v>35.003507542076655</v>
      </c>
      <c r="D251" s="1131"/>
      <c r="E251" s="1000">
        <v>1</v>
      </c>
      <c r="F251" s="1000"/>
      <c r="G251" s="1000"/>
      <c r="H251" s="1001">
        <f>'Drop Box Price Out'!D93</f>
        <v>67.150000000000006</v>
      </c>
      <c r="I251" s="1000">
        <f>B251*H251/12</f>
        <v>184.66250000000002</v>
      </c>
      <c r="J251" s="1000">
        <f>I251*12</f>
        <v>2215.9500000000003</v>
      </c>
      <c r="K251" s="1000">
        <f>J251*$K$4</f>
        <v>2350.485531450448</v>
      </c>
      <c r="L251" s="1002">
        <v>0</v>
      </c>
      <c r="M251" s="1003" t="e">
        <f>L251*$O$4</f>
        <v>#VALUE!</v>
      </c>
      <c r="N251" s="1004">
        <f>ROUND(((C251*E251*L251)/2000),2)</f>
        <v>0</v>
      </c>
      <c r="O251" s="1005" t="e">
        <f>$O$4*N251</f>
        <v>#VALUE!</v>
      </c>
      <c r="P251" s="905"/>
      <c r="Q251" s="1006">
        <v>900</v>
      </c>
      <c r="R251" s="1005"/>
      <c r="S251" s="1005"/>
      <c r="T251" s="1007">
        <f>C251*Q251/3600</f>
        <v>8.7508768855191637</v>
      </c>
      <c r="U251" s="1007" t="e">
        <f>($T$4-$T$5)*O251/($O$5-$O$6-$O$7)</f>
        <v>#VALUE!</v>
      </c>
      <c r="V251" s="1007" t="e">
        <f>U251+T251</f>
        <v>#VALUE!</v>
      </c>
      <c r="W251" s="905"/>
      <c r="X251" s="1152" t="e">
        <f t="shared" si="301"/>
        <v>#VALUE!</v>
      </c>
      <c r="Y251" s="1000">
        <f>($Y$4*(I251)/(($I$6)+$I$7+$I$8+$I$9))</f>
        <v>264.62050153442647</v>
      </c>
      <c r="Z251" s="1000"/>
      <c r="AA251" s="1000" t="e">
        <f>+AA$4/(V$8+(V$9))*V251</f>
        <v>#VALUE!</v>
      </c>
      <c r="AB251" s="1000" t="e">
        <f>$AB$4*V251/($V$4+$T$4)</f>
        <v>#VALUE!</v>
      </c>
      <c r="AC251" s="1000" t="e">
        <f>$AC$4*V251/($V$4+$T$4)</f>
        <v>#VALUE!</v>
      </c>
      <c r="AD251" s="1000" t="e">
        <f>$AD$4*V251/($V$4+$T$4)</f>
        <v>#VALUE!</v>
      </c>
      <c r="AE251" s="1000" t="e">
        <f t="shared" si="302"/>
        <v>#VALUE!</v>
      </c>
      <c r="AF251" s="906"/>
      <c r="AG251" s="906"/>
      <c r="AH251" s="1000">
        <f>($AH$4*G251)/$G$8</f>
        <v>0</v>
      </c>
      <c r="AI251" s="1000" t="e">
        <f>+$AI$4*($V251/($V$8+($V$9)))</f>
        <v>#VALUE!</v>
      </c>
      <c r="AJ251" s="1008" t="e">
        <f>SUM(X251:AI251)</f>
        <v>#VALUE!</v>
      </c>
      <c r="AK251" s="1000">
        <f>($AK$4*F251/($F$5))</f>
        <v>0</v>
      </c>
      <c r="AL251" s="1000"/>
      <c r="AM251" s="1000" t="e">
        <f>$AM$4*(K251+X251)/($K$5+$X$5)</f>
        <v>#VALUE!</v>
      </c>
      <c r="AN251" s="1000" t="e">
        <f>$AN$4*(K251+X251)/($K$5+$X$5)</f>
        <v>#VALUE!</v>
      </c>
      <c r="AO251" s="1000" t="e">
        <f>$AO$4*(K251+X251)/($K$5+$X$5)</f>
        <v>#VALUE!</v>
      </c>
      <c r="AP251" s="1009" t="e">
        <f>SUM(AJ251:AO251)</f>
        <v>#VALUE!</v>
      </c>
      <c r="AQ251" s="905"/>
      <c r="AR251" s="1005">
        <f t="shared" si="327"/>
        <v>0</v>
      </c>
      <c r="AS251" s="905"/>
      <c r="AT251" s="1010">
        <f>AR251/$AT$4</f>
        <v>0</v>
      </c>
      <c r="AU251" s="1011">
        <f>+AT251*C251</f>
        <v>0</v>
      </c>
      <c r="AV251" s="1012" t="str">
        <f t="shared" si="303"/>
        <v/>
      </c>
      <c r="AW251" s="1013">
        <f>H251</f>
        <v>67.150000000000006</v>
      </c>
      <c r="AX251" s="1014">
        <f>+AW251*C251</f>
        <v>2350.4855314504475</v>
      </c>
      <c r="AY251" s="1026">
        <f>VLOOKUP(A251,'Drop Box Price Out'!$A$13:$G$93,7,FALSE)</f>
        <v>70.600000000000009</v>
      </c>
      <c r="AZ251" s="1015">
        <f>+AY251*C251</f>
        <v>2471.2476324706122</v>
      </c>
      <c r="BA251" s="1016">
        <f t="shared" si="304"/>
        <v>5.1377513030528704E-2</v>
      </c>
      <c r="BC251" s="1158">
        <f t="shared" si="305"/>
        <v>-2350.4855314504475</v>
      </c>
      <c r="BD251" s="1158">
        <f t="shared" si="306"/>
        <v>-2471.2476324706122</v>
      </c>
    </row>
    <row r="252" spans="1:56" s="162" customFormat="1" ht="12" thickBot="1">
      <c r="A252" s="162" t="s">
        <v>27</v>
      </c>
      <c r="B252" s="907">
        <f>SUM(B171:B251)</f>
        <v>1626.1751044793562</v>
      </c>
      <c r="C252" s="907">
        <f>SUM(C171:C251)</f>
        <v>1724.9040161933467</v>
      </c>
      <c r="D252" s="907"/>
      <c r="E252" s="907"/>
      <c r="F252" s="907">
        <f>SUM(F171:F251)</f>
        <v>353.73409539337035</v>
      </c>
      <c r="G252" s="907">
        <f>SUM(G171:G251)</f>
        <v>149.17510447935618</v>
      </c>
      <c r="H252" s="908"/>
      <c r="I252" s="907">
        <f>SUM(I171:I251)</f>
        <v>18866.034166666661</v>
      </c>
      <c r="J252" s="907">
        <f>SUM(J171:J251)</f>
        <v>226392.41</v>
      </c>
      <c r="K252" s="907">
        <f>SUM(K171:K251)</f>
        <v>240137.22517890637</v>
      </c>
      <c r="L252" s="1017"/>
      <c r="M252" s="1018"/>
      <c r="N252" s="1017">
        <f>SUM(N171:N251)</f>
        <v>4190.5500000000011</v>
      </c>
      <c r="O252" s="1017" t="e">
        <f>SUM(O171:O251)</f>
        <v>#VALUE!</v>
      </c>
      <c r="P252" s="912"/>
      <c r="Q252" s="1017">
        <f t="shared" ref="Q252:V252" si="337">SUM(Q171:Q251)</f>
        <v>60300</v>
      </c>
      <c r="R252" s="1017">
        <f t="shared" si="337"/>
        <v>0</v>
      </c>
      <c r="S252" s="1017">
        <f t="shared" si="337"/>
        <v>0</v>
      </c>
      <c r="T252" s="1017">
        <f t="shared" si="337"/>
        <v>391.66803514884259</v>
      </c>
      <c r="U252" s="1017" t="e">
        <f t="shared" si="337"/>
        <v>#VALUE!</v>
      </c>
      <c r="V252" s="1017" t="e">
        <f t="shared" si="337"/>
        <v>#VALUE!</v>
      </c>
      <c r="W252" s="912"/>
      <c r="X252" s="907" t="e">
        <f t="shared" ref="X252:AP252" si="338">SUM(X171:X251)</f>
        <v>#VALUE!</v>
      </c>
      <c r="Y252" s="907">
        <f t="shared" si="338"/>
        <v>27034.939000332815</v>
      </c>
      <c r="Z252" s="907">
        <f t="shared" si="338"/>
        <v>0</v>
      </c>
      <c r="AA252" s="907" t="e">
        <f t="shared" si="338"/>
        <v>#VALUE!</v>
      </c>
      <c r="AB252" s="907" t="e">
        <f t="shared" si="338"/>
        <v>#VALUE!</v>
      </c>
      <c r="AC252" s="907" t="e">
        <f t="shared" si="338"/>
        <v>#VALUE!</v>
      </c>
      <c r="AD252" s="907" t="e">
        <f t="shared" si="338"/>
        <v>#VALUE!</v>
      </c>
      <c r="AE252" s="907" t="e">
        <f t="shared" si="338"/>
        <v>#VALUE!</v>
      </c>
      <c r="AF252" s="907">
        <f t="shared" si="338"/>
        <v>0</v>
      </c>
      <c r="AG252" s="907">
        <f t="shared" si="338"/>
        <v>0</v>
      </c>
      <c r="AH252" s="907">
        <f t="shared" si="338"/>
        <v>1025.9333633050367</v>
      </c>
      <c r="AI252" s="907" t="e">
        <f t="shared" si="338"/>
        <v>#VALUE!</v>
      </c>
      <c r="AJ252" s="913" t="e">
        <f>SUM(AJ171:AJ251)</f>
        <v>#VALUE!</v>
      </c>
      <c r="AK252" s="907">
        <f t="shared" si="338"/>
        <v>0</v>
      </c>
      <c r="AL252" s="907">
        <f t="shared" si="338"/>
        <v>0</v>
      </c>
      <c r="AM252" s="907" t="e">
        <f t="shared" si="338"/>
        <v>#VALUE!</v>
      </c>
      <c r="AN252" s="907" t="e">
        <f t="shared" si="338"/>
        <v>#VALUE!</v>
      </c>
      <c r="AO252" s="907" t="e">
        <f t="shared" si="338"/>
        <v>#VALUE!</v>
      </c>
      <c r="AP252" s="914" t="e">
        <f t="shared" si="338"/>
        <v>#VALUE!</v>
      </c>
      <c r="AQ252" s="912"/>
      <c r="AR252" s="909"/>
      <c r="AS252" s="912"/>
      <c r="AT252" s="909"/>
      <c r="AU252" s="916">
        <f>SUM(AU171:AU251)</f>
        <v>0</v>
      </c>
      <c r="AV252" s="909"/>
      <c r="AW252" s="908"/>
      <c r="AX252" s="916">
        <f>SUM(AX171:AX251)</f>
        <v>240137.22517890637</v>
      </c>
      <c r="AY252" s="908"/>
      <c r="AZ252" s="916">
        <f>SUM(AZ171:AZ251)</f>
        <v>252448.2968186597</v>
      </c>
      <c r="BA252" s="909"/>
      <c r="BC252" s="1160">
        <f>SUM(BC171:BC251)</f>
        <v>-240137.22517890637</v>
      </c>
      <c r="BD252" s="1160">
        <f>SUM(BD171:BD251)</f>
        <v>-252448.2968186597</v>
      </c>
    </row>
    <row r="253" spans="1:56">
      <c r="V253" s="175"/>
    </row>
  </sheetData>
  <pageMargins left="0.25" right="0.25" top="0.75" bottom="0.75" header="0.3" footer="0.3"/>
  <pageSetup scale="29"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A81"/>
  <sheetViews>
    <sheetView topLeftCell="I1" workbookViewId="0">
      <selection activeCell="C6" sqref="C6"/>
    </sheetView>
  </sheetViews>
  <sheetFormatPr defaultRowHeight="11.25"/>
  <cols>
    <col min="1" max="1" width="28.5" bestFit="1" customWidth="1"/>
    <col min="2" max="2" width="3.83203125" customWidth="1"/>
    <col min="3" max="3" width="26.5" bestFit="1" customWidth="1"/>
    <col min="4" max="4" width="8.1640625" bestFit="1" customWidth="1"/>
    <col min="5" max="5" width="8.1640625" customWidth="1"/>
    <col min="6" max="6" width="22.5" bestFit="1" customWidth="1"/>
    <col min="7" max="7" width="8.1640625" bestFit="1" customWidth="1"/>
    <col min="24" max="24" width="50.83203125" customWidth="1"/>
    <col min="25" max="25" width="13.33203125" style="1055" customWidth="1"/>
    <col min="26" max="26" width="33.33203125" customWidth="1"/>
    <col min="27" max="27" width="74.1640625" customWidth="1"/>
  </cols>
  <sheetData>
    <row r="1" spans="1:27" ht="15">
      <c r="A1" s="1134" t="s">
        <v>1069</v>
      </c>
      <c r="B1" s="1134"/>
      <c r="C1" s="1134"/>
      <c r="D1" s="1134"/>
      <c r="E1" s="1134"/>
      <c r="F1" s="1134"/>
      <c r="G1" s="1134"/>
    </row>
    <row r="2" spans="1:27" ht="15">
      <c r="A2" s="1134"/>
      <c r="B2" s="1134"/>
      <c r="C2" s="1134"/>
      <c r="D2" s="1134"/>
      <c r="E2" s="1134"/>
      <c r="F2" s="1134"/>
      <c r="G2" s="1134"/>
      <c r="X2" s="1033" t="s">
        <v>1644</v>
      </c>
    </row>
    <row r="3" spans="1:27" ht="15.75" thickBot="1">
      <c r="A3" s="1134"/>
      <c r="B3" s="1134"/>
      <c r="C3" s="1135" t="s">
        <v>1070</v>
      </c>
      <c r="D3" s="1135"/>
      <c r="E3" s="1135"/>
      <c r="F3" s="1135" t="s">
        <v>1071</v>
      </c>
      <c r="G3" s="1134"/>
    </row>
    <row r="4" spans="1:27" ht="48" thickBot="1">
      <c r="A4" s="1136" t="s">
        <v>1072</v>
      </c>
      <c r="B4" s="1136"/>
      <c r="C4" s="1137" t="s">
        <v>1073</v>
      </c>
      <c r="D4" s="1137"/>
      <c r="E4" s="1137"/>
      <c r="F4" s="1137" t="s">
        <v>1074</v>
      </c>
      <c r="G4" s="1134"/>
      <c r="X4" s="1336" t="s">
        <v>1599</v>
      </c>
      <c r="Y4" s="1337" t="s">
        <v>1600</v>
      </c>
      <c r="Z4" s="1338" t="s">
        <v>1601</v>
      </c>
      <c r="AA4" s="1339" t="s">
        <v>1602</v>
      </c>
    </row>
    <row r="5" spans="1:27" ht="15">
      <c r="A5" s="1134" t="s">
        <v>278</v>
      </c>
      <c r="B5" s="1134"/>
      <c r="C5" s="1134"/>
      <c r="D5" s="1134"/>
      <c r="E5" s="1134"/>
      <c r="F5" s="1134"/>
      <c r="G5" s="1134"/>
      <c r="X5" s="1340" t="s">
        <v>1603</v>
      </c>
      <c r="Y5" s="1341">
        <v>157.38</v>
      </c>
      <c r="Z5" s="1342" t="s">
        <v>1604</v>
      </c>
      <c r="AA5" s="1343" t="s">
        <v>1605</v>
      </c>
    </row>
    <row r="6" spans="1:27">
      <c r="A6" t="s">
        <v>1075</v>
      </c>
      <c r="C6" s="1034">
        <v>16.84</v>
      </c>
      <c r="D6" s="1034"/>
      <c r="E6" s="1034"/>
      <c r="F6" s="775">
        <v>34</v>
      </c>
      <c r="G6" s="775"/>
      <c r="X6" s="1344" t="s">
        <v>1606</v>
      </c>
      <c r="Y6" s="1345">
        <v>158</v>
      </c>
      <c r="Z6" s="1346" t="s">
        <v>1604</v>
      </c>
      <c r="AA6" s="1347"/>
    </row>
    <row r="7" spans="1:27">
      <c r="A7" t="s">
        <v>1076</v>
      </c>
      <c r="C7" s="1034">
        <v>23.62</v>
      </c>
      <c r="D7" s="1034">
        <f>+C7-C6</f>
        <v>6.7800000000000011</v>
      </c>
      <c r="E7" s="1034">
        <f>1+D7/C6</f>
        <v>1.4026128266033255</v>
      </c>
      <c r="F7" s="775">
        <v>51</v>
      </c>
      <c r="G7" s="1034">
        <f>+F7-F6</f>
        <v>17</v>
      </c>
      <c r="H7" s="1139">
        <f>1+(G7/F6)</f>
        <v>1.5</v>
      </c>
      <c r="X7" s="1340" t="s">
        <v>1607</v>
      </c>
      <c r="Y7" s="1341">
        <v>158</v>
      </c>
      <c r="Z7" s="1342" t="s">
        <v>1604</v>
      </c>
      <c r="AA7" s="1343" t="s">
        <v>1608</v>
      </c>
    </row>
    <row r="8" spans="1:27">
      <c r="A8" t="s">
        <v>1077</v>
      </c>
      <c r="C8" s="1034">
        <v>35.24</v>
      </c>
      <c r="D8" s="1034">
        <f>+C8-C7</f>
        <v>11.620000000000001</v>
      </c>
      <c r="E8" s="1034">
        <f>1+D8/C7</f>
        <v>1.4919559695173583</v>
      </c>
      <c r="F8" s="775">
        <v>77</v>
      </c>
      <c r="G8" s="1034">
        <f>+F8-F7</f>
        <v>26</v>
      </c>
      <c r="H8" s="1139">
        <f>1+(G8/F7)</f>
        <v>1.5098039215686274</v>
      </c>
      <c r="X8" s="1353" t="s">
        <v>1609</v>
      </c>
      <c r="Y8" s="1354">
        <v>137.65</v>
      </c>
      <c r="Z8" s="1355" t="s">
        <v>1610</v>
      </c>
      <c r="AA8" s="1356"/>
    </row>
    <row r="9" spans="1:27">
      <c r="A9" t="s">
        <v>1078</v>
      </c>
      <c r="C9" s="1034">
        <v>40</v>
      </c>
      <c r="D9" s="1034">
        <f>+C9-C8</f>
        <v>4.759999999999998</v>
      </c>
      <c r="E9" s="1034">
        <f>1+D9/C8</f>
        <v>1.1350737797956867</v>
      </c>
      <c r="F9" s="775">
        <v>97</v>
      </c>
      <c r="G9" s="1034">
        <f>+F9-F8</f>
        <v>20</v>
      </c>
      <c r="H9" s="1139">
        <f>1+(G9/F8)</f>
        <v>1.2597402597402598</v>
      </c>
      <c r="X9" s="1340" t="s">
        <v>1611</v>
      </c>
      <c r="Y9" s="1341">
        <v>158</v>
      </c>
      <c r="Z9" s="1342" t="s">
        <v>1604</v>
      </c>
      <c r="AA9" s="1343"/>
    </row>
    <row r="10" spans="1:27">
      <c r="A10" t="s">
        <v>1079</v>
      </c>
      <c r="C10" s="1034">
        <v>25.26</v>
      </c>
      <c r="D10" s="1034">
        <f>+C10-C7</f>
        <v>1.6400000000000006</v>
      </c>
      <c r="E10" s="1034">
        <f>1+D10/C7</f>
        <v>1.0694326841659612</v>
      </c>
      <c r="F10" s="775">
        <v>47</v>
      </c>
      <c r="G10" s="1034">
        <f>+F10-F7</f>
        <v>-4</v>
      </c>
      <c r="H10" s="1139">
        <f>1+(G10/F7)</f>
        <v>0.92156862745098045</v>
      </c>
      <c r="X10" s="1344" t="s">
        <v>1612</v>
      </c>
      <c r="Y10" s="1345">
        <v>29.5</v>
      </c>
      <c r="Z10" s="1346" t="s">
        <v>1604</v>
      </c>
      <c r="AA10" s="1347" t="s">
        <v>1613</v>
      </c>
    </row>
    <row r="11" spans="1:27">
      <c r="A11" t="s">
        <v>1080</v>
      </c>
      <c r="C11" s="1034">
        <v>33.68</v>
      </c>
      <c r="D11" s="1034">
        <f>+C11-C8</f>
        <v>-1.5600000000000023</v>
      </c>
      <c r="E11" s="1034">
        <f>1+D11/C8</f>
        <v>0.95573212258796814</v>
      </c>
      <c r="F11" s="775">
        <v>68</v>
      </c>
      <c r="G11" s="1034">
        <f>+F11-F8</f>
        <v>-9</v>
      </c>
      <c r="H11" s="1139">
        <f>1+(G11/F8)</f>
        <v>0.88311688311688308</v>
      </c>
      <c r="X11" s="1340" t="s">
        <v>1614</v>
      </c>
      <c r="Y11" s="1341">
        <v>35</v>
      </c>
      <c r="Z11" s="1342" t="s">
        <v>1604</v>
      </c>
      <c r="AA11" s="1343" t="s">
        <v>1615</v>
      </c>
    </row>
    <row r="12" spans="1:27">
      <c r="A12" t="s">
        <v>67</v>
      </c>
      <c r="C12" s="1034">
        <f>+C6</f>
        <v>16.84</v>
      </c>
      <c r="D12" s="1034"/>
      <c r="E12" s="1034"/>
      <c r="F12" s="775">
        <f>+F6</f>
        <v>34</v>
      </c>
      <c r="G12" s="775"/>
      <c r="X12" s="1344" t="s">
        <v>1616</v>
      </c>
      <c r="Y12" s="1345">
        <v>29.5</v>
      </c>
      <c r="Z12" s="1346" t="s">
        <v>1604</v>
      </c>
      <c r="AA12" s="1347" t="s">
        <v>1613</v>
      </c>
    </row>
    <row r="13" spans="1:27">
      <c r="A13" t="s">
        <v>1081</v>
      </c>
      <c r="C13" s="1034">
        <f>+C12</f>
        <v>16.84</v>
      </c>
      <c r="D13" s="1034"/>
      <c r="E13" s="1034"/>
      <c r="F13" s="775">
        <f>+F12</f>
        <v>34</v>
      </c>
      <c r="G13" s="775"/>
      <c r="X13" s="1340" t="s">
        <v>1617</v>
      </c>
      <c r="Y13" s="1341">
        <v>29.5</v>
      </c>
      <c r="Z13" s="1342" t="s">
        <v>1604</v>
      </c>
      <c r="AA13" s="1343" t="s">
        <v>1613</v>
      </c>
    </row>
    <row r="14" spans="1:27">
      <c r="C14" s="1034"/>
      <c r="F14" s="775"/>
      <c r="X14" s="1344" t="s">
        <v>1618</v>
      </c>
      <c r="Y14" s="1345">
        <v>22.55</v>
      </c>
      <c r="Z14" s="1346" t="s">
        <v>1619</v>
      </c>
      <c r="AA14" s="1347"/>
    </row>
    <row r="15" spans="1:27" ht="15">
      <c r="A15" s="1134" t="s">
        <v>278</v>
      </c>
      <c r="C15" s="1034"/>
      <c r="F15" s="775"/>
      <c r="X15" s="1340" t="s">
        <v>1620</v>
      </c>
      <c r="Y15" s="1341">
        <v>9.6199999999999992</v>
      </c>
      <c r="Z15" s="1342" t="s">
        <v>1619</v>
      </c>
      <c r="AA15" s="1343"/>
    </row>
    <row r="16" spans="1:27">
      <c r="A16" t="s">
        <v>1082</v>
      </c>
      <c r="C16" s="1034">
        <v>7.67</v>
      </c>
      <c r="F16" s="1138" t="s">
        <v>1083</v>
      </c>
      <c r="X16" s="1344" t="s">
        <v>1621</v>
      </c>
      <c r="Y16" s="1345">
        <v>50</v>
      </c>
      <c r="Z16" s="1346" t="s">
        <v>1604</v>
      </c>
      <c r="AA16" s="1347"/>
    </row>
    <row r="17" spans="1:27">
      <c r="A17" t="s">
        <v>1084</v>
      </c>
      <c r="C17" s="1034">
        <v>11.34</v>
      </c>
      <c r="F17" s="1138" t="s">
        <v>1083</v>
      </c>
      <c r="X17" s="1340" t="s">
        <v>1622</v>
      </c>
      <c r="Y17" s="1341">
        <v>600</v>
      </c>
      <c r="Z17" s="1342" t="s">
        <v>1604</v>
      </c>
      <c r="AA17" s="1343"/>
    </row>
    <row r="18" spans="1:27">
      <c r="A18" t="s">
        <v>1085</v>
      </c>
      <c r="C18" s="1034">
        <v>15</v>
      </c>
      <c r="F18" s="1138" t="s">
        <v>1083</v>
      </c>
      <c r="X18" s="1344" t="s">
        <v>1623</v>
      </c>
      <c r="Y18" s="1345">
        <v>65</v>
      </c>
      <c r="Z18" s="1346" t="s">
        <v>1604</v>
      </c>
      <c r="AA18" s="1347"/>
    </row>
    <row r="19" spans="1:27">
      <c r="A19" t="s">
        <v>1086</v>
      </c>
      <c r="C19" s="1034">
        <v>1</v>
      </c>
      <c r="F19" s="1138" t="s">
        <v>1083</v>
      </c>
      <c r="X19" s="1340" t="s">
        <v>1624</v>
      </c>
      <c r="Y19" s="1341">
        <v>150</v>
      </c>
      <c r="Z19" s="1342" t="s">
        <v>1604</v>
      </c>
      <c r="AA19" s="1343"/>
    </row>
    <row r="20" spans="1:27">
      <c r="A20" t="s">
        <v>1087</v>
      </c>
      <c r="C20" s="1034">
        <v>10</v>
      </c>
      <c r="F20" s="1138" t="s">
        <v>1083</v>
      </c>
      <c r="X20" s="1344" t="s">
        <v>1625</v>
      </c>
      <c r="Y20" s="1345">
        <v>225</v>
      </c>
      <c r="Z20" s="1346" t="s">
        <v>1626</v>
      </c>
      <c r="AA20" s="1347"/>
    </row>
    <row r="21" spans="1:27">
      <c r="A21" t="s">
        <v>1088</v>
      </c>
      <c r="C21" s="1034">
        <v>30</v>
      </c>
      <c r="F21" s="1138" t="s">
        <v>1083</v>
      </c>
      <c r="X21" s="1340" t="s">
        <v>1627</v>
      </c>
      <c r="Y21" s="1341">
        <v>225</v>
      </c>
      <c r="Z21" s="1342" t="s">
        <v>1626</v>
      </c>
      <c r="AA21" s="1343"/>
    </row>
    <row r="22" spans="1:27">
      <c r="C22" s="1034"/>
      <c r="F22" s="775"/>
      <c r="X22" s="1344" t="s">
        <v>1628</v>
      </c>
      <c r="Y22" s="1345">
        <v>143</v>
      </c>
      <c r="Z22" s="1346" t="s">
        <v>1629</v>
      </c>
      <c r="AA22" s="1347"/>
    </row>
    <row r="23" spans="1:27" ht="15">
      <c r="A23" s="1134" t="s">
        <v>1089</v>
      </c>
      <c r="C23" s="1034"/>
      <c r="F23" s="775"/>
      <c r="X23" s="1357" t="s">
        <v>1630</v>
      </c>
      <c r="Y23" s="1358">
        <v>486</v>
      </c>
      <c r="Z23" s="1359" t="s">
        <v>1629</v>
      </c>
      <c r="AA23" s="1360"/>
    </row>
    <row r="24" spans="1:27">
      <c r="A24" t="s">
        <v>1090</v>
      </c>
      <c r="C24" s="1034">
        <v>9</v>
      </c>
      <c r="F24" s="775">
        <v>29</v>
      </c>
      <c r="X24" s="1353" t="s">
        <v>593</v>
      </c>
      <c r="Y24" s="1354">
        <v>313</v>
      </c>
      <c r="Z24" s="1355" t="s">
        <v>1631</v>
      </c>
      <c r="AA24" s="1356"/>
    </row>
    <row r="25" spans="1:27">
      <c r="A25" t="s">
        <v>1091</v>
      </c>
      <c r="C25" s="1034">
        <v>80</v>
      </c>
      <c r="F25" s="775">
        <v>175</v>
      </c>
      <c r="X25" s="1340" t="s">
        <v>1632</v>
      </c>
      <c r="Y25" s="1341">
        <v>389</v>
      </c>
      <c r="Z25" s="1342" t="s">
        <v>1626</v>
      </c>
      <c r="AA25" s="1343" t="s">
        <v>1633</v>
      </c>
    </row>
    <row r="26" spans="1:27">
      <c r="A26" t="s">
        <v>1092</v>
      </c>
      <c r="C26" s="1034">
        <v>80</v>
      </c>
      <c r="F26" s="775">
        <v>250</v>
      </c>
      <c r="X26" s="1344" t="s">
        <v>1634</v>
      </c>
      <c r="Y26" s="1345">
        <v>1375</v>
      </c>
      <c r="Z26" s="1346" t="s">
        <v>1626</v>
      </c>
      <c r="AA26" s="1347" t="s">
        <v>1635</v>
      </c>
    </row>
    <row r="27" spans="1:27">
      <c r="A27" t="s">
        <v>1093</v>
      </c>
      <c r="C27" s="1034">
        <v>80</v>
      </c>
      <c r="F27" s="775">
        <v>324</v>
      </c>
      <c r="X27" s="1340" t="s">
        <v>1636</v>
      </c>
      <c r="Y27" s="1341">
        <v>1836</v>
      </c>
      <c r="Z27" s="1342" t="s">
        <v>1619</v>
      </c>
      <c r="AA27" s="1343"/>
    </row>
    <row r="28" spans="1:27">
      <c r="A28" t="s">
        <v>1094</v>
      </c>
      <c r="C28" s="1034">
        <v>120</v>
      </c>
      <c r="F28" s="775">
        <v>473</v>
      </c>
      <c r="X28" s="1344" t="s">
        <v>1637</v>
      </c>
      <c r="Y28" s="1345">
        <v>63</v>
      </c>
      <c r="Z28" s="1346" t="s">
        <v>1638</v>
      </c>
      <c r="AA28" s="1347"/>
    </row>
    <row r="29" spans="1:27">
      <c r="A29" t="s">
        <v>1095</v>
      </c>
      <c r="C29" s="1034">
        <v>120</v>
      </c>
      <c r="F29" s="775">
        <v>613</v>
      </c>
      <c r="X29" s="1340" t="s">
        <v>1639</v>
      </c>
      <c r="Y29" s="1341">
        <v>486</v>
      </c>
      <c r="Z29" s="1342" t="s">
        <v>1640</v>
      </c>
      <c r="AA29" s="1343"/>
    </row>
    <row r="30" spans="1:27">
      <c r="A30" t="s">
        <v>1096</v>
      </c>
      <c r="C30" s="1034">
        <v>120</v>
      </c>
      <c r="F30" s="775">
        <v>840</v>
      </c>
      <c r="X30" s="1344" t="s">
        <v>1641</v>
      </c>
      <c r="Y30" s="1345">
        <v>675</v>
      </c>
      <c r="Z30" s="1346" t="s">
        <v>1640</v>
      </c>
      <c r="AA30" s="1347"/>
    </row>
    <row r="31" spans="1:27" ht="12" thickBot="1">
      <c r="A31" t="s">
        <v>1097</v>
      </c>
      <c r="C31" s="1034">
        <v>120</v>
      </c>
      <c r="F31" s="775">
        <v>980</v>
      </c>
      <c r="X31" s="1348" t="s">
        <v>1642</v>
      </c>
      <c r="Y31" s="1349">
        <v>157</v>
      </c>
      <c r="Z31" s="1350" t="s">
        <v>1638</v>
      </c>
      <c r="AA31" s="1351" t="s">
        <v>1643</v>
      </c>
    </row>
    <row r="32" spans="1:27">
      <c r="A32" t="s">
        <v>1098</v>
      </c>
      <c r="C32" s="1034">
        <v>120</v>
      </c>
      <c r="F32" s="775">
        <v>1301</v>
      </c>
    </row>
    <row r="33" spans="1:27">
      <c r="A33" t="s">
        <v>1099</v>
      </c>
      <c r="C33" s="1034">
        <v>120</v>
      </c>
      <c r="F33" s="775">
        <v>1686</v>
      </c>
      <c r="Y33" s="729"/>
      <c r="Z33" s="1365" t="s">
        <v>1648</v>
      </c>
      <c r="AA33" s="1033" t="s">
        <v>1649</v>
      </c>
    </row>
    <row r="34" spans="1:27">
      <c r="A34" t="s">
        <v>1100</v>
      </c>
      <c r="C34" s="1034">
        <v>120</v>
      </c>
      <c r="F34" s="775">
        <v>2046</v>
      </c>
      <c r="X34" s="1361" t="s">
        <v>1609</v>
      </c>
      <c r="Y34" s="1363">
        <v>0.1862</v>
      </c>
      <c r="Z34" s="1366">
        <f>+Y34*Y8</f>
        <v>25.63043</v>
      </c>
      <c r="AA34" s="1364">
        <f>+Z34*0.099</f>
        <v>2.5374125700000003</v>
      </c>
    </row>
    <row r="35" spans="1:27">
      <c r="A35" t="s">
        <v>1101</v>
      </c>
      <c r="C35" s="1034">
        <v>120</v>
      </c>
      <c r="F35" s="775">
        <v>3210</v>
      </c>
      <c r="X35" s="1362" t="s">
        <v>1647</v>
      </c>
      <c r="Y35" s="1363">
        <v>0.70079999999999998</v>
      </c>
      <c r="Z35" s="1366">
        <f>+Y35*Y23</f>
        <v>340.58879999999999</v>
      </c>
      <c r="AA35" s="1364">
        <f>+Z35*0.099</f>
        <v>33.718291200000003</v>
      </c>
    </row>
    <row r="36" spans="1:27">
      <c r="A36" t="s">
        <v>282</v>
      </c>
      <c r="C36" s="1034">
        <v>47.23</v>
      </c>
      <c r="F36" s="775">
        <v>125</v>
      </c>
      <c r="X36" s="1362" t="s">
        <v>593</v>
      </c>
      <c r="Y36" s="1363">
        <v>0.113</v>
      </c>
      <c r="Z36" s="1366">
        <f>+Y36*Y24</f>
        <v>35.369</v>
      </c>
      <c r="AA36" s="1364">
        <f>+Z36*0.099</f>
        <v>3.5015309999999999</v>
      </c>
    </row>
    <row r="37" spans="1:27" ht="12" thickBot="1">
      <c r="A37" t="s">
        <v>1102</v>
      </c>
      <c r="C37" s="1034">
        <f>+C36</f>
        <v>47.23</v>
      </c>
      <c r="F37" s="775">
        <v>125</v>
      </c>
      <c r="Y37" s="1363"/>
      <c r="Z37" s="1366"/>
      <c r="AA37" s="1367">
        <f>SUM(AA34:AA36)</f>
        <v>39.757234770000004</v>
      </c>
    </row>
    <row r="38" spans="1:27">
      <c r="A38" t="s">
        <v>1103</v>
      </c>
      <c r="C38" s="1034">
        <v>30</v>
      </c>
      <c r="F38" s="1138" t="s">
        <v>1083</v>
      </c>
      <c r="Z38" s="1364"/>
    </row>
    <row r="39" spans="1:27">
      <c r="A39" t="s">
        <v>1104</v>
      </c>
      <c r="C39" s="1034">
        <v>9</v>
      </c>
      <c r="F39" s="775">
        <v>29</v>
      </c>
    </row>
    <row r="40" spans="1:27">
      <c r="A40" t="s">
        <v>1105</v>
      </c>
      <c r="C40" s="1034">
        <f>+C39</f>
        <v>9</v>
      </c>
      <c r="F40" s="775">
        <f>+F39</f>
        <v>29</v>
      </c>
    </row>
    <row r="41" spans="1:27">
      <c r="C41" s="1034"/>
      <c r="F41" s="775"/>
    </row>
    <row r="42" spans="1:27" ht="15">
      <c r="A42" s="1134" t="s">
        <v>1106</v>
      </c>
      <c r="C42" s="1034"/>
      <c r="F42" s="775"/>
    </row>
    <row r="43" spans="1:27">
      <c r="A43" t="s">
        <v>1107</v>
      </c>
      <c r="C43" s="1034">
        <v>900</v>
      </c>
      <c r="F43" s="775">
        <v>2400</v>
      </c>
    </row>
    <row r="44" spans="1:27">
      <c r="A44" t="s">
        <v>1108</v>
      </c>
      <c r="C44" s="1034">
        <v>900</v>
      </c>
      <c r="F44" s="775">
        <v>3000</v>
      </c>
    </row>
    <row r="45" spans="1:27">
      <c r="A45" t="s">
        <v>1109</v>
      </c>
      <c r="C45" s="1034">
        <v>900</v>
      </c>
      <c r="F45" s="775">
        <v>3600</v>
      </c>
    </row>
    <row r="46" spans="1:27">
      <c r="A46" t="s">
        <v>1110</v>
      </c>
      <c r="C46" s="1034">
        <v>900</v>
      </c>
      <c r="F46" s="775">
        <v>4800</v>
      </c>
    </row>
    <row r="47" spans="1:27">
      <c r="A47" t="s">
        <v>1111</v>
      </c>
      <c r="C47" s="1034">
        <v>900</v>
      </c>
      <c r="F47" s="775">
        <v>6000</v>
      </c>
    </row>
    <row r="48" spans="1:27">
      <c r="A48" t="s">
        <v>1112</v>
      </c>
      <c r="C48" s="1034">
        <v>900</v>
      </c>
      <c r="F48" s="775">
        <v>7200</v>
      </c>
    </row>
    <row r="49" spans="1:6">
      <c r="A49" t="s">
        <v>1113</v>
      </c>
      <c r="C49" s="1034">
        <v>900</v>
      </c>
      <c r="F49" s="775">
        <v>9000</v>
      </c>
    </row>
    <row r="50" spans="1:6">
      <c r="A50" t="s">
        <v>1114</v>
      </c>
      <c r="C50" s="1034">
        <v>900</v>
      </c>
      <c r="F50" s="775">
        <v>10800</v>
      </c>
    </row>
    <row r="51" spans="1:6">
      <c r="A51" t="s">
        <v>1115</v>
      </c>
      <c r="C51" s="1034">
        <v>900</v>
      </c>
      <c r="F51" s="775">
        <v>14400</v>
      </c>
    </row>
    <row r="52" spans="1:6">
      <c r="F52" s="775"/>
    </row>
    <row r="53" spans="1:6">
      <c r="F53" s="775"/>
    </row>
    <row r="54" spans="1:6">
      <c r="F54" s="775"/>
    </row>
    <row r="55" spans="1:6">
      <c r="F55" s="775"/>
    </row>
    <row r="56" spans="1:6">
      <c r="F56" s="775"/>
    </row>
    <row r="57" spans="1:6">
      <c r="F57" s="775"/>
    </row>
    <row r="58" spans="1:6">
      <c r="F58" s="775"/>
    </row>
    <row r="59" spans="1:6">
      <c r="F59" s="775"/>
    </row>
    <row r="60" spans="1:6">
      <c r="F60" s="775"/>
    </row>
    <row r="61" spans="1:6">
      <c r="F61" s="775"/>
    </row>
    <row r="62" spans="1:6">
      <c r="F62" s="775"/>
    </row>
    <row r="63" spans="1:6">
      <c r="F63" s="775"/>
    </row>
    <row r="64" spans="1:6">
      <c r="F64" s="775"/>
    </row>
    <row r="65" spans="6:6">
      <c r="F65" s="775"/>
    </row>
    <row r="66" spans="6:6">
      <c r="F66" s="775"/>
    </row>
    <row r="67" spans="6:6">
      <c r="F67" s="775"/>
    </row>
    <row r="68" spans="6:6">
      <c r="F68" s="775"/>
    </row>
    <row r="69" spans="6:6">
      <c r="F69" s="775"/>
    </row>
    <row r="70" spans="6:6">
      <c r="F70" s="775"/>
    </row>
    <row r="71" spans="6:6">
      <c r="F71" s="775"/>
    </row>
    <row r="72" spans="6:6">
      <c r="F72" s="775"/>
    </row>
    <row r="73" spans="6:6">
      <c r="F73" s="775"/>
    </row>
    <row r="74" spans="6:6">
      <c r="F74" s="775"/>
    </row>
    <row r="75" spans="6:6">
      <c r="F75" s="775"/>
    </row>
    <row r="76" spans="6:6">
      <c r="F76" s="775"/>
    </row>
    <row r="77" spans="6:6">
      <c r="F77" s="775"/>
    </row>
    <row r="78" spans="6:6">
      <c r="F78" s="775"/>
    </row>
    <row r="79" spans="6:6">
      <c r="F79" s="775"/>
    </row>
    <row r="80" spans="6:6">
      <c r="F80" s="775"/>
    </row>
    <row r="81" spans="6:6">
      <c r="F81" s="775"/>
    </row>
  </sheetData>
  <pageMargins left="0.25" right="0.25" top="0.75" bottom="0.75" header="0.3" footer="0.3"/>
  <pageSetup scale="39" fitToHeight="0" orientation="landscape"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6" tint="-0.249977111117893"/>
    <pageSetUpPr fitToPage="1"/>
  </sheetPr>
  <dimension ref="A1:AJ48"/>
  <sheetViews>
    <sheetView showGridLines="0" showOutlineSymbols="0" zoomScale="85" zoomScaleNormal="85" workbookViewId="0">
      <pane xSplit="3" ySplit="7" topLeftCell="D8" activePane="bottomRight" state="frozen"/>
      <selection activeCell="L18" sqref="L18"/>
      <selection pane="topRight" activeCell="L18" sqref="L18"/>
      <selection pane="bottomLeft" activeCell="L18" sqref="L18"/>
      <selection pane="bottomRight" activeCell="L18" sqref="L18"/>
    </sheetView>
  </sheetViews>
  <sheetFormatPr defaultColWidth="13.1640625" defaultRowHeight="12.75"/>
  <cols>
    <col min="1" max="1" width="5.6640625" style="697" customWidth="1"/>
    <col min="2" max="2" width="46.6640625" style="697" customWidth="1"/>
    <col min="3" max="3" width="17.6640625" style="698" customWidth="1"/>
    <col min="4" max="4" width="18.6640625" style="697" customWidth="1"/>
    <col min="5" max="5" width="17" style="697" customWidth="1"/>
    <col min="6" max="6" width="14.6640625" style="697" customWidth="1"/>
    <col min="7" max="7" width="14.83203125" style="697" customWidth="1"/>
    <col min="8" max="8" width="16" style="697" customWidth="1"/>
    <col min="9" max="9" width="16.5" style="697" customWidth="1"/>
    <col min="10" max="10" width="17.5" style="697" customWidth="1"/>
    <col min="11" max="11" width="17.6640625" style="697" customWidth="1"/>
    <col min="12" max="12" width="15" style="697" customWidth="1"/>
    <col min="13" max="13" width="17.5" style="697" customWidth="1"/>
    <col min="14" max="14" width="18.6640625" style="697" customWidth="1"/>
    <col min="15" max="15" width="17" style="697" customWidth="1"/>
    <col min="16" max="16" width="14.83203125" style="697" customWidth="1"/>
    <col min="17" max="17" width="16.1640625" style="697" customWidth="1"/>
    <col min="18" max="18" width="13.5" style="697" bestFit="1" customWidth="1"/>
    <col min="19" max="19" width="15.5" style="697" customWidth="1"/>
    <col min="20" max="20" width="13.5" style="697" bestFit="1" customWidth="1"/>
    <col min="21" max="21" width="16" style="697" customWidth="1"/>
    <col min="22" max="22" width="13.33203125" style="697" customWidth="1"/>
    <col min="23" max="26" width="13.1640625" style="697"/>
    <col min="27" max="27" width="19.1640625" style="697" customWidth="1"/>
    <col min="28" max="16384" width="13.1640625" style="697"/>
  </cols>
  <sheetData>
    <row r="1" spans="1:31">
      <c r="A1" s="696">
        <v>1</v>
      </c>
      <c r="D1" s="698" t="s">
        <v>345</v>
      </c>
      <c r="E1" s="698" t="s">
        <v>28</v>
      </c>
      <c r="F1" s="698" t="s">
        <v>33</v>
      </c>
      <c r="G1" s="698" t="s">
        <v>345</v>
      </c>
      <c r="H1" s="698" t="s">
        <v>31</v>
      </c>
      <c r="I1" s="698" t="s">
        <v>32</v>
      </c>
      <c r="J1" s="698" t="s">
        <v>33</v>
      </c>
      <c r="K1" s="698" t="s">
        <v>345</v>
      </c>
      <c r="L1" s="698" t="s">
        <v>34</v>
      </c>
      <c r="M1" s="698" t="s">
        <v>34</v>
      </c>
      <c r="N1" s="698" t="s">
        <v>345</v>
      </c>
      <c r="O1" s="698" t="s">
        <v>345</v>
      </c>
      <c r="P1" s="698" t="s">
        <v>36</v>
      </c>
      <c r="Q1" s="698" t="s">
        <v>346</v>
      </c>
      <c r="R1" s="698" t="s">
        <v>130</v>
      </c>
      <c r="S1" s="698" t="s">
        <v>37</v>
      </c>
      <c r="T1" s="698" t="s">
        <v>38</v>
      </c>
      <c r="U1" s="698" t="s">
        <v>347</v>
      </c>
    </row>
    <row r="2" spans="1:31">
      <c r="A2" s="696">
        <v>2</v>
      </c>
      <c r="B2" s="697" t="s">
        <v>348</v>
      </c>
      <c r="D2" s="698" t="s">
        <v>349</v>
      </c>
      <c r="E2" s="698" t="s">
        <v>40</v>
      </c>
      <c r="F2" s="698" t="s">
        <v>29</v>
      </c>
      <c r="G2" s="698" t="s">
        <v>29</v>
      </c>
      <c r="H2" s="698" t="s">
        <v>350</v>
      </c>
      <c r="I2" s="698" t="s">
        <v>44</v>
      </c>
      <c r="J2" s="698" t="s">
        <v>45</v>
      </c>
      <c r="K2" s="698" t="s">
        <v>45</v>
      </c>
      <c r="L2" s="698" t="s">
        <v>46</v>
      </c>
      <c r="M2" s="698" t="s">
        <v>152</v>
      </c>
      <c r="N2" s="698" t="s">
        <v>46</v>
      </c>
      <c r="O2" s="698" t="s">
        <v>152</v>
      </c>
      <c r="P2" s="698" t="s">
        <v>350</v>
      </c>
      <c r="Q2" s="698" t="s">
        <v>43</v>
      </c>
      <c r="R2" s="698" t="s">
        <v>351</v>
      </c>
      <c r="S2" s="698" t="s">
        <v>352</v>
      </c>
      <c r="T2" s="698" t="s">
        <v>353</v>
      </c>
      <c r="U2" s="698" t="s">
        <v>53</v>
      </c>
    </row>
    <row r="3" spans="1:31">
      <c r="A3" s="696">
        <v>3</v>
      </c>
      <c r="D3" s="698" t="s">
        <v>43</v>
      </c>
      <c r="E3" s="698" t="s">
        <v>51</v>
      </c>
      <c r="F3" s="698" t="s">
        <v>350</v>
      </c>
      <c r="G3" s="698" t="s">
        <v>350</v>
      </c>
      <c r="H3" s="698" t="s">
        <v>354</v>
      </c>
      <c r="I3" s="698"/>
      <c r="J3" s="698" t="s">
        <v>355</v>
      </c>
      <c r="K3" s="698" t="s">
        <v>355</v>
      </c>
      <c r="L3" s="698"/>
      <c r="M3" s="698"/>
      <c r="N3" s="698"/>
      <c r="O3" s="698"/>
      <c r="P3" s="698" t="s">
        <v>354</v>
      </c>
      <c r="Q3" s="698" t="s">
        <v>351</v>
      </c>
      <c r="S3" s="698" t="s">
        <v>356</v>
      </c>
      <c r="U3" s="698" t="s">
        <v>357</v>
      </c>
      <c r="V3" s="698" t="s">
        <v>21</v>
      </c>
    </row>
    <row r="4" spans="1:31">
      <c r="A4" s="696">
        <v>4</v>
      </c>
      <c r="E4" s="698"/>
      <c r="F4" s="698" t="s">
        <v>354</v>
      </c>
      <c r="G4" s="698" t="s">
        <v>354</v>
      </c>
      <c r="J4" s="698" t="s">
        <v>358</v>
      </c>
      <c r="K4" s="698" t="s">
        <v>358</v>
      </c>
      <c r="N4" s="698" t="s">
        <v>21</v>
      </c>
      <c r="P4" s="698"/>
      <c r="Q4" s="698" t="s">
        <v>359</v>
      </c>
      <c r="S4" s="698" t="s">
        <v>47</v>
      </c>
      <c r="V4" s="698" t="s">
        <v>360</v>
      </c>
    </row>
    <row r="5" spans="1:31">
      <c r="A5" s="696">
        <v>5</v>
      </c>
      <c r="B5" s="348"/>
      <c r="G5" s="698"/>
      <c r="H5" s="698"/>
      <c r="I5" s="698"/>
      <c r="J5" s="698" t="s">
        <v>361</v>
      </c>
      <c r="K5" s="698" t="s">
        <v>361</v>
      </c>
      <c r="Q5" s="698" t="s">
        <v>30</v>
      </c>
      <c r="S5" s="698"/>
      <c r="V5" s="698" t="s">
        <v>145</v>
      </c>
    </row>
    <row r="6" spans="1:31">
      <c r="A6" s="696">
        <v>6</v>
      </c>
      <c r="D6" s="699" t="s">
        <v>52</v>
      </c>
      <c r="E6" s="699"/>
      <c r="F6" s="699"/>
      <c r="G6" s="699"/>
      <c r="H6" s="699"/>
      <c r="I6" s="699"/>
      <c r="J6" s="699"/>
      <c r="K6" s="699"/>
      <c r="L6" s="699"/>
      <c r="M6" s="699"/>
      <c r="N6" s="699"/>
      <c r="O6" s="699"/>
      <c r="P6" s="699"/>
      <c r="Q6" s="699"/>
      <c r="R6" s="699"/>
      <c r="S6" s="699"/>
      <c r="T6" s="699"/>
      <c r="U6" s="699"/>
      <c r="V6" s="699"/>
    </row>
    <row r="7" spans="1:31" ht="13.5" thickBot="1">
      <c r="A7" s="697">
        <v>7</v>
      </c>
      <c r="D7" s="700" t="s">
        <v>362</v>
      </c>
      <c r="E7" s="700" t="s">
        <v>363</v>
      </c>
      <c r="F7" s="700" t="s">
        <v>364</v>
      </c>
      <c r="G7" s="700" t="s">
        <v>365</v>
      </c>
      <c r="H7" s="700" t="s">
        <v>366</v>
      </c>
      <c r="I7" s="700" t="s">
        <v>281</v>
      </c>
      <c r="J7" s="700" t="s">
        <v>367</v>
      </c>
      <c r="K7" s="700" t="s">
        <v>368</v>
      </c>
      <c r="L7" s="700" t="s">
        <v>369</v>
      </c>
      <c r="M7" s="700" t="s">
        <v>207</v>
      </c>
      <c r="N7" s="700" t="s">
        <v>370</v>
      </c>
      <c r="O7" s="700" t="s">
        <v>371</v>
      </c>
      <c r="P7" s="700" t="s">
        <v>372</v>
      </c>
      <c r="Q7" s="700" t="s">
        <v>373</v>
      </c>
      <c r="R7" s="700" t="s">
        <v>279</v>
      </c>
      <c r="S7" s="700" t="s">
        <v>374</v>
      </c>
      <c r="T7" s="700" t="s">
        <v>375</v>
      </c>
      <c r="U7" s="701" t="s">
        <v>376</v>
      </c>
      <c r="V7" s="700" t="s">
        <v>377</v>
      </c>
      <c r="AA7" s="702"/>
      <c r="AB7" s="702"/>
      <c r="AC7" s="703"/>
      <c r="AE7" s="704"/>
    </row>
    <row r="8" spans="1:31" ht="13.5" thickTop="1">
      <c r="A8" s="696">
        <v>8</v>
      </c>
      <c r="B8" s="697" t="s">
        <v>378</v>
      </c>
      <c r="AA8" s="702"/>
      <c r="AB8" s="702"/>
      <c r="AC8" s="703"/>
      <c r="AE8" s="704"/>
    </row>
    <row r="9" spans="1:31">
      <c r="A9" s="696">
        <v>9</v>
      </c>
      <c r="B9" s="697" t="s">
        <v>379</v>
      </c>
      <c r="C9" s="705"/>
      <c r="D9" s="706"/>
      <c r="E9" s="706"/>
      <c r="F9" s="706"/>
      <c r="G9" s="706"/>
      <c r="H9" s="706"/>
      <c r="I9" s="706"/>
      <c r="J9" s="706"/>
      <c r="K9" s="706"/>
      <c r="L9" s="706"/>
      <c r="M9" s="706"/>
      <c r="N9" s="706"/>
      <c r="O9" s="706"/>
      <c r="P9" s="706"/>
      <c r="Q9" s="706"/>
      <c r="R9" s="706"/>
      <c r="S9" s="706"/>
      <c r="T9" s="706"/>
      <c r="U9" s="707"/>
      <c r="V9" s="706"/>
      <c r="AA9" s="702"/>
      <c r="AB9" s="702"/>
      <c r="AC9" s="703"/>
      <c r="AE9" s="704"/>
    </row>
    <row r="10" spans="1:31">
      <c r="A10" s="696">
        <v>10</v>
      </c>
      <c r="B10" s="697" t="s">
        <v>380</v>
      </c>
      <c r="C10" s="705"/>
      <c r="D10" s="703"/>
      <c r="E10" s="703"/>
      <c r="F10" s="703"/>
      <c r="G10" s="703"/>
      <c r="H10" s="703"/>
      <c r="I10" s="703"/>
      <c r="J10" s="703"/>
      <c r="K10" s="703"/>
      <c r="L10" s="703"/>
      <c r="M10" s="703"/>
      <c r="N10" s="703"/>
      <c r="O10" s="703"/>
      <c r="P10" s="703"/>
      <c r="Q10" s="703"/>
      <c r="R10" s="703"/>
      <c r="S10" s="703"/>
      <c r="T10" s="703"/>
      <c r="U10" s="703"/>
      <c r="V10" s="703"/>
      <c r="AA10" s="702"/>
      <c r="AB10" s="702"/>
      <c r="AC10" s="703"/>
      <c r="AE10" s="704"/>
    </row>
    <row r="11" spans="1:31">
      <c r="A11" s="696">
        <v>11</v>
      </c>
      <c r="B11" s="697" t="s">
        <v>381</v>
      </c>
      <c r="C11" s="705"/>
      <c r="P11" s="703" t="s">
        <v>21</v>
      </c>
      <c r="Q11" s="703" t="s">
        <v>21</v>
      </c>
      <c r="R11" s="703" t="s">
        <v>21</v>
      </c>
      <c r="S11" s="703" t="s">
        <v>21</v>
      </c>
      <c r="T11" s="703" t="s">
        <v>21</v>
      </c>
      <c r="U11" s="703" t="s">
        <v>21</v>
      </c>
      <c r="V11" s="703" t="s">
        <v>21</v>
      </c>
      <c r="AB11" s="702"/>
      <c r="AC11" s="702"/>
      <c r="AD11" s="702"/>
    </row>
    <row r="12" spans="1:31">
      <c r="A12" s="696">
        <v>12</v>
      </c>
      <c r="B12" s="697" t="s">
        <v>382</v>
      </c>
      <c r="C12" s="694"/>
      <c r="D12" s="708"/>
      <c r="E12" s="708"/>
      <c r="F12" s="708"/>
      <c r="G12" s="708"/>
      <c r="H12" s="708"/>
      <c r="I12" s="708"/>
      <c r="J12" s="708"/>
      <c r="K12" s="708"/>
      <c r="L12" s="708"/>
      <c r="M12" s="708"/>
      <c r="N12" s="708"/>
      <c r="O12" s="708"/>
      <c r="P12" s="708" t="s">
        <v>21</v>
      </c>
      <c r="Q12" s="708" t="s">
        <v>21</v>
      </c>
      <c r="R12" s="708" t="s">
        <v>21</v>
      </c>
      <c r="S12" s="708" t="s">
        <v>21</v>
      </c>
      <c r="T12" s="708" t="s">
        <v>21</v>
      </c>
      <c r="U12" s="708" t="s">
        <v>21</v>
      </c>
      <c r="V12" s="708" t="s">
        <v>21</v>
      </c>
      <c r="AB12" s="702"/>
      <c r="AC12" s="703"/>
    </row>
    <row r="13" spans="1:31">
      <c r="A13" s="696">
        <v>13</v>
      </c>
      <c r="B13" s="697" t="s">
        <v>383</v>
      </c>
      <c r="C13" s="693">
        <f>SUM(C9:C12)</f>
        <v>0</v>
      </c>
      <c r="D13" s="708"/>
      <c r="E13" s="708"/>
      <c r="F13" s="708"/>
      <c r="G13" s="708"/>
      <c r="H13" s="708"/>
      <c r="I13" s="708"/>
      <c r="J13" s="708"/>
      <c r="K13" s="708"/>
      <c r="L13" s="708"/>
      <c r="M13" s="708"/>
      <c r="N13" s="708"/>
      <c r="O13" s="708"/>
      <c r="P13" s="708"/>
      <c r="Q13" s="708"/>
      <c r="R13" s="708"/>
      <c r="S13" s="708"/>
      <c r="T13" s="708"/>
      <c r="U13" s="708" t="s">
        <v>21</v>
      </c>
      <c r="V13" s="708" t="s">
        <v>21</v>
      </c>
    </row>
    <row r="14" spans="1:31">
      <c r="A14" s="696">
        <v>14</v>
      </c>
      <c r="C14" s="693"/>
      <c r="D14" s="708"/>
      <c r="E14" s="708"/>
      <c r="F14" s="708"/>
      <c r="G14" s="708"/>
      <c r="H14" s="708"/>
      <c r="I14" s="708"/>
      <c r="J14" s="708"/>
      <c r="K14" s="708"/>
      <c r="L14" s="708"/>
      <c r="M14" s="708"/>
      <c r="N14" s="708"/>
      <c r="O14" s="708"/>
      <c r="P14" s="708"/>
      <c r="Q14" s="708"/>
      <c r="R14" s="708"/>
      <c r="S14" s="708"/>
      <c r="T14" s="708"/>
      <c r="U14" s="708" t="s">
        <v>21</v>
      </c>
      <c r="V14" s="708" t="s">
        <v>21</v>
      </c>
      <c r="AB14" s="703"/>
    </row>
    <row r="15" spans="1:31">
      <c r="A15" s="696">
        <v>15</v>
      </c>
      <c r="B15" s="697" t="s">
        <v>384</v>
      </c>
      <c r="C15" s="693"/>
      <c r="D15" s="708"/>
      <c r="E15" s="708"/>
      <c r="F15" s="708"/>
      <c r="G15" s="708"/>
      <c r="H15" s="708"/>
      <c r="I15" s="708"/>
      <c r="J15" s="708"/>
      <c r="K15" s="708"/>
      <c r="L15" s="708"/>
      <c r="M15" s="708"/>
      <c r="N15" s="708"/>
      <c r="O15" s="708"/>
      <c r="P15" s="708"/>
      <c r="Q15" s="708"/>
      <c r="R15" s="708"/>
      <c r="S15" s="708"/>
      <c r="T15" s="708"/>
      <c r="U15" s="708" t="s">
        <v>21</v>
      </c>
      <c r="V15" s="708" t="s">
        <v>21</v>
      </c>
    </row>
    <row r="16" spans="1:31">
      <c r="A16" s="696">
        <v>16</v>
      </c>
      <c r="B16" s="697" t="s">
        <v>385</v>
      </c>
      <c r="C16" s="694">
        <f>SUM(Proforma!N115:N118,Proforma!N121:N128,Proforma!N131:N139,Proforma!N141:N142)-Proforma!N126</f>
        <v>36533.329617283423</v>
      </c>
      <c r="D16" s="708"/>
      <c r="E16" s="708"/>
      <c r="F16" s="708"/>
      <c r="G16" s="708"/>
      <c r="H16" s="708"/>
      <c r="I16" s="708"/>
      <c r="J16" s="708">
        <f>+C16-K16-L16-N16</f>
        <v>27272.630903416866</v>
      </c>
      <c r="K16" s="709">
        <f>C16*('COS (Rec)'!$W$6/('COS (Rec)'!$Y$6+'COS (Rec)'!$W$6))</f>
        <v>0</v>
      </c>
      <c r="L16" s="709">
        <f>SUM(Proforma!Q131:Q139)-N16</f>
        <v>9260.6987138665554</v>
      </c>
      <c r="M16" s="708"/>
      <c r="N16" s="709"/>
      <c r="O16" s="708"/>
      <c r="P16" s="708"/>
      <c r="Q16" s="708"/>
      <c r="R16" s="708"/>
      <c r="S16" s="708"/>
      <c r="T16" s="708"/>
      <c r="U16" s="708">
        <f>SUM(D16:T16)</f>
        <v>36533.329617283423</v>
      </c>
      <c r="V16" s="708">
        <f t="shared" ref="V16:V42" si="0">C16-U16</f>
        <v>0</v>
      </c>
    </row>
    <row r="17" spans="1:36">
      <c r="A17" s="696">
        <v>17</v>
      </c>
      <c r="B17" s="697" t="s">
        <v>386</v>
      </c>
      <c r="C17" s="694">
        <f>SUM(Proforma!N119:N120)</f>
        <v>12571.220322245219</v>
      </c>
      <c r="D17" s="708"/>
      <c r="E17" s="708"/>
      <c r="F17" s="708"/>
      <c r="G17" s="708"/>
      <c r="H17" s="708"/>
      <c r="I17" s="708"/>
      <c r="J17" s="708">
        <f>+C17-K17</f>
        <v>12571.220322245219</v>
      </c>
      <c r="K17" s="709">
        <f>C17*('COS (Rec)'!$W$6/('COS (Rec)'!$Y$6+'COS (Rec)'!$W$6))</f>
        <v>0</v>
      </c>
      <c r="L17" s="708"/>
      <c r="M17" s="708"/>
      <c r="N17" s="708"/>
      <c r="O17" s="708"/>
      <c r="P17" s="708"/>
      <c r="Q17" s="708"/>
      <c r="R17" s="708"/>
      <c r="S17" s="708"/>
      <c r="T17" s="708"/>
      <c r="U17" s="708">
        <f t="shared" ref="U17:U42" si="1">SUM(D17:T17)</f>
        <v>12571.220322245219</v>
      </c>
      <c r="V17" s="708">
        <f t="shared" si="0"/>
        <v>0</v>
      </c>
    </row>
    <row r="18" spans="1:36">
      <c r="A18" s="696">
        <v>18</v>
      </c>
      <c r="B18" s="697" t="s">
        <v>387</v>
      </c>
      <c r="C18" s="694">
        <f>Proforma!N72-Proforma!N44-Proforma!N60</f>
        <v>326572.11523572897</v>
      </c>
      <c r="D18" s="708"/>
      <c r="E18" s="708"/>
      <c r="F18" s="708">
        <f>+C18-G18</f>
        <v>326572.11523572897</v>
      </c>
      <c r="G18" s="709">
        <f>C18*('COS (Rec)'!$W$6/('COS (Rec)'!$Y$6+'COS (Rec)'!$W$6))</f>
        <v>0</v>
      </c>
      <c r="H18" s="708"/>
      <c r="I18" s="708"/>
      <c r="J18" s="708"/>
      <c r="K18" s="708"/>
      <c r="L18" s="708"/>
      <c r="M18" s="708"/>
      <c r="N18" s="708"/>
      <c r="O18" s="708"/>
      <c r="P18" s="708"/>
      <c r="Q18" s="708"/>
      <c r="R18" s="708"/>
      <c r="S18" s="708"/>
      <c r="T18" s="708"/>
      <c r="U18" s="708">
        <f t="shared" si="1"/>
        <v>326572.11523572897</v>
      </c>
      <c r="V18" s="708">
        <f t="shared" si="0"/>
        <v>0</v>
      </c>
      <c r="AJ18" s="704"/>
    </row>
    <row r="19" spans="1:36">
      <c r="A19" s="696">
        <v>19</v>
      </c>
      <c r="B19" s="697" t="s">
        <v>388</v>
      </c>
      <c r="C19" s="694">
        <f>(Proforma!N126+Proforma!N140)-Proforma!N80-Proforma!N92</f>
        <v>49988.863765719223</v>
      </c>
      <c r="D19" s="708"/>
      <c r="E19" s="708"/>
      <c r="F19" s="708"/>
      <c r="G19" s="708"/>
      <c r="H19" s="708">
        <f>C19-L19</f>
        <v>49988.863765719223</v>
      </c>
      <c r="I19" s="708"/>
      <c r="J19" s="708"/>
      <c r="K19" s="682">
        <v>0</v>
      </c>
      <c r="L19" s="683"/>
      <c r="M19" s="708"/>
      <c r="N19" s="709"/>
      <c r="O19" s="708"/>
      <c r="P19" s="708"/>
      <c r="Q19" s="708"/>
      <c r="R19" s="708"/>
      <c r="S19" s="708"/>
      <c r="T19" s="708"/>
      <c r="U19" s="708">
        <f t="shared" si="1"/>
        <v>49988.863765719223</v>
      </c>
      <c r="V19" s="708">
        <f t="shared" si="0"/>
        <v>0</v>
      </c>
      <c r="AJ19" s="704"/>
    </row>
    <row r="20" spans="1:36">
      <c r="A20" s="696">
        <v>20</v>
      </c>
      <c r="B20" s="697" t="s">
        <v>389</v>
      </c>
      <c r="C20" s="694">
        <f>SUM(Proforma!N100:N101)</f>
        <v>57562.321151697106</v>
      </c>
      <c r="D20" s="708"/>
      <c r="E20" s="708"/>
      <c r="F20" s="708"/>
      <c r="G20" s="708"/>
      <c r="H20" s="708"/>
      <c r="I20" s="708"/>
      <c r="J20" s="708">
        <f>C20-K20</f>
        <v>57562.321151697106</v>
      </c>
      <c r="K20" s="709">
        <f>+C20*('COS (Rec)'!W6/('COS (Rec)'!Y6+'COS (Rec)'!W6))</f>
        <v>0</v>
      </c>
      <c r="L20" s="708"/>
      <c r="M20" s="708"/>
      <c r="N20" s="708"/>
      <c r="O20" s="708"/>
      <c r="P20" s="708"/>
      <c r="Q20" s="708"/>
      <c r="R20" s="708"/>
      <c r="S20" s="708"/>
      <c r="T20" s="708"/>
      <c r="U20" s="708">
        <f t="shared" si="1"/>
        <v>57562.321151697106</v>
      </c>
      <c r="V20" s="708">
        <f t="shared" si="0"/>
        <v>0</v>
      </c>
      <c r="AJ20" s="704"/>
    </row>
    <row r="21" spans="1:36">
      <c r="A21" s="697">
        <v>21</v>
      </c>
      <c r="B21" s="697" t="s">
        <v>390</v>
      </c>
      <c r="C21" s="694">
        <f>SUM(Proforma!N103:N112,Proforma!N172:N181)</f>
        <v>8120.6673870817049</v>
      </c>
      <c r="D21" s="708"/>
      <c r="E21" s="708"/>
      <c r="F21" s="708"/>
      <c r="G21" s="708"/>
      <c r="H21" s="708"/>
      <c r="I21" s="708">
        <f>C21</f>
        <v>8120.6673870817049</v>
      </c>
      <c r="J21" s="708"/>
      <c r="K21" s="708"/>
      <c r="L21" s="708"/>
      <c r="M21" s="708"/>
      <c r="N21" s="708"/>
      <c r="O21" s="708"/>
      <c r="P21" s="708"/>
      <c r="Q21" s="708"/>
      <c r="R21" s="708"/>
      <c r="S21" s="708"/>
      <c r="T21" s="708"/>
      <c r="U21" s="708">
        <f t="shared" si="1"/>
        <v>8120.6673870817049</v>
      </c>
      <c r="V21" s="708">
        <f t="shared" si="0"/>
        <v>0</v>
      </c>
      <c r="AJ21" s="704"/>
    </row>
    <row r="22" spans="1:36">
      <c r="A22" s="696">
        <v>22</v>
      </c>
      <c r="B22" s="697" t="s">
        <v>391</v>
      </c>
      <c r="C22" s="694"/>
      <c r="D22" s="708"/>
      <c r="E22" s="708"/>
      <c r="F22" s="708"/>
      <c r="G22" s="708"/>
      <c r="H22" s="708"/>
      <c r="I22" s="708"/>
      <c r="J22" s="708"/>
      <c r="K22" s="708"/>
      <c r="L22" s="708"/>
      <c r="M22" s="708"/>
      <c r="N22" s="708"/>
      <c r="O22" s="708"/>
      <c r="P22" s="708"/>
      <c r="Q22" s="708"/>
      <c r="R22" s="708"/>
      <c r="S22" s="708"/>
      <c r="T22" s="708"/>
      <c r="U22" s="708">
        <f t="shared" si="1"/>
        <v>0</v>
      </c>
      <c r="V22" s="708">
        <f t="shared" si="0"/>
        <v>0</v>
      </c>
    </row>
    <row r="23" spans="1:36">
      <c r="A23" s="696">
        <v>23</v>
      </c>
      <c r="B23" s="697" t="s">
        <v>392</v>
      </c>
      <c r="C23" s="694">
        <f>Proforma!N24-Proforma!N12</f>
        <v>287357.24795915699</v>
      </c>
      <c r="D23" s="708"/>
      <c r="E23" s="708"/>
      <c r="F23" s="708"/>
      <c r="G23" s="708"/>
      <c r="H23" s="708"/>
      <c r="I23" s="708"/>
      <c r="J23" s="708"/>
      <c r="K23" s="708"/>
      <c r="L23" s="708"/>
      <c r="M23" s="708"/>
      <c r="N23" s="708"/>
      <c r="O23" s="708"/>
      <c r="P23" s="708"/>
      <c r="Q23" s="708">
        <f>C23</f>
        <v>287357.24795915699</v>
      </c>
      <c r="R23" s="708"/>
      <c r="S23" s="708"/>
      <c r="T23" s="708"/>
      <c r="U23" s="708">
        <f t="shared" si="1"/>
        <v>287357.24795915699</v>
      </c>
      <c r="V23" s="708">
        <f t="shared" si="0"/>
        <v>0</v>
      </c>
    </row>
    <row r="24" spans="1:36">
      <c r="A24" s="696">
        <v>24</v>
      </c>
      <c r="B24" s="697" t="s">
        <v>393</v>
      </c>
      <c r="C24" s="694">
        <f>Proforma!N12</f>
        <v>0</v>
      </c>
      <c r="D24" s="708">
        <f>C24</f>
        <v>0</v>
      </c>
      <c r="E24" s="708"/>
      <c r="F24" s="708"/>
      <c r="G24" s="708"/>
      <c r="H24" s="708"/>
      <c r="I24" s="708"/>
      <c r="J24" s="708"/>
      <c r="K24" s="708"/>
      <c r="L24" s="708"/>
      <c r="M24" s="708"/>
      <c r="N24" s="708"/>
      <c r="O24" s="708"/>
      <c r="P24" s="708"/>
      <c r="Q24" s="708"/>
      <c r="R24" s="708"/>
      <c r="S24" s="708"/>
      <c r="T24" s="708"/>
      <c r="U24" s="708">
        <f t="shared" si="1"/>
        <v>0</v>
      </c>
      <c r="V24" s="708">
        <f t="shared" si="0"/>
        <v>0</v>
      </c>
    </row>
    <row r="25" spans="1:36">
      <c r="A25" s="696">
        <v>25</v>
      </c>
      <c r="B25" s="697" t="s">
        <v>394</v>
      </c>
      <c r="C25" s="694">
        <f>Proforma!N262+Proforma!N227</f>
        <v>5117.5215916020234</v>
      </c>
      <c r="D25" s="708"/>
      <c r="E25" s="708">
        <f>C25</f>
        <v>5117.5215916020234</v>
      </c>
      <c r="F25" s="708"/>
      <c r="G25" s="708"/>
      <c r="H25" s="708"/>
      <c r="I25" s="708"/>
      <c r="J25" s="708"/>
      <c r="K25" s="708"/>
      <c r="L25" s="708"/>
      <c r="M25" s="708"/>
      <c r="N25" s="708"/>
      <c r="O25" s="708"/>
      <c r="P25" s="708"/>
      <c r="Q25" s="708"/>
      <c r="R25" s="708"/>
      <c r="S25" s="708"/>
      <c r="T25" s="708"/>
      <c r="U25" s="708">
        <f t="shared" si="1"/>
        <v>5117.5215916020234</v>
      </c>
      <c r="V25" s="708">
        <f t="shared" si="0"/>
        <v>0</v>
      </c>
    </row>
    <row r="26" spans="1:36">
      <c r="A26" s="697">
        <v>26</v>
      </c>
      <c r="B26" s="697" t="s">
        <v>395</v>
      </c>
      <c r="C26" s="694">
        <f>Proforma!N158</f>
        <v>38285.921947888673</v>
      </c>
      <c r="D26" s="708"/>
      <c r="E26" s="708"/>
      <c r="F26" s="708"/>
      <c r="G26" s="708"/>
      <c r="H26" s="708"/>
      <c r="I26" s="708"/>
      <c r="J26" s="708">
        <f>C26-K26</f>
        <v>38285.921947888673</v>
      </c>
      <c r="K26" s="709">
        <f>+C26*('COS (Rec)'!W6/('COS (Rec)'!Y6+'COS (Rec)'!W6))</f>
        <v>0</v>
      </c>
      <c r="L26" s="708"/>
      <c r="M26" s="708"/>
      <c r="N26" s="708"/>
      <c r="O26" s="708"/>
      <c r="P26" s="708"/>
      <c r="Q26" s="708"/>
      <c r="R26" s="708"/>
      <c r="S26" s="708"/>
      <c r="T26" s="708"/>
      <c r="U26" s="708">
        <f t="shared" si="1"/>
        <v>38285.921947888673</v>
      </c>
      <c r="V26" s="708">
        <f t="shared" si="0"/>
        <v>0</v>
      </c>
    </row>
    <row r="27" spans="1:36">
      <c r="A27" s="697">
        <v>27</v>
      </c>
      <c r="B27" s="697" t="s">
        <v>396</v>
      </c>
      <c r="C27" s="694">
        <f>Proforma!N44+Proforma!N60+Proforma!N80+Proforma!N92+Proforma!N211+Proforma!N238</f>
        <v>27522.496017906837</v>
      </c>
      <c r="D27" s="708"/>
      <c r="E27" s="708">
        <f>+Proforma!Q213+Proforma!Q242</f>
        <v>2485.4021645060184</v>
      </c>
      <c r="F27" s="708">
        <f>+C27-E27-G27-H27-L27</f>
        <v>-1600.5494393155095</v>
      </c>
      <c r="G27" s="709">
        <f>C27*('COS (Rec)'!$W$6/('COS (Rec)'!$Y$6+'COS (Rec)'!$W$6))</f>
        <v>0</v>
      </c>
      <c r="H27" s="708">
        <f>Proforma!Q84+Proforma!Q96</f>
        <v>26637.643292716326</v>
      </c>
      <c r="I27" s="708"/>
      <c r="J27" s="708"/>
      <c r="K27" s="708"/>
      <c r="L27" s="708"/>
      <c r="M27" s="708"/>
      <c r="N27" s="708"/>
      <c r="O27" s="708"/>
      <c r="P27" s="708">
        <v>0</v>
      </c>
      <c r="Q27" s="708"/>
      <c r="R27" s="708"/>
      <c r="S27" s="708"/>
      <c r="T27" s="708"/>
      <c r="U27" s="708">
        <f t="shared" si="1"/>
        <v>27522.496017906837</v>
      </c>
      <c r="V27" s="708">
        <f t="shared" si="0"/>
        <v>0</v>
      </c>
    </row>
    <row r="28" spans="1:36">
      <c r="A28" s="697">
        <v>28</v>
      </c>
      <c r="B28" s="697" t="s">
        <v>397</v>
      </c>
      <c r="C28" s="694">
        <v>0</v>
      </c>
      <c r="D28" s="708"/>
      <c r="E28" s="708"/>
      <c r="F28" s="708"/>
      <c r="G28" s="708"/>
      <c r="H28" s="708"/>
      <c r="I28" s="708"/>
      <c r="J28" s="708"/>
      <c r="K28" s="708"/>
      <c r="L28" s="708"/>
      <c r="M28" s="708"/>
      <c r="N28" s="708"/>
      <c r="O28" s="708"/>
      <c r="P28" s="708">
        <f>C28</f>
        <v>0</v>
      </c>
      <c r="Q28" s="708"/>
      <c r="R28" s="708"/>
      <c r="S28" s="708"/>
      <c r="T28" s="708"/>
      <c r="U28" s="708">
        <f t="shared" si="1"/>
        <v>0</v>
      </c>
      <c r="V28" s="708">
        <f t="shared" si="0"/>
        <v>0</v>
      </c>
    </row>
    <row r="29" spans="1:36">
      <c r="A29" s="697">
        <v>29</v>
      </c>
      <c r="B29" s="697" t="s">
        <v>398</v>
      </c>
      <c r="C29" s="694">
        <f>Proforma!N217+Proforma!N243-Proforma!N211-Proforma!N238</f>
        <v>45389.184230374725</v>
      </c>
      <c r="D29" s="708"/>
      <c r="E29" s="708">
        <f>C29</f>
        <v>45389.184230374725</v>
      </c>
      <c r="F29" s="708"/>
      <c r="G29" s="708"/>
      <c r="H29" s="708"/>
      <c r="I29" s="708"/>
      <c r="J29" s="708"/>
      <c r="K29" s="708"/>
      <c r="L29" s="708"/>
      <c r="M29" s="708"/>
      <c r="N29" s="708"/>
      <c r="O29" s="708"/>
      <c r="P29" s="708"/>
      <c r="Q29" s="708"/>
      <c r="R29" s="708"/>
      <c r="S29" s="708"/>
      <c r="T29" s="708"/>
      <c r="U29" s="708">
        <f t="shared" si="1"/>
        <v>45389.184230374725</v>
      </c>
      <c r="V29" s="708">
        <f t="shared" si="0"/>
        <v>0</v>
      </c>
    </row>
    <row r="30" spans="1:36">
      <c r="A30" s="696">
        <v>30</v>
      </c>
      <c r="B30" s="697" t="s">
        <v>399</v>
      </c>
      <c r="C30" s="694">
        <f>Proforma!N229+Proforma!N286-C25-C31-C42</f>
        <v>42779.325417515043</v>
      </c>
      <c r="D30" s="708"/>
      <c r="E30" s="708">
        <f>C30</f>
        <v>42779.325417515043</v>
      </c>
      <c r="F30" s="708"/>
      <c r="G30" s="708"/>
      <c r="H30" s="708"/>
      <c r="I30" s="708"/>
      <c r="J30" s="708"/>
      <c r="K30" s="708"/>
      <c r="L30" s="708"/>
      <c r="M30" s="708"/>
      <c r="N30" s="708"/>
      <c r="O30" s="708"/>
      <c r="P30" s="708"/>
      <c r="Q30" s="708"/>
      <c r="R30" s="708"/>
      <c r="S30" s="708"/>
      <c r="T30" s="708"/>
      <c r="U30" s="708">
        <f t="shared" si="1"/>
        <v>42779.325417515043</v>
      </c>
      <c r="V30" s="708">
        <f t="shared" si="0"/>
        <v>0</v>
      </c>
    </row>
    <row r="31" spans="1:36">
      <c r="A31" s="696">
        <v>31</v>
      </c>
      <c r="B31" s="697" t="s">
        <v>400</v>
      </c>
      <c r="C31" s="694">
        <f>SUM(Proforma!N267:N268)</f>
        <v>6942.5405473124229</v>
      </c>
      <c r="D31" s="708"/>
      <c r="E31" s="708">
        <f>C31</f>
        <v>6942.5405473124229</v>
      </c>
      <c r="F31" s="708"/>
      <c r="G31" s="708"/>
      <c r="H31" s="708"/>
      <c r="I31" s="708"/>
      <c r="J31" s="708"/>
      <c r="K31" s="708"/>
      <c r="L31" s="708"/>
      <c r="M31" s="708"/>
      <c r="N31" s="708"/>
      <c r="O31" s="708"/>
      <c r="P31" s="708"/>
      <c r="Q31" s="708"/>
      <c r="R31" s="708"/>
      <c r="S31" s="708"/>
      <c r="T31" s="708"/>
      <c r="U31" s="708">
        <f t="shared" si="1"/>
        <v>6942.5405473124229</v>
      </c>
      <c r="V31" s="708">
        <f t="shared" si="0"/>
        <v>0</v>
      </c>
    </row>
    <row r="32" spans="1:36">
      <c r="A32" s="696">
        <v>32</v>
      </c>
      <c r="B32" s="697" t="s">
        <v>192</v>
      </c>
      <c r="C32" s="694">
        <f>Proforma!N164</f>
        <v>3899.7828957746951</v>
      </c>
      <c r="D32" s="708"/>
      <c r="E32" s="708">
        <f>C32</f>
        <v>3899.7828957746951</v>
      </c>
      <c r="F32" s="708"/>
      <c r="G32" s="708"/>
      <c r="H32" s="708"/>
      <c r="I32" s="708"/>
      <c r="J32" s="708"/>
      <c r="K32" s="708"/>
      <c r="L32" s="708"/>
      <c r="M32" s="708"/>
      <c r="N32" s="708"/>
      <c r="O32" s="708"/>
      <c r="P32" s="708"/>
      <c r="Q32" s="708"/>
      <c r="R32" s="708"/>
      <c r="S32" s="708"/>
      <c r="T32" s="708"/>
      <c r="U32" s="708">
        <f t="shared" si="1"/>
        <v>3899.7828957746951</v>
      </c>
      <c r="V32" s="708">
        <f t="shared" si="0"/>
        <v>0</v>
      </c>
    </row>
    <row r="33" spans="1:22">
      <c r="A33" s="696">
        <v>33</v>
      </c>
      <c r="B33" s="697" t="s">
        <v>401</v>
      </c>
      <c r="C33" s="694"/>
      <c r="D33" s="708"/>
      <c r="E33" s="708">
        <v>0</v>
      </c>
      <c r="F33" s="708">
        <v>0</v>
      </c>
      <c r="G33" s="708">
        <v>0</v>
      </c>
      <c r="H33" s="708">
        <v>0</v>
      </c>
      <c r="I33" s="708"/>
      <c r="J33" s="708"/>
      <c r="K33" s="708"/>
      <c r="L33" s="708"/>
      <c r="M33" s="708"/>
      <c r="N33" s="708"/>
      <c r="O33" s="708"/>
      <c r="P33" s="708">
        <v>0</v>
      </c>
      <c r="Q33" s="708"/>
      <c r="R33" s="708"/>
      <c r="S33" s="708"/>
      <c r="T33" s="708"/>
      <c r="U33" s="708">
        <f t="shared" si="1"/>
        <v>0</v>
      </c>
      <c r="V33" s="708">
        <f t="shared" si="0"/>
        <v>0</v>
      </c>
    </row>
    <row r="34" spans="1:22">
      <c r="A34" s="696">
        <v>35</v>
      </c>
      <c r="B34" s="697" t="s">
        <v>402</v>
      </c>
      <c r="C34" s="694">
        <f>Proforma!N29</f>
        <v>4857.9478920000001</v>
      </c>
      <c r="D34" s="708"/>
      <c r="E34" s="708"/>
      <c r="F34" s="708"/>
      <c r="G34" s="708"/>
      <c r="H34" s="708"/>
      <c r="I34" s="708"/>
      <c r="J34" s="708"/>
      <c r="K34" s="708"/>
      <c r="L34" s="708"/>
      <c r="M34" s="708"/>
      <c r="N34" s="708"/>
      <c r="O34" s="708"/>
      <c r="P34" s="708"/>
      <c r="Q34" s="708"/>
      <c r="R34" s="708">
        <f>C34</f>
        <v>4857.9478920000001</v>
      </c>
      <c r="S34" s="708"/>
      <c r="T34" s="708"/>
      <c r="U34" s="708">
        <f t="shared" si="1"/>
        <v>4857.9478920000001</v>
      </c>
      <c r="V34" s="708">
        <f t="shared" si="0"/>
        <v>0</v>
      </c>
    </row>
    <row r="35" spans="1:22">
      <c r="A35" s="696">
        <v>36</v>
      </c>
      <c r="B35" s="697" t="s">
        <v>403</v>
      </c>
      <c r="C35" s="694">
        <v>0</v>
      </c>
      <c r="D35" s="708"/>
      <c r="E35" s="708">
        <f>C35</f>
        <v>0</v>
      </c>
      <c r="F35" s="708"/>
      <c r="G35" s="708"/>
      <c r="H35" s="708"/>
      <c r="I35" s="708"/>
      <c r="J35" s="708"/>
      <c r="K35" s="708"/>
      <c r="L35" s="708"/>
      <c r="M35" s="708"/>
      <c r="N35" s="708"/>
      <c r="O35" s="708"/>
      <c r="P35" s="708"/>
      <c r="Q35" s="708"/>
      <c r="R35" s="708"/>
      <c r="S35" s="708"/>
      <c r="T35" s="708"/>
      <c r="U35" s="708">
        <f t="shared" si="1"/>
        <v>0</v>
      </c>
      <c r="V35" s="708">
        <f t="shared" si="0"/>
        <v>0</v>
      </c>
    </row>
    <row r="36" spans="1:22">
      <c r="A36" s="696">
        <v>38</v>
      </c>
      <c r="B36" s="697" t="s">
        <v>404</v>
      </c>
      <c r="C36" s="694">
        <f>Proforma!N186</f>
        <v>90872.099999502054</v>
      </c>
      <c r="D36" s="708"/>
      <c r="E36" s="708"/>
      <c r="F36" s="708"/>
      <c r="G36" s="708"/>
      <c r="H36" s="708"/>
      <c r="I36" s="708"/>
      <c r="J36" s="708">
        <f>+SUM([11]Summary!$G$53:$G$54)</f>
        <v>95807.11633627853</v>
      </c>
      <c r="K36" s="681">
        <v>0</v>
      </c>
      <c r="L36" s="708"/>
      <c r="M36" s="708"/>
      <c r="N36" s="708"/>
      <c r="O36" s="708"/>
      <c r="P36" s="708"/>
      <c r="Q36" s="708"/>
      <c r="R36" s="708"/>
      <c r="S36" s="708"/>
      <c r="T36" s="708"/>
      <c r="U36" s="708">
        <f t="shared" si="1"/>
        <v>95807.11633627853</v>
      </c>
      <c r="V36" s="708">
        <f t="shared" si="0"/>
        <v>-4935.0163367764762</v>
      </c>
    </row>
    <row r="37" spans="1:22">
      <c r="A37" s="696">
        <v>39</v>
      </c>
      <c r="B37" s="697" t="s">
        <v>405</v>
      </c>
      <c r="C37" s="694">
        <f>Proforma!N187</f>
        <v>24479.74035468329</v>
      </c>
      <c r="D37" s="708"/>
      <c r="E37" s="708"/>
      <c r="F37" s="708"/>
      <c r="G37" s="708"/>
      <c r="H37" s="708"/>
      <c r="I37" s="708"/>
      <c r="J37" s="708"/>
      <c r="K37" s="708"/>
      <c r="L37" s="708"/>
      <c r="M37" s="708">
        <f>+[11]Summary!$G$50</f>
        <v>15463.977702819882</v>
      </c>
      <c r="N37" s="708"/>
      <c r="O37" s="710"/>
      <c r="P37" s="708"/>
      <c r="Q37" s="708"/>
      <c r="R37" s="708"/>
      <c r="S37" s="708"/>
      <c r="T37" s="708"/>
      <c r="U37" s="708">
        <f t="shared" si="1"/>
        <v>15463.977702819882</v>
      </c>
      <c r="V37" s="708">
        <f t="shared" si="0"/>
        <v>9015.7626518634079</v>
      </c>
    </row>
    <row r="38" spans="1:22">
      <c r="A38" s="696">
        <v>40</v>
      </c>
      <c r="B38" s="697" t="s">
        <v>406</v>
      </c>
      <c r="C38" s="694">
        <f>SUM(Proforma!N188:N194)</f>
        <v>5126.0051363283592</v>
      </c>
      <c r="D38" s="708"/>
      <c r="E38" s="708"/>
      <c r="F38" s="708"/>
      <c r="G38" s="708"/>
      <c r="H38" s="708"/>
      <c r="I38" s="708">
        <f>C38</f>
        <v>5126.0051363283592</v>
      </c>
      <c r="J38" s="708"/>
      <c r="K38" s="708"/>
      <c r="L38" s="708"/>
      <c r="M38" s="708"/>
      <c r="N38" s="708"/>
      <c r="O38" s="708"/>
      <c r="P38" s="708"/>
      <c r="Q38" s="708"/>
      <c r="R38" s="708"/>
      <c r="S38" s="708"/>
      <c r="T38" s="708"/>
      <c r="U38" s="708">
        <f t="shared" si="1"/>
        <v>5126.0051363283592</v>
      </c>
      <c r="V38" s="708">
        <f t="shared" si="0"/>
        <v>0</v>
      </c>
    </row>
    <row r="39" spans="1:22">
      <c r="A39" s="696">
        <v>42</v>
      </c>
      <c r="B39" s="697" t="s">
        <v>407</v>
      </c>
      <c r="C39" s="694">
        <f>Proforma!N102</f>
        <v>3915.9575532220065</v>
      </c>
      <c r="D39" s="708"/>
      <c r="E39" s="708"/>
      <c r="F39" s="708"/>
      <c r="G39" s="708"/>
      <c r="H39" s="708"/>
      <c r="I39" s="708"/>
      <c r="J39" s="708">
        <f>C39-K39</f>
        <v>3915.9575532220065</v>
      </c>
      <c r="K39" s="709">
        <f>C39*('COS (Rec)'!$W$6/('COS (Rec)'!$Y$6+'COS (Rec)'!$W$6))</f>
        <v>0</v>
      </c>
      <c r="L39" s="708"/>
      <c r="M39" s="708"/>
      <c r="N39" s="708"/>
      <c r="O39" s="708"/>
      <c r="P39" s="708"/>
      <c r="Q39" s="708"/>
      <c r="R39" s="708"/>
      <c r="S39" s="708"/>
      <c r="T39" s="708"/>
      <c r="U39" s="708">
        <f t="shared" si="1"/>
        <v>3915.9575532220065</v>
      </c>
      <c r="V39" s="708">
        <f t="shared" si="0"/>
        <v>0</v>
      </c>
    </row>
    <row r="40" spans="1:22">
      <c r="A40" s="696">
        <v>47</v>
      </c>
      <c r="B40" s="697" t="s">
        <v>408</v>
      </c>
      <c r="C40" s="694">
        <f>Proforma!N171</f>
        <v>17045.431199999999</v>
      </c>
      <c r="D40" s="708"/>
      <c r="E40" s="708"/>
      <c r="F40" s="708"/>
      <c r="G40" s="708"/>
      <c r="H40" s="708"/>
      <c r="I40" s="708"/>
      <c r="J40" s="708"/>
      <c r="K40" s="708"/>
      <c r="L40" s="708"/>
      <c r="M40" s="708"/>
      <c r="N40" s="708"/>
      <c r="O40" s="708"/>
      <c r="P40" s="708"/>
      <c r="Q40" s="708"/>
      <c r="R40" s="710"/>
      <c r="S40" s="708">
        <f>+C40</f>
        <v>17045.431199999999</v>
      </c>
      <c r="T40" s="708"/>
      <c r="U40" s="708">
        <f t="shared" si="1"/>
        <v>17045.431199999999</v>
      </c>
      <c r="V40" s="708">
        <f t="shared" si="0"/>
        <v>0</v>
      </c>
    </row>
    <row r="41" spans="1:22">
      <c r="A41" s="697">
        <v>49</v>
      </c>
      <c r="B41" s="697" t="s">
        <v>409</v>
      </c>
      <c r="C41" s="694">
        <f>Proforma!N169-Proforma!N164</f>
        <v>24725.295601106554</v>
      </c>
      <c r="D41" s="708"/>
      <c r="E41" s="708">
        <f>C41</f>
        <v>24725.295601106554</v>
      </c>
      <c r="F41" s="708"/>
      <c r="G41" s="708"/>
      <c r="H41" s="708"/>
      <c r="I41" s="708"/>
      <c r="J41" s="708"/>
      <c r="K41" s="708"/>
      <c r="L41" s="708"/>
      <c r="M41" s="708"/>
      <c r="N41" s="708"/>
      <c r="O41" s="708"/>
      <c r="P41" s="708"/>
      <c r="Q41" s="708"/>
      <c r="R41" s="708"/>
      <c r="S41" s="708"/>
      <c r="T41" s="708"/>
      <c r="U41" s="708">
        <f t="shared" si="1"/>
        <v>24725.295601106554</v>
      </c>
      <c r="V41" s="708">
        <f t="shared" si="0"/>
        <v>0</v>
      </c>
    </row>
    <row r="42" spans="1:22">
      <c r="A42" s="696">
        <v>53</v>
      </c>
      <c r="B42" s="697" t="s">
        <v>410</v>
      </c>
      <c r="C42" s="695">
        <f>Proforma!N282</f>
        <v>1720.1619802382679</v>
      </c>
      <c r="D42" s="711"/>
      <c r="E42" s="711"/>
      <c r="F42" s="711"/>
      <c r="G42" s="711"/>
      <c r="H42" s="711"/>
      <c r="I42" s="711"/>
      <c r="J42" s="711"/>
      <c r="K42" s="711"/>
      <c r="L42" s="711"/>
      <c r="M42" s="711"/>
      <c r="N42" s="711"/>
      <c r="O42" s="711"/>
      <c r="P42" s="711"/>
      <c r="Q42" s="711"/>
      <c r="R42" s="711"/>
      <c r="S42" s="711"/>
      <c r="T42" s="711">
        <f>+C42</f>
        <v>1720.1619802382679</v>
      </c>
      <c r="U42" s="711">
        <f t="shared" si="1"/>
        <v>1720.1619802382679</v>
      </c>
      <c r="V42" s="711">
        <f t="shared" si="0"/>
        <v>0</v>
      </c>
    </row>
    <row r="43" spans="1:22" ht="13.5" thickBot="1">
      <c r="A43" s="697">
        <v>54</v>
      </c>
      <c r="B43" s="697" t="s">
        <v>411</v>
      </c>
      <c r="C43" s="712">
        <f t="shared" ref="C43:U43" si="2">SUM(C16:C42)</f>
        <v>1121385.1778043676</v>
      </c>
      <c r="D43" s="712">
        <f t="shared" si="2"/>
        <v>0</v>
      </c>
      <c r="E43" s="712">
        <f t="shared" si="2"/>
        <v>131339.05244819151</v>
      </c>
      <c r="F43" s="712">
        <f t="shared" si="2"/>
        <v>324971.56579641346</v>
      </c>
      <c r="G43" s="712">
        <f t="shared" si="2"/>
        <v>0</v>
      </c>
      <c r="H43" s="712">
        <f t="shared" si="2"/>
        <v>76626.507058435556</v>
      </c>
      <c r="I43" s="712">
        <f t="shared" si="2"/>
        <v>13246.672523410063</v>
      </c>
      <c r="J43" s="712">
        <f t="shared" si="2"/>
        <v>235415.16821474841</v>
      </c>
      <c r="K43" s="712">
        <f t="shared" si="2"/>
        <v>0</v>
      </c>
      <c r="L43" s="712">
        <f t="shared" si="2"/>
        <v>9260.6987138665554</v>
      </c>
      <c r="M43" s="712">
        <f t="shared" si="2"/>
        <v>15463.977702819882</v>
      </c>
      <c r="N43" s="712">
        <f t="shared" si="2"/>
        <v>0</v>
      </c>
      <c r="O43" s="712">
        <f t="shared" si="2"/>
        <v>0</v>
      </c>
      <c r="P43" s="712">
        <f t="shared" si="2"/>
        <v>0</v>
      </c>
      <c r="Q43" s="712">
        <f t="shared" si="2"/>
        <v>287357.24795915699</v>
      </c>
      <c r="R43" s="712">
        <f t="shared" si="2"/>
        <v>4857.9478920000001</v>
      </c>
      <c r="S43" s="712">
        <f t="shared" si="2"/>
        <v>17045.431199999999</v>
      </c>
      <c r="T43" s="712">
        <f t="shared" si="2"/>
        <v>1720.1619802382679</v>
      </c>
      <c r="U43" s="712">
        <f t="shared" si="2"/>
        <v>1117304.4314892807</v>
      </c>
      <c r="V43" s="713">
        <f>SUM(V16:V42)</f>
        <v>4080.7463150869316</v>
      </c>
    </row>
    <row r="44" spans="1:22" ht="13.5" thickTop="1">
      <c r="A44" s="697">
        <v>55</v>
      </c>
      <c r="B44" s="697" t="s">
        <v>412</v>
      </c>
      <c r="C44" s="693">
        <f>-C43+C13</f>
        <v>-1121385.1778043676</v>
      </c>
      <c r="D44" s="708"/>
      <c r="E44" s="708"/>
      <c r="F44" s="708"/>
      <c r="G44" s="708"/>
      <c r="H44" s="708"/>
      <c r="I44" s="708"/>
      <c r="J44" s="708"/>
      <c r="K44" s="708"/>
      <c r="L44" s="708"/>
      <c r="M44" s="708"/>
      <c r="N44" s="708"/>
      <c r="O44" s="708"/>
      <c r="P44" s="708"/>
      <c r="Q44" s="708"/>
      <c r="R44" s="708"/>
      <c r="S44" s="708"/>
      <c r="T44" s="708"/>
      <c r="U44" s="714">
        <f>SUM(D43:T43)</f>
        <v>1117304.4314892804</v>
      </c>
      <c r="V44" s="708"/>
    </row>
    <row r="45" spans="1:22">
      <c r="C45" s="693"/>
      <c r="D45" s="708"/>
      <c r="E45" s="708"/>
      <c r="F45" s="708"/>
      <c r="G45" s="708"/>
      <c r="H45" s="708"/>
      <c r="I45" s="708"/>
      <c r="J45" s="708"/>
      <c r="K45" s="708"/>
      <c r="L45" s="708"/>
      <c r="M45" s="708"/>
      <c r="N45" s="708"/>
      <c r="O45" s="708"/>
      <c r="P45" s="708"/>
      <c r="Q45" s="708"/>
      <c r="R45" s="708"/>
      <c r="S45" s="708"/>
      <c r="T45" s="708"/>
      <c r="U45" s="708"/>
      <c r="V45" s="708"/>
    </row>
    <row r="46" spans="1:22">
      <c r="B46" s="697" t="s">
        <v>413</v>
      </c>
      <c r="C46" s="693">
        <f>Proforma!N293+Proforma!N32</f>
        <v>1121385.1778043676</v>
      </c>
      <c r="D46" s="708"/>
      <c r="E46" s="708"/>
      <c r="F46" s="708"/>
      <c r="G46" s="708"/>
      <c r="H46" s="708"/>
      <c r="I46" s="708"/>
      <c r="J46" s="708"/>
      <c r="K46" s="708"/>
      <c r="L46" s="708"/>
      <c r="M46" s="708"/>
      <c r="N46" s="708"/>
      <c r="O46" s="708"/>
      <c r="P46" s="708"/>
      <c r="Q46" s="708"/>
      <c r="R46" s="708"/>
      <c r="S46" s="708"/>
      <c r="T46" s="708"/>
      <c r="U46" s="708"/>
      <c r="V46" s="708"/>
    </row>
    <row r="48" spans="1:22">
      <c r="B48" s="697" t="s">
        <v>20</v>
      </c>
      <c r="C48" s="693">
        <f>+C43-C46</f>
        <v>0</v>
      </c>
    </row>
  </sheetData>
  <pageMargins left="0.25" right="0.25" top="0.75" bottom="0.75" header="0.3" footer="0.3"/>
  <pageSetup scale="45"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theme="6" tint="-0.249977111117893"/>
    <pageSetUpPr fitToPage="1"/>
  </sheetPr>
  <dimension ref="A1:BC13"/>
  <sheetViews>
    <sheetView zoomScaleNormal="100" workbookViewId="0">
      <pane xSplit="1" ySplit="7" topLeftCell="Z8" activePane="bottomRight" state="frozen"/>
      <selection activeCell="L18" sqref="L18"/>
      <selection pane="topRight" activeCell="L18" sqref="L18"/>
      <selection pane="bottomLeft" activeCell="L18" sqref="L18"/>
      <selection pane="bottomRight" activeCell="AY9" sqref="AY9"/>
    </sheetView>
  </sheetViews>
  <sheetFormatPr defaultColWidth="21.6640625" defaultRowHeight="11.25"/>
  <cols>
    <col min="1" max="1" width="24.6640625" style="159" bestFit="1" customWidth="1"/>
    <col min="2" max="2" width="9.83203125" style="159" customWidth="1"/>
    <col min="3" max="3" width="9.83203125" style="159" bestFit="1" customWidth="1"/>
    <col min="4" max="5" width="10.83203125" style="159" bestFit="1" customWidth="1"/>
    <col min="6" max="6" width="11.1640625" style="159" bestFit="1" customWidth="1"/>
    <col min="7" max="7" width="8.83203125" style="159" bestFit="1" customWidth="1"/>
    <col min="8" max="8" width="9" style="820" bestFit="1" customWidth="1"/>
    <col min="9" max="9" width="9.5" style="159" bestFit="1" customWidth="1"/>
    <col min="10" max="10" width="13" style="159" bestFit="1" customWidth="1"/>
    <col min="11" max="11" width="11.5" style="159" bestFit="1" customWidth="1"/>
    <col min="12" max="12" width="10.5" style="159" bestFit="1" customWidth="1"/>
    <col min="13" max="13" width="9.5" style="821" bestFit="1" customWidth="1"/>
    <col min="14" max="14" width="12.5" style="159" bestFit="1" customWidth="1"/>
    <col min="15" max="15" width="8" style="159" bestFit="1" customWidth="1"/>
    <col min="16" max="16" width="5.1640625" style="159" bestFit="1" customWidth="1"/>
    <col min="17" max="17" width="8.33203125" style="159" bestFit="1" customWidth="1"/>
    <col min="18" max="18" width="9" style="159" bestFit="1" customWidth="1"/>
    <col min="19" max="19" width="11.5" style="159" bestFit="1" customWidth="1"/>
    <col min="20" max="20" width="8.6640625" style="159" bestFit="1" customWidth="1"/>
    <col min="21" max="21" width="9.33203125" style="159" bestFit="1" customWidth="1"/>
    <col min="22" max="22" width="10.83203125" style="159" bestFit="1" customWidth="1"/>
    <col min="23" max="23" width="5.1640625" style="159" bestFit="1" customWidth="1"/>
    <col min="24" max="24" width="10.5" style="159" bestFit="1" customWidth="1"/>
    <col min="25" max="26" width="9.1640625" style="159" bestFit="1" customWidth="1"/>
    <col min="27" max="27" width="11.83203125" style="159" bestFit="1" customWidth="1"/>
    <col min="28" max="28" width="9.6640625" style="159" bestFit="1" customWidth="1"/>
    <col min="29" max="29" width="9" style="159" bestFit="1" customWidth="1"/>
    <col min="30" max="30" width="8.6640625" style="159" bestFit="1" customWidth="1"/>
    <col min="31" max="31" width="11.6640625" style="159" bestFit="1" customWidth="1"/>
    <col min="32" max="32" width="9.6640625" style="159" bestFit="1" customWidth="1"/>
    <col min="33" max="33" width="9.5" style="159" bestFit="1" customWidth="1"/>
    <col min="34" max="34" width="8" style="159" bestFit="1" customWidth="1"/>
    <col min="35" max="35" width="10.5" style="159" bestFit="1" customWidth="1"/>
    <col min="36" max="36" width="10.5" style="822" customWidth="1"/>
    <col min="37" max="37" width="9" style="159" bestFit="1" customWidth="1"/>
    <col min="38" max="38" width="10.5" style="159" bestFit="1" customWidth="1"/>
    <col min="39" max="39" width="9.5" style="159" bestFit="1" customWidth="1"/>
    <col min="40" max="40" width="11.33203125" style="159" bestFit="1" customWidth="1"/>
    <col min="41" max="41" width="8.5" style="159" bestFit="1" customWidth="1"/>
    <col min="42" max="42" width="10.5" style="162" bestFit="1" customWidth="1"/>
    <col min="43" max="43" width="3.33203125" style="159" customWidth="1"/>
    <col min="44" max="44" width="7.33203125" style="159" bestFit="1" customWidth="1"/>
    <col min="45" max="45" width="7.5" style="159" bestFit="1" customWidth="1"/>
    <col min="46" max="46" width="11.83203125" style="159" bestFit="1" customWidth="1"/>
    <col min="47" max="47" width="13.1640625" style="159" bestFit="1" customWidth="1"/>
    <col min="48" max="48" width="10.33203125" style="159" bestFit="1" customWidth="1"/>
    <col min="49" max="49" width="9" style="820" bestFit="1" customWidth="1"/>
    <col min="50" max="50" width="12.6640625" style="159" bestFit="1" customWidth="1"/>
    <col min="51" max="51" width="9.33203125" style="820" bestFit="1" customWidth="1"/>
    <col min="52" max="52" width="10.83203125" style="159" bestFit="1" customWidth="1"/>
    <col min="53" max="53" width="10.33203125" style="159" bestFit="1" customWidth="1"/>
    <col min="54" max="54" width="9.6640625" style="159" bestFit="1" customWidth="1"/>
    <col min="55" max="55" width="10.5" style="159" bestFit="1" customWidth="1"/>
    <col min="56" max="56" width="6.1640625" style="159" bestFit="1" customWidth="1"/>
    <col min="57" max="57" width="5.1640625" style="159" bestFit="1" customWidth="1"/>
    <col min="58" max="58" width="4.1640625" style="159" bestFit="1" customWidth="1"/>
    <col min="59" max="16384" width="21.6640625" style="159"/>
  </cols>
  <sheetData>
    <row r="1" spans="1:55" ht="15.75">
      <c r="A1" s="817"/>
      <c r="D1" s="818" t="s">
        <v>774</v>
      </c>
      <c r="E1" s="819">
        <v>52</v>
      </c>
      <c r="M1" s="821" t="s">
        <v>834</v>
      </c>
    </row>
    <row r="2" spans="1:55">
      <c r="A2" s="159" t="str">
        <f>+COS!A2</f>
        <v>12 months ended 4/30/14</v>
      </c>
      <c r="B2" s="178"/>
      <c r="D2" s="818" t="s">
        <v>777</v>
      </c>
      <c r="E2" s="819">
        <v>4.33</v>
      </c>
      <c r="H2" s="823"/>
      <c r="I2" s="824"/>
      <c r="J2" s="159" t="s">
        <v>778</v>
      </c>
      <c r="K2" s="179">
        <f>+COS!K2</f>
        <v>0.98727308193954788</v>
      </c>
      <c r="L2" s="175"/>
      <c r="M2" s="166">
        <f>Disposal!R38</f>
        <v>4201.7436461347697</v>
      </c>
      <c r="N2" s="159" t="s">
        <v>778</v>
      </c>
      <c r="O2" s="179">
        <f>M2/N6</f>
        <v>1.077710058847988</v>
      </c>
      <c r="P2" s="825"/>
      <c r="S2" s="826">
        <v>1</v>
      </c>
      <c r="U2" s="827">
        <f>IF((V4+T4)=V5, 0, V4+T4-V5)</f>
        <v>0</v>
      </c>
      <c r="V2" s="828"/>
      <c r="W2" s="825"/>
      <c r="X2" s="827">
        <f t="shared" ref="X2:AO2" si="0">X5-X4</f>
        <v>0</v>
      </c>
      <c r="Y2" s="827">
        <f t="shared" si="0"/>
        <v>0</v>
      </c>
      <c r="Z2" s="827">
        <f t="shared" si="0"/>
        <v>0</v>
      </c>
      <c r="AA2" s="827">
        <f t="shared" si="0"/>
        <v>0</v>
      </c>
      <c r="AB2" s="827">
        <f t="shared" si="0"/>
        <v>0</v>
      </c>
      <c r="AC2" s="827">
        <f t="shared" si="0"/>
        <v>0</v>
      </c>
      <c r="AD2" s="827">
        <f t="shared" si="0"/>
        <v>0</v>
      </c>
      <c r="AE2" s="827">
        <f t="shared" si="0"/>
        <v>0</v>
      </c>
      <c r="AF2" s="827">
        <f t="shared" si="0"/>
        <v>0</v>
      </c>
      <c r="AG2" s="827">
        <f t="shared" si="0"/>
        <v>0</v>
      </c>
      <c r="AH2" s="827">
        <f t="shared" si="0"/>
        <v>0</v>
      </c>
      <c r="AI2" s="827">
        <f t="shared" si="0"/>
        <v>0</v>
      </c>
      <c r="AJ2" s="829"/>
      <c r="AK2" s="827">
        <f t="shared" si="0"/>
        <v>0</v>
      </c>
      <c r="AL2" s="827">
        <f t="shared" si="0"/>
        <v>0</v>
      </c>
      <c r="AM2" s="827">
        <f t="shared" si="0"/>
        <v>0</v>
      </c>
      <c r="AN2" s="827">
        <f t="shared" si="0"/>
        <v>0</v>
      </c>
      <c r="AO2" s="827">
        <f t="shared" si="0"/>
        <v>0</v>
      </c>
      <c r="AP2" s="830">
        <f>AP5-AP4</f>
        <v>0</v>
      </c>
      <c r="AQ2" s="825"/>
      <c r="AS2" s="825"/>
      <c r="AU2" s="621">
        <f>AU5-AU4</f>
        <v>0</v>
      </c>
      <c r="AV2" s="621"/>
      <c r="AX2" s="621">
        <f>AX5-AX4</f>
        <v>-109829.11619088729</v>
      </c>
      <c r="AZ2" s="621">
        <f>AZ5-AZ4</f>
        <v>-9236.5406607745681</v>
      </c>
      <c r="BB2" s="621">
        <f>AZ2-AX2</f>
        <v>100592.57553011272</v>
      </c>
    </row>
    <row r="3" spans="1:55">
      <c r="A3" s="159" t="s">
        <v>19</v>
      </c>
      <c r="B3" s="178"/>
      <c r="C3" s="163"/>
      <c r="H3" s="823"/>
      <c r="I3" s="824"/>
      <c r="K3" s="179"/>
      <c r="L3" s="831"/>
      <c r="M3" s="166"/>
      <c r="N3" s="159" t="s">
        <v>779</v>
      </c>
      <c r="O3" s="179"/>
      <c r="P3" s="832"/>
      <c r="Q3" s="164"/>
      <c r="R3" s="164"/>
      <c r="S3" s="826">
        <v>1</v>
      </c>
      <c r="T3" s="176" t="s">
        <v>30</v>
      </c>
      <c r="U3" s="175"/>
      <c r="V3" s="173" t="s">
        <v>780</v>
      </c>
      <c r="W3" s="832"/>
      <c r="Y3" s="164"/>
      <c r="Z3" s="164"/>
      <c r="AA3" s="164"/>
      <c r="AB3" s="164"/>
      <c r="AC3" s="164"/>
      <c r="AD3" s="164"/>
      <c r="AE3" s="164"/>
      <c r="AF3" s="164"/>
      <c r="AG3" s="164"/>
      <c r="AH3" s="164"/>
      <c r="AI3" s="164"/>
      <c r="AJ3" s="833"/>
      <c r="AK3" s="164"/>
      <c r="AL3" s="164"/>
      <c r="AM3" s="164"/>
      <c r="AN3" s="164"/>
      <c r="AO3" s="164"/>
      <c r="AP3" s="834"/>
      <c r="AQ3" s="832"/>
      <c r="AS3" s="832"/>
      <c r="AT3" s="165" t="s">
        <v>21</v>
      </c>
    </row>
    <row r="4" spans="1:55">
      <c r="B4" s="178"/>
      <c r="C4" s="163"/>
      <c r="H4" s="823"/>
      <c r="I4" s="824"/>
      <c r="K4" s="179"/>
      <c r="L4" s="831"/>
      <c r="M4" s="166"/>
      <c r="N4" s="159" t="s">
        <v>22</v>
      </c>
      <c r="O4" s="179"/>
      <c r="P4" s="832"/>
      <c r="S4" s="826"/>
      <c r="T4" s="180"/>
      <c r="U4" s="164"/>
      <c r="V4" s="180">
        <f>SUM([3]Summary!$D$11)</f>
        <v>6587.9376520929654</v>
      </c>
      <c r="W4" s="832"/>
      <c r="X4" s="824">
        <f>'Matrix (Rec)'!D43</f>
        <v>0</v>
      </c>
      <c r="Y4" s="824">
        <f>'Matrix (Rec)'!E43</f>
        <v>131339.05244819151</v>
      </c>
      <c r="Z4" s="824">
        <f>'Matrix (Rec)'!F43</f>
        <v>324971.56579641346</v>
      </c>
      <c r="AA4" s="824">
        <f>'Matrix (Rec)'!G43</f>
        <v>0</v>
      </c>
      <c r="AB4" s="824">
        <f>'Matrix (Rec)'!H43</f>
        <v>76626.507058435556</v>
      </c>
      <c r="AC4" s="824">
        <f>'Matrix (Rec)'!I43</f>
        <v>13246.672523410063</v>
      </c>
      <c r="AD4" s="824">
        <f>'Matrix (Rec)'!J43</f>
        <v>235415.16821474841</v>
      </c>
      <c r="AE4" s="824">
        <f>'Matrix (Rec)'!K43</f>
        <v>0</v>
      </c>
      <c r="AF4" s="824">
        <f>'Matrix (Rec)'!L43</f>
        <v>9260.6987138665554</v>
      </c>
      <c r="AG4" s="824">
        <f>'Matrix (Rec)'!M43</f>
        <v>15463.977702819882</v>
      </c>
      <c r="AH4" s="824">
        <f>'Matrix (Rec)'!N43</f>
        <v>0</v>
      </c>
      <c r="AI4" s="824">
        <f>'Matrix (Rec)'!O43</f>
        <v>0</v>
      </c>
      <c r="AJ4" s="835">
        <f>SUM(X4:AI4)</f>
        <v>806323.64245788532</v>
      </c>
      <c r="AK4" s="824">
        <f>'Matrix (Rec)'!P43</f>
        <v>0</v>
      </c>
      <c r="AL4" s="824">
        <f>'Matrix (Rec)'!Q43</f>
        <v>287357.24795915699</v>
      </c>
      <c r="AM4" s="824">
        <f>'Matrix (Rec)'!R43</f>
        <v>4857.9478920000001</v>
      </c>
      <c r="AN4" s="824">
        <f>'Matrix (Rec)'!S43</f>
        <v>17045.431199999999</v>
      </c>
      <c r="AO4" s="824">
        <f>'Matrix (Rec)'!T43</f>
        <v>1720.1619802382679</v>
      </c>
      <c r="AP4" s="836">
        <f>SUM(AJ4:AO4)</f>
        <v>1117304.4314892804</v>
      </c>
      <c r="AQ4" s="832"/>
      <c r="AS4" s="832"/>
      <c r="AT4" s="837">
        <f>' LG recycle'!H15/100</f>
        <v>0.90731206697361433</v>
      </c>
      <c r="AU4" s="621">
        <f>+AT5</f>
        <v>1231444.4744641238</v>
      </c>
      <c r="AW4" s="838"/>
      <c r="AX4" s="621">
        <f>AT5</f>
        <v>1231444.4744641238</v>
      </c>
      <c r="AZ4" s="621">
        <f>+AT5</f>
        <v>1231444.4744641238</v>
      </c>
    </row>
    <row r="5" spans="1:55" s="839" customFormat="1">
      <c r="A5" s="839" t="s">
        <v>781</v>
      </c>
      <c r="B5" s="840">
        <f>SUM(B6:B6)</f>
        <v>10488</v>
      </c>
      <c r="C5" s="840">
        <f>SUM(C6:C6)</f>
        <v>10354.520083381978</v>
      </c>
      <c r="D5" s="840"/>
      <c r="E5" s="840"/>
      <c r="F5" s="840">
        <f>SUM(F6:F6)</f>
        <v>10354.520083381978</v>
      </c>
      <c r="G5" s="840">
        <f>SUM(G6:G6)</f>
        <v>0</v>
      </c>
      <c r="H5" s="840"/>
      <c r="I5" s="841">
        <f>SUM(I6:I6)</f>
        <v>94672.84</v>
      </c>
      <c r="J5" s="840">
        <f>SUM(J6:J6)</f>
        <v>1136074.08</v>
      </c>
      <c r="K5" s="840">
        <f>SUM(K6:K6)</f>
        <v>1121615.3582732365</v>
      </c>
      <c r="L5" s="840"/>
      <c r="M5" s="842"/>
      <c r="N5" s="840">
        <f>SUM(N6:N6)</f>
        <v>3898.77</v>
      </c>
      <c r="O5" s="840">
        <f>SUM(O6:O6)</f>
        <v>4201.7436461347697</v>
      </c>
      <c r="P5" s="843"/>
      <c r="Q5" s="840">
        <f t="shared" ref="Q5:V5" si="1">SUM(Q6:Q6)</f>
        <v>58.94</v>
      </c>
      <c r="R5" s="840">
        <f t="shared" si="1"/>
        <v>2907.9605154401938</v>
      </c>
      <c r="S5" s="840">
        <f t="shared" si="1"/>
        <v>2907.9605154401938</v>
      </c>
      <c r="T5" s="840">
        <f t="shared" si="1"/>
        <v>0</v>
      </c>
      <c r="U5" s="840">
        <f t="shared" si="1"/>
        <v>3679.9771366527721</v>
      </c>
      <c r="V5" s="840">
        <f t="shared" si="1"/>
        <v>6587.9376520929654</v>
      </c>
      <c r="W5" s="843"/>
      <c r="X5" s="840">
        <f t="shared" ref="X5:AP5" si="2">SUM(X6:X6)</f>
        <v>0</v>
      </c>
      <c r="Y5" s="840">
        <f t="shared" si="2"/>
        <v>131339.05244819151</v>
      </c>
      <c r="Z5" s="840">
        <f t="shared" si="2"/>
        <v>324971.56579641346</v>
      </c>
      <c r="AA5" s="840">
        <f t="shared" si="2"/>
        <v>0</v>
      </c>
      <c r="AB5" s="840">
        <f t="shared" si="2"/>
        <v>76626.507058435571</v>
      </c>
      <c r="AC5" s="840">
        <f t="shared" si="2"/>
        <v>13246.672523410063</v>
      </c>
      <c r="AD5" s="840">
        <f t="shared" si="2"/>
        <v>235415.16821474844</v>
      </c>
      <c r="AE5" s="840">
        <f t="shared" si="2"/>
        <v>0</v>
      </c>
      <c r="AF5" s="840">
        <f t="shared" si="2"/>
        <v>9260.6987138665572</v>
      </c>
      <c r="AG5" s="840">
        <f t="shared" si="2"/>
        <v>15463.977702819882</v>
      </c>
      <c r="AH5" s="840">
        <f t="shared" si="2"/>
        <v>0</v>
      </c>
      <c r="AI5" s="840">
        <f t="shared" si="2"/>
        <v>0</v>
      </c>
      <c r="AJ5" s="844">
        <f t="shared" si="2"/>
        <v>806323.64245788532</v>
      </c>
      <c r="AK5" s="840">
        <f t="shared" si="2"/>
        <v>0</v>
      </c>
      <c r="AL5" s="840">
        <f t="shared" si="2"/>
        <v>287357.24795915699</v>
      </c>
      <c r="AM5" s="840">
        <f t="shared" si="2"/>
        <v>4857.9478920000001</v>
      </c>
      <c r="AN5" s="840">
        <f t="shared" si="2"/>
        <v>17045.431199999999</v>
      </c>
      <c r="AO5" s="840">
        <f t="shared" si="2"/>
        <v>1720.1619802382679</v>
      </c>
      <c r="AP5" s="845">
        <f t="shared" si="2"/>
        <v>1117304.4314892804</v>
      </c>
      <c r="AQ5" s="843"/>
      <c r="AR5" s="846"/>
      <c r="AS5" s="843"/>
      <c r="AT5" s="840">
        <f>SUM(AT6:AT6)</f>
        <v>1231444.4744641238</v>
      </c>
      <c r="AU5" s="840">
        <f>SUM(AU6:AU6)</f>
        <v>1231444.4744641241</v>
      </c>
      <c r="AW5" s="840"/>
      <c r="AX5" s="840">
        <f>SUM(AX6:AX6)</f>
        <v>1121615.3582732365</v>
      </c>
      <c r="AY5" s="847"/>
      <c r="AZ5" s="840">
        <f>SUM(AZ6:AZ6)</f>
        <v>1222207.9338033493</v>
      </c>
    </row>
    <row r="6" spans="1:55">
      <c r="A6" s="848" t="s">
        <v>778</v>
      </c>
      <c r="B6" s="849">
        <f>SUM(B9:B10)</f>
        <v>10488</v>
      </c>
      <c r="C6" s="849">
        <f>SUM(C9:C10)</f>
        <v>10354.520083381978</v>
      </c>
      <c r="D6" s="849"/>
      <c r="E6" s="849"/>
      <c r="F6" s="849">
        <f>SUM(F9:F10)</f>
        <v>10354.520083381978</v>
      </c>
      <c r="G6" s="849">
        <f>SUM(G9:G10)</f>
        <v>0</v>
      </c>
      <c r="H6" s="849"/>
      <c r="I6" s="849">
        <f>SUM(I9:I10)</f>
        <v>94672.84</v>
      </c>
      <c r="J6" s="849">
        <f>SUM(J9:J10)</f>
        <v>1136074.08</v>
      </c>
      <c r="K6" s="849">
        <f>SUM(K9:K10)</f>
        <v>1121615.3582732365</v>
      </c>
      <c r="L6" s="849"/>
      <c r="M6" s="850"/>
      <c r="N6" s="849">
        <f>SUM(N9:N10)</f>
        <v>3898.77</v>
      </c>
      <c r="O6" s="849">
        <f>SUM(O9:O10)</f>
        <v>4201.7436461347697</v>
      </c>
      <c r="P6" s="851"/>
      <c r="Q6" s="849">
        <f t="shared" ref="Q6:V6" si="3">SUM(Q9:Q10)</f>
        <v>58.94</v>
      </c>
      <c r="R6" s="849">
        <f t="shared" si="3"/>
        <v>2907.9605154401938</v>
      </c>
      <c r="S6" s="849">
        <f t="shared" si="3"/>
        <v>2907.9605154401938</v>
      </c>
      <c r="T6" s="849">
        <f t="shared" si="3"/>
        <v>0</v>
      </c>
      <c r="U6" s="849">
        <f t="shared" si="3"/>
        <v>3679.9771366527721</v>
      </c>
      <c r="V6" s="849">
        <f t="shared" si="3"/>
        <v>6587.9376520929654</v>
      </c>
      <c r="W6" s="851"/>
      <c r="X6" s="849">
        <f t="shared" ref="X6:AI6" si="4">SUM(X9:X10)</f>
        <v>0</v>
      </c>
      <c r="Y6" s="849">
        <f t="shared" si="4"/>
        <v>131339.05244819151</v>
      </c>
      <c r="Z6" s="849">
        <f t="shared" si="4"/>
        <v>324971.56579641346</v>
      </c>
      <c r="AA6" s="849">
        <f t="shared" si="4"/>
        <v>0</v>
      </c>
      <c r="AB6" s="849">
        <f t="shared" si="4"/>
        <v>76626.507058435571</v>
      </c>
      <c r="AC6" s="849">
        <f t="shared" si="4"/>
        <v>13246.672523410063</v>
      </c>
      <c r="AD6" s="849">
        <f t="shared" si="4"/>
        <v>235415.16821474844</v>
      </c>
      <c r="AE6" s="849">
        <f t="shared" si="4"/>
        <v>0</v>
      </c>
      <c r="AF6" s="849">
        <f t="shared" si="4"/>
        <v>9260.6987138665572</v>
      </c>
      <c r="AG6" s="849">
        <f t="shared" si="4"/>
        <v>15463.977702819882</v>
      </c>
      <c r="AH6" s="849">
        <f t="shared" si="4"/>
        <v>0</v>
      </c>
      <c r="AI6" s="849">
        <f t="shared" si="4"/>
        <v>0</v>
      </c>
      <c r="AJ6" s="852">
        <f>SUM(X6:AI6)</f>
        <v>806323.64245788532</v>
      </c>
      <c r="AK6" s="849">
        <f t="shared" ref="AK6:AP6" si="5">SUM(AK9:AK10)</f>
        <v>0</v>
      </c>
      <c r="AL6" s="849">
        <f t="shared" si="5"/>
        <v>287357.24795915699</v>
      </c>
      <c r="AM6" s="849">
        <f t="shared" si="5"/>
        <v>4857.9478920000001</v>
      </c>
      <c r="AN6" s="849">
        <f t="shared" si="5"/>
        <v>17045.431199999999</v>
      </c>
      <c r="AO6" s="853">
        <f t="shared" si="5"/>
        <v>1720.1619802382679</v>
      </c>
      <c r="AP6" s="849">
        <f t="shared" si="5"/>
        <v>1117304.4314892804</v>
      </c>
      <c r="AQ6" s="851"/>
      <c r="AR6" s="849"/>
      <c r="AS6" s="851"/>
      <c r="AT6" s="849">
        <f>+AP6/AT$4</f>
        <v>1231444.4744641238</v>
      </c>
      <c r="AU6" s="849">
        <f>SUM(AU9:AU10)</f>
        <v>1231444.4744641241</v>
      </c>
      <c r="AV6" s="854">
        <f>+AT6/J6</f>
        <v>1.0839473377159734</v>
      </c>
      <c r="AW6" s="849"/>
      <c r="AX6" s="849">
        <f>SUM(AX9:AX10)</f>
        <v>1121615.3582732365</v>
      </c>
      <c r="AY6" s="854">
        <f>+AX6/J6</f>
        <v>0.98727308193954788</v>
      </c>
      <c r="AZ6" s="849">
        <f>SUM(AZ9:AZ10)</f>
        <v>1222207.9338033493</v>
      </c>
      <c r="BA6" s="854">
        <f>+AZ6/J6</f>
        <v>1.0758171102744896</v>
      </c>
    </row>
    <row r="7" spans="1:55" s="868" customFormat="1" ht="45">
      <c r="B7" s="869" t="s">
        <v>782</v>
      </c>
      <c r="C7" s="869" t="s">
        <v>783</v>
      </c>
      <c r="D7" s="869" t="s">
        <v>784</v>
      </c>
      <c r="E7" s="869" t="s">
        <v>785</v>
      </c>
      <c r="F7" s="870" t="s">
        <v>786</v>
      </c>
      <c r="G7" s="870" t="s">
        <v>787</v>
      </c>
      <c r="H7" s="871" t="s">
        <v>788</v>
      </c>
      <c r="I7" s="869" t="s">
        <v>789</v>
      </c>
      <c r="J7" s="869" t="s">
        <v>790</v>
      </c>
      <c r="K7" s="869" t="s">
        <v>791</v>
      </c>
      <c r="L7" s="869" t="s">
        <v>792</v>
      </c>
      <c r="M7" s="872" t="s">
        <v>793</v>
      </c>
      <c r="N7" s="869" t="s">
        <v>794</v>
      </c>
      <c r="O7" s="869" t="s">
        <v>795</v>
      </c>
      <c r="P7" s="873"/>
      <c r="Q7" s="869" t="s">
        <v>796</v>
      </c>
      <c r="R7" s="869" t="s">
        <v>797</v>
      </c>
      <c r="S7" s="869" t="s">
        <v>798</v>
      </c>
      <c r="T7" s="869" t="s">
        <v>799</v>
      </c>
      <c r="U7" s="869" t="s">
        <v>800</v>
      </c>
      <c r="V7" s="869" t="s">
        <v>801</v>
      </c>
      <c r="W7" s="873"/>
      <c r="X7" s="869" t="s">
        <v>802</v>
      </c>
      <c r="Y7" s="869" t="s">
        <v>803</v>
      </c>
      <c r="Z7" s="869" t="s">
        <v>804</v>
      </c>
      <c r="AA7" s="869" t="s">
        <v>805</v>
      </c>
      <c r="AB7" s="869" t="s">
        <v>806</v>
      </c>
      <c r="AC7" s="869" t="s">
        <v>807</v>
      </c>
      <c r="AD7" s="869" t="s">
        <v>808</v>
      </c>
      <c r="AE7" s="869" t="s">
        <v>809</v>
      </c>
      <c r="AF7" s="869" t="s">
        <v>810</v>
      </c>
      <c r="AG7" s="869" t="s">
        <v>811</v>
      </c>
      <c r="AH7" s="869" t="s">
        <v>812</v>
      </c>
      <c r="AI7" s="869" t="s">
        <v>813</v>
      </c>
      <c r="AJ7" s="874" t="s">
        <v>35</v>
      </c>
      <c r="AK7" s="869" t="s">
        <v>814</v>
      </c>
      <c r="AL7" s="869" t="s">
        <v>815</v>
      </c>
      <c r="AM7" s="869" t="s">
        <v>816</v>
      </c>
      <c r="AN7" s="869" t="s">
        <v>817</v>
      </c>
      <c r="AO7" s="869" t="s">
        <v>818</v>
      </c>
      <c r="AP7" s="875" t="s">
        <v>819</v>
      </c>
      <c r="AQ7" s="873"/>
      <c r="AR7" s="869" t="s">
        <v>820</v>
      </c>
      <c r="AS7" s="873"/>
      <c r="AT7" s="869" t="s">
        <v>821</v>
      </c>
      <c r="AU7" s="869" t="s">
        <v>822</v>
      </c>
      <c r="AV7" s="869" t="s">
        <v>823</v>
      </c>
      <c r="AW7" s="871" t="s">
        <v>510</v>
      </c>
      <c r="AX7" s="869" t="s">
        <v>824</v>
      </c>
      <c r="AY7" s="871" t="s">
        <v>511</v>
      </c>
      <c r="AZ7" s="869" t="s">
        <v>825</v>
      </c>
      <c r="BA7" s="869" t="s">
        <v>826</v>
      </c>
      <c r="BB7" s="876"/>
      <c r="BC7" s="876"/>
    </row>
    <row r="8" spans="1:55" ht="12" thickBot="1">
      <c r="A8" s="877" t="s">
        <v>57</v>
      </c>
      <c r="K8" s="164"/>
      <c r="P8" s="825"/>
      <c r="W8" s="825"/>
      <c r="X8" s="164"/>
      <c r="Y8" s="164"/>
      <c r="Z8" s="164"/>
      <c r="AA8" s="164"/>
      <c r="AB8" s="164"/>
      <c r="AC8" s="164"/>
      <c r="AD8" s="164"/>
      <c r="AE8" s="164"/>
      <c r="AF8" s="164"/>
      <c r="AG8" s="164"/>
      <c r="AH8" s="164"/>
      <c r="AI8" s="164"/>
      <c r="AJ8" s="833"/>
      <c r="AK8" s="164"/>
      <c r="AL8" s="164"/>
      <c r="AM8" s="164"/>
      <c r="AN8" s="164"/>
      <c r="AO8" s="164"/>
      <c r="AP8" s="836"/>
      <c r="AQ8" s="825"/>
      <c r="AS8" s="825"/>
      <c r="AV8" s="878"/>
      <c r="AY8" s="879"/>
    </row>
    <row r="9" spans="1:55" ht="12" thickTop="1">
      <c r="A9" s="880" t="str">
        <f>'Resi Price Out'!A31</f>
        <v>Recycle - Appendix A</v>
      </c>
      <c r="B9" s="881">
        <f>'Resi Price Out'!B31</f>
        <v>7246</v>
      </c>
      <c r="C9" s="882">
        <f>B9*$K$2</f>
        <v>7153.7807517339643</v>
      </c>
      <c r="D9" s="1024">
        <v>0.5</v>
      </c>
      <c r="E9" s="882">
        <f>D9*$E$1</f>
        <v>26</v>
      </c>
      <c r="F9" s="882">
        <f>C9</f>
        <v>7153.7807517339643</v>
      </c>
      <c r="G9" s="882"/>
      <c r="H9" s="904">
        <f>'Resi Price Out'!D31</f>
        <v>8.39</v>
      </c>
      <c r="I9" s="882">
        <f>B9*H9</f>
        <v>60793.94</v>
      </c>
      <c r="J9" s="1132">
        <f>I9*12</f>
        <v>729527.28</v>
      </c>
      <c r="K9" s="882">
        <f>J9*$K$2</f>
        <v>720242.64608457556</v>
      </c>
      <c r="L9" s="884">
        <f>SUMPRODUCT('Resi Stats'!C58:N58,'Resi Stats'!C10:N10)/'Resi Stats'!P10</f>
        <v>25.902254083769233</v>
      </c>
      <c r="M9" s="885">
        <f>L9*$O$2</f>
        <v>27.915119772914476</v>
      </c>
      <c r="N9" s="886">
        <f>ROUND(((C9*E9*L9)/2000),2)</f>
        <v>2408.89</v>
      </c>
      <c r="O9" s="887">
        <f>$O$2*N9</f>
        <v>2596.0849836583297</v>
      </c>
      <c r="P9" s="888"/>
      <c r="Q9" s="889">
        <f>+'Meeks +'!C11</f>
        <v>33.68</v>
      </c>
      <c r="R9" s="887">
        <f>C9*E9*Q9/3600</f>
        <v>1740.1174246328883</v>
      </c>
      <c r="S9" s="887">
        <f>R9*$S$2</f>
        <v>1740.1174246328883</v>
      </c>
      <c r="T9" s="890"/>
      <c r="U9" s="887">
        <f>($V$4-$S$5)*O9/($O$5)</f>
        <v>2273.7068677330276</v>
      </c>
      <c r="V9" s="891">
        <f>U9+S9</f>
        <v>4013.8242923659159</v>
      </c>
      <c r="W9" s="888"/>
      <c r="X9" s="892"/>
      <c r="Y9" s="893">
        <f>($Y$4*(I9)/(($I$6)))</f>
        <v>84339.061489992353</v>
      </c>
      <c r="Z9" s="882">
        <f>($Z$4*I9/($I$5))</f>
        <v>208679.72137239375</v>
      </c>
      <c r="AA9" s="892"/>
      <c r="AB9" s="882">
        <f>$AB$4*V9/($V$4+$T$4)</f>
        <v>46686.133311019497</v>
      </c>
      <c r="AC9" s="882">
        <f>$AC$4*V9/($V$4+$T$4)</f>
        <v>8070.7831153483285</v>
      </c>
      <c r="AD9" s="882">
        <f>$AD$4*V9/($V$4+$T$4)</f>
        <v>143431.09647851164</v>
      </c>
      <c r="AE9" s="892"/>
      <c r="AF9" s="882">
        <f>$AF$4*V9/($V$4+$T$4)</f>
        <v>5642.2539837167906</v>
      </c>
      <c r="AG9" s="882">
        <f>($AG$4*F9)/(+$F$6)</f>
        <v>10683.827463256375</v>
      </c>
      <c r="AH9" s="892"/>
      <c r="AI9" s="892"/>
      <c r="AJ9" s="894">
        <f>SUM(X9:AI9)</f>
        <v>507532.87721423869</v>
      </c>
      <c r="AK9" s="882">
        <f>($AK$4*F9/($F$5))</f>
        <v>0</v>
      </c>
      <c r="AL9" s="882">
        <f>$AL$4*O9/($O$5)</f>
        <v>177546.25203239321</v>
      </c>
      <c r="AM9" s="882">
        <f>$AM$4*(K9+X9)/($K$5+$X$5)</f>
        <v>3119.5197341642493</v>
      </c>
      <c r="AN9" s="882">
        <f>$AN$4*(K9+X9)/($K$5+$X$5)</f>
        <v>10945.683277769294</v>
      </c>
      <c r="AO9" s="882">
        <f>$AO$4*(K9+X9)/($K$5+$X$5)</f>
        <v>1104.5979418900547</v>
      </c>
      <c r="AP9" s="895">
        <f>SUM(AJ9:AO9)</f>
        <v>700248.93020045536</v>
      </c>
      <c r="AQ9" s="888"/>
      <c r="AR9" s="887">
        <f>IF(ISERROR(AP9/C9/12), 0,(AP9/C9/12))</f>
        <v>8.157096162411813</v>
      </c>
      <c r="AS9" s="888"/>
      <c r="AT9" s="896">
        <f>AR9/$AT$4</f>
        <v>8.9903975262009066</v>
      </c>
      <c r="AU9" s="897">
        <f>+AT9*C9*12</f>
        <v>771783.99328047223</v>
      </c>
      <c r="AV9" s="898">
        <f>(+AT9-AW9)/AW9</f>
        <v>7.1561087747426214E-2</v>
      </c>
      <c r="AW9" s="899">
        <f>H9</f>
        <v>8.39</v>
      </c>
      <c r="AX9" s="900">
        <f>+AW9*C9*12</f>
        <v>720242.64608457556</v>
      </c>
      <c r="AY9" s="901">
        <f>'Resi Price Out'!G31</f>
        <v>9.1424609060248336</v>
      </c>
      <c r="AZ9" s="902">
        <f>+AY9*C9*12</f>
        <v>784837.9302360086</v>
      </c>
      <c r="BA9" s="903">
        <f>(+AY9-AW9)/AW9</f>
        <v>8.9685447678764366E-2</v>
      </c>
    </row>
    <row r="10" spans="1:55">
      <c r="A10" s="880" t="str">
        <f>'Resi Price Out'!A32</f>
        <v>Recycle - Appendix B</v>
      </c>
      <c r="B10" s="881">
        <f>'Resi Price Out'!B32</f>
        <v>3242</v>
      </c>
      <c r="C10" s="882">
        <f>B10*$K$2</f>
        <v>3200.7393316480143</v>
      </c>
      <c r="D10" s="1024">
        <v>1</v>
      </c>
      <c r="E10" s="882">
        <f>D10*$E$1</f>
        <v>52</v>
      </c>
      <c r="F10" s="882">
        <f>C10</f>
        <v>3200.7393316480143</v>
      </c>
      <c r="G10" s="882"/>
      <c r="H10" s="904">
        <f>'Resi Price Out'!D32</f>
        <v>10.45</v>
      </c>
      <c r="I10" s="882">
        <f>B10*H10</f>
        <v>33878.899999999994</v>
      </c>
      <c r="J10" s="1132">
        <f>I10*12</f>
        <v>406546.79999999993</v>
      </c>
      <c r="K10" s="882">
        <f>J10*$K$2</f>
        <v>401372.71218866092</v>
      </c>
      <c r="L10" s="884">
        <f>+L9*('Meeks +'!F10/'Meeks +'!F11)</f>
        <v>17.903028557899322</v>
      </c>
      <c r="M10" s="885">
        <f>L10*$O$2</f>
        <v>19.294273960690887</v>
      </c>
      <c r="N10" s="886">
        <f>ROUND(((C10*E10*L10)/2000),2)</f>
        <v>1489.88</v>
      </c>
      <c r="O10" s="887">
        <f>$O$2*N10</f>
        <v>1605.6586624764404</v>
      </c>
      <c r="P10" s="888"/>
      <c r="Q10" s="889">
        <f>+'Meeks +'!C10</f>
        <v>25.26</v>
      </c>
      <c r="R10" s="887">
        <f>C10*E10*Q10/3600</f>
        <v>1167.8430908073055</v>
      </c>
      <c r="S10" s="887">
        <f>R10*$S$2</f>
        <v>1167.8430908073055</v>
      </c>
      <c r="T10" s="890"/>
      <c r="U10" s="887">
        <f>($V$4-$S$5)*O10/($O$5)</f>
        <v>1406.2702689197445</v>
      </c>
      <c r="V10" s="891">
        <f>U10+S10</f>
        <v>2574.11335972705</v>
      </c>
      <c r="W10" s="888"/>
      <c r="X10" s="892"/>
      <c r="Y10" s="893">
        <f>($Y$4*(I10)/(($I$6)))</f>
        <v>46999.990958199152</v>
      </c>
      <c r="Z10" s="882">
        <f>($Z$4*I10/($I$5))</f>
        <v>116291.84442401971</v>
      </c>
      <c r="AA10" s="892"/>
      <c r="AB10" s="882">
        <f>$AB$4*V10/($V$4+$T$4)</f>
        <v>29940.37374741607</v>
      </c>
      <c r="AC10" s="882">
        <f>$AC$4*V10/($V$4+$T$4)</f>
        <v>5175.8894080617356</v>
      </c>
      <c r="AD10" s="882">
        <f>$AD$4*V10/($V$4+$T$4)</f>
        <v>91984.071736236787</v>
      </c>
      <c r="AE10" s="892"/>
      <c r="AF10" s="882">
        <f>$AF$4*V10/($V$4+$T$4)</f>
        <v>3618.4447301497657</v>
      </c>
      <c r="AG10" s="882">
        <f>($AG$4*F10)/(+$F$6)</f>
        <v>4780.1502395635071</v>
      </c>
      <c r="AH10" s="892"/>
      <c r="AI10" s="892"/>
      <c r="AJ10" s="894">
        <f>SUM(X10:AI10)</f>
        <v>298790.76524364675</v>
      </c>
      <c r="AK10" s="882">
        <f>($AK$4*F10/($F$5))</f>
        <v>0</v>
      </c>
      <c r="AL10" s="882">
        <f>$AL$4*O10/($O$5)</f>
        <v>109810.99592676379</v>
      </c>
      <c r="AM10" s="882">
        <f>$AM$4*(K10+X10)/($K$5+$X$5)</f>
        <v>1738.4281578357507</v>
      </c>
      <c r="AN10" s="882">
        <f>$AN$4*(K10+X10)/($K$5+$X$5)</f>
        <v>6099.7479222307038</v>
      </c>
      <c r="AO10" s="882">
        <f>$AO$4*(K10+X10)/($K$5+$X$5)</f>
        <v>615.5640383482131</v>
      </c>
      <c r="AP10" s="895">
        <f>SUM(AJ10:AO10)</f>
        <v>417055.50128882518</v>
      </c>
      <c r="AQ10" s="888"/>
      <c r="AR10" s="887">
        <f>IF(ISERROR(AP10/C10/12), 0,(AP10/C10/12))</f>
        <v>10.858311629365785</v>
      </c>
      <c r="AS10" s="888"/>
      <c r="AT10" s="896">
        <f>AR10/$AT$4</f>
        <v>11.967560032111374</v>
      </c>
      <c r="AU10" s="897">
        <f>+AT10*C10*12</f>
        <v>459660.48118365178</v>
      </c>
      <c r="AV10" s="898">
        <f>(+AT10-AW10)/AW10</f>
        <v>0.14522105570443775</v>
      </c>
      <c r="AW10" s="899">
        <f>H10</f>
        <v>10.45</v>
      </c>
      <c r="AX10" s="900">
        <f>+AW10*C10*12</f>
        <v>401372.71218866098</v>
      </c>
      <c r="AY10" s="901">
        <f>'Resi Price Out'!G32</f>
        <v>11.387212928243086</v>
      </c>
      <c r="AZ10" s="902">
        <f>+AY10*C10*12</f>
        <v>437370.00356734078</v>
      </c>
      <c r="BA10" s="903">
        <f>(+AY10-AW10)/AW10</f>
        <v>8.9685447678764268E-2</v>
      </c>
    </row>
    <row r="11" spans="1:55" s="162" customFormat="1" ht="12" thickBot="1">
      <c r="A11" s="162" t="s">
        <v>27</v>
      </c>
      <c r="B11" s="907">
        <f>SUM(B9:B10)</f>
        <v>10488</v>
      </c>
      <c r="C11" s="907">
        <f>SUM(C9:C10)</f>
        <v>10354.520083381978</v>
      </c>
      <c r="D11" s="907"/>
      <c r="E11" s="907"/>
      <c r="F11" s="907">
        <f>SUM(F9:F10)</f>
        <v>10354.520083381978</v>
      </c>
      <c r="G11" s="907"/>
      <c r="H11" s="908"/>
      <c r="I11" s="907">
        <f>SUM(I9:I10)</f>
        <v>94672.84</v>
      </c>
      <c r="J11" s="907">
        <f>SUM(J9:J10)</f>
        <v>1136074.08</v>
      </c>
      <c r="K11" s="907">
        <f>SUM(K9:K10)</f>
        <v>1121615.3582732365</v>
      </c>
      <c r="L11" s="909"/>
      <c r="M11" s="910"/>
      <c r="N11" s="911">
        <f>SUM(N9:N10)</f>
        <v>3898.77</v>
      </c>
      <c r="O11" s="911">
        <f>SUM(O9:O10)</f>
        <v>4201.7436461347697</v>
      </c>
      <c r="P11" s="912"/>
      <c r="Q11" s="911">
        <f>SUM(Q9:Q10)</f>
        <v>58.94</v>
      </c>
      <c r="R11" s="911">
        <f>SUM(R9:R10)</f>
        <v>2907.9605154401938</v>
      </c>
      <c r="S11" s="911">
        <f>SUM(S9:S10)</f>
        <v>2907.9605154401938</v>
      </c>
      <c r="T11" s="909"/>
      <c r="U11" s="911">
        <f>SUM(U9:U10)</f>
        <v>3679.9771366527721</v>
      </c>
      <c r="V11" s="911">
        <f>SUM(V9:V10)</f>
        <v>6587.9376520929654</v>
      </c>
      <c r="W11" s="912"/>
      <c r="X11" s="907">
        <f t="shared" ref="X11:AP11" si="6">SUM(X9:X10)</f>
        <v>0</v>
      </c>
      <c r="Y11" s="907">
        <f t="shared" si="6"/>
        <v>131339.05244819151</v>
      </c>
      <c r="Z11" s="907">
        <f t="shared" si="6"/>
        <v>324971.56579641346</v>
      </c>
      <c r="AA11" s="907">
        <f t="shared" si="6"/>
        <v>0</v>
      </c>
      <c r="AB11" s="907">
        <f t="shared" si="6"/>
        <v>76626.507058435571</v>
      </c>
      <c r="AC11" s="907">
        <f t="shared" si="6"/>
        <v>13246.672523410063</v>
      </c>
      <c r="AD11" s="907">
        <f t="shared" si="6"/>
        <v>235415.16821474844</v>
      </c>
      <c r="AE11" s="907">
        <f t="shared" si="6"/>
        <v>0</v>
      </c>
      <c r="AF11" s="907">
        <f t="shared" si="6"/>
        <v>9260.6987138665572</v>
      </c>
      <c r="AG11" s="907">
        <f t="shared" si="6"/>
        <v>15463.977702819882</v>
      </c>
      <c r="AH11" s="907">
        <f t="shared" si="6"/>
        <v>0</v>
      </c>
      <c r="AI11" s="907">
        <f t="shared" si="6"/>
        <v>0</v>
      </c>
      <c r="AJ11" s="913">
        <f t="shared" si="6"/>
        <v>806323.64245788543</v>
      </c>
      <c r="AK11" s="907">
        <f t="shared" si="6"/>
        <v>0</v>
      </c>
      <c r="AL11" s="907">
        <f t="shared" si="6"/>
        <v>287357.24795915699</v>
      </c>
      <c r="AM11" s="907">
        <f t="shared" si="6"/>
        <v>4857.9478920000001</v>
      </c>
      <c r="AN11" s="907">
        <f t="shared" si="6"/>
        <v>17045.431199999999</v>
      </c>
      <c r="AO11" s="907">
        <f t="shared" si="6"/>
        <v>1720.1619802382679</v>
      </c>
      <c r="AP11" s="914">
        <f t="shared" si="6"/>
        <v>1117304.4314892804</v>
      </c>
      <c r="AQ11" s="912"/>
      <c r="AR11" s="911"/>
      <c r="AS11" s="912"/>
      <c r="AT11" s="915"/>
      <c r="AU11" s="916">
        <f>SUM(AU9:AU10)</f>
        <v>1231444.4744641241</v>
      </c>
      <c r="AV11" s="909"/>
      <c r="AW11" s="908"/>
      <c r="AX11" s="916">
        <f>SUM(AX9:AX10)</f>
        <v>1121615.3582732365</v>
      </c>
      <c r="AY11" s="908"/>
      <c r="AZ11" s="916">
        <f>SUM(AZ9:AZ10)</f>
        <v>1222207.9338033493</v>
      </c>
      <c r="BA11" s="909"/>
    </row>
    <row r="12" spans="1:55">
      <c r="B12" s="917"/>
      <c r="C12" s="918"/>
      <c r="D12" s="918"/>
      <c r="E12" s="918"/>
      <c r="F12" s="918"/>
      <c r="G12" s="918"/>
      <c r="H12" s="919"/>
      <c r="I12" s="918"/>
      <c r="J12" s="918"/>
      <c r="K12" s="918"/>
      <c r="L12" s="920"/>
      <c r="M12" s="921"/>
      <c r="N12" s="922"/>
      <c r="O12" s="923"/>
      <c r="P12" s="888"/>
      <c r="Q12" s="923"/>
      <c r="R12" s="923"/>
      <c r="S12" s="923"/>
      <c r="T12" s="920"/>
      <c r="U12" s="923"/>
      <c r="V12" s="924"/>
      <c r="W12" s="888"/>
      <c r="X12" s="918"/>
      <c r="Y12" s="918"/>
      <c r="Z12" s="918"/>
      <c r="AA12" s="918"/>
      <c r="AB12" s="918"/>
      <c r="AC12" s="918"/>
      <c r="AD12" s="918"/>
      <c r="AE12" s="918"/>
      <c r="AF12" s="918"/>
      <c r="AG12" s="918"/>
      <c r="AH12" s="918"/>
      <c r="AI12" s="918"/>
      <c r="AJ12" s="925"/>
      <c r="AK12" s="918"/>
      <c r="AL12" s="918"/>
      <c r="AM12" s="918"/>
      <c r="AN12" s="918"/>
      <c r="AO12" s="918"/>
      <c r="AP12" s="914"/>
      <c r="AQ12" s="888"/>
      <c r="AR12" s="923"/>
      <c r="AS12" s="888"/>
      <c r="AT12" s="923"/>
      <c r="AU12" s="926"/>
      <c r="AV12" s="920"/>
      <c r="AW12" s="927"/>
      <c r="AX12" s="926"/>
      <c r="AY12" s="928"/>
      <c r="AZ12" s="926"/>
      <c r="BA12" s="920"/>
    </row>
    <row r="13" spans="1:55">
      <c r="V13" s="175"/>
    </row>
  </sheetData>
  <pageMargins left="0.25" right="0.25" top="0.75" bottom="0.75" header="0.3" footer="0.3"/>
  <pageSetup scale="30"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4" tint="-0.249977111117893"/>
    <pageSetUpPr fitToPage="1"/>
  </sheetPr>
  <dimension ref="A1:AJ48"/>
  <sheetViews>
    <sheetView showGridLines="0" showOutlineSymbols="0" zoomScale="85" zoomScaleNormal="85" workbookViewId="0">
      <pane xSplit="3" ySplit="7" topLeftCell="D8" activePane="bottomRight" state="frozen"/>
      <selection activeCell="L18" sqref="L18"/>
      <selection pane="topRight" activeCell="L18" sqref="L18"/>
      <selection pane="bottomLeft" activeCell="L18" sqref="L18"/>
      <selection pane="bottomRight" activeCell="L18" sqref="L18"/>
    </sheetView>
  </sheetViews>
  <sheetFormatPr defaultColWidth="13.1640625" defaultRowHeight="12.75"/>
  <cols>
    <col min="1" max="1" width="5.6640625" style="697" customWidth="1"/>
    <col min="2" max="2" width="46.6640625" style="697" customWidth="1"/>
    <col min="3" max="3" width="17.6640625" style="698" customWidth="1"/>
    <col min="4" max="4" width="18.6640625" style="697" customWidth="1"/>
    <col min="5" max="5" width="17" style="697" customWidth="1"/>
    <col min="6" max="6" width="14.6640625" style="697" customWidth="1"/>
    <col min="7" max="7" width="14.83203125" style="697" customWidth="1"/>
    <col min="8" max="8" width="16" style="697" customWidth="1"/>
    <col min="9" max="9" width="16.5" style="697" customWidth="1"/>
    <col min="10" max="10" width="17.5" style="697" customWidth="1"/>
    <col min="11" max="11" width="17.6640625" style="697" customWidth="1"/>
    <col min="12" max="12" width="15" style="697" customWidth="1"/>
    <col min="13" max="13" width="17.5" style="697" customWidth="1"/>
    <col min="14" max="14" width="18.6640625" style="697" customWidth="1"/>
    <col min="15" max="15" width="17" style="697" customWidth="1"/>
    <col min="16" max="16" width="14.83203125" style="697" customWidth="1"/>
    <col min="17" max="17" width="16.1640625" style="697" customWidth="1"/>
    <col min="18" max="18" width="13.5" style="697" bestFit="1" customWidth="1"/>
    <col min="19" max="19" width="15.5" style="697" customWidth="1"/>
    <col min="20" max="20" width="13.5" style="697" bestFit="1" customWidth="1"/>
    <col min="21" max="21" width="16" style="697" customWidth="1"/>
    <col min="22" max="22" width="13.33203125" style="697" customWidth="1"/>
    <col min="23" max="26" width="13.1640625" style="697"/>
    <col min="27" max="27" width="19.1640625" style="697" customWidth="1"/>
    <col min="28" max="16384" width="13.1640625" style="697"/>
  </cols>
  <sheetData>
    <row r="1" spans="1:31">
      <c r="A1" s="696">
        <v>1</v>
      </c>
      <c r="D1" s="698" t="s">
        <v>345</v>
      </c>
      <c r="E1" s="698" t="s">
        <v>28</v>
      </c>
      <c r="F1" s="698" t="s">
        <v>33</v>
      </c>
      <c r="G1" s="698" t="s">
        <v>345</v>
      </c>
      <c r="H1" s="698" t="s">
        <v>31</v>
      </c>
      <c r="I1" s="698" t="s">
        <v>32</v>
      </c>
      <c r="J1" s="698" t="s">
        <v>33</v>
      </c>
      <c r="K1" s="698" t="s">
        <v>345</v>
      </c>
      <c r="L1" s="698" t="s">
        <v>34</v>
      </c>
      <c r="M1" s="698" t="s">
        <v>34</v>
      </c>
      <c r="N1" s="698" t="s">
        <v>345</v>
      </c>
      <c r="O1" s="698" t="s">
        <v>345</v>
      </c>
      <c r="P1" s="698" t="s">
        <v>36</v>
      </c>
      <c r="Q1" s="698" t="s">
        <v>346</v>
      </c>
      <c r="R1" s="698" t="s">
        <v>130</v>
      </c>
      <c r="S1" s="698" t="s">
        <v>37</v>
      </c>
      <c r="T1" s="698" t="s">
        <v>38</v>
      </c>
      <c r="U1" s="698" t="s">
        <v>347</v>
      </c>
    </row>
    <row r="2" spans="1:31">
      <c r="A2" s="696">
        <v>2</v>
      </c>
      <c r="B2" s="697" t="s">
        <v>348</v>
      </c>
      <c r="D2" s="698" t="s">
        <v>349</v>
      </c>
      <c r="E2" s="698" t="s">
        <v>40</v>
      </c>
      <c r="F2" s="698" t="s">
        <v>29</v>
      </c>
      <c r="G2" s="698" t="s">
        <v>29</v>
      </c>
      <c r="H2" s="698" t="s">
        <v>350</v>
      </c>
      <c r="I2" s="698" t="s">
        <v>44</v>
      </c>
      <c r="J2" s="698" t="s">
        <v>45</v>
      </c>
      <c r="K2" s="698" t="s">
        <v>45</v>
      </c>
      <c r="L2" s="698" t="s">
        <v>46</v>
      </c>
      <c r="M2" s="698" t="s">
        <v>152</v>
      </c>
      <c r="N2" s="698" t="s">
        <v>46</v>
      </c>
      <c r="O2" s="698" t="s">
        <v>152</v>
      </c>
      <c r="P2" s="698" t="s">
        <v>350</v>
      </c>
      <c r="Q2" s="698" t="s">
        <v>43</v>
      </c>
      <c r="R2" s="698" t="s">
        <v>351</v>
      </c>
      <c r="S2" s="698" t="s">
        <v>352</v>
      </c>
      <c r="T2" s="698" t="s">
        <v>353</v>
      </c>
      <c r="U2" s="698" t="s">
        <v>53</v>
      </c>
    </row>
    <row r="3" spans="1:31">
      <c r="A3" s="696">
        <v>3</v>
      </c>
      <c r="D3" s="698" t="s">
        <v>43</v>
      </c>
      <c r="E3" s="698" t="s">
        <v>51</v>
      </c>
      <c r="F3" s="698" t="s">
        <v>350</v>
      </c>
      <c r="G3" s="698" t="s">
        <v>350</v>
      </c>
      <c r="H3" s="698" t="s">
        <v>354</v>
      </c>
      <c r="I3" s="698"/>
      <c r="J3" s="698" t="s">
        <v>355</v>
      </c>
      <c r="K3" s="698" t="s">
        <v>355</v>
      </c>
      <c r="L3" s="698"/>
      <c r="M3" s="698"/>
      <c r="N3" s="698"/>
      <c r="O3" s="698"/>
      <c r="P3" s="698" t="s">
        <v>354</v>
      </c>
      <c r="Q3" s="698" t="s">
        <v>351</v>
      </c>
      <c r="S3" s="698" t="s">
        <v>356</v>
      </c>
      <c r="U3" s="698" t="s">
        <v>357</v>
      </c>
      <c r="V3" s="698" t="s">
        <v>21</v>
      </c>
    </row>
    <row r="4" spans="1:31">
      <c r="A4" s="696">
        <v>4</v>
      </c>
      <c r="E4" s="698"/>
      <c r="F4" s="698" t="s">
        <v>354</v>
      </c>
      <c r="G4" s="698" t="s">
        <v>354</v>
      </c>
      <c r="J4" s="698" t="s">
        <v>358</v>
      </c>
      <c r="K4" s="698" t="s">
        <v>358</v>
      </c>
      <c r="N4" s="698" t="s">
        <v>21</v>
      </c>
      <c r="P4" s="698"/>
      <c r="Q4" s="698" t="s">
        <v>359</v>
      </c>
      <c r="S4" s="698" t="s">
        <v>47</v>
      </c>
      <c r="V4" s="698" t="s">
        <v>360</v>
      </c>
    </row>
    <row r="5" spans="1:31">
      <c r="A5" s="696">
        <v>5</v>
      </c>
      <c r="B5" s="348"/>
      <c r="G5" s="698"/>
      <c r="H5" s="698"/>
      <c r="I5" s="698"/>
      <c r="J5" s="698" t="s">
        <v>361</v>
      </c>
      <c r="K5" s="698" t="s">
        <v>361</v>
      </c>
      <c r="Q5" s="698" t="s">
        <v>30</v>
      </c>
      <c r="S5" s="698"/>
      <c r="V5" s="698" t="s">
        <v>145</v>
      </c>
    </row>
    <row r="6" spans="1:31">
      <c r="A6" s="696">
        <v>6</v>
      </c>
      <c r="D6" s="699" t="s">
        <v>52</v>
      </c>
      <c r="E6" s="699"/>
      <c r="F6" s="699"/>
      <c r="G6" s="699"/>
      <c r="H6" s="699"/>
      <c r="I6" s="699"/>
      <c r="J6" s="699"/>
      <c r="K6" s="699"/>
      <c r="L6" s="699"/>
      <c r="M6" s="699"/>
      <c r="N6" s="699"/>
      <c r="O6" s="699"/>
      <c r="P6" s="699"/>
      <c r="Q6" s="699"/>
      <c r="R6" s="699"/>
      <c r="S6" s="699"/>
      <c r="T6" s="699"/>
      <c r="U6" s="699"/>
      <c r="V6" s="699"/>
    </row>
    <row r="7" spans="1:31" ht="13.5" thickBot="1">
      <c r="A7" s="697">
        <v>7</v>
      </c>
      <c r="D7" s="700" t="s">
        <v>362</v>
      </c>
      <c r="E7" s="700" t="s">
        <v>363</v>
      </c>
      <c r="F7" s="700" t="s">
        <v>364</v>
      </c>
      <c r="G7" s="700" t="s">
        <v>365</v>
      </c>
      <c r="H7" s="700" t="s">
        <v>366</v>
      </c>
      <c r="I7" s="700" t="s">
        <v>281</v>
      </c>
      <c r="J7" s="700" t="s">
        <v>367</v>
      </c>
      <c r="K7" s="700" t="s">
        <v>368</v>
      </c>
      <c r="L7" s="700" t="s">
        <v>369</v>
      </c>
      <c r="M7" s="700" t="s">
        <v>207</v>
      </c>
      <c r="N7" s="700" t="s">
        <v>370</v>
      </c>
      <c r="O7" s="700" t="s">
        <v>371</v>
      </c>
      <c r="P7" s="700" t="s">
        <v>372</v>
      </c>
      <c r="Q7" s="700" t="s">
        <v>373</v>
      </c>
      <c r="R7" s="700" t="s">
        <v>279</v>
      </c>
      <c r="S7" s="700" t="s">
        <v>374</v>
      </c>
      <c r="T7" s="700" t="s">
        <v>375</v>
      </c>
      <c r="U7" s="701" t="s">
        <v>376</v>
      </c>
      <c r="V7" s="700" t="s">
        <v>377</v>
      </c>
      <c r="AA7" s="702"/>
      <c r="AB7" s="702"/>
      <c r="AC7" s="703"/>
      <c r="AE7" s="704"/>
    </row>
    <row r="8" spans="1:31" ht="13.5" thickTop="1">
      <c r="A8" s="696">
        <v>8</v>
      </c>
      <c r="B8" s="697" t="s">
        <v>378</v>
      </c>
      <c r="AA8" s="702"/>
      <c r="AB8" s="702"/>
      <c r="AC8" s="703"/>
      <c r="AE8" s="704"/>
    </row>
    <row r="9" spans="1:31">
      <c r="A9" s="696">
        <v>9</v>
      </c>
      <c r="B9" s="697" t="s">
        <v>379</v>
      </c>
      <c r="C9" s="705"/>
      <c r="D9" s="706"/>
      <c r="E9" s="706"/>
      <c r="F9" s="706"/>
      <c r="G9" s="706"/>
      <c r="H9" s="706"/>
      <c r="I9" s="706"/>
      <c r="J9" s="706"/>
      <c r="K9" s="706"/>
      <c r="L9" s="706"/>
      <c r="M9" s="706"/>
      <c r="N9" s="706"/>
      <c r="O9" s="706"/>
      <c r="P9" s="706"/>
      <c r="Q9" s="706"/>
      <c r="R9" s="706"/>
      <c r="S9" s="706"/>
      <c r="T9" s="706"/>
      <c r="U9" s="707"/>
      <c r="V9" s="706"/>
      <c r="AA9" s="702"/>
      <c r="AB9" s="702"/>
      <c r="AC9" s="703"/>
      <c r="AE9" s="704"/>
    </row>
    <row r="10" spans="1:31">
      <c r="A10" s="696">
        <v>10</v>
      </c>
      <c r="B10" s="697" t="s">
        <v>380</v>
      </c>
      <c r="C10" s="705"/>
      <c r="D10" s="703"/>
      <c r="E10" s="703"/>
      <c r="F10" s="703"/>
      <c r="G10" s="703"/>
      <c r="H10" s="703"/>
      <c r="I10" s="703"/>
      <c r="J10" s="703"/>
      <c r="K10" s="703"/>
      <c r="L10" s="703"/>
      <c r="M10" s="703"/>
      <c r="N10" s="703"/>
      <c r="O10" s="703"/>
      <c r="P10" s="703"/>
      <c r="Q10" s="703"/>
      <c r="R10" s="703"/>
      <c r="S10" s="703"/>
      <c r="T10" s="703"/>
      <c r="U10" s="703"/>
      <c r="V10" s="703"/>
      <c r="AA10" s="702"/>
      <c r="AB10" s="702"/>
      <c r="AC10" s="703"/>
      <c r="AE10" s="704"/>
    </row>
    <row r="11" spans="1:31">
      <c r="A11" s="696">
        <v>11</v>
      </c>
      <c r="B11" s="697" t="s">
        <v>381</v>
      </c>
      <c r="C11" s="705"/>
      <c r="P11" s="703" t="s">
        <v>21</v>
      </c>
      <c r="Q11" s="703" t="s">
        <v>21</v>
      </c>
      <c r="R11" s="703" t="s">
        <v>21</v>
      </c>
      <c r="S11" s="703" t="s">
        <v>21</v>
      </c>
      <c r="T11" s="703" t="s">
        <v>21</v>
      </c>
      <c r="U11" s="703" t="s">
        <v>21</v>
      </c>
      <c r="V11" s="703" t="s">
        <v>21</v>
      </c>
      <c r="AB11" s="702"/>
      <c r="AC11" s="702"/>
      <c r="AD11" s="702"/>
    </row>
    <row r="12" spans="1:31">
      <c r="A12" s="696">
        <v>12</v>
      </c>
      <c r="B12" s="697" t="s">
        <v>382</v>
      </c>
      <c r="C12" s="694"/>
      <c r="D12" s="708"/>
      <c r="E12" s="708"/>
      <c r="F12" s="708"/>
      <c r="G12" s="708"/>
      <c r="H12" s="708"/>
      <c r="I12" s="708"/>
      <c r="J12" s="708"/>
      <c r="K12" s="708"/>
      <c r="L12" s="708"/>
      <c r="M12" s="708"/>
      <c r="N12" s="708"/>
      <c r="O12" s="708"/>
      <c r="P12" s="708" t="s">
        <v>21</v>
      </c>
      <c r="Q12" s="708" t="s">
        <v>21</v>
      </c>
      <c r="R12" s="708" t="s">
        <v>21</v>
      </c>
      <c r="S12" s="708" t="s">
        <v>21</v>
      </c>
      <c r="T12" s="708" t="s">
        <v>21</v>
      </c>
      <c r="U12" s="708" t="s">
        <v>21</v>
      </c>
      <c r="V12" s="708" t="s">
        <v>21</v>
      </c>
      <c r="AB12" s="702"/>
      <c r="AC12" s="703"/>
    </row>
    <row r="13" spans="1:31">
      <c r="A13" s="696">
        <v>13</v>
      </c>
      <c r="B13" s="697" t="s">
        <v>383</v>
      </c>
      <c r="C13" s="693">
        <f>SUM(C9:C12)</f>
        <v>0</v>
      </c>
      <c r="D13" s="708"/>
      <c r="E13" s="708"/>
      <c r="F13" s="708"/>
      <c r="G13" s="708"/>
      <c r="H13" s="708"/>
      <c r="I13" s="708"/>
      <c r="J13" s="708"/>
      <c r="K13" s="708"/>
      <c r="L13" s="708"/>
      <c r="M13" s="708"/>
      <c r="N13" s="708"/>
      <c r="O13" s="708"/>
      <c r="P13" s="708"/>
      <c r="Q13" s="708"/>
      <c r="R13" s="708"/>
      <c r="S13" s="708"/>
      <c r="T13" s="708"/>
      <c r="U13" s="708" t="s">
        <v>21</v>
      </c>
      <c r="V13" s="708" t="s">
        <v>21</v>
      </c>
    </row>
    <row r="14" spans="1:31">
      <c r="A14" s="696">
        <v>14</v>
      </c>
      <c r="C14" s="693"/>
      <c r="D14" s="708"/>
      <c r="E14" s="708"/>
      <c r="F14" s="708"/>
      <c r="G14" s="708"/>
      <c r="H14" s="708"/>
      <c r="I14" s="708"/>
      <c r="J14" s="708"/>
      <c r="K14" s="708"/>
      <c r="L14" s="708"/>
      <c r="M14" s="708"/>
      <c r="N14" s="708"/>
      <c r="O14" s="708"/>
      <c r="P14" s="708"/>
      <c r="Q14" s="708"/>
      <c r="R14" s="708"/>
      <c r="S14" s="708"/>
      <c r="T14" s="708"/>
      <c r="U14" s="708" t="s">
        <v>21</v>
      </c>
      <c r="V14" s="708" t="s">
        <v>21</v>
      </c>
      <c r="AB14" s="703"/>
    </row>
    <row r="15" spans="1:31">
      <c r="A15" s="696">
        <v>15</v>
      </c>
      <c r="B15" s="697" t="s">
        <v>384</v>
      </c>
      <c r="C15" s="693"/>
      <c r="D15" s="708"/>
      <c r="E15" s="708"/>
      <c r="F15" s="708"/>
      <c r="G15" s="708"/>
      <c r="H15" s="708"/>
      <c r="I15" s="708"/>
      <c r="J15" s="708"/>
      <c r="K15" s="708"/>
      <c r="L15" s="708"/>
      <c r="M15" s="708"/>
      <c r="N15" s="708"/>
      <c r="O15" s="708"/>
      <c r="P15" s="708"/>
      <c r="Q15" s="708"/>
      <c r="R15" s="708"/>
      <c r="S15" s="708"/>
      <c r="T15" s="708"/>
      <c r="U15" s="708" t="s">
        <v>21</v>
      </c>
      <c r="V15" s="708" t="s">
        <v>21</v>
      </c>
    </row>
    <row r="16" spans="1:31">
      <c r="A16" s="696">
        <v>16</v>
      </c>
      <c r="B16" s="697" t="s">
        <v>385</v>
      </c>
      <c r="C16" s="694">
        <f>SUM(Proforma!O115:O118,Proforma!O121:O128,Proforma!O131:O139,Proforma!O141:O142)-Proforma!O126</f>
        <v>28235.339429963162</v>
      </c>
      <c r="D16" s="708"/>
      <c r="E16" s="708"/>
      <c r="F16" s="708"/>
      <c r="G16" s="708"/>
      <c r="H16" s="708"/>
      <c r="I16" s="708"/>
      <c r="J16" s="708">
        <f>+C16-K16-L16-N16</f>
        <v>22185.945894554319</v>
      </c>
      <c r="K16" s="709">
        <f>C16*('COS (YW)'!$W$6/('COS (YW)'!$Y$6+'COS (YW)'!$W$6))</f>
        <v>0</v>
      </c>
      <c r="L16" s="709">
        <f>SUM(Proforma!O131:O139)-N16</f>
        <v>6049.3935354088435</v>
      </c>
      <c r="M16" s="708"/>
      <c r="N16" s="709"/>
      <c r="O16" s="708"/>
      <c r="P16" s="708"/>
      <c r="Q16" s="708"/>
      <c r="R16" s="708"/>
      <c r="S16" s="708"/>
      <c r="T16" s="708"/>
      <c r="U16" s="708">
        <f>SUM(D16:T16)</f>
        <v>28235.339429963162</v>
      </c>
      <c r="V16" s="708">
        <f t="shared" ref="V16:V42" si="0">C16-U16</f>
        <v>0</v>
      </c>
    </row>
    <row r="17" spans="1:36">
      <c r="A17" s="696">
        <v>17</v>
      </c>
      <c r="B17" s="697" t="s">
        <v>386</v>
      </c>
      <c r="C17" s="694">
        <f>SUM(Proforma!O119:O120)</f>
        <v>10069.353327309866</v>
      </c>
      <c r="D17" s="708"/>
      <c r="E17" s="708"/>
      <c r="F17" s="708"/>
      <c r="G17" s="708"/>
      <c r="H17" s="708"/>
      <c r="I17" s="708"/>
      <c r="J17" s="708">
        <f>+C17-K17</f>
        <v>10069.353327309866</v>
      </c>
      <c r="K17" s="709">
        <f>C17*('COS (YW)'!$W$6/('COS (YW)'!$Y$6+'COS (YW)'!$W$6))</f>
        <v>0</v>
      </c>
      <c r="L17" s="708"/>
      <c r="M17" s="708"/>
      <c r="N17" s="708"/>
      <c r="O17" s="708"/>
      <c r="P17" s="708"/>
      <c r="Q17" s="708"/>
      <c r="R17" s="708"/>
      <c r="S17" s="708"/>
      <c r="T17" s="708"/>
      <c r="U17" s="708">
        <f t="shared" ref="U17:U42" si="1">SUM(D17:T17)</f>
        <v>10069.353327309866</v>
      </c>
      <c r="V17" s="708">
        <f t="shared" si="0"/>
        <v>0</v>
      </c>
    </row>
    <row r="18" spans="1:36">
      <c r="A18" s="696">
        <v>18</v>
      </c>
      <c r="B18" s="697" t="s">
        <v>387</v>
      </c>
      <c r="C18" s="694">
        <f>Proforma!O72-Proforma!O44-Proforma!O60</f>
        <v>264557.78268527699</v>
      </c>
      <c r="D18" s="708"/>
      <c r="E18" s="708"/>
      <c r="F18" s="708">
        <f>+C18-G18</f>
        <v>264557.78268527699</v>
      </c>
      <c r="G18" s="709">
        <f>C18*('COS (YW)'!$W$6/('COS (YW)'!$Y$6+'COS (YW)'!$W$6))</f>
        <v>0</v>
      </c>
      <c r="H18" s="708"/>
      <c r="I18" s="708"/>
      <c r="J18" s="708"/>
      <c r="K18" s="708"/>
      <c r="L18" s="708"/>
      <c r="M18" s="708"/>
      <c r="N18" s="708"/>
      <c r="O18" s="708"/>
      <c r="P18" s="708"/>
      <c r="Q18" s="708"/>
      <c r="R18" s="708"/>
      <c r="S18" s="708"/>
      <c r="T18" s="708"/>
      <c r="U18" s="708">
        <f t="shared" si="1"/>
        <v>264557.78268527699</v>
      </c>
      <c r="V18" s="708">
        <f t="shared" si="0"/>
        <v>0</v>
      </c>
      <c r="AJ18" s="704"/>
    </row>
    <row r="19" spans="1:36">
      <c r="A19" s="696">
        <v>19</v>
      </c>
      <c r="B19" s="697" t="s">
        <v>388</v>
      </c>
      <c r="C19" s="694">
        <f>(Proforma!O126+Proforma!O140)-Proforma!O80-Proforma!O92</f>
        <v>39468.679683876697</v>
      </c>
      <c r="D19" s="708"/>
      <c r="E19" s="708"/>
      <c r="F19" s="708"/>
      <c r="G19" s="708"/>
      <c r="H19" s="708">
        <f>C19-L19</f>
        <v>39468.679683876697</v>
      </c>
      <c r="I19" s="708"/>
      <c r="J19" s="708"/>
      <c r="K19" s="682">
        <v>0</v>
      </c>
      <c r="L19" s="683"/>
      <c r="M19" s="708"/>
      <c r="N19" s="709"/>
      <c r="O19" s="708"/>
      <c r="P19" s="708"/>
      <c r="Q19" s="708"/>
      <c r="R19" s="708"/>
      <c r="S19" s="708"/>
      <c r="T19" s="708"/>
      <c r="U19" s="708">
        <f t="shared" si="1"/>
        <v>39468.679683876697</v>
      </c>
      <c r="V19" s="708">
        <f t="shared" si="0"/>
        <v>0</v>
      </c>
      <c r="AJ19" s="704"/>
    </row>
    <row r="20" spans="1:36">
      <c r="A20" s="696">
        <v>20</v>
      </c>
      <c r="B20" s="697" t="s">
        <v>389</v>
      </c>
      <c r="C20" s="694">
        <f>SUM(Proforma!O100:O101)</f>
        <v>46106.530245983391</v>
      </c>
      <c r="D20" s="708"/>
      <c r="E20" s="708"/>
      <c r="F20" s="708"/>
      <c r="G20" s="708"/>
      <c r="H20" s="708"/>
      <c r="I20" s="708"/>
      <c r="J20" s="708">
        <f>C20-K20</f>
        <v>46106.530245983391</v>
      </c>
      <c r="K20" s="709">
        <f>+C20*('COS (YW)'!W6/('COS (YW)'!Y6+'COS (YW)'!W6))</f>
        <v>0</v>
      </c>
      <c r="L20" s="708"/>
      <c r="M20" s="708"/>
      <c r="N20" s="708"/>
      <c r="O20" s="708"/>
      <c r="P20" s="708"/>
      <c r="Q20" s="708"/>
      <c r="R20" s="708"/>
      <c r="S20" s="708"/>
      <c r="T20" s="708"/>
      <c r="U20" s="708">
        <f t="shared" si="1"/>
        <v>46106.530245983391</v>
      </c>
      <c r="V20" s="708">
        <f t="shared" si="0"/>
        <v>0</v>
      </c>
      <c r="AJ20" s="704"/>
    </row>
    <row r="21" spans="1:36">
      <c r="A21" s="697">
        <v>21</v>
      </c>
      <c r="B21" s="697" t="s">
        <v>390</v>
      </c>
      <c r="C21" s="694">
        <f>SUM(Proforma!O103:O112,Proforma!O172:O181)</f>
        <v>6468.277966151898</v>
      </c>
      <c r="D21" s="708"/>
      <c r="E21" s="708"/>
      <c r="F21" s="708"/>
      <c r="G21" s="708"/>
      <c r="H21" s="708"/>
      <c r="I21" s="708">
        <f>C21</f>
        <v>6468.277966151898</v>
      </c>
      <c r="J21" s="708"/>
      <c r="K21" s="708"/>
      <c r="L21" s="708"/>
      <c r="M21" s="708"/>
      <c r="N21" s="708"/>
      <c r="O21" s="708"/>
      <c r="P21" s="708"/>
      <c r="Q21" s="708"/>
      <c r="R21" s="708"/>
      <c r="S21" s="708"/>
      <c r="T21" s="708"/>
      <c r="U21" s="708">
        <f t="shared" si="1"/>
        <v>6468.277966151898</v>
      </c>
      <c r="V21" s="708">
        <f t="shared" si="0"/>
        <v>0</v>
      </c>
      <c r="AJ21" s="704"/>
    </row>
    <row r="22" spans="1:36">
      <c r="A22" s="696">
        <v>22</v>
      </c>
      <c r="B22" s="697" t="s">
        <v>391</v>
      </c>
      <c r="C22" s="694"/>
      <c r="D22" s="708"/>
      <c r="E22" s="708"/>
      <c r="F22" s="708"/>
      <c r="G22" s="708"/>
      <c r="H22" s="708"/>
      <c r="I22" s="708"/>
      <c r="J22" s="708"/>
      <c r="K22" s="708"/>
      <c r="L22" s="708"/>
      <c r="M22" s="708"/>
      <c r="N22" s="708"/>
      <c r="O22" s="708"/>
      <c r="P22" s="708"/>
      <c r="Q22" s="708"/>
      <c r="R22" s="708"/>
      <c r="S22" s="708"/>
      <c r="T22" s="708"/>
      <c r="U22" s="708">
        <f t="shared" si="1"/>
        <v>0</v>
      </c>
      <c r="V22" s="708">
        <f t="shared" si="0"/>
        <v>0</v>
      </c>
    </row>
    <row r="23" spans="1:36">
      <c r="A23" s="696">
        <v>23</v>
      </c>
      <c r="B23" s="697" t="s">
        <v>392</v>
      </c>
      <c r="C23" s="694">
        <f>Proforma!O24-Proforma!O12</f>
        <v>273174.19929999998</v>
      </c>
      <c r="D23" s="708"/>
      <c r="E23" s="708"/>
      <c r="F23" s="708"/>
      <c r="G23" s="708"/>
      <c r="H23" s="708"/>
      <c r="I23" s="708"/>
      <c r="J23" s="708"/>
      <c r="K23" s="708"/>
      <c r="L23" s="708"/>
      <c r="M23" s="708"/>
      <c r="N23" s="708"/>
      <c r="O23" s="708"/>
      <c r="P23" s="708"/>
      <c r="Q23" s="708">
        <f>C23</f>
        <v>273174.19929999998</v>
      </c>
      <c r="R23" s="708"/>
      <c r="S23" s="708"/>
      <c r="T23" s="708"/>
      <c r="U23" s="708">
        <f t="shared" si="1"/>
        <v>273174.19929999998</v>
      </c>
      <c r="V23" s="708">
        <f t="shared" si="0"/>
        <v>0</v>
      </c>
    </row>
    <row r="24" spans="1:36">
      <c r="A24" s="696">
        <v>24</v>
      </c>
      <c r="B24" s="697" t="s">
        <v>393</v>
      </c>
      <c r="C24" s="694">
        <f>Proforma!O12</f>
        <v>0</v>
      </c>
      <c r="D24" s="708">
        <f>C24</f>
        <v>0</v>
      </c>
      <c r="E24" s="708"/>
      <c r="F24" s="708"/>
      <c r="G24" s="708"/>
      <c r="H24" s="708"/>
      <c r="I24" s="708"/>
      <c r="J24" s="708"/>
      <c r="K24" s="708"/>
      <c r="L24" s="708"/>
      <c r="M24" s="708"/>
      <c r="N24" s="708"/>
      <c r="O24" s="708"/>
      <c r="P24" s="708"/>
      <c r="Q24" s="708"/>
      <c r="R24" s="708"/>
      <c r="S24" s="708"/>
      <c r="T24" s="708"/>
      <c r="U24" s="708">
        <f t="shared" si="1"/>
        <v>0</v>
      </c>
      <c r="V24" s="708">
        <f t="shared" si="0"/>
        <v>0</v>
      </c>
    </row>
    <row r="25" spans="1:36">
      <c r="A25" s="696">
        <v>25</v>
      </c>
      <c r="B25" s="697" t="s">
        <v>394</v>
      </c>
      <c r="C25" s="694">
        <f>Proforma!O262+Proforma!O227</f>
        <v>4019.5382588036982</v>
      </c>
      <c r="D25" s="708"/>
      <c r="E25" s="708">
        <f>C25</f>
        <v>4019.5382588036982</v>
      </c>
      <c r="F25" s="708"/>
      <c r="G25" s="708"/>
      <c r="H25" s="708"/>
      <c r="I25" s="708"/>
      <c r="J25" s="708"/>
      <c r="K25" s="708"/>
      <c r="L25" s="708"/>
      <c r="M25" s="708"/>
      <c r="N25" s="708"/>
      <c r="O25" s="708"/>
      <c r="P25" s="708"/>
      <c r="Q25" s="708"/>
      <c r="R25" s="708"/>
      <c r="S25" s="708"/>
      <c r="T25" s="708"/>
      <c r="U25" s="708">
        <f t="shared" si="1"/>
        <v>4019.5382588036982</v>
      </c>
      <c r="V25" s="708">
        <f t="shared" si="0"/>
        <v>0</v>
      </c>
    </row>
    <row r="26" spans="1:36">
      <c r="A26" s="697">
        <v>26</v>
      </c>
      <c r="B26" s="697" t="s">
        <v>395</v>
      </c>
      <c r="C26" s="694">
        <f>Proforma!O158</f>
        <v>30299.803392532478</v>
      </c>
      <c r="D26" s="708"/>
      <c r="E26" s="708"/>
      <c r="F26" s="708"/>
      <c r="G26" s="708"/>
      <c r="H26" s="708"/>
      <c r="I26" s="708"/>
      <c r="J26" s="708">
        <f>C26-K26</f>
        <v>30299.803392532478</v>
      </c>
      <c r="K26" s="709">
        <f>+C26*('COS (YW)'!W6/('COS (YW)'!Y6+'COS (YW)'!W6))</f>
        <v>0</v>
      </c>
      <c r="L26" s="708"/>
      <c r="M26" s="708"/>
      <c r="N26" s="708"/>
      <c r="O26" s="708"/>
      <c r="P26" s="708"/>
      <c r="Q26" s="708"/>
      <c r="R26" s="708"/>
      <c r="S26" s="708"/>
      <c r="T26" s="708"/>
      <c r="U26" s="708">
        <f t="shared" si="1"/>
        <v>30299.803392532478</v>
      </c>
      <c r="V26" s="708">
        <f t="shared" si="0"/>
        <v>0</v>
      </c>
    </row>
    <row r="27" spans="1:36">
      <c r="A27" s="697">
        <v>27</v>
      </c>
      <c r="B27" s="697" t="s">
        <v>396</v>
      </c>
      <c r="C27" s="694">
        <f>Proforma!O44+Proforma!O60+Proforma!O80+Proforma!O92+Proforma!O211+Proforma!O238</f>
        <v>21904.394571924073</v>
      </c>
      <c r="D27" s="708"/>
      <c r="E27" s="708">
        <f>+Proforma!Q213+Proforma!Q242</f>
        <v>2485.4021645060184</v>
      </c>
      <c r="F27" s="708">
        <f>+C27-E27-G27-H27-L27</f>
        <v>-7218.6508852982734</v>
      </c>
      <c r="G27" s="709">
        <f>C27*('COS (YW)'!$W$6/('COS (YW)'!$Y$6+'COS (YW)'!$W$6))</f>
        <v>0</v>
      </c>
      <c r="H27" s="708">
        <f>Proforma!Q84+Proforma!Q96</f>
        <v>26637.643292716326</v>
      </c>
      <c r="I27" s="708"/>
      <c r="J27" s="708"/>
      <c r="K27" s="708"/>
      <c r="L27" s="708"/>
      <c r="M27" s="708"/>
      <c r="N27" s="708"/>
      <c r="O27" s="708"/>
      <c r="P27" s="708">
        <v>0</v>
      </c>
      <c r="Q27" s="708"/>
      <c r="R27" s="708"/>
      <c r="S27" s="708"/>
      <c r="T27" s="708"/>
      <c r="U27" s="708">
        <f t="shared" si="1"/>
        <v>21904.394571924073</v>
      </c>
      <c r="V27" s="708">
        <f t="shared" si="0"/>
        <v>0</v>
      </c>
    </row>
    <row r="28" spans="1:36">
      <c r="A28" s="697">
        <v>28</v>
      </c>
      <c r="B28" s="697" t="s">
        <v>397</v>
      </c>
      <c r="C28" s="694">
        <v>0</v>
      </c>
      <c r="D28" s="708"/>
      <c r="E28" s="708"/>
      <c r="F28" s="708"/>
      <c r="G28" s="708"/>
      <c r="H28" s="708"/>
      <c r="I28" s="708"/>
      <c r="J28" s="708"/>
      <c r="K28" s="708"/>
      <c r="L28" s="708"/>
      <c r="M28" s="708"/>
      <c r="N28" s="708"/>
      <c r="O28" s="708"/>
      <c r="P28" s="708">
        <f>C28</f>
        <v>0</v>
      </c>
      <c r="Q28" s="708"/>
      <c r="R28" s="708"/>
      <c r="S28" s="708"/>
      <c r="T28" s="708"/>
      <c r="U28" s="708">
        <f t="shared" si="1"/>
        <v>0</v>
      </c>
      <c r="V28" s="708">
        <f t="shared" si="0"/>
        <v>0</v>
      </c>
    </row>
    <row r="29" spans="1:36">
      <c r="A29" s="697">
        <v>29</v>
      </c>
      <c r="B29" s="697" t="s">
        <v>398</v>
      </c>
      <c r="C29" s="694">
        <f>Proforma!O217+Proforma!O243-Proforma!O211-Proforma!O238</f>
        <v>35650.765567706636</v>
      </c>
      <c r="D29" s="708"/>
      <c r="E29" s="708">
        <f>C29</f>
        <v>35650.765567706636</v>
      </c>
      <c r="F29" s="708"/>
      <c r="G29" s="708"/>
      <c r="H29" s="708"/>
      <c r="I29" s="708"/>
      <c r="J29" s="708"/>
      <c r="K29" s="708"/>
      <c r="L29" s="708"/>
      <c r="M29" s="708"/>
      <c r="N29" s="708"/>
      <c r="O29" s="708"/>
      <c r="P29" s="708"/>
      <c r="Q29" s="708"/>
      <c r="R29" s="708"/>
      <c r="S29" s="708"/>
      <c r="T29" s="708"/>
      <c r="U29" s="708">
        <f t="shared" si="1"/>
        <v>35650.765567706636</v>
      </c>
      <c r="V29" s="708">
        <f t="shared" si="0"/>
        <v>0</v>
      </c>
    </row>
    <row r="30" spans="1:36">
      <c r="A30" s="696">
        <v>30</v>
      </c>
      <c r="B30" s="697" t="s">
        <v>399</v>
      </c>
      <c r="C30" s="694">
        <f>Proforma!O229+Proforma!O286-C25-C31-C42</f>
        <v>33600.861691271515</v>
      </c>
      <c r="D30" s="708"/>
      <c r="E30" s="708">
        <f>C30</f>
        <v>33600.861691271515</v>
      </c>
      <c r="F30" s="708"/>
      <c r="G30" s="708"/>
      <c r="H30" s="708"/>
      <c r="I30" s="708"/>
      <c r="J30" s="708"/>
      <c r="K30" s="708"/>
      <c r="L30" s="708"/>
      <c r="M30" s="708"/>
      <c r="N30" s="708"/>
      <c r="O30" s="708"/>
      <c r="P30" s="708"/>
      <c r="Q30" s="708"/>
      <c r="R30" s="708"/>
      <c r="S30" s="708"/>
      <c r="T30" s="708"/>
      <c r="U30" s="708">
        <f t="shared" si="1"/>
        <v>33600.861691271515</v>
      </c>
      <c r="V30" s="708">
        <f t="shared" si="0"/>
        <v>0</v>
      </c>
    </row>
    <row r="31" spans="1:36">
      <c r="A31" s="696">
        <v>31</v>
      </c>
      <c r="B31" s="697" t="s">
        <v>400</v>
      </c>
      <c r="C31" s="694">
        <f>SUM(Proforma!O267:O268)</f>
        <v>5452.9925948944428</v>
      </c>
      <c r="D31" s="708"/>
      <c r="E31" s="708">
        <f>C31</f>
        <v>5452.9925948944428</v>
      </c>
      <c r="F31" s="708"/>
      <c r="G31" s="708"/>
      <c r="H31" s="708"/>
      <c r="I31" s="708"/>
      <c r="J31" s="708"/>
      <c r="K31" s="708"/>
      <c r="L31" s="708"/>
      <c r="M31" s="708"/>
      <c r="N31" s="708"/>
      <c r="O31" s="708"/>
      <c r="P31" s="708"/>
      <c r="Q31" s="708"/>
      <c r="R31" s="708"/>
      <c r="S31" s="708"/>
      <c r="T31" s="708"/>
      <c r="U31" s="708">
        <f t="shared" si="1"/>
        <v>5452.9925948944428</v>
      </c>
      <c r="V31" s="708">
        <f t="shared" si="0"/>
        <v>0</v>
      </c>
    </row>
    <row r="32" spans="1:36">
      <c r="A32" s="696">
        <v>32</v>
      </c>
      <c r="B32" s="697" t="s">
        <v>192</v>
      </c>
      <c r="C32" s="694">
        <f>Proforma!O164</f>
        <v>3063.0699392296169</v>
      </c>
      <c r="D32" s="708"/>
      <c r="E32" s="708">
        <f>C32</f>
        <v>3063.0699392296169</v>
      </c>
      <c r="F32" s="708"/>
      <c r="G32" s="708"/>
      <c r="H32" s="708"/>
      <c r="I32" s="708"/>
      <c r="J32" s="708"/>
      <c r="K32" s="708"/>
      <c r="L32" s="708"/>
      <c r="M32" s="708"/>
      <c r="N32" s="708"/>
      <c r="O32" s="708"/>
      <c r="P32" s="708"/>
      <c r="Q32" s="708"/>
      <c r="R32" s="708"/>
      <c r="S32" s="708"/>
      <c r="T32" s="708"/>
      <c r="U32" s="708">
        <f t="shared" si="1"/>
        <v>3063.0699392296169</v>
      </c>
      <c r="V32" s="708">
        <f t="shared" si="0"/>
        <v>0</v>
      </c>
    </row>
    <row r="33" spans="1:22">
      <c r="A33" s="696">
        <v>33</v>
      </c>
      <c r="B33" s="697" t="s">
        <v>401</v>
      </c>
      <c r="C33" s="694"/>
      <c r="D33" s="708"/>
      <c r="E33" s="708">
        <v>0</v>
      </c>
      <c r="F33" s="708">
        <v>0</v>
      </c>
      <c r="G33" s="708">
        <v>0</v>
      </c>
      <c r="H33" s="708">
        <v>0</v>
      </c>
      <c r="I33" s="708"/>
      <c r="J33" s="708"/>
      <c r="K33" s="708"/>
      <c r="L33" s="708"/>
      <c r="M33" s="708"/>
      <c r="N33" s="708"/>
      <c r="O33" s="708"/>
      <c r="P33" s="708">
        <v>0</v>
      </c>
      <c r="Q33" s="708"/>
      <c r="R33" s="708"/>
      <c r="S33" s="708"/>
      <c r="T33" s="708"/>
      <c r="U33" s="708">
        <f t="shared" si="1"/>
        <v>0</v>
      </c>
      <c r="V33" s="708">
        <f t="shared" si="0"/>
        <v>0</v>
      </c>
    </row>
    <row r="34" spans="1:22">
      <c r="A34" s="696">
        <v>35</v>
      </c>
      <c r="B34" s="697" t="s">
        <v>402</v>
      </c>
      <c r="C34" s="694">
        <f>Proforma!O29</f>
        <v>3815.6570639999995</v>
      </c>
      <c r="D34" s="708"/>
      <c r="E34" s="708"/>
      <c r="F34" s="708"/>
      <c r="G34" s="708"/>
      <c r="H34" s="708"/>
      <c r="I34" s="708"/>
      <c r="J34" s="708"/>
      <c r="K34" s="708"/>
      <c r="L34" s="708"/>
      <c r="M34" s="708"/>
      <c r="N34" s="708"/>
      <c r="O34" s="708"/>
      <c r="P34" s="708"/>
      <c r="Q34" s="708"/>
      <c r="R34" s="708">
        <f>C34</f>
        <v>3815.6570639999995</v>
      </c>
      <c r="S34" s="708"/>
      <c r="T34" s="708"/>
      <c r="U34" s="708">
        <f t="shared" si="1"/>
        <v>3815.6570639999995</v>
      </c>
      <c r="V34" s="708">
        <f t="shared" si="0"/>
        <v>0</v>
      </c>
    </row>
    <row r="35" spans="1:22">
      <c r="A35" s="696">
        <v>36</v>
      </c>
      <c r="B35" s="697" t="s">
        <v>403</v>
      </c>
      <c r="C35" s="694">
        <v>0</v>
      </c>
      <c r="D35" s="708"/>
      <c r="E35" s="708">
        <f>C35</f>
        <v>0</v>
      </c>
      <c r="F35" s="708"/>
      <c r="G35" s="708"/>
      <c r="H35" s="708"/>
      <c r="I35" s="708"/>
      <c r="J35" s="708"/>
      <c r="K35" s="708"/>
      <c r="L35" s="708"/>
      <c r="M35" s="708"/>
      <c r="N35" s="708"/>
      <c r="O35" s="708"/>
      <c r="P35" s="708"/>
      <c r="Q35" s="708"/>
      <c r="R35" s="708"/>
      <c r="S35" s="708"/>
      <c r="T35" s="708"/>
      <c r="U35" s="708">
        <f t="shared" si="1"/>
        <v>0</v>
      </c>
      <c r="V35" s="708">
        <f t="shared" si="0"/>
        <v>0</v>
      </c>
    </row>
    <row r="36" spans="1:22">
      <c r="A36" s="696">
        <v>38</v>
      </c>
      <c r="B36" s="697" t="s">
        <v>404</v>
      </c>
      <c r="C36" s="694">
        <f>Proforma!O186</f>
        <v>72787.148664513879</v>
      </c>
      <c r="D36" s="708"/>
      <c r="E36" s="708"/>
      <c r="F36" s="708"/>
      <c r="G36" s="708"/>
      <c r="H36" s="708"/>
      <c r="I36" s="708"/>
      <c r="J36" s="708">
        <f>+SUM([11]Summary!$H$53:$H$54)</f>
        <v>76740.02053353333</v>
      </c>
      <c r="K36" s="681">
        <v>0</v>
      </c>
      <c r="L36" s="708"/>
      <c r="M36" s="708"/>
      <c r="N36" s="708"/>
      <c r="O36" s="708"/>
      <c r="P36" s="708"/>
      <c r="Q36" s="708"/>
      <c r="R36" s="708"/>
      <c r="S36" s="708"/>
      <c r="T36" s="708"/>
      <c r="U36" s="708">
        <f t="shared" si="1"/>
        <v>76740.02053353333</v>
      </c>
      <c r="V36" s="708">
        <f t="shared" si="0"/>
        <v>-3952.871869019451</v>
      </c>
    </row>
    <row r="37" spans="1:22">
      <c r="A37" s="696">
        <v>39</v>
      </c>
      <c r="B37" s="697" t="s">
        <v>405</v>
      </c>
      <c r="C37" s="694">
        <f>Proforma!O187</f>
        <v>16761.497086230553</v>
      </c>
      <c r="D37" s="708"/>
      <c r="E37" s="708"/>
      <c r="F37" s="708"/>
      <c r="G37" s="708"/>
      <c r="H37" s="708"/>
      <c r="I37" s="708"/>
      <c r="J37" s="708"/>
      <c r="K37" s="708"/>
      <c r="L37" s="708"/>
      <c r="M37" s="708">
        <f>+[11]Summary!$H$50</f>
        <v>10460.537953149587</v>
      </c>
      <c r="N37" s="708"/>
      <c r="O37" s="710"/>
      <c r="P37" s="708"/>
      <c r="Q37" s="708"/>
      <c r="R37" s="708"/>
      <c r="S37" s="708"/>
      <c r="T37" s="708"/>
      <c r="U37" s="708">
        <f t="shared" si="1"/>
        <v>10460.537953149587</v>
      </c>
      <c r="V37" s="708">
        <f t="shared" si="0"/>
        <v>6300.9591330809653</v>
      </c>
    </row>
    <row r="38" spans="1:22">
      <c r="A38" s="696">
        <v>40</v>
      </c>
      <c r="B38" s="697" t="s">
        <v>406</v>
      </c>
      <c r="C38" s="694">
        <f>SUM(Proforma!O188:O194)</f>
        <v>4073.5864536842246</v>
      </c>
      <c r="D38" s="708"/>
      <c r="E38" s="708"/>
      <c r="F38" s="708"/>
      <c r="G38" s="708"/>
      <c r="H38" s="708"/>
      <c r="I38" s="708">
        <f>C38</f>
        <v>4073.5864536842246</v>
      </c>
      <c r="J38" s="708"/>
      <c r="K38" s="708"/>
      <c r="L38" s="708"/>
      <c r="M38" s="708"/>
      <c r="N38" s="708"/>
      <c r="O38" s="708"/>
      <c r="P38" s="708"/>
      <c r="Q38" s="708"/>
      <c r="R38" s="708"/>
      <c r="S38" s="708"/>
      <c r="T38" s="708"/>
      <c r="U38" s="708">
        <f t="shared" si="1"/>
        <v>4073.5864536842246</v>
      </c>
      <c r="V38" s="708">
        <f t="shared" si="0"/>
        <v>0</v>
      </c>
    </row>
    <row r="39" spans="1:22">
      <c r="A39" s="696">
        <v>42</v>
      </c>
      <c r="B39" s="697" t="s">
        <v>407</v>
      </c>
      <c r="C39" s="694">
        <f>Proforma!O102</f>
        <v>3136.6215218076627</v>
      </c>
      <c r="D39" s="708"/>
      <c r="E39" s="708"/>
      <c r="F39" s="708"/>
      <c r="G39" s="708"/>
      <c r="H39" s="708"/>
      <c r="I39" s="708"/>
      <c r="J39" s="708">
        <f>C39-K39</f>
        <v>3136.6215218076627</v>
      </c>
      <c r="K39" s="709">
        <f>C39*('COS (YW)'!$W$6/('COS (YW)'!$Y$6+'COS (YW)'!$W$6))</f>
        <v>0</v>
      </c>
      <c r="L39" s="708"/>
      <c r="M39" s="708"/>
      <c r="N39" s="708"/>
      <c r="O39" s="708"/>
      <c r="P39" s="708"/>
      <c r="Q39" s="708"/>
      <c r="R39" s="708"/>
      <c r="S39" s="708"/>
      <c r="T39" s="708"/>
      <c r="U39" s="708">
        <f t="shared" si="1"/>
        <v>3136.6215218076627</v>
      </c>
      <c r="V39" s="708">
        <f t="shared" si="0"/>
        <v>0</v>
      </c>
    </row>
    <row r="40" spans="1:22">
      <c r="A40" s="696">
        <v>47</v>
      </c>
      <c r="B40" s="697" t="s">
        <v>408</v>
      </c>
      <c r="C40" s="694">
        <f>Proforma!O171</f>
        <v>13388.270399999998</v>
      </c>
      <c r="D40" s="708"/>
      <c r="E40" s="708"/>
      <c r="F40" s="708"/>
      <c r="G40" s="708"/>
      <c r="H40" s="708"/>
      <c r="I40" s="708"/>
      <c r="J40" s="708"/>
      <c r="K40" s="708"/>
      <c r="L40" s="708"/>
      <c r="M40" s="708"/>
      <c r="N40" s="708"/>
      <c r="O40" s="708"/>
      <c r="P40" s="708"/>
      <c r="Q40" s="708"/>
      <c r="R40" s="710"/>
      <c r="S40" s="708">
        <f>+C40</f>
        <v>13388.270399999998</v>
      </c>
      <c r="T40" s="708"/>
      <c r="U40" s="708">
        <f t="shared" si="1"/>
        <v>13388.270399999998</v>
      </c>
      <c r="V40" s="708">
        <f t="shared" si="0"/>
        <v>0</v>
      </c>
    </row>
    <row r="41" spans="1:22">
      <c r="A41" s="697">
        <v>49</v>
      </c>
      <c r="B41" s="697" t="s">
        <v>409</v>
      </c>
      <c r="C41" s="694">
        <f>Proforma!O169-Proforma!O164</f>
        <v>19420.391267517181</v>
      </c>
      <c r="D41" s="708"/>
      <c r="E41" s="708">
        <f>C41</f>
        <v>19420.391267517181</v>
      </c>
      <c r="F41" s="708"/>
      <c r="G41" s="708"/>
      <c r="H41" s="708"/>
      <c r="I41" s="708"/>
      <c r="J41" s="708"/>
      <c r="K41" s="708"/>
      <c r="L41" s="708"/>
      <c r="M41" s="708"/>
      <c r="N41" s="708"/>
      <c r="O41" s="708"/>
      <c r="P41" s="708"/>
      <c r="Q41" s="708"/>
      <c r="R41" s="708"/>
      <c r="S41" s="708"/>
      <c r="T41" s="708"/>
      <c r="U41" s="708">
        <f t="shared" si="1"/>
        <v>19420.391267517181</v>
      </c>
      <c r="V41" s="708">
        <f t="shared" si="0"/>
        <v>0</v>
      </c>
    </row>
    <row r="42" spans="1:22">
      <c r="A42" s="696">
        <v>53</v>
      </c>
      <c r="B42" s="697" t="s">
        <v>410</v>
      </c>
      <c r="C42" s="695">
        <f>Proforma!O282</f>
        <v>1351.0948155555832</v>
      </c>
      <c r="D42" s="711"/>
      <c r="E42" s="711"/>
      <c r="F42" s="711"/>
      <c r="G42" s="711"/>
      <c r="H42" s="711"/>
      <c r="I42" s="711"/>
      <c r="J42" s="711"/>
      <c r="K42" s="711"/>
      <c r="L42" s="711"/>
      <c r="M42" s="711"/>
      <c r="N42" s="711"/>
      <c r="O42" s="711"/>
      <c r="P42" s="711"/>
      <c r="Q42" s="711"/>
      <c r="R42" s="711"/>
      <c r="S42" s="711"/>
      <c r="T42" s="711">
        <f>+C42</f>
        <v>1351.0948155555832</v>
      </c>
      <c r="U42" s="711">
        <f t="shared" si="1"/>
        <v>1351.0948155555832</v>
      </c>
      <c r="V42" s="711">
        <f t="shared" si="0"/>
        <v>0</v>
      </c>
    </row>
    <row r="43" spans="1:22" ht="13.5" thickBot="1">
      <c r="A43" s="697">
        <v>54</v>
      </c>
      <c r="B43" s="697" t="s">
        <v>411</v>
      </c>
      <c r="C43" s="712">
        <f t="shared" ref="C43:U43" si="2">SUM(C16:C42)</f>
        <v>936805.85592823382</v>
      </c>
      <c r="D43" s="712">
        <f t="shared" si="2"/>
        <v>0</v>
      </c>
      <c r="E43" s="712">
        <f t="shared" si="2"/>
        <v>103693.0214839291</v>
      </c>
      <c r="F43" s="712">
        <f t="shared" si="2"/>
        <v>257339.13179997873</v>
      </c>
      <c r="G43" s="712">
        <f t="shared" si="2"/>
        <v>0</v>
      </c>
      <c r="H43" s="712">
        <f t="shared" si="2"/>
        <v>66106.322976593015</v>
      </c>
      <c r="I43" s="712">
        <f t="shared" si="2"/>
        <v>10541.864419836122</v>
      </c>
      <c r="J43" s="712">
        <f t="shared" si="2"/>
        <v>188538.27491572103</v>
      </c>
      <c r="K43" s="712">
        <f t="shared" si="2"/>
        <v>0</v>
      </c>
      <c r="L43" s="712">
        <f t="shared" si="2"/>
        <v>6049.3935354088435</v>
      </c>
      <c r="M43" s="712">
        <f t="shared" si="2"/>
        <v>10460.537953149587</v>
      </c>
      <c r="N43" s="712">
        <f t="shared" si="2"/>
        <v>0</v>
      </c>
      <c r="O43" s="712">
        <f t="shared" si="2"/>
        <v>0</v>
      </c>
      <c r="P43" s="712">
        <f t="shared" si="2"/>
        <v>0</v>
      </c>
      <c r="Q43" s="712">
        <f t="shared" si="2"/>
        <v>273174.19929999998</v>
      </c>
      <c r="R43" s="712">
        <f t="shared" si="2"/>
        <v>3815.6570639999995</v>
      </c>
      <c r="S43" s="712">
        <f t="shared" si="2"/>
        <v>13388.270399999998</v>
      </c>
      <c r="T43" s="712">
        <f t="shared" si="2"/>
        <v>1351.0948155555832</v>
      </c>
      <c r="U43" s="712">
        <f t="shared" si="2"/>
        <v>934457.76866417238</v>
      </c>
      <c r="V43" s="713">
        <f>SUM(V16:V42)</f>
        <v>2348.0872640615144</v>
      </c>
    </row>
    <row r="44" spans="1:22" ht="13.5" thickTop="1">
      <c r="A44" s="697">
        <v>55</v>
      </c>
      <c r="B44" s="697" t="s">
        <v>412</v>
      </c>
      <c r="C44" s="693">
        <f>-C43+C13</f>
        <v>-936805.85592823382</v>
      </c>
      <c r="D44" s="708"/>
      <c r="E44" s="708"/>
      <c r="F44" s="708"/>
      <c r="G44" s="708"/>
      <c r="H44" s="708"/>
      <c r="I44" s="708"/>
      <c r="J44" s="708"/>
      <c r="K44" s="708"/>
      <c r="L44" s="708"/>
      <c r="M44" s="708"/>
      <c r="N44" s="708"/>
      <c r="O44" s="708"/>
      <c r="P44" s="708"/>
      <c r="Q44" s="708"/>
      <c r="R44" s="708"/>
      <c r="S44" s="708"/>
      <c r="T44" s="708"/>
      <c r="U44" s="714">
        <f>SUM(D43:T43)</f>
        <v>934457.76866417227</v>
      </c>
      <c r="V44" s="708"/>
    </row>
    <row r="45" spans="1:22">
      <c r="C45" s="693"/>
      <c r="D45" s="708"/>
      <c r="E45" s="708"/>
      <c r="F45" s="708"/>
      <c r="G45" s="708"/>
      <c r="H45" s="708"/>
      <c r="I45" s="708"/>
      <c r="J45" s="708"/>
      <c r="K45" s="708"/>
      <c r="L45" s="708"/>
      <c r="M45" s="708"/>
      <c r="N45" s="708"/>
      <c r="O45" s="708"/>
      <c r="P45" s="708"/>
      <c r="Q45" s="708"/>
      <c r="R45" s="708"/>
      <c r="S45" s="708"/>
      <c r="T45" s="708"/>
      <c r="U45" s="708"/>
      <c r="V45" s="708"/>
    </row>
    <row r="46" spans="1:22">
      <c r="B46" s="697" t="s">
        <v>413</v>
      </c>
      <c r="C46" s="693">
        <f>Proforma!O293+Proforma!O32</f>
        <v>936805.85592823348</v>
      </c>
      <c r="D46" s="708"/>
      <c r="E46" s="708"/>
      <c r="F46" s="708"/>
      <c r="G46" s="708"/>
      <c r="H46" s="708"/>
      <c r="I46" s="708"/>
      <c r="J46" s="708"/>
      <c r="K46" s="708"/>
      <c r="L46" s="708"/>
      <c r="M46" s="708"/>
      <c r="N46" s="708"/>
      <c r="O46" s="708"/>
      <c r="P46" s="708"/>
      <c r="Q46" s="708"/>
      <c r="R46" s="708"/>
      <c r="S46" s="708"/>
      <c r="T46" s="708"/>
      <c r="U46" s="708"/>
      <c r="V46" s="708"/>
    </row>
    <row r="48" spans="1:22">
      <c r="B48" s="697" t="s">
        <v>20</v>
      </c>
      <c r="C48" s="693">
        <f>+C43-C46</f>
        <v>0</v>
      </c>
    </row>
  </sheetData>
  <pageMargins left="0.25" right="0.25" top="0.75" bottom="0.75" header="0.3" footer="0.3"/>
  <pageSetup scale="45"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theme="4" tint="-0.249977111117893"/>
    <pageSetUpPr fitToPage="1"/>
  </sheetPr>
  <dimension ref="A1:BC15"/>
  <sheetViews>
    <sheetView zoomScaleNormal="100" workbookViewId="0">
      <pane xSplit="1" ySplit="7" topLeftCell="AA8" activePane="bottomRight" state="frozen"/>
      <selection activeCell="L18" sqref="L18"/>
      <selection pane="topRight" activeCell="L18" sqref="L18"/>
      <selection pane="bottomLeft" activeCell="L18" sqref="L18"/>
      <selection pane="bottomRight" activeCell="AR23" sqref="AR23"/>
    </sheetView>
  </sheetViews>
  <sheetFormatPr defaultColWidth="21.6640625" defaultRowHeight="11.25"/>
  <cols>
    <col min="1" max="1" width="24.6640625" style="159" bestFit="1" customWidth="1"/>
    <col min="2" max="2" width="9.83203125" style="159" customWidth="1"/>
    <col min="3" max="3" width="9.83203125" style="159" bestFit="1" customWidth="1"/>
    <col min="4" max="5" width="10.83203125" style="159" bestFit="1" customWidth="1"/>
    <col min="6" max="6" width="11.1640625" style="159" bestFit="1" customWidth="1"/>
    <col min="7" max="7" width="8.83203125" style="159" bestFit="1" customWidth="1"/>
    <col min="8" max="8" width="9" style="820" bestFit="1" customWidth="1"/>
    <col min="9" max="9" width="9.5" style="159" bestFit="1" customWidth="1"/>
    <col min="10" max="10" width="12.33203125" style="159" bestFit="1" customWidth="1"/>
    <col min="11" max="11" width="11.5" style="159" bestFit="1" customWidth="1"/>
    <col min="12" max="12" width="10.5" style="159" bestFit="1" customWidth="1"/>
    <col min="13" max="13" width="9.5" style="821" bestFit="1" customWidth="1"/>
    <col min="14" max="14" width="12.5" style="159" bestFit="1" customWidth="1"/>
    <col min="15" max="15" width="8" style="159" bestFit="1" customWidth="1"/>
    <col min="16" max="16" width="5.1640625" style="159" bestFit="1" customWidth="1"/>
    <col min="17" max="17" width="8.33203125" style="159" bestFit="1" customWidth="1"/>
    <col min="18" max="18" width="9" style="159" bestFit="1" customWidth="1"/>
    <col min="19" max="19" width="11.5" style="159" bestFit="1" customWidth="1"/>
    <col min="20" max="20" width="8.6640625" style="159" bestFit="1" customWidth="1"/>
    <col min="21" max="21" width="9.33203125" style="159" bestFit="1" customWidth="1"/>
    <col min="22" max="22" width="10.83203125" style="159" bestFit="1" customWidth="1"/>
    <col min="23" max="23" width="5.1640625" style="159" bestFit="1" customWidth="1"/>
    <col min="24" max="24" width="10.5" style="159" bestFit="1" customWidth="1"/>
    <col min="25" max="26" width="9.1640625" style="159" bestFit="1" customWidth="1"/>
    <col min="27" max="27" width="11.83203125" style="159" bestFit="1" customWidth="1"/>
    <col min="28" max="28" width="9.6640625" style="159" bestFit="1" customWidth="1"/>
    <col min="29" max="29" width="9" style="159" bestFit="1" customWidth="1"/>
    <col min="30" max="30" width="8.6640625" style="159" bestFit="1" customWidth="1"/>
    <col min="31" max="31" width="11.6640625" style="159" bestFit="1" customWidth="1"/>
    <col min="32" max="32" width="9.6640625" style="159" bestFit="1" customWidth="1"/>
    <col min="33" max="33" width="9.5" style="159" bestFit="1" customWidth="1"/>
    <col min="34" max="34" width="8" style="159" bestFit="1" customWidth="1"/>
    <col min="35" max="35" width="10.5" style="159" bestFit="1" customWidth="1"/>
    <col min="36" max="36" width="10.5" style="822" customWidth="1"/>
    <col min="37" max="37" width="9" style="159" bestFit="1" customWidth="1"/>
    <col min="38" max="38" width="10.5" style="159" bestFit="1" customWidth="1"/>
    <col min="39" max="39" width="9.5" style="159" bestFit="1" customWidth="1"/>
    <col min="40" max="40" width="11.33203125" style="159" bestFit="1" customWidth="1"/>
    <col min="41" max="41" width="8.5" style="159" bestFit="1" customWidth="1"/>
    <col min="42" max="42" width="10.5" style="162" bestFit="1" customWidth="1"/>
    <col min="43" max="43" width="3.33203125" style="159" customWidth="1"/>
    <col min="44" max="44" width="7.33203125" style="159" bestFit="1" customWidth="1"/>
    <col min="45" max="45" width="7.5" style="159" bestFit="1" customWidth="1"/>
    <col min="46" max="46" width="11.83203125" style="159" bestFit="1" customWidth="1"/>
    <col min="47" max="47" width="13.1640625" style="159" bestFit="1" customWidth="1"/>
    <col min="48" max="48" width="10.33203125" style="159" bestFit="1" customWidth="1"/>
    <col min="49" max="49" width="9" style="820" bestFit="1" customWidth="1"/>
    <col min="50" max="50" width="12.6640625" style="159" bestFit="1" customWidth="1"/>
    <col min="51" max="51" width="9.33203125" style="820" bestFit="1" customWidth="1"/>
    <col min="52" max="52" width="10.83203125" style="159" bestFit="1" customWidth="1"/>
    <col min="53" max="53" width="10.33203125" style="159" bestFit="1" customWidth="1"/>
    <col min="54" max="54" width="9" style="159" bestFit="1" customWidth="1"/>
    <col min="55" max="55" width="10.5" style="159" bestFit="1" customWidth="1"/>
    <col min="56" max="56" width="6.1640625" style="159" bestFit="1" customWidth="1"/>
    <col min="57" max="57" width="5.1640625" style="159" bestFit="1" customWidth="1"/>
    <col min="58" max="58" width="4.1640625" style="159" bestFit="1" customWidth="1"/>
    <col min="59" max="16384" width="21.6640625" style="159"/>
  </cols>
  <sheetData>
    <row r="1" spans="1:55" ht="15.75">
      <c r="A1" s="817"/>
      <c r="D1" s="818" t="s">
        <v>774</v>
      </c>
      <c r="E1" s="819">
        <v>52</v>
      </c>
      <c r="M1" s="821" t="s">
        <v>833</v>
      </c>
    </row>
    <row r="2" spans="1:55">
      <c r="A2" s="159" t="s">
        <v>776</v>
      </c>
      <c r="B2" s="178"/>
      <c r="D2" s="818" t="s">
        <v>777</v>
      </c>
      <c r="E2" s="819">
        <v>4.33</v>
      </c>
      <c r="H2" s="823"/>
      <c r="I2" s="824"/>
      <c r="J2" s="159" t="s">
        <v>778</v>
      </c>
      <c r="K2" s="179">
        <f>+COS!K2</f>
        <v>0.98727308193954788</v>
      </c>
      <c r="L2" s="175"/>
      <c r="M2" s="166">
        <f>Disposal!R42</f>
        <v>7171.51</v>
      </c>
      <c r="N2" s="159" t="s">
        <v>778</v>
      </c>
      <c r="O2" s="179">
        <f>M2/N6</f>
        <v>1.1973670150599394</v>
      </c>
      <c r="P2" s="825"/>
      <c r="S2" s="826">
        <v>1</v>
      </c>
      <c r="U2" s="827">
        <f>IF((V4+T4)=V5, 0, V4+T4-V5)</f>
        <v>0</v>
      </c>
      <c r="V2" s="828"/>
      <c r="W2" s="825"/>
      <c r="X2" s="827">
        <f t="shared" ref="X2:AO2" si="0">X5-X4</f>
        <v>0</v>
      </c>
      <c r="Y2" s="827">
        <f t="shared" si="0"/>
        <v>0</v>
      </c>
      <c r="Z2" s="827">
        <f t="shared" si="0"/>
        <v>0</v>
      </c>
      <c r="AA2" s="827">
        <f t="shared" si="0"/>
        <v>0</v>
      </c>
      <c r="AB2" s="827">
        <f t="shared" si="0"/>
        <v>0</v>
      </c>
      <c r="AC2" s="827">
        <f t="shared" si="0"/>
        <v>0</v>
      </c>
      <c r="AD2" s="827">
        <f t="shared" si="0"/>
        <v>0</v>
      </c>
      <c r="AE2" s="827">
        <f t="shared" si="0"/>
        <v>0</v>
      </c>
      <c r="AF2" s="827">
        <f t="shared" si="0"/>
        <v>0</v>
      </c>
      <c r="AG2" s="827">
        <f t="shared" si="0"/>
        <v>0</v>
      </c>
      <c r="AH2" s="827">
        <f t="shared" si="0"/>
        <v>0</v>
      </c>
      <c r="AI2" s="827">
        <f t="shared" si="0"/>
        <v>0</v>
      </c>
      <c r="AJ2" s="829"/>
      <c r="AK2" s="827">
        <f t="shared" si="0"/>
        <v>0</v>
      </c>
      <c r="AL2" s="827">
        <f t="shared" si="0"/>
        <v>0</v>
      </c>
      <c r="AM2" s="827">
        <f t="shared" si="0"/>
        <v>0</v>
      </c>
      <c r="AN2" s="827">
        <f t="shared" si="0"/>
        <v>0</v>
      </c>
      <c r="AO2" s="827">
        <f t="shared" si="0"/>
        <v>0</v>
      </c>
      <c r="AP2" s="830">
        <f>AP5-AP4</f>
        <v>0</v>
      </c>
      <c r="AQ2" s="825"/>
      <c r="AS2" s="825"/>
      <c r="AU2" s="621">
        <f>AU5-AU4</f>
        <v>0</v>
      </c>
      <c r="AV2" s="621"/>
      <c r="AX2" s="621">
        <f>AX5-AX4</f>
        <v>-145372.56903199479</v>
      </c>
      <c r="AZ2" s="621">
        <f>AZ5-AZ4</f>
        <v>-23661.182294411235</v>
      </c>
      <c r="BB2" s="621">
        <f>AZ2-AX2</f>
        <v>121711.38673758355</v>
      </c>
    </row>
    <row r="3" spans="1:55">
      <c r="A3" s="159" t="s">
        <v>19</v>
      </c>
      <c r="B3" s="178"/>
      <c r="C3" s="163"/>
      <c r="H3" s="823"/>
      <c r="I3" s="824"/>
      <c r="K3" s="179"/>
      <c r="L3" s="831"/>
      <c r="M3" s="166"/>
      <c r="O3" s="179"/>
      <c r="P3" s="832"/>
      <c r="Q3" s="164"/>
      <c r="R3" s="164"/>
      <c r="S3" s="826">
        <v>1</v>
      </c>
      <c r="T3" s="176" t="s">
        <v>30</v>
      </c>
      <c r="U3" s="175"/>
      <c r="V3" s="173" t="s">
        <v>780</v>
      </c>
      <c r="W3" s="832"/>
      <c r="Y3" s="164"/>
      <c r="Z3" s="164"/>
      <c r="AA3" s="164"/>
      <c r="AB3" s="164"/>
      <c r="AC3" s="164"/>
      <c r="AD3" s="164"/>
      <c r="AE3" s="164"/>
      <c r="AF3" s="164"/>
      <c r="AG3" s="164"/>
      <c r="AH3" s="164"/>
      <c r="AI3" s="164"/>
      <c r="AJ3" s="833"/>
      <c r="AK3" s="164"/>
      <c r="AL3" s="164"/>
      <c r="AM3" s="164"/>
      <c r="AN3" s="164"/>
      <c r="AO3" s="164"/>
      <c r="AP3" s="834"/>
      <c r="AQ3" s="832"/>
      <c r="AS3" s="832"/>
      <c r="AT3" s="165" t="s">
        <v>21</v>
      </c>
    </row>
    <row r="4" spans="1:55">
      <c r="B4" s="178"/>
      <c r="C4" s="163"/>
      <c r="H4" s="823"/>
      <c r="I4" s="824"/>
      <c r="K4" s="179"/>
      <c r="L4" s="831"/>
      <c r="M4" s="166"/>
      <c r="O4" s="179"/>
      <c r="P4" s="832"/>
      <c r="S4" s="826"/>
      <c r="T4" s="180"/>
      <c r="U4" s="164"/>
      <c r="V4" s="180">
        <f>+[3]Summary!$D$12</f>
        <v>5276.8363147552082</v>
      </c>
      <c r="W4" s="832"/>
      <c r="X4" s="824">
        <f>'Matrix (YW)'!D43</f>
        <v>0</v>
      </c>
      <c r="Y4" s="824">
        <f>'Matrix (YW)'!E43</f>
        <v>103693.0214839291</v>
      </c>
      <c r="Z4" s="824">
        <f>'Matrix (YW)'!F43</f>
        <v>257339.13179997873</v>
      </c>
      <c r="AA4" s="824">
        <f>'Matrix (YW)'!G43</f>
        <v>0</v>
      </c>
      <c r="AB4" s="824">
        <f>'Matrix (YW)'!H43</f>
        <v>66106.322976593015</v>
      </c>
      <c r="AC4" s="824">
        <f>'Matrix (YW)'!I43</f>
        <v>10541.864419836122</v>
      </c>
      <c r="AD4" s="824">
        <f>'Matrix (YW)'!J43</f>
        <v>188538.27491572103</v>
      </c>
      <c r="AE4" s="824">
        <f>'Matrix (YW)'!K43</f>
        <v>0</v>
      </c>
      <c r="AF4" s="824">
        <f>'Matrix (YW)'!L43</f>
        <v>6049.3935354088435</v>
      </c>
      <c r="AG4" s="824">
        <f>'Matrix (YW)'!M43</f>
        <v>10460.537953149587</v>
      </c>
      <c r="AH4" s="824">
        <f>'Matrix (YW)'!N43</f>
        <v>0</v>
      </c>
      <c r="AI4" s="824">
        <f>'Matrix (YW)'!O43</f>
        <v>0</v>
      </c>
      <c r="AJ4" s="835">
        <f>SUM(X4:AI4)</f>
        <v>642728.54708461661</v>
      </c>
      <c r="AK4" s="824">
        <f>'Matrix (YW)'!P43</f>
        <v>0</v>
      </c>
      <c r="AL4" s="824">
        <f>'Matrix (YW)'!Q43</f>
        <v>273174.19929999998</v>
      </c>
      <c r="AM4" s="824">
        <f>'Matrix (YW)'!R43</f>
        <v>3815.6570639999995</v>
      </c>
      <c r="AN4" s="824">
        <f>'Matrix (YW)'!S43</f>
        <v>13388.270399999998</v>
      </c>
      <c r="AO4" s="824">
        <f>'Matrix (YW)'!T43</f>
        <v>1351.0948155555832</v>
      </c>
      <c r="AP4" s="836">
        <f>SUM(AJ4:AO4)</f>
        <v>934457.76866417227</v>
      </c>
      <c r="AQ4" s="832"/>
      <c r="AS4" s="832"/>
      <c r="AT4" s="837">
        <f>'LG Yardwaste'!H15/100</f>
        <v>0.910402802041128</v>
      </c>
      <c r="AU4" s="621">
        <f>+AT5</f>
        <v>1026422.3336847303</v>
      </c>
      <c r="AW4" s="838"/>
      <c r="AX4" s="621">
        <f>AT5</f>
        <v>1026422.3336847303</v>
      </c>
      <c r="AZ4" s="621">
        <f>+AT5</f>
        <v>1026422.3336847303</v>
      </c>
    </row>
    <row r="5" spans="1:55" s="839" customFormat="1">
      <c r="A5" s="839" t="s">
        <v>781</v>
      </c>
      <c r="B5" s="840">
        <f>SUM(B6:B6)</f>
        <v>14233</v>
      </c>
      <c r="C5" s="840">
        <f>SUM(C6:C6)</f>
        <v>14051.857775245586</v>
      </c>
      <c r="D5" s="840"/>
      <c r="E5" s="840"/>
      <c r="F5" s="840">
        <f>SUM(F6:F6)</f>
        <v>14051.857775245586</v>
      </c>
      <c r="G5" s="840">
        <f>SUM(G6:G6)</f>
        <v>7358</v>
      </c>
      <c r="H5" s="840"/>
      <c r="I5" s="841">
        <f>SUM(I6:I6)</f>
        <v>74367.28</v>
      </c>
      <c r="J5" s="840">
        <f>SUM(J6:J6)</f>
        <v>892407.36</v>
      </c>
      <c r="K5" s="840">
        <f>SUM(K6:K6)</f>
        <v>881049.76465273555</v>
      </c>
      <c r="L5" s="840"/>
      <c r="M5" s="842"/>
      <c r="N5" s="840">
        <f>SUM(N6:N6)</f>
        <v>5989.4</v>
      </c>
      <c r="O5" s="840">
        <f>SUM(O6:O6)</f>
        <v>7171.51</v>
      </c>
      <c r="P5" s="843"/>
      <c r="Q5" s="840">
        <f t="shared" ref="Q5:V5" si="1">SUM(Q6:Q6)</f>
        <v>67.36</v>
      </c>
      <c r="R5" s="840">
        <f t="shared" si="1"/>
        <v>2156.2951084430997</v>
      </c>
      <c r="S5" s="840">
        <f t="shared" si="1"/>
        <v>2156.2951084430997</v>
      </c>
      <c r="T5" s="840">
        <f t="shared" si="1"/>
        <v>0</v>
      </c>
      <c r="U5" s="840">
        <f t="shared" si="1"/>
        <v>3120.5412063121084</v>
      </c>
      <c r="V5" s="840">
        <f t="shared" si="1"/>
        <v>5276.8363147552082</v>
      </c>
      <c r="W5" s="843"/>
      <c r="X5" s="840">
        <f t="shared" ref="X5:AP5" si="2">SUM(X6:X6)</f>
        <v>0</v>
      </c>
      <c r="Y5" s="840">
        <f t="shared" si="2"/>
        <v>103693.0214839291</v>
      </c>
      <c r="Z5" s="840">
        <f t="shared" si="2"/>
        <v>257339.13179997873</v>
      </c>
      <c r="AA5" s="840">
        <f t="shared" si="2"/>
        <v>0</v>
      </c>
      <c r="AB5" s="840">
        <f t="shared" si="2"/>
        <v>66106.322976593015</v>
      </c>
      <c r="AC5" s="840">
        <f t="shared" si="2"/>
        <v>10541.864419836122</v>
      </c>
      <c r="AD5" s="840">
        <f t="shared" si="2"/>
        <v>188538.27491572103</v>
      </c>
      <c r="AE5" s="840">
        <f t="shared" si="2"/>
        <v>0</v>
      </c>
      <c r="AF5" s="840">
        <f t="shared" si="2"/>
        <v>6049.3935354088435</v>
      </c>
      <c r="AG5" s="840">
        <f t="shared" si="2"/>
        <v>10460.537953149586</v>
      </c>
      <c r="AH5" s="840">
        <f t="shared" si="2"/>
        <v>0</v>
      </c>
      <c r="AI5" s="840">
        <f t="shared" si="2"/>
        <v>0</v>
      </c>
      <c r="AJ5" s="844">
        <f t="shared" si="2"/>
        <v>642728.5470846165</v>
      </c>
      <c r="AK5" s="840">
        <f t="shared" si="2"/>
        <v>0</v>
      </c>
      <c r="AL5" s="840">
        <f t="shared" si="2"/>
        <v>273174.19929999998</v>
      </c>
      <c r="AM5" s="840">
        <f t="shared" si="2"/>
        <v>3815.657064</v>
      </c>
      <c r="AN5" s="840">
        <f t="shared" si="2"/>
        <v>13388.270399999998</v>
      </c>
      <c r="AO5" s="840">
        <f t="shared" si="2"/>
        <v>1351.0948155555834</v>
      </c>
      <c r="AP5" s="845">
        <f t="shared" si="2"/>
        <v>934457.76866417215</v>
      </c>
      <c r="AQ5" s="843"/>
      <c r="AR5" s="846"/>
      <c r="AS5" s="843"/>
      <c r="AT5" s="840">
        <f>SUM(AT6:AT6)</f>
        <v>1026422.3336847303</v>
      </c>
      <c r="AU5" s="840">
        <f>SUM(AU6:AU6)</f>
        <v>1026422.3336847303</v>
      </c>
      <c r="AW5" s="840"/>
      <c r="AX5" s="840">
        <f>SUM(AX6:AX6)</f>
        <v>881049.76465273555</v>
      </c>
      <c r="AY5" s="847"/>
      <c r="AZ5" s="840">
        <f>SUM(AZ6:AZ6)</f>
        <v>1002761.1513903191</v>
      </c>
    </row>
    <row r="6" spans="1:55">
      <c r="A6" s="848" t="s">
        <v>778</v>
      </c>
      <c r="B6" s="849">
        <f>SUM(B9:B11)</f>
        <v>14233</v>
      </c>
      <c r="C6" s="849">
        <f>SUM(C9:C11)</f>
        <v>14051.857775245586</v>
      </c>
      <c r="D6" s="849"/>
      <c r="E6" s="849"/>
      <c r="F6" s="849">
        <f>SUM(F9:F11)</f>
        <v>14051.857775245586</v>
      </c>
      <c r="G6" s="849">
        <f>SUM(G9:G11)</f>
        <v>7358</v>
      </c>
      <c r="H6" s="849"/>
      <c r="I6" s="849">
        <f>SUM(I9:I11)</f>
        <v>74367.28</v>
      </c>
      <c r="J6" s="849">
        <f>SUM(J9:J11)</f>
        <v>892407.36</v>
      </c>
      <c r="K6" s="849">
        <f>SUM(K9:K11)</f>
        <v>881049.76465273555</v>
      </c>
      <c r="L6" s="849"/>
      <c r="M6" s="850"/>
      <c r="N6" s="849">
        <f>SUM(N9:N11)</f>
        <v>5989.4</v>
      </c>
      <c r="O6" s="849">
        <f>SUM(O9:O11)</f>
        <v>7171.51</v>
      </c>
      <c r="P6" s="851"/>
      <c r="Q6" s="849">
        <f t="shared" ref="Q6:V6" si="3">SUM(Q9:Q11)</f>
        <v>67.36</v>
      </c>
      <c r="R6" s="849">
        <f t="shared" si="3"/>
        <v>2156.2951084430997</v>
      </c>
      <c r="S6" s="849">
        <f t="shared" si="3"/>
        <v>2156.2951084430997</v>
      </c>
      <c r="T6" s="849">
        <f t="shared" si="3"/>
        <v>0</v>
      </c>
      <c r="U6" s="849">
        <f t="shared" si="3"/>
        <v>3120.5412063121084</v>
      </c>
      <c r="V6" s="849">
        <f t="shared" si="3"/>
        <v>5276.8363147552082</v>
      </c>
      <c r="W6" s="851"/>
      <c r="X6" s="849">
        <f t="shared" ref="X6:AI6" si="4">SUM(X9:X11)</f>
        <v>0</v>
      </c>
      <c r="Y6" s="849">
        <f t="shared" si="4"/>
        <v>103693.0214839291</v>
      </c>
      <c r="Z6" s="849">
        <f t="shared" si="4"/>
        <v>257339.13179997873</v>
      </c>
      <c r="AA6" s="849">
        <f t="shared" si="4"/>
        <v>0</v>
      </c>
      <c r="AB6" s="849">
        <f t="shared" si="4"/>
        <v>66106.322976593015</v>
      </c>
      <c r="AC6" s="849">
        <f t="shared" si="4"/>
        <v>10541.864419836122</v>
      </c>
      <c r="AD6" s="849">
        <f t="shared" si="4"/>
        <v>188538.27491572103</v>
      </c>
      <c r="AE6" s="849">
        <f t="shared" si="4"/>
        <v>0</v>
      </c>
      <c r="AF6" s="849">
        <f t="shared" si="4"/>
        <v>6049.3935354088435</v>
      </c>
      <c r="AG6" s="849">
        <f t="shared" si="4"/>
        <v>10460.537953149586</v>
      </c>
      <c r="AH6" s="849">
        <f t="shared" si="4"/>
        <v>0</v>
      </c>
      <c r="AI6" s="849">
        <f t="shared" si="4"/>
        <v>0</v>
      </c>
      <c r="AJ6" s="852">
        <f>SUM(X6:AI6)</f>
        <v>642728.5470846165</v>
      </c>
      <c r="AK6" s="849">
        <f t="shared" ref="AK6:AP6" si="5">SUM(AK9:AK11)</f>
        <v>0</v>
      </c>
      <c r="AL6" s="849">
        <f t="shared" si="5"/>
        <v>273174.19929999998</v>
      </c>
      <c r="AM6" s="849">
        <f t="shared" si="5"/>
        <v>3815.657064</v>
      </c>
      <c r="AN6" s="849">
        <f t="shared" si="5"/>
        <v>13388.270399999998</v>
      </c>
      <c r="AO6" s="853">
        <f t="shared" si="5"/>
        <v>1351.0948155555834</v>
      </c>
      <c r="AP6" s="849">
        <f t="shared" si="5"/>
        <v>934457.76866417215</v>
      </c>
      <c r="AQ6" s="851"/>
      <c r="AR6" s="849"/>
      <c r="AS6" s="851"/>
      <c r="AT6" s="849">
        <f>+AP6/AT$4</f>
        <v>1026422.3336847303</v>
      </c>
      <c r="AU6" s="849">
        <f>SUM(AU9:AU11)</f>
        <v>1026422.3336847303</v>
      </c>
      <c r="AV6" s="854">
        <f>+AT6/J6</f>
        <v>1.1501724209051014</v>
      </c>
      <c r="AW6" s="849"/>
      <c r="AX6" s="849">
        <f>SUM(AX9:AX11)</f>
        <v>881049.76465273555</v>
      </c>
      <c r="AY6" s="854">
        <f>+AX6/J6</f>
        <v>0.98727308193954788</v>
      </c>
      <c r="AZ6" s="849">
        <f>SUM(AZ9:AZ11)</f>
        <v>1002761.1513903191</v>
      </c>
      <c r="BA6" s="854">
        <f>+AZ6/J6</f>
        <v>1.1236585401876551</v>
      </c>
    </row>
    <row r="7" spans="1:55" s="868" customFormat="1" ht="45">
      <c r="B7" s="869" t="s">
        <v>782</v>
      </c>
      <c r="C7" s="869" t="s">
        <v>783</v>
      </c>
      <c r="D7" s="869" t="s">
        <v>784</v>
      </c>
      <c r="E7" s="869" t="s">
        <v>785</v>
      </c>
      <c r="F7" s="870" t="s">
        <v>786</v>
      </c>
      <c r="G7" s="870" t="s">
        <v>787</v>
      </c>
      <c r="H7" s="871" t="s">
        <v>788</v>
      </c>
      <c r="I7" s="869" t="s">
        <v>789</v>
      </c>
      <c r="J7" s="869" t="s">
        <v>790</v>
      </c>
      <c r="K7" s="869" t="s">
        <v>791</v>
      </c>
      <c r="L7" s="869" t="s">
        <v>792</v>
      </c>
      <c r="M7" s="872" t="s">
        <v>793</v>
      </c>
      <c r="N7" s="869" t="s">
        <v>794</v>
      </c>
      <c r="O7" s="869" t="s">
        <v>795</v>
      </c>
      <c r="P7" s="873"/>
      <c r="Q7" s="869" t="s">
        <v>796</v>
      </c>
      <c r="R7" s="869" t="s">
        <v>797</v>
      </c>
      <c r="S7" s="869" t="s">
        <v>798</v>
      </c>
      <c r="T7" s="869" t="s">
        <v>799</v>
      </c>
      <c r="U7" s="869" t="s">
        <v>800</v>
      </c>
      <c r="V7" s="869" t="s">
        <v>801</v>
      </c>
      <c r="W7" s="873"/>
      <c r="X7" s="869" t="s">
        <v>802</v>
      </c>
      <c r="Y7" s="869" t="s">
        <v>803</v>
      </c>
      <c r="Z7" s="869" t="s">
        <v>804</v>
      </c>
      <c r="AA7" s="869" t="s">
        <v>805</v>
      </c>
      <c r="AB7" s="869" t="s">
        <v>806</v>
      </c>
      <c r="AC7" s="869" t="s">
        <v>807</v>
      </c>
      <c r="AD7" s="869" t="s">
        <v>808</v>
      </c>
      <c r="AE7" s="869" t="s">
        <v>809</v>
      </c>
      <c r="AF7" s="869" t="s">
        <v>810</v>
      </c>
      <c r="AG7" s="869" t="s">
        <v>811</v>
      </c>
      <c r="AH7" s="869" t="s">
        <v>812</v>
      </c>
      <c r="AI7" s="869" t="s">
        <v>813</v>
      </c>
      <c r="AJ7" s="874" t="s">
        <v>35</v>
      </c>
      <c r="AK7" s="869" t="s">
        <v>814</v>
      </c>
      <c r="AL7" s="869" t="s">
        <v>815</v>
      </c>
      <c r="AM7" s="869" t="s">
        <v>816</v>
      </c>
      <c r="AN7" s="869" t="s">
        <v>817</v>
      </c>
      <c r="AO7" s="869" t="s">
        <v>818</v>
      </c>
      <c r="AP7" s="875" t="s">
        <v>819</v>
      </c>
      <c r="AQ7" s="873"/>
      <c r="AR7" s="869" t="s">
        <v>820</v>
      </c>
      <c r="AS7" s="873"/>
      <c r="AT7" s="869" t="s">
        <v>821</v>
      </c>
      <c r="AU7" s="869" t="s">
        <v>822</v>
      </c>
      <c r="AV7" s="869" t="s">
        <v>823</v>
      </c>
      <c r="AW7" s="871" t="s">
        <v>510</v>
      </c>
      <c r="AX7" s="869" t="s">
        <v>824</v>
      </c>
      <c r="AY7" s="871" t="s">
        <v>511</v>
      </c>
      <c r="AZ7" s="869" t="s">
        <v>825</v>
      </c>
      <c r="BA7" s="869" t="s">
        <v>826</v>
      </c>
      <c r="BB7" s="876"/>
      <c r="BC7" s="876"/>
    </row>
    <row r="8" spans="1:55" ht="12" thickBot="1">
      <c r="A8" s="877" t="s">
        <v>57</v>
      </c>
      <c r="K8" s="164"/>
      <c r="P8" s="825"/>
      <c r="W8" s="825"/>
      <c r="X8" s="164"/>
      <c r="Y8" s="164"/>
      <c r="Z8" s="164"/>
      <c r="AA8" s="164"/>
      <c r="AB8" s="164"/>
      <c r="AC8" s="164"/>
      <c r="AD8" s="164"/>
      <c r="AE8" s="164"/>
      <c r="AF8" s="164"/>
      <c r="AG8" s="164"/>
      <c r="AH8" s="164"/>
      <c r="AI8" s="164"/>
      <c r="AJ8" s="833"/>
      <c r="AK8" s="164"/>
      <c r="AL8" s="164"/>
      <c r="AM8" s="164"/>
      <c r="AN8" s="164"/>
      <c r="AO8" s="164"/>
      <c r="AP8" s="836"/>
      <c r="AQ8" s="825"/>
      <c r="AS8" s="825"/>
      <c r="AV8" s="878"/>
      <c r="AY8" s="879"/>
    </row>
    <row r="9" spans="1:55" ht="12" thickTop="1">
      <c r="A9" s="880" t="str">
        <f>'Resi Price Out'!A29</f>
        <v>Yardwaste - Appendix A</v>
      </c>
      <c r="B9" s="881">
        <f>'Resi Price Out'!B29</f>
        <v>4771</v>
      </c>
      <c r="C9" s="882">
        <f>B9*$K$2</f>
        <v>4710.2798739335831</v>
      </c>
      <c r="D9" s="1024">
        <v>0.5</v>
      </c>
      <c r="E9" s="882">
        <f>D9*$E$1</f>
        <v>26</v>
      </c>
      <c r="F9" s="882">
        <f>C9</f>
        <v>4710.2798739335831</v>
      </c>
      <c r="G9" s="882"/>
      <c r="H9" s="904">
        <f>'Resi Price Out'!D29</f>
        <v>8</v>
      </c>
      <c r="I9" s="882">
        <f>B9*H9</f>
        <v>38168</v>
      </c>
      <c r="J9" s="882">
        <f>I9*12</f>
        <v>458016</v>
      </c>
      <c r="K9" s="882">
        <f>J9*$K$2</f>
        <v>452186.86789762398</v>
      </c>
      <c r="L9" s="884">
        <f>+SUMPRODUCT('Resi Stats'!C57:N57,'Resi Stats'!C11:N11)/'Resi Stats'!P11</f>
        <v>51.972631598823661</v>
      </c>
      <c r="M9" s="885">
        <f>L9*$O$2</f>
        <v>62.230314762293368</v>
      </c>
      <c r="N9" s="886">
        <f>ROUND(((C9*E9*L9)/2000),2)</f>
        <v>3182.47</v>
      </c>
      <c r="O9" s="887">
        <f>$O$2*N9</f>
        <v>3810.5846044178052</v>
      </c>
      <c r="P9" s="888"/>
      <c r="Q9" s="889">
        <f>+'Meeks +'!C11</f>
        <v>33.68</v>
      </c>
      <c r="R9" s="887">
        <f>C9*E9*Q9/3600</f>
        <v>1145.7494111128221</v>
      </c>
      <c r="S9" s="887">
        <f>R9*$S$2</f>
        <v>1145.7494111128221</v>
      </c>
      <c r="T9" s="890"/>
      <c r="U9" s="887">
        <f>($V$4-$S$5)*O9/($O$5)</f>
        <v>1658.1007735085477</v>
      </c>
      <c r="V9" s="891">
        <f>U9+S9</f>
        <v>2803.8501846213699</v>
      </c>
      <c r="W9" s="888"/>
      <c r="X9" s="892"/>
      <c r="Y9" s="893">
        <f>($Y$4*(I9)/(($I$6)))</f>
        <v>53219.039932596781</v>
      </c>
      <c r="Z9" s="882">
        <f>($Z$4*I9/($I$5))</f>
        <v>132075.82666115512</v>
      </c>
      <c r="AA9" s="892"/>
      <c r="AB9" s="882">
        <f>$AB$4*V9/($V$4+$T$4)</f>
        <v>35125.634912016161</v>
      </c>
      <c r="AC9" s="882">
        <f>$AC$4*V9/($V$4+$T$4)</f>
        <v>5601.4260698518829</v>
      </c>
      <c r="AD9" s="882">
        <f>$AD$4*V9/($V$4+$T$4)</f>
        <v>100179.92702416472</v>
      </c>
      <c r="AE9" s="892"/>
      <c r="AF9" s="882">
        <f>$AF$4*V9/($V$4+$T$4)</f>
        <v>3214.3489335977733</v>
      </c>
      <c r="AG9" s="882">
        <f>($AG$4*F9)/(+$F$6)</f>
        <v>3506.4446409384304</v>
      </c>
      <c r="AH9" s="892"/>
      <c r="AI9" s="892"/>
      <c r="AJ9" s="894">
        <f>SUM(X9:AI9)</f>
        <v>332922.64817432087</v>
      </c>
      <c r="AK9" s="882">
        <f>($AK$4*F9/($F$5))</f>
        <v>0</v>
      </c>
      <c r="AL9" s="882">
        <f>$AL$4*O9/($O$5)</f>
        <v>145151.21615625455</v>
      </c>
      <c r="AM9" s="882">
        <f>$AM$4*(K9+X9)/($K$5+$X$5)</f>
        <v>1958.3343483686913</v>
      </c>
      <c r="AN9" s="882">
        <f>$AN$4*(K9+X9)/($K$5+$X$5)</f>
        <v>6871.3485907673366</v>
      </c>
      <c r="AO9" s="882">
        <f>$AO$4*(K9+X9)/($K$5+$X$5)</f>
        <v>693.43112885297819</v>
      </c>
      <c r="AP9" s="895">
        <f>SUM(AJ9:AO9)</f>
        <v>487596.9783985645</v>
      </c>
      <c r="AQ9" s="888"/>
      <c r="AR9" s="887">
        <f>IF(ISERROR(AP9/C9/12), 0,(AP9/C9/12))</f>
        <v>8.6264686219761249</v>
      </c>
      <c r="AS9" s="888"/>
      <c r="AT9" s="896">
        <f>AR9/$AT$4</f>
        <v>9.4754416425735233</v>
      </c>
      <c r="AU9" s="897">
        <f>+AT9*C9*12</f>
        <v>535583.78478775488</v>
      </c>
      <c r="AV9" s="898">
        <f>(+AT9-AW9)/AW9</f>
        <v>0.18443020532169041</v>
      </c>
      <c r="AW9" s="899">
        <f>H9</f>
        <v>8</v>
      </c>
      <c r="AX9" s="900">
        <f>+AW9*C9*12</f>
        <v>452186.86789762398</v>
      </c>
      <c r="AY9" s="901">
        <f>'Resi Price Out'!G29</f>
        <v>9.2515918598815805</v>
      </c>
      <c r="AZ9" s="902">
        <f>+AY9*C9*12</f>
        <v>522931.04327337572</v>
      </c>
      <c r="BA9" s="903">
        <f>(+AY9-AW9)/AW9</f>
        <v>0.15644898248519756</v>
      </c>
    </row>
    <row r="10" spans="1:55">
      <c r="A10" s="880" t="str">
        <f>'Resi Price Out'!A30</f>
        <v>Yardwaste - Appendix B</v>
      </c>
      <c r="B10" s="881">
        <f>'Resi Price Out'!B30</f>
        <v>2104</v>
      </c>
      <c r="C10" s="882">
        <f>B10*$K$2</f>
        <v>2077.2225644008086</v>
      </c>
      <c r="D10" s="1024">
        <v>1</v>
      </c>
      <c r="E10" s="882">
        <f>D10*$E$1</f>
        <v>52</v>
      </c>
      <c r="F10" s="882">
        <f>C10</f>
        <v>2077.2225644008086</v>
      </c>
      <c r="G10" s="882"/>
      <c r="H10" s="904">
        <f>'Resi Price Out'!D30</f>
        <v>11.05</v>
      </c>
      <c r="I10" s="882">
        <f>B10*H10</f>
        <v>23249.200000000001</v>
      </c>
      <c r="J10" s="882">
        <f>I10*12</f>
        <v>278990.40000000002</v>
      </c>
      <c r="K10" s="882">
        <f>J10*$K$2</f>
        <v>275439.71203954727</v>
      </c>
      <c r="L10" s="884">
        <f>+L9</f>
        <v>51.972631598823661</v>
      </c>
      <c r="M10" s="885">
        <f>L10*$O$2</f>
        <v>62.230314762293368</v>
      </c>
      <c r="N10" s="886">
        <f>ROUND(((C10*E10*L10)/2000),2)</f>
        <v>2806.93</v>
      </c>
      <c r="O10" s="887">
        <f>$O$2*N10</f>
        <v>3360.9253955821955</v>
      </c>
      <c r="P10" s="888"/>
      <c r="Q10" s="889">
        <f>+Q9</f>
        <v>33.68</v>
      </c>
      <c r="R10" s="887">
        <f>C10*E10*Q10/3600</f>
        <v>1010.5456973302777</v>
      </c>
      <c r="S10" s="887">
        <f>R10*$S$2</f>
        <v>1010.5456973302777</v>
      </c>
      <c r="T10" s="890"/>
      <c r="U10" s="887">
        <f>($V$4-$S$5)*O10/($O$5)</f>
        <v>1462.4404328035607</v>
      </c>
      <c r="V10" s="891">
        <f>U10+S10</f>
        <v>2472.9861301338383</v>
      </c>
      <c r="W10" s="888"/>
      <c r="X10" s="892"/>
      <c r="Y10" s="893">
        <f>($Y$4*(I10)/(($I$6)))</f>
        <v>32417.210836327005</v>
      </c>
      <c r="Z10" s="882">
        <f>($Z$4*I10/($I$5))</f>
        <v>80451.092779567378</v>
      </c>
      <c r="AA10" s="892"/>
      <c r="AB10" s="882">
        <f>$AB$4*V10/($V$4+$T$4)</f>
        <v>30980.688064576854</v>
      </c>
      <c r="AC10" s="882">
        <f>$AC$4*V10/($V$4+$T$4)</f>
        <v>4940.4383499842388</v>
      </c>
      <c r="AD10" s="882">
        <f>$AD$4*V10/($V$4+$T$4)</f>
        <v>88358.347891556317</v>
      </c>
      <c r="AE10" s="892"/>
      <c r="AF10" s="882">
        <f>$AF$4*V10/($V$4+$T$4)</f>
        <v>2835.0446018110702</v>
      </c>
      <c r="AG10" s="882">
        <f>($AG$4*F10)/(+$F$6)</f>
        <v>1546.3340022080185</v>
      </c>
      <c r="AH10" s="892"/>
      <c r="AI10" s="892"/>
      <c r="AJ10" s="894">
        <f>SUM(X10:AI10)</f>
        <v>241529.15652603089</v>
      </c>
      <c r="AK10" s="882">
        <f>($AK$4*F10/($F$5))</f>
        <v>0</v>
      </c>
      <c r="AL10" s="882">
        <f>$AL$4*O10/($O$5)</f>
        <v>128022.98314374546</v>
      </c>
      <c r="AM10" s="882">
        <f>$AM$4*(K10+X10)/($K$5+$X$5)</f>
        <v>1192.8764130185857</v>
      </c>
      <c r="AN10" s="882">
        <f>$AN$4*(K10+X10)/($K$5+$X$5)</f>
        <v>4185.5312737494232</v>
      </c>
      <c r="AO10" s="882">
        <f>$AO$4*(K10+X10)/($K$5+$X$5)</f>
        <v>422.38836200295174</v>
      </c>
      <c r="AP10" s="895">
        <f>SUM(AJ10:AO10)</f>
        <v>375352.93571854726</v>
      </c>
      <c r="AQ10" s="888"/>
      <c r="AR10" s="887">
        <f>IF(ISERROR(AP10/C10/12), 0,(AP10/C10/12))</f>
        <v>15.058285927536964</v>
      </c>
      <c r="AS10" s="888"/>
      <c r="AT10" s="896">
        <f>AR10/$AT$4</f>
        <v>16.540245585554224</v>
      </c>
      <c r="AU10" s="897">
        <f>+AT10*C10*12</f>
        <v>412293.25621252926</v>
      </c>
      <c r="AV10" s="898">
        <f>(+AT10-AW10)/AW10</f>
        <v>0.49685480412255412</v>
      </c>
      <c r="AW10" s="899">
        <f>H10</f>
        <v>11.05</v>
      </c>
      <c r="AX10" s="900">
        <f>+AW10*C10*12</f>
        <v>275439.71203954722</v>
      </c>
      <c r="AY10" s="901">
        <f>'Resi Price Out'!G30</f>
        <v>12.778761256461435</v>
      </c>
      <c r="AZ10" s="902">
        <f>+AY10*C10*12</f>
        <v>318531.97472415026</v>
      </c>
      <c r="BA10" s="903">
        <f>(+AY10-AW10)/AW10</f>
        <v>0.15644898248519762</v>
      </c>
    </row>
    <row r="11" spans="1:55">
      <c r="A11" s="880" t="str">
        <f>'Resi Price Out'!A40</f>
        <v>90 Gal Yardwaste Rental</v>
      </c>
      <c r="B11" s="881">
        <f>+'Resi Price Out'!B40</f>
        <v>7358</v>
      </c>
      <c r="C11" s="882">
        <f>B11*$K$2</f>
        <v>7264.3553369111933</v>
      </c>
      <c r="D11" s="1024"/>
      <c r="E11" s="882"/>
      <c r="F11" s="882">
        <f>C11</f>
        <v>7264.3553369111933</v>
      </c>
      <c r="G11" s="882">
        <f>+B11</f>
        <v>7358</v>
      </c>
      <c r="H11" s="904">
        <f>+'Resi Price Out'!D40</f>
        <v>1.76</v>
      </c>
      <c r="I11" s="882">
        <f>B11*H11</f>
        <v>12950.08</v>
      </c>
      <c r="J11" s="882">
        <f>I11*12</f>
        <v>155400.95999999999</v>
      </c>
      <c r="K11" s="882">
        <f>J11*$K$2</f>
        <v>153423.18471556439</v>
      </c>
      <c r="L11" s="884">
        <v>0</v>
      </c>
      <c r="M11" s="885">
        <f>L11*$O$2</f>
        <v>0</v>
      </c>
      <c r="N11" s="886">
        <f>ROUND(((C11*E11*L11)/2000),2)</f>
        <v>0</v>
      </c>
      <c r="O11" s="887">
        <f>$O$2*N11</f>
        <v>0</v>
      </c>
      <c r="P11" s="888"/>
      <c r="Q11" s="889"/>
      <c r="R11" s="887"/>
      <c r="S11" s="887"/>
      <c r="T11" s="890"/>
      <c r="U11" s="887"/>
      <c r="V11" s="891"/>
      <c r="W11" s="888"/>
      <c r="X11" s="892"/>
      <c r="Y11" s="893">
        <f>($Y$4*(I11)/(($I$6)))</f>
        <v>18056.770715005317</v>
      </c>
      <c r="Z11" s="882">
        <f>($Z$4*I11/($I$5))</f>
        <v>44812.212359256228</v>
      </c>
      <c r="AA11" s="892"/>
      <c r="AB11" s="882">
        <f>$AB$4*V11/($V$4+$T$4)</f>
        <v>0</v>
      </c>
      <c r="AC11" s="882">
        <f>$AC$4*V11/($V$4+$T$4)</f>
        <v>0</v>
      </c>
      <c r="AD11" s="882">
        <f>$AD$4*V11/($V$4+$T$4)</f>
        <v>0</v>
      </c>
      <c r="AE11" s="892"/>
      <c r="AF11" s="882">
        <f>$AF$4*V11/($V$4+$T$4)</f>
        <v>0</v>
      </c>
      <c r="AG11" s="882">
        <f>($AG$4*F11)/(+$F$6)</f>
        <v>5407.7593100031372</v>
      </c>
      <c r="AH11" s="892"/>
      <c r="AI11" s="892"/>
      <c r="AJ11" s="894">
        <f>SUM(X11:AI11)</f>
        <v>68276.742384264682</v>
      </c>
      <c r="AK11" s="882">
        <f>($AK$4*F11/($F$5))</f>
        <v>0</v>
      </c>
      <c r="AL11" s="882">
        <f>$AL$4*O11/($O$5)</f>
        <v>0</v>
      </c>
      <c r="AM11" s="882">
        <f>$AM$4*(K11+X11)/($K$5+$X$5)</f>
        <v>664.44630261272323</v>
      </c>
      <c r="AN11" s="882">
        <f>$AN$4*(K11+X11)/($K$5+$X$5)</f>
        <v>2331.3905354832391</v>
      </c>
      <c r="AO11" s="882">
        <f>$AO$4*(K11+X11)/($K$5+$X$5)</f>
        <v>235.27532469965348</v>
      </c>
      <c r="AP11" s="895">
        <f>SUM(AJ11:AO11)</f>
        <v>71507.854547060299</v>
      </c>
      <c r="AQ11" s="888"/>
      <c r="AR11" s="887">
        <f>IF(ISERROR(AP11/C11/12), 0,(AP11/C11/12))</f>
        <v>0.82030512035159553</v>
      </c>
      <c r="AS11" s="888"/>
      <c r="AT11" s="896">
        <f>AR11/$AT$4</f>
        <v>0.90103536425027142</v>
      </c>
      <c r="AU11" s="897">
        <f>+AT11*C11*12</f>
        <v>78545.292684446162</v>
      </c>
      <c r="AV11" s="898">
        <f>(+AT11-AW11)/AW11</f>
        <v>-0.48804808849416398</v>
      </c>
      <c r="AW11" s="899">
        <f>H11</f>
        <v>1.76</v>
      </c>
      <c r="AX11" s="900">
        <f>+AW11*C11*12</f>
        <v>153423.18471556439</v>
      </c>
      <c r="AY11" s="901">
        <f>+'Resi Price Out'!G40</f>
        <v>1.8503377784629995</v>
      </c>
      <c r="AZ11" s="902">
        <f>+AY11*C11*12</f>
        <v>161298.1333927931</v>
      </c>
      <c r="BA11" s="903">
        <f>(+AY11-AW11)/AW11</f>
        <v>5.1328283217613353E-2</v>
      </c>
    </row>
    <row r="12" spans="1:55" s="162" customFormat="1" ht="12" thickBot="1">
      <c r="A12" s="162" t="s">
        <v>27</v>
      </c>
      <c r="B12" s="907">
        <f>SUM(B9:B11)</f>
        <v>14233</v>
      </c>
      <c r="C12" s="907">
        <f>SUM(C9:C11)</f>
        <v>14051.857775245586</v>
      </c>
      <c r="D12" s="907"/>
      <c r="E12" s="907"/>
      <c r="F12" s="907">
        <f>SUM(F9:F11)</f>
        <v>14051.857775245586</v>
      </c>
      <c r="G12" s="907"/>
      <c r="H12" s="908"/>
      <c r="I12" s="907">
        <f>SUM(I9:I11)</f>
        <v>74367.28</v>
      </c>
      <c r="J12" s="907">
        <f>SUM(J9:J11)</f>
        <v>892407.36</v>
      </c>
      <c r="K12" s="907">
        <f>SUM(K9:K11)</f>
        <v>881049.76465273555</v>
      </c>
      <c r="L12" s="909"/>
      <c r="M12" s="910"/>
      <c r="N12" s="911">
        <f>SUM(N9:N11)</f>
        <v>5989.4</v>
      </c>
      <c r="O12" s="911">
        <f>SUM(O9:O11)</f>
        <v>7171.51</v>
      </c>
      <c r="P12" s="912"/>
      <c r="Q12" s="911">
        <f>SUM(Q9:Q11)</f>
        <v>67.36</v>
      </c>
      <c r="R12" s="911">
        <f>SUM(R9:R11)</f>
        <v>2156.2951084430997</v>
      </c>
      <c r="S12" s="911">
        <f>SUM(S9:S11)</f>
        <v>2156.2951084430997</v>
      </c>
      <c r="T12" s="909"/>
      <c r="U12" s="911">
        <f>SUM(U9:U11)</f>
        <v>3120.5412063121084</v>
      </c>
      <c r="V12" s="911">
        <f>SUM(V9:V11)</f>
        <v>5276.8363147552082</v>
      </c>
      <c r="W12" s="912"/>
      <c r="X12" s="907">
        <f t="shared" ref="X12:AP12" si="6">SUM(X9:X11)</f>
        <v>0</v>
      </c>
      <c r="Y12" s="907">
        <f t="shared" si="6"/>
        <v>103693.0214839291</v>
      </c>
      <c r="Z12" s="907">
        <f t="shared" si="6"/>
        <v>257339.13179997873</v>
      </c>
      <c r="AA12" s="907">
        <f t="shared" si="6"/>
        <v>0</v>
      </c>
      <c r="AB12" s="907">
        <f t="shared" si="6"/>
        <v>66106.322976593015</v>
      </c>
      <c r="AC12" s="907">
        <f t="shared" si="6"/>
        <v>10541.864419836122</v>
      </c>
      <c r="AD12" s="907">
        <f t="shared" si="6"/>
        <v>188538.27491572103</v>
      </c>
      <c r="AE12" s="907">
        <f t="shared" si="6"/>
        <v>0</v>
      </c>
      <c r="AF12" s="907">
        <f t="shared" si="6"/>
        <v>6049.3935354088435</v>
      </c>
      <c r="AG12" s="907">
        <f t="shared" si="6"/>
        <v>10460.537953149586</v>
      </c>
      <c r="AH12" s="907">
        <f t="shared" si="6"/>
        <v>0</v>
      </c>
      <c r="AI12" s="907">
        <f t="shared" si="6"/>
        <v>0</v>
      </c>
      <c r="AJ12" s="913">
        <f t="shared" si="6"/>
        <v>642728.5470846165</v>
      </c>
      <c r="AK12" s="907">
        <f t="shared" si="6"/>
        <v>0</v>
      </c>
      <c r="AL12" s="907">
        <f t="shared" si="6"/>
        <v>273174.19929999998</v>
      </c>
      <c r="AM12" s="907">
        <f t="shared" si="6"/>
        <v>3815.657064</v>
      </c>
      <c r="AN12" s="907">
        <f t="shared" si="6"/>
        <v>13388.270399999998</v>
      </c>
      <c r="AO12" s="907">
        <f t="shared" si="6"/>
        <v>1351.0948155555834</v>
      </c>
      <c r="AP12" s="914">
        <f t="shared" si="6"/>
        <v>934457.76866417215</v>
      </c>
      <c r="AQ12" s="912"/>
      <c r="AR12" s="911"/>
      <c r="AS12" s="912"/>
      <c r="AT12" s="915"/>
      <c r="AU12" s="916">
        <f>SUM(AU9:AU11)</f>
        <v>1026422.3336847303</v>
      </c>
      <c r="AV12" s="909"/>
      <c r="AW12" s="908"/>
      <c r="AX12" s="916">
        <f>SUM(AX9:AX11)</f>
        <v>881049.76465273555</v>
      </c>
      <c r="AY12" s="908"/>
      <c r="AZ12" s="916">
        <f>SUM(AZ9:AZ11)</f>
        <v>1002761.1513903191</v>
      </c>
      <c r="BA12" s="909"/>
    </row>
    <row r="13" spans="1:55">
      <c r="B13" s="917"/>
      <c r="C13" s="918"/>
      <c r="D13" s="918"/>
      <c r="E13" s="918"/>
      <c r="F13" s="918"/>
      <c r="G13" s="918"/>
      <c r="H13" s="919"/>
      <c r="I13" s="918"/>
      <c r="J13" s="918"/>
      <c r="K13" s="918"/>
      <c r="L13" s="920"/>
      <c r="M13" s="921"/>
      <c r="N13" s="922"/>
      <c r="O13" s="923"/>
      <c r="P13" s="888"/>
      <c r="Q13" s="923"/>
      <c r="R13" s="923"/>
      <c r="S13" s="923"/>
      <c r="T13" s="920"/>
      <c r="U13" s="923"/>
      <c r="V13" s="924"/>
      <c r="W13" s="888"/>
      <c r="X13" s="918"/>
      <c r="Y13" s="918"/>
      <c r="Z13" s="918"/>
      <c r="AA13" s="918"/>
      <c r="AB13" s="918"/>
      <c r="AC13" s="918"/>
      <c r="AD13" s="918"/>
      <c r="AE13" s="918"/>
      <c r="AF13" s="918"/>
      <c r="AG13" s="918"/>
      <c r="AH13" s="918"/>
      <c r="AI13" s="918"/>
      <c r="AJ13" s="925"/>
      <c r="AK13" s="918"/>
      <c r="AL13" s="918"/>
      <c r="AM13" s="918"/>
      <c r="AN13" s="918"/>
      <c r="AO13" s="918"/>
      <c r="AP13" s="914"/>
      <c r="AQ13" s="888"/>
      <c r="AR13" s="923"/>
      <c r="AS13" s="888"/>
      <c r="AT13" s="923"/>
      <c r="AU13" s="926"/>
      <c r="AV13" s="920"/>
      <c r="AW13" s="927"/>
      <c r="AX13" s="926"/>
      <c r="AY13" s="928"/>
      <c r="AZ13" s="926"/>
      <c r="BA13" s="920"/>
    </row>
    <row r="14" spans="1:55">
      <c r="A14" s="880" t="s">
        <v>1645</v>
      </c>
      <c r="B14" s="881">
        <v>150</v>
      </c>
      <c r="C14" s="882">
        <f>B14*$K$2</f>
        <v>148.09096229093217</v>
      </c>
      <c r="D14" s="1024">
        <f>+D9</f>
        <v>0.5</v>
      </c>
      <c r="E14" s="882">
        <f>D14*$E$1</f>
        <v>26</v>
      </c>
      <c r="F14" s="882">
        <f>C14</f>
        <v>148.09096229093217</v>
      </c>
      <c r="G14" s="882">
        <f>+B14</f>
        <v>150</v>
      </c>
      <c r="H14" s="904">
        <f>+'Resi Price Out'!D43</f>
        <v>0</v>
      </c>
      <c r="I14" s="882">
        <f>B14*H14</f>
        <v>0</v>
      </c>
      <c r="J14" s="882">
        <f>I14*12</f>
        <v>0</v>
      </c>
      <c r="K14" s="882">
        <f>J14*$K$2</f>
        <v>0</v>
      </c>
      <c r="L14" s="884">
        <f>+'Meeks +'!AA37</f>
        <v>39.757234770000004</v>
      </c>
      <c r="M14" s="885">
        <f>L14*$O$2</f>
        <v>47.604001523592139</v>
      </c>
      <c r="N14" s="886">
        <f>ROUND(((C14*E14*L14)/2000),2)</f>
        <v>76.540000000000006</v>
      </c>
      <c r="O14" s="887">
        <f>$O$2*N14</f>
        <v>91.646471332687767</v>
      </c>
      <c r="P14" s="888"/>
      <c r="Q14" s="889">
        <f>+Q10</f>
        <v>33.68</v>
      </c>
      <c r="R14" s="887">
        <f>($F$14/$F$9)*R9</f>
        <v>36.022303849700961</v>
      </c>
      <c r="S14" s="887">
        <f>($F$14/$F$9)*S9</f>
        <v>36.022303849700961</v>
      </c>
      <c r="T14" s="890"/>
      <c r="U14" s="887">
        <f>($F$14/$F$9)*U9</f>
        <v>52.130604910140875</v>
      </c>
      <c r="V14" s="891">
        <f>($F$14/$F$9)*V9</f>
        <v>88.152908759841836</v>
      </c>
      <c r="W14" s="888"/>
      <c r="X14" s="892"/>
      <c r="Y14" s="893">
        <f>($F$14/$F$9)*Y9</f>
        <v>1673.2039383545412</v>
      </c>
      <c r="Z14" s="882">
        <f>($F$14/$F$9)*Z9</f>
        <v>4152.457346294962</v>
      </c>
      <c r="AA14" s="892"/>
      <c r="AB14" s="882">
        <f>($F$14/$F$9)*AB9</f>
        <v>1104.3481946766765</v>
      </c>
      <c r="AC14" s="882">
        <f>($F$14/$F$9)*AC9</f>
        <v>176.10855386245697</v>
      </c>
      <c r="AD14" s="882">
        <f>($F$14/$F$9)*AD9</f>
        <v>3149.6518661967521</v>
      </c>
      <c r="AE14" s="892"/>
      <c r="AF14" s="882">
        <f>($F$14/$F$9)*AF9</f>
        <v>101.05896877796393</v>
      </c>
      <c r="AG14" s="882">
        <f>($F$14/$F$9)*AG9</f>
        <v>110.24244312319523</v>
      </c>
      <c r="AH14" s="892"/>
      <c r="AI14" s="892"/>
      <c r="AJ14" s="1368">
        <f>($F$14/$F$9)*AJ9</f>
        <v>10467.071311286549</v>
      </c>
      <c r="AK14" s="882">
        <f>($F$14/$F$9)*AK9</f>
        <v>0</v>
      </c>
      <c r="AL14" s="882">
        <f>$AL$4*O14/($O$5)</f>
        <v>3490.9595643005982</v>
      </c>
      <c r="AM14" s="882">
        <f>($F$14/$F$9)*AM9</f>
        <v>61.569933400818201</v>
      </c>
      <c r="AN14" s="1132">
        <f>($F$14/$F$9)*AN9</f>
        <v>216.03485403795855</v>
      </c>
      <c r="AO14" s="882">
        <f>($F$14/$F$9)*AO9</f>
        <v>21.801439808833937</v>
      </c>
      <c r="AP14" s="895">
        <f>SUM(AJ14:AO14)</f>
        <v>14257.437102834758</v>
      </c>
      <c r="AQ14" s="888"/>
      <c r="AR14" s="887">
        <f>IF(ISERROR(AP14/C14/12), 0,(AP14/C14/12))</f>
        <v>8.0229052481639087</v>
      </c>
      <c r="AS14" s="888"/>
      <c r="AT14" s="896">
        <f>AR14/$AT$4</f>
        <v>8.8124786415161633</v>
      </c>
      <c r="AU14" s="897">
        <f>+AT14*C14*12</f>
        <v>15660.581306284983</v>
      </c>
      <c r="AV14" s="890" t="e">
        <f>(+AT14-AW14)/AW14</f>
        <v>#DIV/0!</v>
      </c>
      <c r="AW14" s="899">
        <f>H14</f>
        <v>0</v>
      </c>
      <c r="AX14" s="900">
        <f>+AW14*C14*12</f>
        <v>0</v>
      </c>
      <c r="AY14" s="901">
        <f>+'Resi Price Out'!G43</f>
        <v>0</v>
      </c>
      <c r="AZ14" s="902">
        <f>+AY14*C14*12</f>
        <v>0</v>
      </c>
      <c r="BA14" s="903" t="e">
        <f>(+AY14-AW14)/AW14</f>
        <v>#DIV/0!</v>
      </c>
    </row>
    <row r="15" spans="1:55">
      <c r="R15" s="2208" t="s">
        <v>1650</v>
      </c>
      <c r="S15" s="2208"/>
      <c r="T15" s="2208"/>
      <c r="U15" s="2208"/>
      <c r="V15" s="2208"/>
      <c r="W15" s="2208"/>
      <c r="X15" s="2208"/>
      <c r="Y15" s="2208"/>
      <c r="Z15" s="2208"/>
      <c r="AA15" s="2208"/>
      <c r="AB15" s="2208"/>
      <c r="AC15" s="2208"/>
      <c r="AD15" s="2208"/>
      <c r="AE15" s="2208"/>
      <c r="AF15" s="2208"/>
      <c r="AG15" s="2208"/>
      <c r="AH15" s="2208"/>
      <c r="AI15" s="2208"/>
      <c r="AJ15" s="2208"/>
      <c r="AK15" s="2208"/>
      <c r="AL15" s="2208"/>
      <c r="AM15" s="2208"/>
      <c r="AN15" s="2208"/>
      <c r="AO15" s="2208"/>
      <c r="AP15" s="2208"/>
      <c r="AQ15" s="2208"/>
      <c r="AR15" s="2208"/>
      <c r="AS15" s="2208"/>
      <c r="AT15" s="2208"/>
      <c r="AU15" s="2208"/>
      <c r="AV15" s="2208"/>
      <c r="AW15" s="2208"/>
      <c r="AX15" s="2208"/>
      <c r="AY15" s="2208"/>
      <c r="AZ15" s="2208"/>
      <c r="BA15" s="2208"/>
    </row>
  </sheetData>
  <mergeCells count="1">
    <mergeCell ref="R15:BA15"/>
  </mergeCells>
  <pageMargins left="0.25" right="0.25" top="0.75" bottom="0.75" header="0.3" footer="0.3"/>
  <pageSetup scale="30"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autoPageBreaks="0" fitToPage="1"/>
  </sheetPr>
  <dimension ref="A1:O91"/>
  <sheetViews>
    <sheetView showGridLines="0" topLeftCell="A10" zoomScaleNormal="100" workbookViewId="0">
      <pane xSplit="1" ySplit="3" topLeftCell="F55" activePane="bottomRight" state="frozen"/>
      <selection activeCell="A10" sqref="A10"/>
      <selection pane="topRight" activeCell="B10" sqref="B10"/>
      <selection pane="bottomLeft" activeCell="A13" sqref="A13"/>
      <selection pane="bottomRight" activeCell="J88" sqref="J88"/>
    </sheetView>
  </sheetViews>
  <sheetFormatPr defaultColWidth="12" defaultRowHeight="12"/>
  <cols>
    <col min="1" max="1" width="34.33203125" style="185" customWidth="1"/>
    <col min="2" max="2" width="19.1640625" style="183" customWidth="1"/>
    <col min="3" max="3" width="14.83203125" style="183" customWidth="1"/>
    <col min="4" max="4" width="12.33203125" style="184" bestFit="1" customWidth="1"/>
    <col min="5" max="5" width="20.83203125" style="183" customWidth="1"/>
    <col min="6" max="6" width="20.6640625" style="183" customWidth="1"/>
    <col min="7" max="7" width="14.33203125" style="183" bestFit="1" customWidth="1"/>
    <col min="8" max="8" width="17.6640625" style="185" customWidth="1"/>
    <col min="9" max="10" width="16.1640625" style="185" customWidth="1"/>
    <col min="11" max="11" width="12.83203125" style="185" bestFit="1" customWidth="1"/>
    <col min="12" max="16384" width="12" style="185"/>
  </cols>
  <sheetData>
    <row r="1" spans="1:15">
      <c r="O1" s="200"/>
    </row>
    <row r="2" spans="1:15">
      <c r="F2" s="509" t="s">
        <v>498</v>
      </c>
      <c r="G2" s="230">
        <f>'LG Garbage'!E6</f>
        <v>164972.68273437498</v>
      </c>
      <c r="I2" s="183" t="s">
        <v>505</v>
      </c>
      <c r="O2" s="200"/>
    </row>
    <row r="3" spans="1:15">
      <c r="F3" s="509" t="s">
        <v>501</v>
      </c>
      <c r="G3" s="230">
        <f>Proforma!Q20-Proforma!Q12</f>
        <v>3214069.7563359002</v>
      </c>
      <c r="I3" s="230">
        <f>F46-I65-I76+'Comm Price Out'!F148-'MF Recy Price Out'!M65+'Drop Box Price Out'!F95</f>
        <v>3365492.9989054664</v>
      </c>
      <c r="J3" s="200">
        <f>+E46-H65-H76+'Comm Price Out'!E148-'MF Recy Price Out'!L65+'Drop Box Price Out'!E94</f>
        <v>3233871.7070200006</v>
      </c>
      <c r="O3" s="200"/>
    </row>
    <row r="4" spans="1:15">
      <c r="F4" s="509" t="s">
        <v>499</v>
      </c>
      <c r="G4" s="542">
        <f>+G2+G3</f>
        <v>3379042.4390702751</v>
      </c>
      <c r="I4" s="521"/>
      <c r="J4" s="521">
        <f>+I3/J3-1</f>
        <v>4.0700839059182758E-2</v>
      </c>
      <c r="M4" s="200"/>
      <c r="N4" s="200"/>
      <c r="O4" s="200"/>
    </row>
    <row r="5" spans="1:15">
      <c r="F5" s="509" t="s">
        <v>500</v>
      </c>
      <c r="G5" s="345">
        <f>+G2/G3</f>
        <v>5.1328283217613464E-2</v>
      </c>
      <c r="H5" s="521"/>
      <c r="I5" s="543"/>
      <c r="J5" s="543"/>
    </row>
    <row r="6" spans="1:15">
      <c r="F6" s="509"/>
      <c r="G6" s="345"/>
      <c r="H6" s="521"/>
    </row>
    <row r="7" spans="1:15">
      <c r="F7" s="509"/>
      <c r="G7" s="233"/>
      <c r="I7" s="233"/>
    </row>
    <row r="8" spans="1:15">
      <c r="F8" s="509"/>
      <c r="G8" s="345"/>
      <c r="H8" s="521"/>
      <c r="I8" s="521"/>
    </row>
    <row r="9" spans="1:15">
      <c r="G9" s="305"/>
    </row>
    <row r="10" spans="1:15">
      <c r="A10" s="1253" t="s">
        <v>1581</v>
      </c>
      <c r="E10" s="183" t="s">
        <v>42</v>
      </c>
      <c r="F10" s="183" t="s">
        <v>42</v>
      </c>
      <c r="G10" s="183" t="s">
        <v>1709</v>
      </c>
      <c r="H10" s="183" t="s">
        <v>26</v>
      </c>
      <c r="I10" s="183" t="s">
        <v>26</v>
      </c>
      <c r="K10" s="183" t="s">
        <v>2467</v>
      </c>
    </row>
    <row r="11" spans="1:15">
      <c r="A11" s="185" t="s">
        <v>292</v>
      </c>
      <c r="B11" s="186" t="s">
        <v>293</v>
      </c>
      <c r="D11" s="184" t="s">
        <v>41</v>
      </c>
      <c r="E11" s="183" t="s">
        <v>41</v>
      </c>
      <c r="F11" s="187" t="s">
        <v>39</v>
      </c>
      <c r="G11" s="187" t="s">
        <v>39</v>
      </c>
      <c r="H11" s="183" t="s">
        <v>41</v>
      </c>
      <c r="I11" s="187" t="s">
        <v>39</v>
      </c>
      <c r="J11" s="185" t="s">
        <v>515</v>
      </c>
      <c r="K11" s="183" t="s">
        <v>515</v>
      </c>
    </row>
    <row r="12" spans="1:15">
      <c r="A12" s="188"/>
      <c r="B12" s="189" t="s">
        <v>48</v>
      </c>
      <c r="C12" s="189" t="s">
        <v>56</v>
      </c>
      <c r="D12" s="190" t="s">
        <v>55</v>
      </c>
      <c r="E12" s="191" t="s">
        <v>13</v>
      </c>
      <c r="F12" s="191" t="s">
        <v>13</v>
      </c>
      <c r="G12" s="189" t="s">
        <v>55</v>
      </c>
      <c r="H12" s="191" t="s">
        <v>13</v>
      </c>
      <c r="I12" s="191" t="s">
        <v>13</v>
      </c>
      <c r="J12" s="185" t="s">
        <v>516</v>
      </c>
      <c r="K12" s="183" t="s">
        <v>55</v>
      </c>
    </row>
    <row r="13" spans="1:15">
      <c r="A13" s="188"/>
      <c r="B13" s="192"/>
      <c r="C13" s="192"/>
      <c r="D13" s="193"/>
      <c r="E13" s="186"/>
      <c r="F13" s="186"/>
      <c r="G13" s="192"/>
      <c r="H13" s="186"/>
      <c r="I13" s="186"/>
    </row>
    <row r="14" spans="1:15">
      <c r="A14" s="194" t="s">
        <v>278</v>
      </c>
      <c r="B14" s="187"/>
      <c r="C14" s="187"/>
      <c r="D14" s="195"/>
    </row>
    <row r="15" spans="1:15">
      <c r="A15" s="196" t="s">
        <v>58</v>
      </c>
      <c r="B15" s="1062">
        <f>+'[12]ES TONS'!$O$483</f>
        <v>894</v>
      </c>
      <c r="C15" s="197">
        <f>B15*4.3333</f>
        <v>3873.9702000000002</v>
      </c>
      <c r="D15" s="1059">
        <v>7.25</v>
      </c>
      <c r="E15" s="199">
        <f t="shared" ref="E15:E34" si="0">D15*B15</f>
        <v>6481.5</v>
      </c>
      <c r="F15" s="199">
        <f>G15*B15</f>
        <v>6814.1842676749611</v>
      </c>
      <c r="G15" s="198">
        <f>D15*(1+$G$5)</f>
        <v>7.6221300533276972</v>
      </c>
      <c r="H15" s="200">
        <f t="shared" ref="H15:I21" si="1">E15*12</f>
        <v>77778</v>
      </c>
      <c r="I15" s="273">
        <f>F15*12</f>
        <v>81770.21121209953</v>
      </c>
      <c r="J15" s="521">
        <f t="shared" ref="J15:J21" si="2">+G15/D15-1</f>
        <v>5.1328283217613402E-2</v>
      </c>
      <c r="K15" s="607">
        <v>7.6707445796006386</v>
      </c>
    </row>
    <row r="16" spans="1:15">
      <c r="A16" s="196" t="s">
        <v>59</v>
      </c>
      <c r="B16" s="1062">
        <f>+'[12]ES TONS'!$O$484</f>
        <v>4527</v>
      </c>
      <c r="C16" s="197">
        <f>B16*4.3333</f>
        <v>19616.849100000003</v>
      </c>
      <c r="D16" s="1059">
        <v>11.61</v>
      </c>
      <c r="E16" s="199">
        <f t="shared" si="0"/>
        <v>52558.469999999994</v>
      </c>
      <c r="F16" s="199">
        <f t="shared" ref="F16:F40" si="3">G16*B16</f>
        <v>55256.206033644434</v>
      </c>
      <c r="G16" s="198">
        <f t="shared" ref="G16:G40" si="4">D16*(1+$G$5)</f>
        <v>12.20592136815649</v>
      </c>
      <c r="H16" s="200">
        <f t="shared" si="1"/>
        <v>630701.6399999999</v>
      </c>
      <c r="I16" s="273">
        <f t="shared" si="1"/>
        <v>663074.47240373318</v>
      </c>
      <c r="J16" s="521">
        <f t="shared" si="2"/>
        <v>5.1328283217613402E-2</v>
      </c>
      <c r="K16" s="607">
        <v>12.283771664712194</v>
      </c>
      <c r="L16" s="1027"/>
      <c r="M16" s="521"/>
    </row>
    <row r="17" spans="1:13">
      <c r="A17" s="196" t="s">
        <v>60</v>
      </c>
      <c r="B17" s="1062">
        <f>+'[12]ES TONS'!$O$485</f>
        <v>213</v>
      </c>
      <c r="C17" s="197">
        <f>B17*4.3333*2</f>
        <v>1845.9858000000002</v>
      </c>
      <c r="D17" s="1059">
        <v>19.87</v>
      </c>
      <c r="E17" s="199">
        <f t="shared" si="0"/>
        <v>4232.3100000000004</v>
      </c>
      <c r="F17" s="199">
        <f t="shared" si="3"/>
        <v>4449.5472063447378</v>
      </c>
      <c r="G17" s="198">
        <f t="shared" si="4"/>
        <v>20.88989298753398</v>
      </c>
      <c r="H17" s="200">
        <f t="shared" si="1"/>
        <v>50787.72</v>
      </c>
      <c r="I17" s="273">
        <f t="shared" si="1"/>
        <v>53394.566476136853</v>
      </c>
      <c r="J17" s="521">
        <f t="shared" si="2"/>
        <v>5.1328283217613402E-2</v>
      </c>
      <c r="K17" s="607">
        <v>21.023130316781337</v>
      </c>
    </row>
    <row r="18" spans="1:13">
      <c r="A18" s="196" t="s">
        <v>61</v>
      </c>
      <c r="B18" s="1062">
        <f>+'[12]ES TONS'!$O$486</f>
        <v>10</v>
      </c>
      <c r="C18" s="197">
        <f>B18*4.3333*3</f>
        <v>129.99900000000002</v>
      </c>
      <c r="D18" s="1059">
        <v>29.03</v>
      </c>
      <c r="E18" s="199">
        <f t="shared" si="0"/>
        <v>290.3</v>
      </c>
      <c r="F18" s="199">
        <f t="shared" si="3"/>
        <v>305.20060061807317</v>
      </c>
      <c r="G18" s="198">
        <f t="shared" si="4"/>
        <v>30.520060061807317</v>
      </c>
      <c r="H18" s="200">
        <f t="shared" si="1"/>
        <v>3483.6000000000004</v>
      </c>
      <c r="I18" s="273">
        <f t="shared" si="1"/>
        <v>3662.407207416878</v>
      </c>
      <c r="J18" s="521">
        <f t="shared" si="2"/>
        <v>5.1328283217613402E-2</v>
      </c>
      <c r="K18" s="607">
        <v>30.714719330456074</v>
      </c>
    </row>
    <row r="19" spans="1:13">
      <c r="A19" s="196" t="s">
        <v>62</v>
      </c>
      <c r="B19" s="1062">
        <f>+'[12]ES TONS'!$O$487</f>
        <v>1</v>
      </c>
      <c r="C19" s="197">
        <f>+B19*4.33*4</f>
        <v>17.32</v>
      </c>
      <c r="D19" s="1059">
        <v>39.1</v>
      </c>
      <c r="E19" s="199">
        <f t="shared" si="0"/>
        <v>39.1</v>
      </c>
      <c r="F19" s="199">
        <f t="shared" si="3"/>
        <v>41.106935873808688</v>
      </c>
      <c r="G19" s="198">
        <f t="shared" si="4"/>
        <v>41.106935873808688</v>
      </c>
      <c r="H19" s="200">
        <f t="shared" si="1"/>
        <v>469.20000000000005</v>
      </c>
      <c r="I19" s="273">
        <f t="shared" si="1"/>
        <v>493.28323048570428</v>
      </c>
      <c r="J19" s="521">
        <f t="shared" si="2"/>
        <v>5.1328283217613402E-2</v>
      </c>
      <c r="K19" s="607">
        <v>41.369119043087586</v>
      </c>
    </row>
    <row r="20" spans="1:13">
      <c r="A20" s="196" t="s">
        <v>63</v>
      </c>
      <c r="B20" s="1062">
        <f>+'[12]ES TONS'!$O$488</f>
        <v>0</v>
      </c>
      <c r="C20" s="197">
        <f>B20*4.3333*5</f>
        <v>0</v>
      </c>
      <c r="D20" s="1060">
        <v>49.45</v>
      </c>
      <c r="E20" s="199">
        <f>D20*B20</f>
        <v>0</v>
      </c>
      <c r="F20" s="199">
        <f>G20*B20</f>
        <v>0</v>
      </c>
      <c r="G20" s="198">
        <f t="shared" si="4"/>
        <v>51.988183605110983</v>
      </c>
      <c r="H20" s="200">
        <f t="shared" si="1"/>
        <v>0</v>
      </c>
      <c r="I20" s="273">
        <f t="shared" si="1"/>
        <v>0</v>
      </c>
      <c r="J20" s="521">
        <f t="shared" si="2"/>
        <v>5.1328283217613402E-2</v>
      </c>
      <c r="K20" s="607">
        <v>52.319768201551945</v>
      </c>
    </row>
    <row r="21" spans="1:13">
      <c r="A21" s="196" t="s">
        <v>560</v>
      </c>
      <c r="B21" s="1062">
        <v>0</v>
      </c>
      <c r="C21" s="197">
        <f>B21*4.3333*6</f>
        <v>0</v>
      </c>
      <c r="D21" s="1060">
        <v>0</v>
      </c>
      <c r="E21" s="199">
        <f>D21*B21</f>
        <v>0</v>
      </c>
      <c r="F21" s="199">
        <f t="shared" si="3"/>
        <v>0</v>
      </c>
      <c r="G21" s="198">
        <f t="shared" si="4"/>
        <v>0</v>
      </c>
      <c r="H21" s="200">
        <f t="shared" si="1"/>
        <v>0</v>
      </c>
      <c r="I21" s="273">
        <f t="shared" si="1"/>
        <v>0</v>
      </c>
      <c r="J21" s="521" t="e">
        <f t="shared" si="2"/>
        <v>#DIV/0!</v>
      </c>
      <c r="K21" s="607">
        <v>0</v>
      </c>
    </row>
    <row r="22" spans="1:13">
      <c r="A22" s="196" t="s">
        <v>1017</v>
      </c>
      <c r="B22" s="1062">
        <v>0</v>
      </c>
      <c r="C22" s="197">
        <f>B22*4.3333/2</f>
        <v>0</v>
      </c>
      <c r="D22" s="1060">
        <v>0</v>
      </c>
      <c r="E22" s="199">
        <f>D22*B22</f>
        <v>0</v>
      </c>
      <c r="F22" s="199">
        <f>G22*B22</f>
        <v>0</v>
      </c>
      <c r="G22" s="198">
        <f t="shared" si="4"/>
        <v>0</v>
      </c>
      <c r="H22" s="200">
        <f t="shared" ref="H22:H40" si="5">E22*12</f>
        <v>0</v>
      </c>
      <c r="I22" s="273">
        <f>F22*12</f>
        <v>0</v>
      </c>
      <c r="J22" s="521" t="e">
        <f t="shared" ref="J22:J40" si="6">+G22/D22-1</f>
        <v>#DIV/0!</v>
      </c>
      <c r="K22" s="607">
        <v>0</v>
      </c>
    </row>
    <row r="23" spans="1:13">
      <c r="A23" s="196" t="s">
        <v>1018</v>
      </c>
      <c r="B23" s="1062">
        <v>0</v>
      </c>
      <c r="C23" s="197">
        <f>B23*4.3333/2*2</f>
        <v>0</v>
      </c>
      <c r="D23" s="1060">
        <v>0</v>
      </c>
      <c r="E23" s="199">
        <f>D23*B23</f>
        <v>0</v>
      </c>
      <c r="F23" s="199">
        <f>G23*B23</f>
        <v>0</v>
      </c>
      <c r="G23" s="198">
        <f t="shared" si="4"/>
        <v>0</v>
      </c>
      <c r="H23" s="200">
        <f>E23*12</f>
        <v>0</v>
      </c>
      <c r="I23" s="273">
        <f>F23*12</f>
        <v>0</v>
      </c>
      <c r="J23" s="521" t="e">
        <f t="shared" si="6"/>
        <v>#DIV/0!</v>
      </c>
      <c r="K23" s="607">
        <v>0</v>
      </c>
    </row>
    <row r="24" spans="1:13">
      <c r="A24" s="196" t="s">
        <v>1019</v>
      </c>
      <c r="B24" s="1062">
        <v>0</v>
      </c>
      <c r="C24" s="197">
        <f>B24*4.3333/2*4</f>
        <v>0</v>
      </c>
      <c r="D24" s="1060">
        <v>0</v>
      </c>
      <c r="E24" s="199">
        <f>D24*B24</f>
        <v>0</v>
      </c>
      <c r="F24" s="199">
        <f>G24*B24</f>
        <v>0</v>
      </c>
      <c r="G24" s="198">
        <f t="shared" si="4"/>
        <v>0</v>
      </c>
      <c r="H24" s="200">
        <f t="shared" si="5"/>
        <v>0</v>
      </c>
      <c r="I24" s="273">
        <f>F24*12</f>
        <v>0</v>
      </c>
      <c r="J24" s="521" t="e">
        <f t="shared" si="6"/>
        <v>#DIV/0!</v>
      </c>
      <c r="K24" s="607">
        <v>0</v>
      </c>
    </row>
    <row r="25" spans="1:13">
      <c r="A25" s="196" t="s">
        <v>64</v>
      </c>
      <c r="B25" s="1062">
        <f>+'[12]ES TONS'!$O$482</f>
        <v>133</v>
      </c>
      <c r="C25" s="197">
        <f>B25</f>
        <v>133</v>
      </c>
      <c r="D25" s="1060">
        <v>4.26</v>
      </c>
      <c r="E25" s="199">
        <f t="shared" si="0"/>
        <v>566.57999999999993</v>
      </c>
      <c r="F25" s="199">
        <f t="shared" si="3"/>
        <v>595.66157870543543</v>
      </c>
      <c r="G25" s="198">
        <f t="shared" si="4"/>
        <v>4.4786584865070331</v>
      </c>
      <c r="H25" s="200">
        <f t="shared" si="5"/>
        <v>6798.9599999999991</v>
      </c>
      <c r="I25" s="273">
        <f t="shared" ref="I25:I40" si="7">F25*12</f>
        <v>7147.9389444652252</v>
      </c>
      <c r="J25" s="521">
        <f t="shared" si="6"/>
        <v>5.1328283217613402E-2</v>
      </c>
      <c r="K25" s="607">
        <v>4.5072237115998233</v>
      </c>
    </row>
    <row r="26" spans="1:13">
      <c r="A26" s="196" t="s">
        <v>283</v>
      </c>
      <c r="B26" s="1062">
        <f>+'[12]ES TONS'!$O$489</f>
        <v>376</v>
      </c>
      <c r="C26" s="197">
        <f>B26*4.3333</f>
        <v>1629.3208000000002</v>
      </c>
      <c r="D26" s="1060">
        <v>11.61</v>
      </c>
      <c r="E26" s="199">
        <f t="shared" si="0"/>
        <v>4365.3599999999997</v>
      </c>
      <c r="F26" s="199">
        <f>G26*B26</f>
        <v>4589.4264344268404</v>
      </c>
      <c r="G26" s="198">
        <f t="shared" si="4"/>
        <v>12.20592136815649</v>
      </c>
      <c r="H26" s="200">
        <f t="shared" si="5"/>
        <v>52384.319999999992</v>
      </c>
      <c r="I26" s="273">
        <f t="shared" si="7"/>
        <v>55073.117213122081</v>
      </c>
      <c r="J26" s="521">
        <f t="shared" si="6"/>
        <v>5.1328283217613402E-2</v>
      </c>
      <c r="K26" s="607">
        <v>12.283771664712194</v>
      </c>
      <c r="L26" s="1027"/>
      <c r="M26" s="521"/>
    </row>
    <row r="27" spans="1:13">
      <c r="A27" s="196" t="s">
        <v>65</v>
      </c>
      <c r="B27" s="1062">
        <f>+'[12]ES TONS'!$O$491</f>
        <v>3126</v>
      </c>
      <c r="C27" s="197">
        <f>B27*4.3333</f>
        <v>13545.895800000002</v>
      </c>
      <c r="D27" s="1060">
        <v>19.87</v>
      </c>
      <c r="E27" s="199">
        <f t="shared" si="0"/>
        <v>62113.62</v>
      </c>
      <c r="F27" s="199">
        <f t="shared" si="3"/>
        <v>65301.805479031224</v>
      </c>
      <c r="G27" s="198">
        <f t="shared" si="4"/>
        <v>20.88989298753398</v>
      </c>
      <c r="H27" s="200">
        <f t="shared" si="5"/>
        <v>745363.44000000006</v>
      </c>
      <c r="I27" s="273">
        <f t="shared" si="7"/>
        <v>783621.66574837465</v>
      </c>
      <c r="J27" s="521">
        <f t="shared" si="6"/>
        <v>5.1328283217613402E-2</v>
      </c>
      <c r="K27" s="607">
        <v>21.023130316781337</v>
      </c>
      <c r="L27" s="1027"/>
      <c r="M27" s="521"/>
    </row>
    <row r="28" spans="1:13">
      <c r="A28" s="196" t="s">
        <v>66</v>
      </c>
      <c r="B28" s="1062">
        <f>+'[12]ES TONS'!$O$492</f>
        <v>1174</v>
      </c>
      <c r="C28" s="197">
        <f>B28*4.3333</f>
        <v>5087.2942000000003</v>
      </c>
      <c r="D28" s="1060">
        <v>29.03</v>
      </c>
      <c r="E28" s="199">
        <f t="shared" si="0"/>
        <v>34081.22</v>
      </c>
      <c r="F28" s="199">
        <f>G28*B28</f>
        <v>35830.550512561793</v>
      </c>
      <c r="G28" s="198">
        <f t="shared" si="4"/>
        <v>30.520060061807317</v>
      </c>
      <c r="H28" s="200">
        <f t="shared" si="5"/>
        <v>408974.64</v>
      </c>
      <c r="I28" s="273">
        <f t="shared" si="7"/>
        <v>429966.60615074151</v>
      </c>
      <c r="J28" s="521">
        <f t="shared" ref="J28:J34" si="8">+G28/D28-1</f>
        <v>5.1328283217613402E-2</v>
      </c>
      <c r="K28" s="607">
        <v>30.714719330456074</v>
      </c>
      <c r="L28" s="1027"/>
      <c r="M28" s="521"/>
    </row>
    <row r="29" spans="1:13">
      <c r="A29" s="718" t="s">
        <v>1588</v>
      </c>
      <c r="B29" s="1062">
        <f>+'[12]ES TONS'!$O$496-B30</f>
        <v>4771</v>
      </c>
      <c r="C29" s="620">
        <f>B29*4.333/2</f>
        <v>10336.371500000001</v>
      </c>
      <c r="D29" s="1060">
        <v>8</v>
      </c>
      <c r="E29" s="719">
        <f t="shared" si="0"/>
        <v>38168</v>
      </c>
      <c r="F29" s="719">
        <f t="shared" si="3"/>
        <v>44139.344763495021</v>
      </c>
      <c r="G29" s="198">
        <f>D29*(1+'LG Yardwaste'!$H$6)</f>
        <v>9.2515918598815805</v>
      </c>
      <c r="H29" s="200">
        <f t="shared" ref="H29:H34" si="9">E29*12</f>
        <v>458016</v>
      </c>
      <c r="I29" s="273">
        <f t="shared" si="7"/>
        <v>529672.13716194022</v>
      </c>
      <c r="J29" s="521">
        <f t="shared" si="8"/>
        <v>0.15644898248519756</v>
      </c>
      <c r="K29" s="607">
        <v>9.2292259948190356</v>
      </c>
      <c r="M29" s="521"/>
    </row>
    <row r="30" spans="1:13">
      <c r="A30" s="718" t="s">
        <v>1591</v>
      </c>
      <c r="B30" s="1062">
        <f>+'[12]ES TONS'!$O$377</f>
        <v>2104</v>
      </c>
      <c r="C30" s="620"/>
      <c r="D30" s="1060">
        <v>11.05</v>
      </c>
      <c r="E30" s="719">
        <f>D30*B30</f>
        <v>23249.200000000001</v>
      </c>
      <c r="F30" s="719">
        <f>G30*B30</f>
        <v>26886.513683594858</v>
      </c>
      <c r="G30" s="198">
        <f>D30*(1+'LG Yardwaste'!$H$6)</f>
        <v>12.778761256461435</v>
      </c>
      <c r="H30" s="200">
        <f t="shared" si="9"/>
        <v>278990.40000000002</v>
      </c>
      <c r="I30" s="273">
        <f>F30*12</f>
        <v>322638.16420313832</v>
      </c>
      <c r="J30" s="521">
        <f t="shared" si="8"/>
        <v>0.15644898248519756</v>
      </c>
      <c r="K30" s="607">
        <v>12.747868405343795</v>
      </c>
      <c r="M30" s="521"/>
    </row>
    <row r="31" spans="1:13">
      <c r="A31" s="196" t="s">
        <v>1590</v>
      </c>
      <c r="B31" s="1062">
        <f>+'[12]ES TONS'!$O$495-B32</f>
        <v>7246</v>
      </c>
      <c r="C31" s="197">
        <f>B31*4.333/2</f>
        <v>15698.459000000001</v>
      </c>
      <c r="D31" s="1060">
        <v>8.39</v>
      </c>
      <c r="E31" s="199">
        <f>D31*B31</f>
        <v>60793.94</v>
      </c>
      <c r="F31" s="199">
        <f>G31*B31</f>
        <v>66246.271725055951</v>
      </c>
      <c r="G31" s="198">
        <f>D31*(1+' LG recycle'!$H$6)</f>
        <v>9.1424609060248336</v>
      </c>
      <c r="H31" s="200">
        <f t="shared" si="9"/>
        <v>729527.28</v>
      </c>
      <c r="I31" s="273">
        <f>F31*12</f>
        <v>794955.26070067147</v>
      </c>
      <c r="J31" s="521">
        <f t="shared" si="8"/>
        <v>8.9685447678764296E-2</v>
      </c>
      <c r="K31" s="607">
        <v>9.1037402672161392</v>
      </c>
    </row>
    <row r="32" spans="1:13">
      <c r="A32" s="196" t="s">
        <v>1589</v>
      </c>
      <c r="B32" s="1062">
        <f>+'[12]ES TONS'!$O$433</f>
        <v>3242</v>
      </c>
      <c r="C32" s="197"/>
      <c r="D32" s="1060">
        <v>10.45</v>
      </c>
      <c r="E32" s="199">
        <f>D32*B32</f>
        <v>33878.899999999994</v>
      </c>
      <c r="F32" s="199">
        <f>G32*B32</f>
        <v>36917.344313364083</v>
      </c>
      <c r="G32" s="198">
        <f>D32*(1+' LG recycle'!$H$6)</f>
        <v>11.387212928243086</v>
      </c>
      <c r="H32" s="200">
        <f t="shared" si="9"/>
        <v>406546.79999999993</v>
      </c>
      <c r="I32" s="273">
        <f>F32*12</f>
        <v>443008.131760369</v>
      </c>
      <c r="J32" s="521">
        <f t="shared" si="8"/>
        <v>8.9685447678764296E-2</v>
      </c>
      <c r="K32" s="607">
        <v>11.338985195757884</v>
      </c>
    </row>
    <row r="33" spans="1:11">
      <c r="A33" s="196" t="str">
        <f>+A72</f>
        <v>20 Gal Organics Container</v>
      </c>
      <c r="B33" s="1062"/>
      <c r="C33" s="197"/>
      <c r="D33" s="1060"/>
      <c r="E33" s="199">
        <f>D33*B33</f>
        <v>0</v>
      </c>
      <c r="F33" s="199">
        <f>G33*B33</f>
        <v>0</v>
      </c>
      <c r="G33" s="198">
        <f>D33*(1+' LG recycle'!$H$6)</f>
        <v>0</v>
      </c>
      <c r="H33" s="200">
        <f t="shared" si="9"/>
        <v>0</v>
      </c>
      <c r="I33" s="273">
        <f>F33*12</f>
        <v>0</v>
      </c>
      <c r="J33" s="521" t="e">
        <f>+G33/D33-1</f>
        <v>#DIV/0!</v>
      </c>
      <c r="K33" s="607">
        <v>0</v>
      </c>
    </row>
    <row r="34" spans="1:11">
      <c r="A34" s="196" t="s">
        <v>67</v>
      </c>
      <c r="B34" s="1062"/>
      <c r="C34" s="197" t="s">
        <v>295</v>
      </c>
      <c r="D34" s="1060">
        <v>3.63</v>
      </c>
      <c r="E34" s="199">
        <f t="shared" si="0"/>
        <v>0</v>
      </c>
      <c r="F34" s="199">
        <f>G34*B34</f>
        <v>0</v>
      </c>
      <c r="G34" s="198">
        <f t="shared" si="4"/>
        <v>3.8163216680799366</v>
      </c>
      <c r="H34" s="200">
        <f t="shared" si="9"/>
        <v>0</v>
      </c>
      <c r="I34" s="273">
        <f>F34*12</f>
        <v>0</v>
      </c>
      <c r="J34" s="521">
        <f t="shared" si="8"/>
        <v>5.1328283217613402E-2</v>
      </c>
      <c r="K34" s="607">
        <v>3.8406624584759057</v>
      </c>
    </row>
    <row r="35" spans="1:11">
      <c r="A35" s="196" t="s">
        <v>68</v>
      </c>
      <c r="B35" s="1062">
        <f>SUM('[13]wutc resi rental'!$C$9:$F$9,'[13]wutc resi rental'!$C$6:$F$6)/D35/12</f>
        <v>32.818750000000001</v>
      </c>
      <c r="C35" s="197" t="s">
        <v>295</v>
      </c>
      <c r="D35" s="1060">
        <v>0.4</v>
      </c>
      <c r="E35" s="199">
        <f t="shared" ref="E35:E40" si="10">D35*B35</f>
        <v>13.127500000000001</v>
      </c>
      <c r="F35" s="199">
        <f t="shared" si="3"/>
        <v>13.801312037939223</v>
      </c>
      <c r="G35" s="198">
        <f t="shared" si="4"/>
        <v>0.42053131328704541</v>
      </c>
      <c r="H35" s="200">
        <f t="shared" si="5"/>
        <v>157.53000000000003</v>
      </c>
      <c r="I35" s="273">
        <f t="shared" si="7"/>
        <v>165.61574445527066</v>
      </c>
      <c r="J35" s="521">
        <f t="shared" si="6"/>
        <v>5.1328283217613402E-2</v>
      </c>
      <c r="K35" s="607">
        <v>0.42321349404693182</v>
      </c>
    </row>
    <row r="36" spans="1:11">
      <c r="A36" s="196" t="s">
        <v>69</v>
      </c>
      <c r="B36" s="1062">
        <v>0</v>
      </c>
      <c r="C36" s="197" t="s">
        <v>295</v>
      </c>
      <c r="D36" s="1060">
        <v>0.5</v>
      </c>
      <c r="E36" s="199">
        <f t="shared" si="10"/>
        <v>0</v>
      </c>
      <c r="F36" s="199">
        <f t="shared" si="3"/>
        <v>0</v>
      </c>
      <c r="G36" s="198">
        <f t="shared" si="4"/>
        <v>0.5256641416088067</v>
      </c>
      <c r="H36" s="200">
        <f t="shared" si="5"/>
        <v>0</v>
      </c>
      <c r="I36" s="273">
        <f t="shared" si="7"/>
        <v>0</v>
      </c>
      <c r="J36" s="521">
        <f t="shared" si="6"/>
        <v>5.1328283217613402E-2</v>
      </c>
      <c r="K36" s="607">
        <v>0.52901686755866473</v>
      </c>
    </row>
    <row r="37" spans="1:11">
      <c r="A37" s="196" t="s">
        <v>296</v>
      </c>
      <c r="B37" s="1062">
        <f>SUM('[13]wutc resi rental'!$C$14:$F$14)/D37/12</f>
        <v>270.26537216828478</v>
      </c>
      <c r="C37" s="197" t="s">
        <v>295</v>
      </c>
      <c r="D37" s="1060">
        <v>1.03</v>
      </c>
      <c r="E37" s="199">
        <f t="shared" si="10"/>
        <v>278.37333333333333</v>
      </c>
      <c r="F37" s="199">
        <f t="shared" si="3"/>
        <v>292.66175862689772</v>
      </c>
      <c r="G37" s="198">
        <f t="shared" si="4"/>
        <v>1.0828681317141418</v>
      </c>
      <c r="H37" s="200">
        <f t="shared" si="5"/>
        <v>3340.48</v>
      </c>
      <c r="I37" s="273">
        <f t="shared" si="7"/>
        <v>3511.9411035227727</v>
      </c>
      <c r="J37" s="521">
        <f t="shared" si="6"/>
        <v>5.1328283217613402E-2</v>
      </c>
      <c r="K37" s="607">
        <v>1.0897747471708494</v>
      </c>
    </row>
    <row r="38" spans="1:11">
      <c r="A38" s="196" t="s">
        <v>70</v>
      </c>
      <c r="B38" s="1062">
        <f>SUM('[13]wutc resi rental'!$C$20:$F$20)/D38/12</f>
        <v>3054.4375000000005</v>
      </c>
      <c r="C38" s="197" t="s">
        <v>295</v>
      </c>
      <c r="D38" s="1060">
        <v>1.76</v>
      </c>
      <c r="E38" s="199">
        <f t="shared" si="10"/>
        <v>5375.81</v>
      </c>
      <c r="F38" s="199">
        <f t="shared" si="3"/>
        <v>5651.7410982040792</v>
      </c>
      <c r="G38" s="198">
        <f>D38*(1+$G$5)</f>
        <v>1.8503377784629995</v>
      </c>
      <c r="H38" s="200">
        <f t="shared" si="5"/>
        <v>64509.72</v>
      </c>
      <c r="I38" s="273">
        <f t="shared" si="7"/>
        <v>67820.893178448954</v>
      </c>
      <c r="J38" s="521">
        <f t="shared" si="6"/>
        <v>5.1328283217613402E-2</v>
      </c>
      <c r="K38" s="607">
        <v>1.8621393738064997</v>
      </c>
    </row>
    <row r="39" spans="1:11">
      <c r="A39" s="196" t="s">
        <v>71</v>
      </c>
      <c r="B39" s="1062">
        <f>SUM('[13]wutc resi rental'!$C$25:$F$25)/D39/12</f>
        <v>1222.9015151515155</v>
      </c>
      <c r="C39" s="197" t="s">
        <v>295</v>
      </c>
      <c r="D39" s="1060">
        <v>1.76</v>
      </c>
      <c r="E39" s="199">
        <f t="shared" si="10"/>
        <v>2152.3066666666673</v>
      </c>
      <c r="F39" s="199">
        <f t="shared" si="3"/>
        <v>2262.7808728244913</v>
      </c>
      <c r="G39" s="198">
        <f t="shared" si="4"/>
        <v>1.8503377784629995</v>
      </c>
      <c r="H39" s="200">
        <f t="shared" si="5"/>
        <v>25827.680000000008</v>
      </c>
      <c r="I39" s="273">
        <f t="shared" si="7"/>
        <v>27153.370473893898</v>
      </c>
      <c r="J39" s="521">
        <f t="shared" si="6"/>
        <v>5.1328283217613402E-2</v>
      </c>
      <c r="K39" s="607">
        <v>1.8621393738064997</v>
      </c>
    </row>
    <row r="40" spans="1:11">
      <c r="A40" s="196" t="s">
        <v>297</v>
      </c>
      <c r="B40" s="1062">
        <f>+'Cont Summ'!N8</f>
        <v>7358</v>
      </c>
      <c r="C40" s="197" t="s">
        <v>295</v>
      </c>
      <c r="D40" s="1060">
        <v>1.76</v>
      </c>
      <c r="E40" s="199">
        <f t="shared" si="10"/>
        <v>12950.08</v>
      </c>
      <c r="F40" s="199">
        <f t="shared" si="3"/>
        <v>13614.78537393075</v>
      </c>
      <c r="G40" s="198">
        <f t="shared" si="4"/>
        <v>1.8503377784629995</v>
      </c>
      <c r="H40" s="200">
        <f t="shared" si="5"/>
        <v>155400.95999999999</v>
      </c>
      <c r="I40" s="273">
        <f t="shared" si="7"/>
        <v>163377.42448716902</v>
      </c>
      <c r="J40" s="521">
        <f t="shared" si="6"/>
        <v>5.1328283217613402E-2</v>
      </c>
      <c r="K40" s="607">
        <v>1.8621393738064997</v>
      </c>
    </row>
    <row r="41" spans="1:11">
      <c r="A41" s="202"/>
      <c r="B41" s="203"/>
      <c r="C41" s="204"/>
      <c r="D41" s="205"/>
      <c r="E41" s="206">
        <f>D41*B41</f>
        <v>0</v>
      </c>
      <c r="F41" s="206"/>
      <c r="G41" s="207"/>
      <c r="H41" s="208"/>
      <c r="I41" s="209"/>
    </row>
    <row r="42" spans="1:11">
      <c r="A42" s="188" t="s">
        <v>298</v>
      </c>
      <c r="B42" s="210">
        <f>SUM(B15:B31)</f>
        <v>24575</v>
      </c>
      <c r="C42" s="210">
        <f>SUM(C15:C41)</f>
        <v>71914.465400000001</v>
      </c>
      <c r="D42" s="211"/>
      <c r="E42" s="210">
        <f>SUM(E15:E41)</f>
        <v>341588.19750000001</v>
      </c>
      <c r="F42" s="210">
        <f>SUM(F15:F41)</f>
        <v>369208.93395001534</v>
      </c>
      <c r="G42" s="197"/>
      <c r="H42" s="200">
        <f>SUM(H15:H41)</f>
        <v>4099058.37</v>
      </c>
      <c r="I42" s="201">
        <f>SUM(I15:I41)</f>
        <v>4430507.2074001851</v>
      </c>
    </row>
    <row r="43" spans="1:11" ht="12.75" thickBot="1">
      <c r="A43" s="212" t="s">
        <v>26</v>
      </c>
      <c r="B43" s="213"/>
      <c r="C43" s="197"/>
      <c r="D43" s="198"/>
      <c r="E43" s="214">
        <f>E42*12</f>
        <v>4099058.37</v>
      </c>
      <c r="F43" s="214">
        <f>F42*12</f>
        <v>4430507.2074001841</v>
      </c>
      <c r="G43" s="215"/>
      <c r="H43" s="216">
        <f>(F43-E43)/E43</f>
        <v>8.0859750577346373E-2</v>
      </c>
    </row>
    <row r="44" spans="1:11" ht="12.75" thickTop="1">
      <c r="E44" s="217"/>
    </row>
    <row r="46" spans="1:11">
      <c r="C46" s="196" t="s">
        <v>299</v>
      </c>
      <c r="E46" s="199">
        <f>+E43</f>
        <v>4099058.37</v>
      </c>
      <c r="F46" s="199">
        <f>+F43</f>
        <v>4430507.2074001841</v>
      </c>
      <c r="G46" s="199"/>
    </row>
    <row r="47" spans="1:11">
      <c r="C47" s="196" t="s">
        <v>300</v>
      </c>
      <c r="E47" s="219">
        <f>Proforma!L14</f>
        <v>4046889.9899999998</v>
      </c>
    </row>
    <row r="48" spans="1:11">
      <c r="C48" s="196" t="s">
        <v>20</v>
      </c>
      <c r="E48" s="305">
        <f>+E47-E46</f>
        <v>-52168.380000000354</v>
      </c>
    </row>
    <row r="49" spans="1:11">
      <c r="C49" s="196"/>
      <c r="E49" s="305"/>
    </row>
    <row r="50" spans="1:11">
      <c r="C50" s="196"/>
      <c r="D50" s="1020" t="s">
        <v>1595</v>
      </c>
      <c r="E50" s="305">
        <v>0</v>
      </c>
    </row>
    <row r="51" spans="1:11">
      <c r="C51" s="196"/>
      <c r="D51" s="257"/>
      <c r="E51" s="305"/>
    </row>
    <row r="52" spans="1:11">
      <c r="C52" s="196"/>
      <c r="D52" s="1020" t="s">
        <v>830</v>
      </c>
      <c r="E52" s="1022">
        <f>+E48+E50</f>
        <v>-52168.380000000354</v>
      </c>
    </row>
    <row r="53" spans="1:11">
      <c r="E53" s="720">
        <f>+E52/E46</f>
        <v>-1.2726918060452102E-2</v>
      </c>
      <c r="H53" s="521"/>
    </row>
    <row r="54" spans="1:11">
      <c r="E54" s="185"/>
    </row>
    <row r="55" spans="1:11">
      <c r="E55" s="220"/>
    </row>
    <row r="56" spans="1:11">
      <c r="A56" s="331"/>
      <c r="B56" s="332"/>
      <c r="C56" s="332"/>
      <c r="D56" s="333"/>
      <c r="E56" s="332" t="s">
        <v>42</v>
      </c>
      <c r="F56" s="332"/>
      <c r="G56" s="332" t="s">
        <v>1709</v>
      </c>
      <c r="H56" s="332" t="s">
        <v>26</v>
      </c>
      <c r="I56" s="334" t="s">
        <v>26</v>
      </c>
      <c r="J56" s="516" t="s">
        <v>504</v>
      </c>
      <c r="K56" s="185" t="str">
        <f>+K10</f>
        <v>Company</v>
      </c>
    </row>
    <row r="57" spans="1:11">
      <c r="A57" s="335"/>
      <c r="B57" s="336" t="s">
        <v>293</v>
      </c>
      <c r="C57" s="336"/>
      <c r="D57" s="337" t="s">
        <v>41</v>
      </c>
      <c r="E57" s="336" t="s">
        <v>41</v>
      </c>
      <c r="F57" s="336"/>
      <c r="G57" s="336" t="s">
        <v>39</v>
      </c>
      <c r="H57" s="336" t="s">
        <v>41</v>
      </c>
      <c r="I57" s="338" t="s">
        <v>39</v>
      </c>
      <c r="J57" s="517" t="s">
        <v>13</v>
      </c>
      <c r="K57" s="185" t="str">
        <f>+K11</f>
        <v xml:space="preserve">Proposed </v>
      </c>
    </row>
    <row r="58" spans="1:11">
      <c r="A58" s="339"/>
      <c r="B58" s="340" t="s">
        <v>48</v>
      </c>
      <c r="C58" s="340" t="s">
        <v>56</v>
      </c>
      <c r="D58" s="341" t="s">
        <v>55</v>
      </c>
      <c r="E58" s="342" t="s">
        <v>13</v>
      </c>
      <c r="F58" s="342"/>
      <c r="G58" s="342" t="s">
        <v>55</v>
      </c>
      <c r="H58" s="342" t="s">
        <v>13</v>
      </c>
      <c r="I58" s="343" t="s">
        <v>55</v>
      </c>
      <c r="J58" s="518" t="s">
        <v>54</v>
      </c>
      <c r="K58" s="185" t="str">
        <f>+K12</f>
        <v>Rate</v>
      </c>
    </row>
    <row r="59" spans="1:11">
      <c r="A59" s="312" t="s">
        <v>15</v>
      </c>
      <c r="B59" s="313"/>
      <c r="C59" s="313"/>
      <c r="D59" s="313"/>
      <c r="E59" s="313"/>
      <c r="F59" s="313"/>
      <c r="G59" s="510"/>
      <c r="H59" s="316"/>
      <c r="I59" s="314"/>
      <c r="J59" s="514"/>
    </row>
    <row r="60" spans="1:11">
      <c r="A60" s="315" t="s">
        <v>341</v>
      </c>
      <c r="B60" s="309">
        <f>B31-B61</f>
        <v>7218.25</v>
      </c>
      <c r="C60" s="309">
        <f>C31</f>
        <v>15698.459000000001</v>
      </c>
      <c r="D60" s="1352">
        <f>+D31</f>
        <v>8.39</v>
      </c>
      <c r="E60" s="316">
        <f>E31-E61</f>
        <v>60533.3675</v>
      </c>
      <c r="F60" s="1063"/>
      <c r="G60" s="510">
        <f>MROUND(D60*(1+$G$81),0.01)</f>
        <v>9.14</v>
      </c>
      <c r="H60" s="316">
        <f>H31-H61</f>
        <v>726400.41</v>
      </c>
      <c r="I60" s="317">
        <f>B60*G60*12</f>
        <v>791697.66000000015</v>
      </c>
      <c r="J60" s="514"/>
      <c r="K60" s="2121">
        <v>9.1</v>
      </c>
    </row>
    <row r="61" spans="1:11">
      <c r="A61" s="315" t="s">
        <v>634</v>
      </c>
      <c r="B61" s="1061">
        <f>SUM('[12]ES TONS'!$Q$451:$Q$452,'[12]ES TONS'!$Q$456:$Q$457,'[12]ES TONS'!$Q$459,'[12]ES TONS'!$Q$461)/12-B63</f>
        <v>27.75</v>
      </c>
      <c r="C61" s="309">
        <f>B61*2.16</f>
        <v>59.940000000000005</v>
      </c>
      <c r="D61" s="1058">
        <f>+D60+1</f>
        <v>9.39</v>
      </c>
      <c r="E61" s="316">
        <f>+B61*D61</f>
        <v>260.57249999999999</v>
      </c>
      <c r="F61" s="186"/>
      <c r="G61" s="1058">
        <f>+G60+1</f>
        <v>10.14</v>
      </c>
      <c r="H61" s="316">
        <f>+E61*12</f>
        <v>3126.87</v>
      </c>
      <c r="I61" s="317">
        <f>B61*G61*12</f>
        <v>3376.62</v>
      </c>
      <c r="J61" s="514"/>
      <c r="K61" s="2121">
        <v>10.1</v>
      </c>
    </row>
    <row r="62" spans="1:11">
      <c r="A62" s="315" t="s">
        <v>342</v>
      </c>
      <c r="B62" s="309">
        <f>B32-B63</f>
        <v>3218</v>
      </c>
      <c r="C62" s="309">
        <f>B62*4.33</f>
        <v>13933.94</v>
      </c>
      <c r="D62" s="1352">
        <f>+D32</f>
        <v>10.45</v>
      </c>
      <c r="E62" s="316">
        <f>+B62*D62</f>
        <v>33628.1</v>
      </c>
      <c r="F62" s="186"/>
      <c r="G62" s="510">
        <f>MROUND(D62*(1+$G$81),0.01)</f>
        <v>11.39</v>
      </c>
      <c r="H62" s="316">
        <f>+E62*12</f>
        <v>403537.19999999995</v>
      </c>
      <c r="I62" s="317">
        <f>B62*G62*12</f>
        <v>439836.24000000005</v>
      </c>
      <c r="J62" s="514"/>
      <c r="K62" s="2121">
        <v>11.34</v>
      </c>
    </row>
    <row r="63" spans="1:11">
      <c r="A63" s="315" t="s">
        <v>1592</v>
      </c>
      <c r="B63" s="1061">
        <f>+'[12]ES TONS'!$O$461</f>
        <v>24</v>
      </c>
      <c r="C63" s="309">
        <f>B63*4.33</f>
        <v>103.92</v>
      </c>
      <c r="D63" s="1058">
        <f>+D62+1</f>
        <v>11.45</v>
      </c>
      <c r="E63" s="316">
        <f>+B63*D63</f>
        <v>274.79999999999995</v>
      </c>
      <c r="F63" s="186"/>
      <c r="G63" s="1058">
        <f>+G62+1</f>
        <v>12.39</v>
      </c>
      <c r="H63" s="316">
        <f>+E63*12</f>
        <v>3297.5999999999995</v>
      </c>
      <c r="I63" s="317">
        <f>B63*G63*12</f>
        <v>3568.32</v>
      </c>
      <c r="J63" s="514"/>
      <c r="K63" s="2121">
        <v>12.34</v>
      </c>
    </row>
    <row r="64" spans="1:11">
      <c r="A64" s="315"/>
      <c r="B64" s="306"/>
      <c r="C64" s="306"/>
      <c r="D64" s="307"/>
      <c r="E64" s="308"/>
      <c r="F64" s="191"/>
      <c r="G64" s="511"/>
      <c r="H64" s="308"/>
      <c r="I64" s="318"/>
      <c r="J64" s="515"/>
    </row>
    <row r="65" spans="1:11">
      <c r="A65" s="312" t="s">
        <v>105</v>
      </c>
      <c r="B65" s="319">
        <f>SUM(B60:B64)</f>
        <v>10488</v>
      </c>
      <c r="C65" s="319">
        <f>SUM(C60:C64)</f>
        <v>29796.258999999998</v>
      </c>
      <c r="D65" s="320">
        <f>+E65/B65</f>
        <v>9.0290655987795585</v>
      </c>
      <c r="E65" s="321">
        <f>SUM(E60:E64)</f>
        <v>94696.840000000011</v>
      </c>
      <c r="F65" s="322"/>
      <c r="G65" s="512"/>
      <c r="H65" s="321">
        <f>SUM(H60:H64)</f>
        <v>1136362.08</v>
      </c>
      <c r="I65" s="323">
        <f>SUM(I60:I64)</f>
        <v>1238478.8400000003</v>
      </c>
      <c r="J65" s="1334">
        <f>' LG recycle'!E5</f>
        <v>1238277.2218699718</v>
      </c>
    </row>
    <row r="66" spans="1:11">
      <c r="A66" s="311"/>
      <c r="B66" s="186"/>
      <c r="C66" s="186"/>
      <c r="D66" s="324"/>
      <c r="E66" s="186"/>
      <c r="F66" s="186"/>
      <c r="G66" s="510"/>
      <c r="H66" s="316"/>
      <c r="I66" s="314"/>
      <c r="J66" s="514"/>
    </row>
    <row r="67" spans="1:11">
      <c r="A67" s="670" t="s">
        <v>16</v>
      </c>
      <c r="B67" s="186"/>
      <c r="C67" s="186"/>
      <c r="D67" s="324"/>
      <c r="E67" s="186"/>
      <c r="F67" s="186"/>
      <c r="G67" s="510"/>
      <c r="H67" s="316"/>
      <c r="I67" s="314"/>
      <c r="J67" s="514"/>
    </row>
    <row r="68" spans="1:11">
      <c r="A68" s="315" t="s">
        <v>341</v>
      </c>
      <c r="B68" s="309">
        <f>+B29-B69</f>
        <v>4740.083333333333</v>
      </c>
      <c r="C68" s="309">
        <f>+C29-C69</f>
        <v>10269.5915</v>
      </c>
      <c r="D68" s="1352">
        <f>+D29</f>
        <v>8</v>
      </c>
      <c r="E68" s="316">
        <f>E29-E69</f>
        <v>37889.75</v>
      </c>
      <c r="F68" s="186"/>
      <c r="G68" s="510">
        <f>MROUND(D68*(1+$G$86),0.01)</f>
        <v>9.25</v>
      </c>
      <c r="H68" s="510">
        <f>+H29-H69</f>
        <v>454677</v>
      </c>
      <c r="I68" s="317">
        <f t="shared" ref="I68:I73" si="11">B68*G68*12</f>
        <v>526149.25</v>
      </c>
      <c r="J68" s="514"/>
      <c r="K68" s="2119">
        <v>9.23</v>
      </c>
    </row>
    <row r="69" spans="1:11">
      <c r="A69" s="315" t="s">
        <v>635</v>
      </c>
      <c r="B69" s="1061">
        <f>SUM('[12]ES TONS'!$Q$395:$Q$396,'[12]ES TONS'!$Q$400:$Q$401,'[12]ES TONS'!$Q$403,'[12]ES TONS'!$Q$405)/12-B71</f>
        <v>30.916666666666664</v>
      </c>
      <c r="C69" s="309">
        <f>B69*2.16</f>
        <v>66.78</v>
      </c>
      <c r="D69" s="1058">
        <f>+D68+1</f>
        <v>9</v>
      </c>
      <c r="E69" s="316">
        <f>+B69*D69</f>
        <v>278.25</v>
      </c>
      <c r="F69" s="186"/>
      <c r="G69" s="1058">
        <f>+G68+1</f>
        <v>10.25</v>
      </c>
      <c r="H69" s="510">
        <f>+E69*12</f>
        <v>3339</v>
      </c>
      <c r="I69" s="317">
        <f t="shared" si="11"/>
        <v>3802.75</v>
      </c>
      <c r="J69" s="514"/>
      <c r="K69" s="2120">
        <v>10.23</v>
      </c>
    </row>
    <row r="70" spans="1:11">
      <c r="A70" s="315" t="s">
        <v>342</v>
      </c>
      <c r="B70" s="309">
        <f>+B30-B71</f>
        <v>2092</v>
      </c>
      <c r="C70" s="309">
        <f>B70*4.33</f>
        <v>9058.36</v>
      </c>
      <c r="D70" s="1352">
        <f>+D30</f>
        <v>11.05</v>
      </c>
      <c r="E70" s="316">
        <f>+B70*D70</f>
        <v>23116.600000000002</v>
      </c>
      <c r="F70" s="186"/>
      <c r="G70" s="510">
        <f>MROUND(D70*(1+$G$86),0.01)</f>
        <v>12.780000000000001</v>
      </c>
      <c r="H70" s="510">
        <f>+E70*12</f>
        <v>277399.2</v>
      </c>
      <c r="I70" s="317">
        <f t="shared" si="11"/>
        <v>320829.12</v>
      </c>
      <c r="J70" s="514"/>
      <c r="K70" s="2119">
        <v>12.75</v>
      </c>
    </row>
    <row r="71" spans="1:11">
      <c r="A71" s="315" t="s">
        <v>1593</v>
      </c>
      <c r="B71" s="1061">
        <f>+'[12]ES TONS'!$O$405</f>
        <v>12</v>
      </c>
      <c r="C71" s="309">
        <f>B71*4.33</f>
        <v>51.96</v>
      </c>
      <c r="D71" s="1058">
        <f>+D70+1</f>
        <v>12.05</v>
      </c>
      <c r="E71" s="316">
        <f>+B71*D71</f>
        <v>144.60000000000002</v>
      </c>
      <c r="F71" s="186"/>
      <c r="G71" s="1058">
        <f>+G70+1</f>
        <v>13.780000000000001</v>
      </c>
      <c r="H71" s="510">
        <f>+E71*12</f>
        <v>1735.2000000000003</v>
      </c>
      <c r="I71" s="317">
        <f t="shared" si="11"/>
        <v>1984.3200000000002</v>
      </c>
      <c r="J71" s="514"/>
      <c r="K71" s="2120">
        <v>13.75</v>
      </c>
    </row>
    <row r="72" spans="1:11">
      <c r="A72" s="315" t="s">
        <v>1646</v>
      </c>
      <c r="B72" s="309"/>
      <c r="C72" s="309"/>
      <c r="D72" s="1058"/>
      <c r="E72" s="316">
        <f>+B72*D72</f>
        <v>0</v>
      </c>
      <c r="F72" s="186"/>
      <c r="G72" s="510"/>
      <c r="H72" s="510">
        <f>+E72*12</f>
        <v>0</v>
      </c>
      <c r="I72" s="317">
        <f t="shared" si="11"/>
        <v>0</v>
      </c>
      <c r="J72" s="514"/>
    </row>
    <row r="73" spans="1:11">
      <c r="A73" s="315" t="s">
        <v>1594</v>
      </c>
      <c r="B73" s="309">
        <f>B40</f>
        <v>7358</v>
      </c>
      <c r="C73" s="309" t="str">
        <f>C40</f>
        <v>Per Can</v>
      </c>
      <c r="D73" s="1058">
        <f>D40</f>
        <v>1.76</v>
      </c>
      <c r="E73" s="316">
        <f>E40</f>
        <v>12950.08</v>
      </c>
      <c r="F73" s="186"/>
      <c r="G73" s="510">
        <f>+G40</f>
        <v>1.8503377784629995</v>
      </c>
      <c r="H73" s="510">
        <f>H40</f>
        <v>155400.95999999999</v>
      </c>
      <c r="I73" s="317">
        <f t="shared" si="11"/>
        <v>163377.42448716902</v>
      </c>
      <c r="J73" s="514"/>
      <c r="K73" s="607">
        <v>1.8621393738064997</v>
      </c>
    </row>
    <row r="74" spans="1:11">
      <c r="A74" s="315"/>
      <c r="B74" s="309"/>
      <c r="C74" s="309"/>
      <c r="D74" s="310"/>
      <c r="E74" s="316"/>
      <c r="F74" s="186"/>
      <c r="G74" s="510"/>
      <c r="H74" s="316"/>
      <c r="I74" s="317"/>
      <c r="J74" s="514"/>
    </row>
    <row r="75" spans="1:11">
      <c r="A75" s="315"/>
      <c r="B75" s="306"/>
      <c r="C75" s="306"/>
      <c r="D75" s="307"/>
      <c r="E75" s="308"/>
      <c r="F75" s="191"/>
      <c r="G75" s="511"/>
      <c r="H75" s="308"/>
      <c r="I75" s="318"/>
      <c r="J75" s="515"/>
    </row>
    <row r="76" spans="1:11">
      <c r="A76" s="325" t="s">
        <v>105</v>
      </c>
      <c r="B76" s="326">
        <f>SUM(B68:B72)</f>
        <v>6875</v>
      </c>
      <c r="C76" s="326">
        <f>SUM(C68:C72)</f>
        <v>19446.691500000001</v>
      </c>
      <c r="D76" s="327">
        <f>+E76/B76</f>
        <v>10.818804363636364</v>
      </c>
      <c r="E76" s="328">
        <f>SUM(E68:E75)</f>
        <v>74379.28</v>
      </c>
      <c r="F76" s="329"/>
      <c r="G76" s="513"/>
      <c r="H76" s="671">
        <f>SUM(H68:H75)</f>
        <v>892551.35999999987</v>
      </c>
      <c r="I76" s="330">
        <f>SUM(I68:I75)</f>
        <v>1016142.864487169</v>
      </c>
      <c r="J76" s="519">
        <f>'LG Yardwaste'!E5</f>
        <v>1032190.1120877792</v>
      </c>
    </row>
    <row r="77" spans="1:11">
      <c r="J77" s="523">
        <f>+J76-I76</f>
        <v>16047.247600610252</v>
      </c>
    </row>
    <row r="78" spans="1:11">
      <c r="F78" s="509" t="s">
        <v>502</v>
      </c>
      <c r="G78" s="230">
        <f>' LG recycle'!E6</f>
        <v>101915.14186997172</v>
      </c>
    </row>
    <row r="79" spans="1:11">
      <c r="F79" s="509" t="s">
        <v>681</v>
      </c>
      <c r="G79" s="230">
        <f>H65</f>
        <v>1136362.08</v>
      </c>
    </row>
    <row r="80" spans="1:11">
      <c r="F80" s="509" t="s">
        <v>6</v>
      </c>
      <c r="G80" s="542">
        <f>+G78+G79</f>
        <v>1238277.2218699718</v>
      </c>
    </row>
    <row r="81" spans="4:7">
      <c r="F81" s="509" t="s">
        <v>500</v>
      </c>
      <c r="G81" s="345">
        <f>+G78/G79</f>
        <v>8.9685447678764241E-2</v>
      </c>
    </row>
    <row r="83" spans="4:7">
      <c r="F83" s="509" t="s">
        <v>503</v>
      </c>
      <c r="G83" s="230">
        <f>'LG Yardwaste'!E6</f>
        <v>139638.75208777931</v>
      </c>
    </row>
    <row r="84" spans="4:7">
      <c r="F84" s="509" t="s">
        <v>682</v>
      </c>
      <c r="G84" s="230">
        <f>H76</f>
        <v>892551.35999999987</v>
      </c>
    </row>
    <row r="85" spans="4:7">
      <c r="F85" s="509" t="s">
        <v>5</v>
      </c>
      <c r="G85" s="542">
        <f>+G83+G84</f>
        <v>1032190.1120877792</v>
      </c>
    </row>
    <row r="86" spans="4:7">
      <c r="F86" s="509" t="s">
        <v>500</v>
      </c>
      <c r="G86" s="345">
        <f>+G83/G84</f>
        <v>0.15644898248519765</v>
      </c>
    </row>
    <row r="89" spans="4:7">
      <c r="D89" s="303"/>
      <c r="G89" s="303"/>
    </row>
    <row r="90" spans="4:7">
      <c r="D90" s="303"/>
      <c r="G90" s="303"/>
    </row>
    <row r="91" spans="4:7">
      <c r="D91" s="303"/>
      <c r="G91" s="303"/>
    </row>
  </sheetData>
  <customSheetViews>
    <customSheetView guid="{3B54C4DD-9207-4EC3-9D58-6DDE29113D77}" showGridLines="0" fitToPage="1" showRuler="0" topLeftCell="A9">
      <selection activeCell="D21" sqref="D21"/>
      <pageMargins left="0.75" right="0.75" top="1" bottom="1" header="0.5" footer="0.5"/>
      <pageSetup scale="54" orientation="landscape" r:id="rId1"/>
      <headerFooter alignWithMargins="0">
        <oddHeader>&amp;L&amp;12&amp;A</oddHeader>
      </headerFooter>
    </customSheetView>
    <customSheetView guid="{F69ABAD1-EF76-489D-B027-1BD1F4CFE8A6}" showGridLines="0" fitToPage="1" topLeftCell="A9">
      <selection activeCell="D21" sqref="D21"/>
      <pageMargins left="0.75" right="0.75" top="1" bottom="1" header="0.5" footer="0.5"/>
      <pageSetup scale="54" orientation="landscape" r:id="rId2"/>
      <headerFooter alignWithMargins="0">
        <oddHeader>&amp;L&amp;12&amp;A</oddHeader>
      </headerFooter>
    </customSheetView>
  </customSheetViews>
  <phoneticPr fontId="0" type="noConversion"/>
  <pageMargins left="0.75" right="0.75" top="1" bottom="1" header="0.5" footer="0.5"/>
  <pageSetup scale="50" orientation="landscape" r:id="rId3"/>
  <headerFooter alignWithMargins="0">
    <oddHeader>&amp;L&amp;12&amp;A</oddHeader>
  </headerFooter>
  <drawing r:id="rId4"/>
  <legacy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73348"/>
  </sheetPr>
  <dimension ref="B4:M19"/>
  <sheetViews>
    <sheetView workbookViewId="0">
      <selection activeCell="N28" sqref="N28"/>
    </sheetView>
  </sheetViews>
  <sheetFormatPr defaultRowHeight="11.25"/>
  <cols>
    <col min="2" max="2" width="17" bestFit="1" customWidth="1"/>
    <col min="3" max="3" width="15.33203125" customWidth="1"/>
    <col min="4" max="4" width="5.83203125" customWidth="1"/>
    <col min="5" max="5" width="15.33203125" customWidth="1"/>
    <col min="6" max="6" width="5.83203125" customWidth="1"/>
    <col min="7" max="7" width="15.33203125" customWidth="1"/>
    <col min="8" max="8" width="5.83203125" customWidth="1"/>
    <col min="9" max="9" width="15.33203125" customWidth="1"/>
    <col min="10" max="10" width="11.1640625" bestFit="1" customWidth="1"/>
    <col min="11" max="11" width="5.83203125" customWidth="1"/>
    <col min="12" max="12" width="15.33203125" customWidth="1"/>
  </cols>
  <sheetData>
    <row r="4" spans="2:13" ht="22.5">
      <c r="C4" s="2122" t="s">
        <v>584</v>
      </c>
      <c r="D4" s="2122"/>
      <c r="E4" s="2122" t="s">
        <v>585</v>
      </c>
      <c r="F4" s="2122"/>
      <c r="G4" s="2122" t="s">
        <v>586</v>
      </c>
      <c r="H4" s="2122"/>
      <c r="I4" s="2122" t="s">
        <v>587</v>
      </c>
      <c r="J4" s="2122" t="s">
        <v>588</v>
      </c>
      <c r="K4" s="2122"/>
      <c r="L4" s="632" t="s">
        <v>2486</v>
      </c>
      <c r="M4" s="744"/>
    </row>
    <row r="5" spans="2:13">
      <c r="B5" s="540" t="s">
        <v>589</v>
      </c>
      <c r="C5" s="2123">
        <f>'[14]Resi Price Out'!E46-'[14]Resi Price Out'!H65-'[14]Resi Price Out'!H76</f>
        <v>2070144.9300000002</v>
      </c>
      <c r="D5" s="2122"/>
      <c r="E5" s="2123">
        <f>'[14]LG Garbage'!$E$6*(C5/SUM($C$5:$C$7))</f>
        <v>119356.0732785344</v>
      </c>
      <c r="F5" s="2122"/>
      <c r="G5" s="635">
        <f>C5+E5</f>
        <v>2189501.0032785344</v>
      </c>
      <c r="H5" s="2122"/>
      <c r="I5" s="635">
        <v>2189791.855019914</v>
      </c>
      <c r="J5" s="2124">
        <f>I5/C5-1</f>
        <v>5.7796400283874672E-2</v>
      </c>
      <c r="K5" s="2122"/>
      <c r="L5" s="635">
        <f>I5-G5</f>
        <v>290.85174137959257</v>
      </c>
      <c r="M5" s="2125">
        <f>+L5/G5</f>
        <v>1.3283928207572155E-4</v>
      </c>
    </row>
    <row r="6" spans="2:13">
      <c r="B6" s="540" t="s">
        <v>590</v>
      </c>
      <c r="C6" s="2123">
        <f>'[14]Comm Price Out'!E159</f>
        <v>937334.36702000012</v>
      </c>
      <c r="D6" s="2122"/>
      <c r="E6" s="2123">
        <f>'[14]LG Garbage'!$E$6*(C6/SUM($C$5:$C$7))</f>
        <v>54042.858437224393</v>
      </c>
      <c r="F6" s="2122"/>
      <c r="G6" s="635">
        <f>C6+E6</f>
        <v>991377.22545722453</v>
      </c>
      <c r="H6" s="2122"/>
      <c r="I6" s="635">
        <v>966719.4107775595</v>
      </c>
      <c r="J6" s="2124">
        <f>I6/C6-1</f>
        <v>3.1349585368326105E-2</v>
      </c>
      <c r="K6" s="2122"/>
      <c r="L6" s="635">
        <f>I6-G6</f>
        <v>-24657.814679665025</v>
      </c>
      <c r="M6" s="2125">
        <f>+L6/G6</f>
        <v>-2.4872282766323191E-2</v>
      </c>
    </row>
    <row r="7" spans="2:13">
      <c r="B7" s="540" t="s">
        <v>591</v>
      </c>
      <c r="C7" s="2123">
        <f>'[14]Drop Box Price Out'!E104</f>
        <v>226392.41</v>
      </c>
      <c r="D7" s="2123"/>
      <c r="E7" s="2123">
        <f>'[14]LG Garbage'!$E$6*(C7/SUM($C$5:$C$7))</f>
        <v>13052.858612012255</v>
      </c>
      <c r="G7" s="635">
        <f>C7+E7</f>
        <v>239445.26861201227</v>
      </c>
      <c r="I7" s="635">
        <v>239507.42540010167</v>
      </c>
      <c r="J7" s="2124">
        <f>I7/C7-1</f>
        <v>5.7930455354495702E-2</v>
      </c>
      <c r="L7" s="635">
        <f>I7-G7</f>
        <v>62.156788089399925</v>
      </c>
      <c r="M7" s="2125">
        <f>+L7/G7</f>
        <v>2.595866205655387E-4</v>
      </c>
    </row>
    <row r="8" spans="2:13">
      <c r="B8" s="540" t="s">
        <v>43</v>
      </c>
      <c r="C8" s="2126">
        <f>[14]Proforma!N12</f>
        <v>151755.62598210003</v>
      </c>
      <c r="D8" s="2123"/>
      <c r="E8" s="2126">
        <v>0</v>
      </c>
      <c r="G8" s="639">
        <f>C8+E8</f>
        <v>151755.62598210003</v>
      </c>
      <c r="I8" s="639">
        <v>151755.62598210003</v>
      </c>
      <c r="J8" s="2127">
        <f>I8/C8-1</f>
        <v>0</v>
      </c>
      <c r="L8" s="639">
        <f>I8-G8</f>
        <v>0</v>
      </c>
      <c r="M8" s="2125">
        <f>+L8/G8</f>
        <v>0</v>
      </c>
    </row>
    <row r="9" spans="2:13">
      <c r="B9" t="s">
        <v>592</v>
      </c>
      <c r="C9" s="2123">
        <f>SUM(C5:C8)</f>
        <v>3385627.3330021007</v>
      </c>
      <c r="D9" s="2123"/>
      <c r="E9" s="2123">
        <f>SUM(E5:E8)</f>
        <v>186451.79032777107</v>
      </c>
      <c r="G9" s="2123">
        <f>SUM(G5:G8)</f>
        <v>3572079.1233298713</v>
      </c>
      <c r="I9" s="2123">
        <v>3547774.3171796752</v>
      </c>
      <c r="J9" s="2124">
        <f>I9/C9-1</f>
        <v>4.7892744306797574E-2</v>
      </c>
      <c r="L9" s="2123">
        <f>SUM(L5:L8)</f>
        <v>-24304.806150196033</v>
      </c>
      <c r="M9" s="2125">
        <f>+L9/G9</f>
        <v>-6.8041063232494228E-3</v>
      </c>
    </row>
    <row r="10" spans="2:13">
      <c r="C10" s="2123"/>
      <c r="D10" s="2123"/>
      <c r="E10" s="2123"/>
    </row>
    <row r="11" spans="2:13">
      <c r="B11" t="s">
        <v>15</v>
      </c>
      <c r="C11" s="2123">
        <f>'[14]Resi Price Out'!H65</f>
        <v>1136362.08</v>
      </c>
      <c r="D11" s="2123"/>
      <c r="E11" s="2123">
        <f>'[14] LG recycle'!E6</f>
        <v>96670.724032596816</v>
      </c>
      <c r="G11" s="635">
        <f>C11+E11</f>
        <v>1233032.804032597</v>
      </c>
      <c r="I11" s="635">
        <v>1233055.56</v>
      </c>
      <c r="J11" s="2124">
        <f>I11/C11-1</f>
        <v>8.5090378939782996E-2</v>
      </c>
      <c r="L11" s="635">
        <f>I11-G11</f>
        <v>22.755967403063551</v>
      </c>
      <c r="M11" s="2125">
        <f>+L11/G11</f>
        <v>1.8455281423690302E-5</v>
      </c>
    </row>
    <row r="12" spans="2:13">
      <c r="C12" s="2123"/>
      <c r="D12" s="2123"/>
      <c r="E12" s="2123"/>
    </row>
    <row r="13" spans="2:13">
      <c r="B13" t="s">
        <v>593</v>
      </c>
      <c r="C13" s="2123">
        <f>'[14]Resi Price Out'!H76</f>
        <v>892551.35999999987</v>
      </c>
      <c r="D13" s="2123"/>
      <c r="E13" s="2123">
        <f>'[14]LG Yardwaste'!E6</f>
        <v>137143.41667788531</v>
      </c>
      <c r="G13" s="635">
        <f>C13+E13</f>
        <v>1029694.7766778852</v>
      </c>
      <c r="I13" s="635">
        <v>1015282.4181496187</v>
      </c>
      <c r="J13" s="2124">
        <f>I13/C13-1</f>
        <v>0.13750587770054912</v>
      </c>
      <c r="L13" s="635">
        <f>I13-G13</f>
        <v>-14412.358528266544</v>
      </c>
      <c r="M13" s="2125">
        <f>+L13/G13</f>
        <v>-1.3996728792550822E-2</v>
      </c>
    </row>
    <row r="14" spans="2:13">
      <c r="C14" s="2123"/>
      <c r="D14" s="2123"/>
      <c r="E14" s="2123"/>
    </row>
    <row r="15" spans="2:13">
      <c r="B15" t="s">
        <v>148</v>
      </c>
      <c r="C15" s="2123">
        <f>'[14]MF Recy Price Out'!L65+'[14]Drop Box Price Out'!H94</f>
        <v>117319.81681200003</v>
      </c>
      <c r="D15" s="2123"/>
      <c r="E15" s="2123">
        <f>'[14]LG MF Recycle'!E6</f>
        <v>28931.378134891253</v>
      </c>
      <c r="G15" s="635">
        <f>C15+E15</f>
        <v>146251.19494689128</v>
      </c>
      <c r="I15" s="635">
        <v>146251.19494689125</v>
      </c>
      <c r="J15" s="2124">
        <f>I15/C15-1</f>
        <v>0.24660265350782562</v>
      </c>
      <c r="L15" s="635">
        <f>I15-G15</f>
        <v>0</v>
      </c>
      <c r="M15" s="2125">
        <f>+L15/G15</f>
        <v>0</v>
      </c>
    </row>
    <row r="16" spans="2:13">
      <c r="C16" s="2123"/>
      <c r="D16" s="2123"/>
      <c r="E16" s="2123"/>
    </row>
    <row r="17" spans="2:13">
      <c r="B17" t="s">
        <v>27</v>
      </c>
      <c r="C17" s="2128">
        <f>SUM(C9:C16)</f>
        <v>5531860.5898141013</v>
      </c>
      <c r="D17" s="2123"/>
      <c r="E17" s="2128">
        <f>SUM(E9:E16)</f>
        <v>449197.30917314452</v>
      </c>
      <c r="G17" s="2128">
        <f>SUM(G9:G16)</f>
        <v>5981057.8989872448</v>
      </c>
      <c r="I17" s="2128">
        <v>5942363.4902761849</v>
      </c>
      <c r="J17" s="2124"/>
      <c r="L17" s="2128">
        <f>SUM(L9:L16)</f>
        <v>-38694.408711059514</v>
      </c>
      <c r="M17" s="2125">
        <f>+L17/G17</f>
        <v>-6.4694924149808894E-3</v>
      </c>
    </row>
    <row r="19" spans="2:13">
      <c r="I19" s="635">
        <v>410502.90046208352</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61"/>
  </sheetPr>
  <dimension ref="B4:M38"/>
  <sheetViews>
    <sheetView showGridLines="0" workbookViewId="0">
      <selection activeCell="I7" sqref="I7"/>
    </sheetView>
  </sheetViews>
  <sheetFormatPr defaultRowHeight="11.25"/>
  <cols>
    <col min="2" max="2" width="17" bestFit="1" customWidth="1"/>
    <col min="3" max="3" width="15.33203125" customWidth="1"/>
    <col min="4" max="4" width="5.83203125" customWidth="1"/>
    <col min="5" max="5" width="15.33203125" customWidth="1"/>
    <col min="6" max="6" width="5.83203125" customWidth="1"/>
    <col min="7" max="7" width="15.33203125" customWidth="1"/>
    <col min="8" max="8" width="5.83203125" customWidth="1"/>
    <col min="9" max="9" width="15.33203125" customWidth="1"/>
    <col min="10" max="10" width="11.1640625" bestFit="1" customWidth="1"/>
    <col min="11" max="11" width="5.83203125" customWidth="1"/>
    <col min="12" max="12" width="15.33203125" customWidth="1"/>
  </cols>
  <sheetData>
    <row r="4" spans="2:13" ht="22.5">
      <c r="C4" s="631" t="s">
        <v>584</v>
      </c>
      <c r="D4" s="631"/>
      <c r="E4" s="631" t="s">
        <v>585</v>
      </c>
      <c r="F4" s="631"/>
      <c r="G4" s="631" t="s">
        <v>586</v>
      </c>
      <c r="H4" s="631"/>
      <c r="I4" s="631" t="s">
        <v>587</v>
      </c>
      <c r="J4" s="631" t="s">
        <v>588</v>
      </c>
      <c r="K4" s="631"/>
      <c r="L4" s="632" t="s">
        <v>594</v>
      </c>
      <c r="M4" s="633"/>
    </row>
    <row r="5" spans="2:13">
      <c r="B5" s="540" t="s">
        <v>589</v>
      </c>
      <c r="C5" s="634">
        <f>'Resi Price Out'!E46-'Resi Price Out'!H65-'Resi Price Out'!H76</f>
        <v>2070144.9300000002</v>
      </c>
      <c r="D5" s="631"/>
      <c r="E5" s="634">
        <f>'LG Garbage'!$E$6*(C5/SUM($C$5:$C$7))</f>
        <v>105606.3423943839</v>
      </c>
      <c r="F5" s="631"/>
      <c r="G5" s="635">
        <f>C5+E5</f>
        <v>2175751.2723943843</v>
      </c>
      <c r="H5" s="631"/>
      <c r="I5" s="635">
        <f>'Resi Price Out Staff'!F46-'Resi Price Out Staff'!I65-'Resi Price Out Staff'!I76</f>
        <v>2183435.633729673</v>
      </c>
      <c r="J5" s="636">
        <f>I5/C5-1</f>
        <v>5.4725976953542421E-2</v>
      </c>
      <c r="K5" s="631"/>
      <c r="L5" s="635">
        <f>I5-G5</f>
        <v>7684.3613352887332</v>
      </c>
      <c r="M5" s="637">
        <f>+L5/G5</f>
        <v>3.5318197593570519E-3</v>
      </c>
    </row>
    <row r="6" spans="2:13">
      <c r="B6" s="540" t="s">
        <v>590</v>
      </c>
      <c r="C6" s="634">
        <f>'Comm Price Out'!E159</f>
        <v>937334.36702000012</v>
      </c>
      <c r="D6" s="631"/>
      <c r="E6" s="634">
        <f>'LG Garbage'!$E$6*(C6/SUM($C$5:$C$7))</f>
        <v>47817.161333500087</v>
      </c>
      <c r="F6" s="631"/>
      <c r="G6" s="635">
        <f>C6+E6</f>
        <v>985151.52835350018</v>
      </c>
      <c r="H6" s="631"/>
      <c r="I6" s="1653">
        <f>'Comm Price Out Staff'!F159</f>
        <v>956610.0104227555</v>
      </c>
      <c r="J6" s="636">
        <f>I6/C6-1</f>
        <v>2.0564319501094497E-2</v>
      </c>
      <c r="K6" s="631"/>
      <c r="L6" s="635">
        <f>I6-G6</f>
        <v>-28541.517930744682</v>
      </c>
      <c r="M6" s="637">
        <f>+L6/G6</f>
        <v>-2.8971703447942254E-2</v>
      </c>
    </row>
    <row r="7" spans="2:13">
      <c r="B7" s="540" t="s">
        <v>591</v>
      </c>
      <c r="C7" s="634">
        <f>'Drop Box Price Out'!E104</f>
        <v>226392.41</v>
      </c>
      <c r="D7" s="634"/>
      <c r="E7" s="634">
        <f>'LG Garbage'!$E$6*(C7/SUM($C$5:$C$7))</f>
        <v>11549.179006490982</v>
      </c>
      <c r="G7" s="635">
        <f>C7+E7</f>
        <v>237941.58900649098</v>
      </c>
      <c r="I7" s="635">
        <f>'Drop Box Price Out Staff'!F95</f>
        <v>237998.8286888556</v>
      </c>
      <c r="J7" s="636">
        <f>I7/C7-1</f>
        <v>5.1266818922311108E-2</v>
      </c>
      <c r="L7" s="635">
        <f>I7-G7</f>
        <v>57.239682364626788</v>
      </c>
      <c r="M7" s="637">
        <f>+L7/G7</f>
        <v>2.4056190682607111E-4</v>
      </c>
    </row>
    <row r="8" spans="2:13">
      <c r="B8" s="540" t="s">
        <v>43</v>
      </c>
      <c r="C8" s="638">
        <f>Proforma!Q12</f>
        <v>150503.20685210003</v>
      </c>
      <c r="D8" s="634"/>
      <c r="E8" s="638">
        <v>0</v>
      </c>
      <c r="G8" s="639">
        <f>C8+E8</f>
        <v>150503.20685210003</v>
      </c>
      <c r="I8" s="639">
        <f>G8</f>
        <v>150503.20685210003</v>
      </c>
      <c r="J8" s="640">
        <f>I8/C8-1</f>
        <v>0</v>
      </c>
      <c r="L8" s="639">
        <f>I8-G8</f>
        <v>0</v>
      </c>
      <c r="M8" s="637">
        <f>+L8/G8</f>
        <v>0</v>
      </c>
    </row>
    <row r="9" spans="2:13">
      <c r="B9" t="s">
        <v>592</v>
      </c>
      <c r="C9" s="634">
        <f>SUM(C5:C8)</f>
        <v>3384374.9138721004</v>
      </c>
      <c r="D9" s="634"/>
      <c r="E9" s="634">
        <f>SUM(E5:E8)</f>
        <v>164972.68273437495</v>
      </c>
      <c r="G9" s="634">
        <f>SUM(G5:G8)</f>
        <v>3549347.5966064753</v>
      </c>
      <c r="I9" s="634">
        <f>SUM(I5:I8)</f>
        <v>3528547.6796933841</v>
      </c>
      <c r="J9" s="636">
        <f>I9/C9-1</f>
        <v>4.2599525611166422E-2</v>
      </c>
      <c r="L9" s="634">
        <f>SUM(L5:L8)</f>
        <v>-20799.916913091321</v>
      </c>
      <c r="M9" s="637">
        <f>+L9/G9</f>
        <v>-5.8602084881678208E-3</v>
      </c>
    </row>
    <row r="10" spans="2:13">
      <c r="C10" s="634"/>
      <c r="D10" s="634"/>
      <c r="E10" s="634"/>
    </row>
    <row r="11" spans="2:13">
      <c r="B11" t="s">
        <v>15</v>
      </c>
      <c r="C11" s="634">
        <f>'Resi Price Out'!H65</f>
        <v>1136362.08</v>
      </c>
      <c r="D11" s="634"/>
      <c r="E11" s="634">
        <f>' LG recycle'!E6</f>
        <v>101915.14186997172</v>
      </c>
      <c r="G11" s="635">
        <f>C11+E11</f>
        <v>1238277.2218699718</v>
      </c>
      <c r="I11" s="635">
        <f>'Resi Price Out Staff'!I65</f>
        <v>1230982.3500000001</v>
      </c>
      <c r="J11" s="636">
        <f>I11/C11-1</f>
        <v>8.3265951641047442E-2</v>
      </c>
      <c r="L11" s="635">
        <f>I11-G11</f>
        <v>-7294.8718699717429</v>
      </c>
      <c r="M11" s="637">
        <f>+L11/G11</f>
        <v>-5.891145973722642E-3</v>
      </c>
    </row>
    <row r="12" spans="2:13">
      <c r="C12" s="634"/>
      <c r="D12" s="634"/>
      <c r="E12" s="634"/>
    </row>
    <row r="13" spans="2:13">
      <c r="B13" t="s">
        <v>593</v>
      </c>
      <c r="C13" s="634">
        <f>'Resi Price Out'!H76</f>
        <v>892551.35999999987</v>
      </c>
      <c r="D13" s="634"/>
      <c r="E13" s="634">
        <f>'LG Yardwaste'!E6</f>
        <v>139638.75208777931</v>
      </c>
      <c r="G13" s="635">
        <f>C13+E13</f>
        <v>1032190.1120877792</v>
      </c>
      <c r="I13" s="635">
        <f>'Resi Price Out Staff'!I76</f>
        <v>1021446.7792871691</v>
      </c>
      <c r="J13" s="636">
        <f>(I13/C13)-1</f>
        <v>0.14441232747342325</v>
      </c>
      <c r="L13" s="635">
        <f>I13-G13</f>
        <v>-10743.332800610107</v>
      </c>
      <c r="M13" s="637">
        <f>+L13/G13</f>
        <v>-1.0408288816950492E-2</v>
      </c>
    </row>
    <row r="14" spans="2:13">
      <c r="C14" s="634"/>
      <c r="D14" s="634"/>
      <c r="E14" s="634"/>
    </row>
    <row r="15" spans="2:13">
      <c r="B15" t="s">
        <v>148</v>
      </c>
      <c r="C15" s="634">
        <f>'MF Recy Price Out'!L65+'Drop Box Price Out'!H94</f>
        <v>117319.81681200003</v>
      </c>
      <c r="D15" s="634"/>
      <c r="E15" s="634">
        <f>'LG MF Recycle'!E6</f>
        <v>42348.84676666226</v>
      </c>
      <c r="G15" s="635">
        <f>C15+E15</f>
        <v>159668.66357866229</v>
      </c>
      <c r="I15" s="635">
        <f>+' MF Recy Price Out Staff'!M65+'Drop Box Price Out Staff'!L94</f>
        <v>159668.66357866226</v>
      </c>
      <c r="J15" s="636">
        <f>I15/C15-1</f>
        <v>0.36096925410755154</v>
      </c>
      <c r="L15" s="635">
        <f>I15-G15</f>
        <v>0</v>
      </c>
      <c r="M15" s="637">
        <f>+L15/G15</f>
        <v>0</v>
      </c>
    </row>
    <row r="16" spans="2:13">
      <c r="C16" s="634"/>
      <c r="D16" s="634"/>
      <c r="E16" s="634"/>
    </row>
    <row r="17" spans="2:13">
      <c r="B17" t="s">
        <v>27</v>
      </c>
      <c r="C17" s="641">
        <f>SUM(C9:C16)</f>
        <v>5530608.1706841001</v>
      </c>
      <c r="D17" s="634"/>
      <c r="E17" s="641">
        <f>SUM(E9:E16)</f>
        <v>448875.42345878825</v>
      </c>
      <c r="G17" s="641">
        <f>SUM(G9:G16)</f>
        <v>5979483.5941428887</v>
      </c>
      <c r="I17" s="641">
        <f>SUM(I9:I16)</f>
        <v>5940645.4725592146</v>
      </c>
      <c r="J17" s="636"/>
      <c r="L17" s="641">
        <f>SUM(L9:L16)</f>
        <v>-38838.121583673172</v>
      </c>
      <c r="M17" s="637">
        <f>+L17/G17</f>
        <v>-6.4952300599530801E-3</v>
      </c>
    </row>
    <row r="18" spans="2:13">
      <c r="E18" s="635"/>
      <c r="I18" s="735">
        <f>+'Combined LG'!E5</f>
        <v>5959681.6434587883</v>
      </c>
      <c r="J18" s="744" t="s">
        <v>2489</v>
      </c>
    </row>
    <row r="19" spans="2:13">
      <c r="I19" s="1746">
        <f>I17-C17</f>
        <v>410037.30187511444</v>
      </c>
    </row>
    <row r="20" spans="2:13">
      <c r="I20" s="735">
        <f>+'Combined LG'!E6</f>
        <v>448875.42345878825</v>
      </c>
    </row>
    <row r="21" spans="2:13">
      <c r="I21" s="2135">
        <f>+I19-I20</f>
        <v>-38838.121583673812</v>
      </c>
    </row>
    <row r="22" spans="2:13">
      <c r="B22" t="s">
        <v>2487</v>
      </c>
    </row>
    <row r="23" spans="2:13" ht="22.5">
      <c r="C23" s="2122" t="s">
        <v>584</v>
      </c>
      <c r="D23" s="2122"/>
      <c r="E23" s="2122" t="s">
        <v>585</v>
      </c>
      <c r="F23" s="2122"/>
      <c r="G23" s="2122" t="s">
        <v>586</v>
      </c>
      <c r="H23" s="2122"/>
      <c r="I23" s="2122" t="s">
        <v>587</v>
      </c>
      <c r="J23" s="2122" t="s">
        <v>588</v>
      </c>
      <c r="K23" s="2122"/>
      <c r="L23" s="632"/>
      <c r="M23" s="744"/>
    </row>
    <row r="24" spans="2:13">
      <c r="B24" s="540" t="s">
        <v>589</v>
      </c>
      <c r="C24" s="2123">
        <v>2070144.9300000002</v>
      </c>
      <c r="D24" s="2122"/>
      <c r="E24" s="2123">
        <v>119356.0732785344</v>
      </c>
      <c r="F24" s="2122"/>
      <c r="G24" s="635">
        <v>2189501.0032785344</v>
      </c>
      <c r="H24" s="2122"/>
      <c r="I24" s="635">
        <v>2189791.855019914</v>
      </c>
      <c r="J24" s="2124">
        <v>5.7796400283874672E-2</v>
      </c>
      <c r="K24" s="2122"/>
      <c r="L24" s="635">
        <v>290.85174137959257</v>
      </c>
      <c r="M24" s="2125">
        <v>1.3283928207572155E-4</v>
      </c>
    </row>
    <row r="25" spans="2:13">
      <c r="B25" s="540" t="s">
        <v>590</v>
      </c>
      <c r="C25" s="2123">
        <v>937334.36702000012</v>
      </c>
      <c r="D25" s="2122"/>
      <c r="E25" s="2123">
        <v>54042.858437224393</v>
      </c>
      <c r="F25" s="2122"/>
      <c r="G25" s="635">
        <v>991377.22545722453</v>
      </c>
      <c r="H25" s="2122"/>
      <c r="I25" s="635">
        <v>966719.4107775595</v>
      </c>
      <c r="J25" s="2124">
        <v>3.1349585368326105E-2</v>
      </c>
      <c r="K25" s="2122"/>
      <c r="L25" s="635">
        <v>-24657.814679665025</v>
      </c>
      <c r="M25" s="2125">
        <v>-2.4872282766323191E-2</v>
      </c>
    </row>
    <row r="26" spans="2:13">
      <c r="B26" s="540" t="s">
        <v>591</v>
      </c>
      <c r="C26" s="2123">
        <v>226392.41</v>
      </c>
      <c r="D26" s="2123"/>
      <c r="E26" s="2123">
        <v>13052.858612012255</v>
      </c>
      <c r="G26" s="635">
        <v>239445.26861201227</v>
      </c>
      <c r="I26" s="635">
        <v>239507.42540010167</v>
      </c>
      <c r="J26" s="2124">
        <v>5.7930455354495702E-2</v>
      </c>
      <c r="L26" s="635">
        <v>62.156788089399925</v>
      </c>
      <c r="M26" s="2125">
        <v>2.595866205655387E-4</v>
      </c>
    </row>
    <row r="27" spans="2:13">
      <c r="B27" s="540" t="s">
        <v>43</v>
      </c>
      <c r="C27" s="2126">
        <v>151755.62598210003</v>
      </c>
      <c r="D27" s="2123"/>
      <c r="E27" s="2126">
        <v>0</v>
      </c>
      <c r="G27" s="639">
        <v>151755.62598210003</v>
      </c>
      <c r="I27" s="639">
        <v>151755.62598210003</v>
      </c>
      <c r="J27" s="2127">
        <v>0</v>
      </c>
      <c r="L27" s="639">
        <v>0</v>
      </c>
      <c r="M27" s="2125">
        <v>0</v>
      </c>
    </row>
    <row r="28" spans="2:13">
      <c r="B28" t="s">
        <v>592</v>
      </c>
      <c r="C28" s="2123">
        <v>3385627.3330021007</v>
      </c>
      <c r="D28" s="2123"/>
      <c r="E28" s="2123">
        <v>186451.79032777107</v>
      </c>
      <c r="G28" s="2123">
        <v>3572079.1233298713</v>
      </c>
      <c r="I28" s="2123">
        <v>3547774.3171796752</v>
      </c>
      <c r="J28" s="2124">
        <v>4.7892744306797574E-2</v>
      </c>
      <c r="L28" s="2123">
        <v>-24304.806150196033</v>
      </c>
      <c r="M28" s="2125">
        <v>-6.8041063232494228E-3</v>
      </c>
    </row>
    <row r="29" spans="2:13">
      <c r="C29" s="2123"/>
      <c r="D29" s="2123"/>
      <c r="E29" s="2123"/>
    </row>
    <row r="30" spans="2:13">
      <c r="B30" t="s">
        <v>15</v>
      </c>
      <c r="C30" s="2123">
        <v>1136362.08</v>
      </c>
      <c r="D30" s="2123"/>
      <c r="E30" s="2123">
        <v>96670.724032596816</v>
      </c>
      <c r="G30" s="635">
        <v>1233032.804032597</v>
      </c>
      <c r="I30" s="635">
        <v>1233055.56</v>
      </c>
      <c r="J30" s="2124">
        <v>8.5090378939782996E-2</v>
      </c>
      <c r="L30" s="635">
        <v>22.755967403063551</v>
      </c>
      <c r="M30" s="2125">
        <v>1.8455281423690302E-5</v>
      </c>
    </row>
    <row r="31" spans="2:13">
      <c r="C31" s="2123"/>
      <c r="D31" s="2123"/>
      <c r="E31" s="2123"/>
    </row>
    <row r="32" spans="2:13">
      <c r="B32" t="s">
        <v>593</v>
      </c>
      <c r="C32" s="2123">
        <v>892551.35999999987</v>
      </c>
      <c r="D32" s="2123"/>
      <c r="E32" s="2123">
        <v>137143.41667788531</v>
      </c>
      <c r="G32" s="635">
        <v>1029694.7766778852</v>
      </c>
      <c r="I32" s="635">
        <v>1015282.4181496187</v>
      </c>
      <c r="J32" s="2124">
        <v>0.13750587770054912</v>
      </c>
      <c r="L32" s="635">
        <v>-14412.358528266544</v>
      </c>
      <c r="M32" s="2125">
        <v>-1.3996728792550822E-2</v>
      </c>
    </row>
    <row r="33" spans="2:13">
      <c r="C33" s="2123"/>
      <c r="D33" s="2123"/>
      <c r="E33" s="2123"/>
    </row>
    <row r="34" spans="2:13">
      <c r="B34" t="s">
        <v>148</v>
      </c>
      <c r="C34" s="2123">
        <v>117319.81681200003</v>
      </c>
      <c r="D34" s="2123"/>
      <c r="E34" s="2123">
        <v>28931.378134891253</v>
      </c>
      <c r="G34" s="635">
        <v>146251.19494689128</v>
      </c>
      <c r="I34" s="635">
        <v>146251.19494689125</v>
      </c>
      <c r="J34" s="2124">
        <v>0.24660265350782562</v>
      </c>
      <c r="L34" s="635">
        <v>0</v>
      </c>
      <c r="M34" s="2125">
        <v>0</v>
      </c>
    </row>
    <row r="35" spans="2:13">
      <c r="C35" s="2123"/>
      <c r="D35" s="2123"/>
      <c r="E35" s="2123"/>
    </row>
    <row r="36" spans="2:13">
      <c r="B36" t="s">
        <v>27</v>
      </c>
      <c r="C36" s="2128">
        <v>5531860.5898141013</v>
      </c>
      <c r="D36" s="2123"/>
      <c r="E36" s="2128">
        <v>449197.30917314452</v>
      </c>
      <c r="G36" s="2128">
        <v>5981057.8989872448</v>
      </c>
      <c r="I36" s="2128">
        <v>5942363.4902761849</v>
      </c>
      <c r="J36" s="2124"/>
      <c r="L36" s="2128">
        <v>-38694.408711059514</v>
      </c>
      <c r="M36" s="2125">
        <v>-6.4694924149808894E-3</v>
      </c>
    </row>
    <row r="38" spans="2:13">
      <c r="I38" s="635">
        <v>410502.90046208352</v>
      </c>
    </row>
  </sheetData>
  <customSheetViews>
    <customSheetView guid="{3B54C4DD-9207-4EC3-9D58-6DDE29113D77}" showGridLines="0" showRuler="0">
      <selection activeCell="D21" sqref="D21"/>
      <pageMargins left="0.75" right="0.75" top="1" bottom="1" header="0.5" footer="0.5"/>
      <pageSetup orientation="landscape" r:id="rId1"/>
      <headerFooter alignWithMargins="0">
        <oddHeader>&amp;L&amp;12&amp;A</oddHeader>
      </headerFooter>
    </customSheetView>
    <customSheetView guid="{F69ABAD1-EF76-489D-B027-1BD1F4CFE8A6}" showGridLines="0">
      <selection activeCell="D21" sqref="D21"/>
      <pageMargins left="0.75" right="0.75" top="1" bottom="1" header="0.5" footer="0.5"/>
      <pageSetup orientation="landscape" r:id="rId2"/>
      <headerFooter alignWithMargins="0">
        <oddHeader>&amp;L&amp;12&amp;A</oddHeader>
      </headerFooter>
    </customSheetView>
  </customSheetViews>
  <phoneticPr fontId="0" type="noConversion"/>
  <pageMargins left="0.75" right="0.75" top="1" bottom="1" header="0.5" footer="0.5"/>
  <pageSetup orientation="landscape" r:id="rId3"/>
  <headerFooter alignWithMargins="0">
    <oddHeader>&amp;L&amp;12&amp;A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1"/>
  <sheetViews>
    <sheetView workbookViewId="0">
      <selection activeCell="B17" sqref="B17"/>
    </sheetView>
  </sheetViews>
  <sheetFormatPr defaultRowHeight="11.25"/>
  <cols>
    <col min="1" max="1" width="23.5" customWidth="1"/>
    <col min="2" max="2" width="9.33203125" customWidth="1"/>
    <col min="3" max="3" width="15.83203125" style="1034" customWidth="1"/>
    <col min="4" max="4" width="5.33203125" style="1034" customWidth="1"/>
    <col min="5" max="6" width="15.1640625" customWidth="1"/>
    <col min="7" max="7" width="13" bestFit="1" customWidth="1"/>
    <col min="8" max="8" width="11.5" bestFit="1" customWidth="1"/>
    <col min="9" max="9" width="15" customWidth="1"/>
  </cols>
  <sheetData>
    <row r="2" spans="1:13">
      <c r="C2" s="1684" t="s">
        <v>2155</v>
      </c>
      <c r="D2" s="1684"/>
      <c r="E2" s="1685" t="s">
        <v>18</v>
      </c>
      <c r="F2" s="1685" t="s">
        <v>15</v>
      </c>
      <c r="G2" s="1685" t="s">
        <v>16</v>
      </c>
      <c r="H2" s="1685" t="s">
        <v>148</v>
      </c>
      <c r="I2" s="1685" t="s">
        <v>2156</v>
      </c>
      <c r="J2" s="1685" t="s">
        <v>20</v>
      </c>
    </row>
    <row r="3" spans="1:13">
      <c r="A3" t="s">
        <v>217</v>
      </c>
      <c r="C3" s="775">
        <v>5945255.6213933295</v>
      </c>
      <c r="D3" s="775"/>
      <c r="E3" s="775">
        <v>3538654.4868386742</v>
      </c>
      <c r="F3" s="775">
        <v>1231805.4978020976</v>
      </c>
      <c r="G3" s="775">
        <v>1028883.0313292168</v>
      </c>
      <c r="H3" s="775">
        <v>145912.60542334089</v>
      </c>
      <c r="I3" s="1683">
        <f>SUM(E3:H3)</f>
        <v>5945255.6213933285</v>
      </c>
      <c r="J3" s="1034">
        <f>I3-C3</f>
        <v>0</v>
      </c>
      <c r="K3" s="1034"/>
      <c r="L3" s="1034"/>
      <c r="M3" s="1034"/>
    </row>
    <row r="4" spans="1:13">
      <c r="A4" t="s">
        <v>221</v>
      </c>
      <c r="C4" s="775">
        <v>434449.40139332943</v>
      </c>
      <c r="D4" s="775"/>
      <c r="E4" s="775">
        <v>174081.52365067418</v>
      </c>
      <c r="F4" s="775">
        <v>95443.41780209745</v>
      </c>
      <c r="G4" s="775">
        <v>136331.67132921694</v>
      </c>
      <c r="H4" s="775">
        <v>28592.788611340853</v>
      </c>
      <c r="I4" s="1683">
        <f>SUM(E4:H4)</f>
        <v>434449.40139332943</v>
      </c>
      <c r="J4" s="1034">
        <f>I4-C4</f>
        <v>0</v>
      </c>
      <c r="K4" s="1034"/>
      <c r="L4" s="1034"/>
      <c r="M4" s="1034"/>
    </row>
    <row r="5" spans="1:13">
      <c r="A5" t="s">
        <v>13</v>
      </c>
      <c r="B5" t="s">
        <v>225</v>
      </c>
      <c r="C5" s="775">
        <v>5510806.2199999997</v>
      </c>
      <c r="D5" s="775"/>
      <c r="E5" s="775">
        <v>3364572.963188</v>
      </c>
      <c r="F5" s="775">
        <v>1136362.08</v>
      </c>
      <c r="G5" s="775">
        <v>892551.35999999987</v>
      </c>
      <c r="H5" s="775">
        <v>117319.81681200003</v>
      </c>
      <c r="I5" s="1683">
        <f>SUM(E5:H5)</f>
        <v>5510806.2199999997</v>
      </c>
      <c r="J5" s="1034">
        <f>I5-C5</f>
        <v>0</v>
      </c>
      <c r="K5" s="1034"/>
      <c r="L5" s="1034"/>
      <c r="M5" s="1034"/>
    </row>
    <row r="6" spans="1:13">
      <c r="A6" t="s">
        <v>53</v>
      </c>
      <c r="B6" t="s">
        <v>225</v>
      </c>
      <c r="C6" s="775">
        <v>5470996.3581775501</v>
      </c>
      <c r="D6" s="775"/>
      <c r="E6" s="775">
        <v>3279582.6386488178</v>
      </c>
      <c r="F6" s="775">
        <v>1117443.2570971656</v>
      </c>
      <c r="G6" s="775">
        <v>935456.71184859413</v>
      </c>
      <c r="H6" s="775">
        <v>138513.75058297283</v>
      </c>
      <c r="I6" s="1683">
        <f>SUM(E6:H6)</f>
        <v>5470996.3581775501</v>
      </c>
      <c r="J6" s="1034">
        <f>I6-C6</f>
        <v>0</v>
      </c>
      <c r="K6" s="1034"/>
      <c r="L6" s="1034"/>
      <c r="M6" s="1034"/>
    </row>
    <row r="7" spans="1:13">
      <c r="A7" t="s">
        <v>231</v>
      </c>
      <c r="C7" s="775">
        <v>1973018.7083094008</v>
      </c>
      <c r="D7" s="775"/>
      <c r="E7" s="775">
        <v>1024811.5498838058</v>
      </c>
      <c r="F7" s="775">
        <v>518356.11273705174</v>
      </c>
      <c r="G7" s="775">
        <v>408431.60007676564</v>
      </c>
      <c r="H7" s="775">
        <v>21419.445611777781</v>
      </c>
      <c r="I7" s="1683">
        <f>SUM(E7:H7)</f>
        <v>1973018.7083094008</v>
      </c>
      <c r="J7" s="1034">
        <f>I7-C7</f>
        <v>0</v>
      </c>
      <c r="K7" s="1034"/>
      <c r="L7" s="1034"/>
      <c r="M7" s="1034"/>
    </row>
    <row r="8" spans="1:13">
      <c r="A8" t="s">
        <v>232</v>
      </c>
      <c r="C8" s="775">
        <v>346.61330979379204</v>
      </c>
      <c r="D8" s="775"/>
      <c r="E8" s="775">
        <v>400.02264794691519</v>
      </c>
      <c r="F8" s="775">
        <v>269.46804273146842</v>
      </c>
      <c r="G8" s="775">
        <v>286.29540162684918</v>
      </c>
      <c r="H8" s="775">
        <v>808.34112780916882</v>
      </c>
      <c r="I8" s="1686"/>
      <c r="J8" s="1034"/>
      <c r="K8" s="1034"/>
      <c r="L8" s="1034"/>
      <c r="M8" s="1034"/>
    </row>
    <row r="9" spans="1:13">
      <c r="A9" t="s">
        <v>236</v>
      </c>
      <c r="C9" s="775">
        <v>300.95852487318797</v>
      </c>
      <c r="D9" s="775"/>
      <c r="E9" s="775">
        <v>344.9174631570823</v>
      </c>
      <c r="F9" s="775">
        <v>237.21568431156027</v>
      </c>
      <c r="G9" s="775">
        <v>251.14976407486668</v>
      </c>
      <c r="H9" s="775">
        <v>678.30420372836738</v>
      </c>
      <c r="I9" s="1686"/>
      <c r="J9" s="1034"/>
      <c r="K9" s="1034"/>
      <c r="L9" s="1034"/>
      <c r="M9" s="1034"/>
    </row>
    <row r="10" spans="1:13">
      <c r="A10" t="s">
        <v>237</v>
      </c>
      <c r="C10" s="1034">
        <v>3</v>
      </c>
      <c r="E10" s="1034">
        <v>3</v>
      </c>
      <c r="F10" s="1034">
        <v>3</v>
      </c>
      <c r="G10" s="1034">
        <v>3</v>
      </c>
      <c r="H10" s="1034">
        <v>4</v>
      </c>
      <c r="I10" s="1687"/>
      <c r="J10" s="1034"/>
      <c r="K10" s="1034"/>
      <c r="L10" s="1034"/>
      <c r="M10" s="1034"/>
    </row>
    <row r="11" spans="1:13">
      <c r="E11" s="1034"/>
      <c r="F11" s="1034"/>
      <c r="G11" s="1034"/>
      <c r="H11" s="1034"/>
      <c r="I11" s="1034"/>
      <c r="J11" s="1034"/>
      <c r="K11" s="1034"/>
      <c r="L11" s="1034"/>
      <c r="M11" s="1034"/>
    </row>
    <row r="12" spans="1:13">
      <c r="A12" t="s">
        <v>238</v>
      </c>
      <c r="E12" s="1034"/>
      <c r="F12" s="1034"/>
      <c r="G12" s="1034"/>
      <c r="H12" s="1034"/>
      <c r="I12" s="1034"/>
      <c r="J12" s="1034"/>
      <c r="K12" s="1034"/>
      <c r="L12" s="1034"/>
      <c r="M12" s="1034"/>
    </row>
    <row r="13" spans="1:13">
      <c r="A13" t="s">
        <v>239</v>
      </c>
      <c r="C13" s="1034" t="s">
        <v>216</v>
      </c>
      <c r="E13" s="1034" t="s">
        <v>216</v>
      </c>
      <c r="F13" s="1034" t="s">
        <v>216</v>
      </c>
      <c r="G13" s="1034" t="s">
        <v>216</v>
      </c>
      <c r="H13" s="1034" t="s">
        <v>216</v>
      </c>
      <c r="I13" s="1034"/>
      <c r="J13" s="1034"/>
      <c r="K13" s="1034"/>
      <c r="L13" s="1034"/>
      <c r="M13" s="1034"/>
    </row>
    <row r="14" spans="1:13">
      <c r="A14" t="s">
        <v>225</v>
      </c>
      <c r="B14" t="s">
        <v>225</v>
      </c>
      <c r="E14" s="1034"/>
      <c r="F14" s="1034"/>
      <c r="G14" s="1034"/>
      <c r="H14" s="1034"/>
      <c r="I14" s="1034"/>
      <c r="J14" s="1034"/>
      <c r="K14" s="1034"/>
      <c r="L14" s="1034"/>
      <c r="M14" s="1034"/>
    </row>
    <row r="15" spans="1:13">
      <c r="A15" t="s">
        <v>243</v>
      </c>
      <c r="C15" s="1034">
        <v>0.47034420824062401</v>
      </c>
      <c r="E15" s="1034">
        <v>0.47034420824062401</v>
      </c>
      <c r="F15" s="1034">
        <v>0.47034420824062401</v>
      </c>
      <c r="G15" s="1034">
        <v>0.47034420824062401</v>
      </c>
      <c r="H15" s="1034">
        <v>0.47034420824062401</v>
      </c>
      <c r="I15" s="1682" t="s">
        <v>2157</v>
      </c>
      <c r="J15" s="1034"/>
      <c r="K15" s="1034"/>
      <c r="L15" s="1034"/>
      <c r="M15" s="1034"/>
    </row>
    <row r="16" spans="1:13">
      <c r="A16" t="s">
        <v>245</v>
      </c>
      <c r="C16" s="1034">
        <v>0.52965579175937605</v>
      </c>
      <c r="E16" s="1034">
        <v>0.52965579175937605</v>
      </c>
      <c r="F16" s="1034">
        <v>0.52965579175937605</v>
      </c>
      <c r="G16" s="1034">
        <v>0.52965579175937605</v>
      </c>
      <c r="H16" s="1034">
        <v>0.52965579175937605</v>
      </c>
      <c r="I16" s="1682" t="s">
        <v>2157</v>
      </c>
      <c r="J16" s="1034"/>
      <c r="K16" s="1034"/>
      <c r="L16" s="1034"/>
      <c r="M16" s="1034"/>
    </row>
    <row r="17" spans="1:13">
      <c r="A17" t="s">
        <v>247</v>
      </c>
      <c r="C17" s="1034">
        <v>5.129593479716732E-2</v>
      </c>
      <c r="E17" s="1034">
        <v>5.129593479716732E-2</v>
      </c>
      <c r="F17" s="1034">
        <v>5.129593479716732E-2</v>
      </c>
      <c r="G17" s="1034">
        <v>5.129593479716732E-2</v>
      </c>
      <c r="H17" s="1034">
        <v>5.129593479716732E-2</v>
      </c>
      <c r="I17" s="1682" t="s">
        <v>2157</v>
      </c>
      <c r="J17" s="1034"/>
      <c r="K17" s="1034"/>
      <c r="L17" s="1034"/>
      <c r="M17" s="1034"/>
    </row>
    <row r="18" spans="1:13">
      <c r="C18" s="1034">
        <v>0.25</v>
      </c>
      <c r="E18" s="1034">
        <v>0.25</v>
      </c>
      <c r="F18" s="1034">
        <v>0.25</v>
      </c>
      <c r="G18" s="1034">
        <v>0.25</v>
      </c>
      <c r="H18" s="1034">
        <v>0.25</v>
      </c>
      <c r="I18" s="1682" t="s">
        <v>2157</v>
      </c>
      <c r="J18" s="1034"/>
      <c r="K18" s="1034"/>
      <c r="L18" s="1034"/>
      <c r="M18" s="1034"/>
    </row>
    <row r="19" spans="1:13">
      <c r="A19" t="s">
        <v>250</v>
      </c>
      <c r="C19" s="1034">
        <v>0.308</v>
      </c>
      <c r="E19" s="1034">
        <v>0.308</v>
      </c>
      <c r="F19" s="1034">
        <v>0.308</v>
      </c>
      <c r="G19" s="1034">
        <v>0.308</v>
      </c>
      <c r="H19" s="1034">
        <v>0.308</v>
      </c>
      <c r="I19" s="1682" t="s">
        <v>2157</v>
      </c>
      <c r="J19" s="1034"/>
      <c r="K19" s="1034"/>
      <c r="L19" s="1034"/>
      <c r="M19" s="1034"/>
    </row>
    <row r="20" spans="1:13">
      <c r="E20" s="1034"/>
      <c r="F20" s="1034"/>
      <c r="G20" s="1034"/>
      <c r="H20" s="1034"/>
      <c r="I20" s="1034"/>
      <c r="J20" s="1034"/>
      <c r="K20" s="1034"/>
      <c r="L20" s="1034"/>
      <c r="M20" s="1034"/>
    </row>
    <row r="21" spans="1:13">
      <c r="E21" s="1034"/>
      <c r="F21" s="1034"/>
      <c r="G21" s="1034"/>
      <c r="H21" s="1034"/>
      <c r="I21" s="1034"/>
      <c r="J21" s="1034"/>
      <c r="K21" s="1034"/>
      <c r="L21" s="1034"/>
      <c r="M21" s="103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autoPageBreaks="0" fitToPage="1"/>
  </sheetPr>
  <dimension ref="A1:O91"/>
  <sheetViews>
    <sheetView showGridLines="0" topLeftCell="A30" zoomScaleNormal="100" workbookViewId="0">
      <selection activeCell="I81" sqref="I81"/>
    </sheetView>
  </sheetViews>
  <sheetFormatPr defaultColWidth="12" defaultRowHeight="12"/>
  <cols>
    <col min="1" max="1" width="34.33203125" style="185" customWidth="1"/>
    <col min="2" max="2" width="19.1640625" style="183" customWidth="1"/>
    <col min="3" max="3" width="14.83203125" style="183" customWidth="1"/>
    <col min="4" max="4" width="12.33203125" style="184" bestFit="1" customWidth="1"/>
    <col min="5" max="5" width="20.83203125" style="183" customWidth="1"/>
    <col min="6" max="6" width="20.6640625" style="183" customWidth="1"/>
    <col min="7" max="7" width="17.1640625" style="183" customWidth="1"/>
    <col min="8" max="8" width="17.6640625" style="185" customWidth="1"/>
    <col min="9" max="10" width="16.1640625" style="185" customWidth="1"/>
    <col min="11" max="11" width="12.83203125" style="185" bestFit="1" customWidth="1"/>
    <col min="12" max="16384" width="12" style="185"/>
  </cols>
  <sheetData>
    <row r="1" spans="1:15">
      <c r="A1" s="185" t="s">
        <v>2326</v>
      </c>
      <c r="O1" s="200"/>
    </row>
    <row r="2" spans="1:15">
      <c r="F2" s="509" t="s">
        <v>498</v>
      </c>
      <c r="G2" s="1782">
        <f>'LG Garbage'!E6</f>
        <v>164972.68273437498</v>
      </c>
      <c r="I2" s="183" t="s">
        <v>505</v>
      </c>
      <c r="O2" s="200"/>
    </row>
    <row r="3" spans="1:15">
      <c r="F3" s="509" t="s">
        <v>501</v>
      </c>
      <c r="G3" s="1782">
        <f>Proforma!Q20-Proforma!Q12</f>
        <v>3214069.7563359002</v>
      </c>
      <c r="I3" s="1782">
        <f>F46-I65-I76+'Comm Price Out'!F148-'MF Recy Price Out'!M65+'Drop Box Price Out'!F95</f>
        <v>3373043.1297221244</v>
      </c>
      <c r="J3" s="200">
        <f>+E46-H65-H76+'Comm Price Out'!E148-'MF Recy Price Out'!L65+'Drop Box Price Out'!E94</f>
        <v>3226007.897020001</v>
      </c>
      <c r="O3" s="200"/>
    </row>
    <row r="4" spans="1:15">
      <c r="F4" s="509" t="s">
        <v>499</v>
      </c>
      <c r="G4" s="1783">
        <f>+G2+G3</f>
        <v>3379042.4390702751</v>
      </c>
      <c r="I4" s="1784"/>
      <c r="J4" s="1784">
        <f>+I3/J3-1</f>
        <v>4.5578075874503021E-2</v>
      </c>
      <c r="M4" s="200"/>
      <c r="N4" s="200"/>
      <c r="O4" s="200"/>
    </row>
    <row r="5" spans="1:15">
      <c r="F5" s="509" t="s">
        <v>500</v>
      </c>
      <c r="G5" s="1785">
        <f>+G2/G3+0.005</f>
        <v>5.6328283217613462E-2</v>
      </c>
      <c r="H5" s="1784"/>
      <c r="I5" s="543"/>
      <c r="J5" s="543"/>
    </row>
    <row r="6" spans="1:15">
      <c r="F6" s="509"/>
      <c r="G6" s="1785"/>
      <c r="H6" s="1784"/>
    </row>
    <row r="7" spans="1:15">
      <c r="F7" s="509"/>
      <c r="G7" s="1786"/>
      <c r="I7" s="1786"/>
    </row>
    <row r="8" spans="1:15">
      <c r="F8" s="509"/>
      <c r="G8" s="1785"/>
      <c r="H8" s="1784"/>
      <c r="I8" s="1784"/>
    </row>
    <row r="9" spans="1:15">
      <c r="G9" s="1787"/>
    </row>
    <row r="10" spans="1:15">
      <c r="A10" s="1253" t="s">
        <v>1581</v>
      </c>
      <c r="E10" s="183" t="s">
        <v>42</v>
      </c>
      <c r="F10" s="183" t="s">
        <v>42</v>
      </c>
      <c r="G10" s="2081" t="s">
        <v>1709</v>
      </c>
      <c r="H10" s="183" t="s">
        <v>26</v>
      </c>
      <c r="I10" s="183" t="s">
        <v>26</v>
      </c>
      <c r="K10" s="2081" t="s">
        <v>2467</v>
      </c>
    </row>
    <row r="11" spans="1:15">
      <c r="A11" s="185" t="s">
        <v>292</v>
      </c>
      <c r="B11" s="186" t="s">
        <v>293</v>
      </c>
      <c r="D11" s="184" t="s">
        <v>41</v>
      </c>
      <c r="E11" s="183" t="s">
        <v>41</v>
      </c>
      <c r="F11" s="187" t="s">
        <v>39</v>
      </c>
      <c r="G11" s="2084" t="s">
        <v>39</v>
      </c>
      <c r="H11" s="183" t="s">
        <v>41</v>
      </c>
      <c r="I11" s="187" t="s">
        <v>39</v>
      </c>
      <c r="J11" s="185" t="s">
        <v>515</v>
      </c>
      <c r="K11" s="2081" t="s">
        <v>39</v>
      </c>
    </row>
    <row r="12" spans="1:15">
      <c r="A12" s="188"/>
      <c r="B12" s="189" t="s">
        <v>48</v>
      </c>
      <c r="C12" s="189" t="s">
        <v>56</v>
      </c>
      <c r="D12" s="190" t="s">
        <v>55</v>
      </c>
      <c r="E12" s="191" t="s">
        <v>13</v>
      </c>
      <c r="F12" s="191" t="s">
        <v>13</v>
      </c>
      <c r="G12" s="2085" t="s">
        <v>55</v>
      </c>
      <c r="H12" s="191" t="s">
        <v>13</v>
      </c>
      <c r="I12" s="191" t="s">
        <v>13</v>
      </c>
      <c r="J12" s="185" t="s">
        <v>516</v>
      </c>
      <c r="K12" s="2081" t="s">
        <v>2468</v>
      </c>
    </row>
    <row r="13" spans="1:15">
      <c r="A13" s="188"/>
      <c r="B13" s="192"/>
      <c r="C13" s="192"/>
      <c r="D13" s="193"/>
      <c r="E13" s="186"/>
      <c r="F13" s="186"/>
      <c r="G13" s="2086"/>
      <c r="H13" s="186"/>
      <c r="I13" s="186"/>
      <c r="K13" s="2082"/>
    </row>
    <row r="14" spans="1:15">
      <c r="A14" s="194" t="s">
        <v>278</v>
      </c>
      <c r="B14" s="187"/>
      <c r="C14" s="187"/>
      <c r="D14" s="195"/>
      <c r="G14" s="2081"/>
      <c r="K14" s="2082"/>
    </row>
    <row r="15" spans="1:15">
      <c r="A15" s="196" t="s">
        <v>58</v>
      </c>
      <c r="B15" s="1788">
        <f>'[15]ES TONS'!$R$483</f>
        <v>865.5</v>
      </c>
      <c r="C15" s="197">
        <f>B15*4.3333</f>
        <v>3750.4711500000003</v>
      </c>
      <c r="D15" s="1789">
        <v>7.25</v>
      </c>
      <c r="E15" s="199">
        <f t="shared" ref="E15:E40" si="0">D15*B15</f>
        <v>6274.875</v>
      </c>
      <c r="F15" s="199">
        <f>G15*B15</f>
        <v>6628.3279361551222</v>
      </c>
      <c r="G15" s="2087">
        <f>D15*(1+$G$5)</f>
        <v>7.658380053327698</v>
      </c>
      <c r="H15" s="200">
        <f t="shared" ref="H15:I30" si="1">E15*12</f>
        <v>75298.5</v>
      </c>
      <c r="I15" s="1790">
        <f>F15*12</f>
        <v>79539.93523386147</v>
      </c>
      <c r="J15" s="1784">
        <f t="shared" ref="J15:J40" si="2">+G15/D15-1</f>
        <v>5.6328283217613517E-2</v>
      </c>
      <c r="K15" s="2083">
        <v>7.6707445796006386</v>
      </c>
    </row>
    <row r="16" spans="1:15">
      <c r="A16" s="196" t="s">
        <v>59</v>
      </c>
      <c r="B16" s="1788">
        <f>'[15]ES TONS'!$R$484</f>
        <v>4500.916666666667</v>
      </c>
      <c r="C16" s="197">
        <f>B16*4.3333</f>
        <v>19503.82219166667</v>
      </c>
      <c r="D16" s="1789">
        <v>11.61</v>
      </c>
      <c r="E16" s="199">
        <f t="shared" si="0"/>
        <v>52255.642500000002</v>
      </c>
      <c r="F16" s="199">
        <f t="shared" ref="F16:F40" si="3">G16*B16</f>
        <v>55199.113130458361</v>
      </c>
      <c r="G16" s="2087">
        <f>D16*(1+$G$5)</f>
        <v>12.263971368156492</v>
      </c>
      <c r="H16" s="200">
        <f t="shared" si="1"/>
        <v>627067.71</v>
      </c>
      <c r="I16" s="1790">
        <f t="shared" si="1"/>
        <v>662389.35756550031</v>
      </c>
      <c r="J16" s="1784">
        <f t="shared" si="2"/>
        <v>5.6328283217613517E-2</v>
      </c>
      <c r="K16" s="2083">
        <v>12.283771664712194</v>
      </c>
      <c r="L16" s="1027"/>
      <c r="M16" s="1784"/>
    </row>
    <row r="17" spans="1:13">
      <c r="A17" s="196" t="s">
        <v>60</v>
      </c>
      <c r="B17" s="1788">
        <f>'[15]ES TONS'!$R$485</f>
        <v>218.66666666666666</v>
      </c>
      <c r="C17" s="197">
        <f>B17*4.3333*2</f>
        <v>1895.0965333333334</v>
      </c>
      <c r="D17" s="1789">
        <v>19.87</v>
      </c>
      <c r="E17" s="199">
        <f t="shared" si="0"/>
        <v>4344.9066666666668</v>
      </c>
      <c r="F17" s="199">
        <f t="shared" si="3"/>
        <v>4589.6477999407634</v>
      </c>
      <c r="G17" s="2087">
        <f t="shared" ref="G17:G37" si="4">D17*(1+$G$5)</f>
        <v>20.989242987533981</v>
      </c>
      <c r="H17" s="200">
        <f t="shared" si="1"/>
        <v>52138.880000000005</v>
      </c>
      <c r="I17" s="1790">
        <f t="shared" si="1"/>
        <v>55075.773599289161</v>
      </c>
      <c r="J17" s="1784">
        <f t="shared" si="2"/>
        <v>5.6328283217613517E-2</v>
      </c>
      <c r="K17" s="2083">
        <v>21.023130316781337</v>
      </c>
    </row>
    <row r="18" spans="1:13">
      <c r="A18" s="196" t="s">
        <v>61</v>
      </c>
      <c r="B18" s="1788">
        <f>'[15]ES TONS'!$R$486</f>
        <v>9.8333333333333339</v>
      </c>
      <c r="C18" s="197">
        <f>B18*4.3333*3</f>
        <v>127.83235000000002</v>
      </c>
      <c r="D18" s="1789">
        <v>29.03</v>
      </c>
      <c r="E18" s="199">
        <f t="shared" si="0"/>
        <v>285.4616666666667</v>
      </c>
      <c r="F18" s="199">
        <f t="shared" si="3"/>
        <v>301.5412322744387</v>
      </c>
      <c r="G18" s="2087">
        <f t="shared" si="4"/>
        <v>30.665210061807322</v>
      </c>
      <c r="H18" s="200">
        <f t="shared" si="1"/>
        <v>3425.5400000000004</v>
      </c>
      <c r="I18" s="1790">
        <f t="shared" si="1"/>
        <v>3618.4947872932644</v>
      </c>
      <c r="J18" s="1784">
        <f t="shared" si="2"/>
        <v>5.6328283217613517E-2</v>
      </c>
      <c r="K18" s="2083">
        <v>30.714719330456074</v>
      </c>
    </row>
    <row r="19" spans="1:13">
      <c r="A19" s="196" t="s">
        <v>62</v>
      </c>
      <c r="B19" s="1788">
        <f>'[15]ES TONS'!$R$487</f>
        <v>1</v>
      </c>
      <c r="C19" s="197">
        <f>+B19*4.33*4</f>
        <v>17.32</v>
      </c>
      <c r="D19" s="1789">
        <v>39.1</v>
      </c>
      <c r="E19" s="199">
        <f t="shared" si="0"/>
        <v>39.1</v>
      </c>
      <c r="F19" s="199">
        <f t="shared" si="3"/>
        <v>41.30243587380869</v>
      </c>
      <c r="G19" s="2087">
        <f t="shared" si="4"/>
        <v>41.30243587380869</v>
      </c>
      <c r="H19" s="200">
        <f t="shared" si="1"/>
        <v>469.20000000000005</v>
      </c>
      <c r="I19" s="1790">
        <f t="shared" si="1"/>
        <v>495.62923048570428</v>
      </c>
      <c r="J19" s="1784">
        <f t="shared" si="2"/>
        <v>5.6328283217613517E-2</v>
      </c>
      <c r="K19" s="2083">
        <v>41.369119043087586</v>
      </c>
    </row>
    <row r="20" spans="1:13">
      <c r="A20" s="196" t="s">
        <v>63</v>
      </c>
      <c r="B20" s="1788">
        <f>+'[12]ES TONS'!$O$488</f>
        <v>0</v>
      </c>
      <c r="C20" s="197">
        <f>B20*4.3333*5</f>
        <v>0</v>
      </c>
      <c r="D20" s="1791">
        <v>49.45</v>
      </c>
      <c r="E20" s="199">
        <f>D20*B20</f>
        <v>0</v>
      </c>
      <c r="F20" s="199">
        <f>G20*B20</f>
        <v>0</v>
      </c>
      <c r="G20" s="2087">
        <f t="shared" si="4"/>
        <v>52.235433605110991</v>
      </c>
      <c r="H20" s="200">
        <f t="shared" si="1"/>
        <v>0</v>
      </c>
      <c r="I20" s="1790">
        <f t="shared" si="1"/>
        <v>0</v>
      </c>
      <c r="J20" s="1784">
        <f t="shared" si="2"/>
        <v>5.6328283217613517E-2</v>
      </c>
      <c r="K20" s="2083">
        <v>52.319768201551945</v>
      </c>
    </row>
    <row r="21" spans="1:13">
      <c r="A21" s="196" t="s">
        <v>560</v>
      </c>
      <c r="B21" s="1788">
        <v>0</v>
      </c>
      <c r="C21" s="197">
        <f>B21*4.3333*6</f>
        <v>0</v>
      </c>
      <c r="D21" s="1791">
        <v>0</v>
      </c>
      <c r="E21" s="199">
        <f>D21*B21</f>
        <v>0</v>
      </c>
      <c r="F21" s="199">
        <f t="shared" si="3"/>
        <v>0</v>
      </c>
      <c r="G21" s="2087">
        <f t="shared" si="4"/>
        <v>0</v>
      </c>
      <c r="H21" s="200">
        <f t="shared" si="1"/>
        <v>0</v>
      </c>
      <c r="I21" s="1790">
        <f t="shared" si="1"/>
        <v>0</v>
      </c>
      <c r="J21" s="1784" t="e">
        <f t="shared" si="2"/>
        <v>#DIV/0!</v>
      </c>
      <c r="K21" s="2083">
        <v>0</v>
      </c>
    </row>
    <row r="22" spans="1:13">
      <c r="A22" s="196" t="s">
        <v>1017</v>
      </c>
      <c r="B22" s="1788">
        <v>0</v>
      </c>
      <c r="C22" s="197">
        <f>B22*4.3333/2</f>
        <v>0</v>
      </c>
      <c r="D22" s="1791">
        <v>0</v>
      </c>
      <c r="E22" s="199">
        <f>D22*B22</f>
        <v>0</v>
      </c>
      <c r="F22" s="199">
        <f>G22*B22</f>
        <v>0</v>
      </c>
      <c r="G22" s="2087">
        <f t="shared" si="4"/>
        <v>0</v>
      </c>
      <c r="H22" s="200">
        <f t="shared" si="1"/>
        <v>0</v>
      </c>
      <c r="I22" s="1790">
        <f>F22*12</f>
        <v>0</v>
      </c>
      <c r="J22" s="1784" t="e">
        <f t="shared" si="2"/>
        <v>#DIV/0!</v>
      </c>
      <c r="K22" s="2083">
        <v>0</v>
      </c>
    </row>
    <row r="23" spans="1:13">
      <c r="A23" s="196" t="s">
        <v>1018</v>
      </c>
      <c r="B23" s="1788">
        <v>0</v>
      </c>
      <c r="C23" s="197">
        <f>B23*4.3333/2*2</f>
        <v>0</v>
      </c>
      <c r="D23" s="1791">
        <v>0</v>
      </c>
      <c r="E23" s="199">
        <f>D23*B23</f>
        <v>0</v>
      </c>
      <c r="F23" s="199">
        <f>G23*B23</f>
        <v>0</v>
      </c>
      <c r="G23" s="2087">
        <f t="shared" si="4"/>
        <v>0</v>
      </c>
      <c r="H23" s="200">
        <f>E23*12</f>
        <v>0</v>
      </c>
      <c r="I23" s="1790">
        <f>F23*12</f>
        <v>0</v>
      </c>
      <c r="J23" s="1784" t="e">
        <f t="shared" si="2"/>
        <v>#DIV/0!</v>
      </c>
      <c r="K23" s="2083">
        <v>0</v>
      </c>
    </row>
    <row r="24" spans="1:13">
      <c r="A24" s="196" t="s">
        <v>1019</v>
      </c>
      <c r="B24" s="1788">
        <v>0</v>
      </c>
      <c r="C24" s="197">
        <f>B24*4.3333/2*4</f>
        <v>0</v>
      </c>
      <c r="D24" s="1791">
        <v>0</v>
      </c>
      <c r="E24" s="199">
        <f>D24*B24</f>
        <v>0</v>
      </c>
      <c r="F24" s="199">
        <f>G24*B24</f>
        <v>0</v>
      </c>
      <c r="G24" s="2087">
        <f t="shared" si="4"/>
        <v>0</v>
      </c>
      <c r="H24" s="200">
        <f t="shared" si="1"/>
        <v>0</v>
      </c>
      <c r="I24" s="1790">
        <f>F24*12</f>
        <v>0</v>
      </c>
      <c r="J24" s="1784" t="e">
        <f t="shared" si="2"/>
        <v>#DIV/0!</v>
      </c>
      <c r="K24" s="2083">
        <v>0</v>
      </c>
    </row>
    <row r="25" spans="1:13">
      <c r="A25" s="196" t="s">
        <v>64</v>
      </c>
      <c r="B25" s="1788">
        <f>'[15]ES TONS'!$R$482</f>
        <v>126.91666666666667</v>
      </c>
      <c r="C25" s="197">
        <f>B25</f>
        <v>126.91666666666667</v>
      </c>
      <c r="D25" s="1791">
        <v>4.26</v>
      </c>
      <c r="E25" s="199">
        <f t="shared" si="0"/>
        <v>540.66499999999996</v>
      </c>
      <c r="F25" s="199">
        <f t="shared" si="3"/>
        <v>571.11973124585097</v>
      </c>
      <c r="G25" s="2087">
        <f t="shared" si="4"/>
        <v>4.4999584865070332</v>
      </c>
      <c r="H25" s="200">
        <f t="shared" si="1"/>
        <v>6487.98</v>
      </c>
      <c r="I25" s="1790">
        <f t="shared" si="1"/>
        <v>6853.4367749502117</v>
      </c>
      <c r="J25" s="1784">
        <f t="shared" si="2"/>
        <v>5.6328283217613517E-2</v>
      </c>
      <c r="K25" s="2083">
        <v>4.5072237115998233</v>
      </c>
    </row>
    <row r="26" spans="1:13">
      <c r="A26" s="196" t="s">
        <v>283</v>
      </c>
      <c r="B26" s="1788">
        <f>'[15]ES TONS'!$R$489</f>
        <v>374.66666666666669</v>
      </c>
      <c r="C26" s="197">
        <f>B26*4.3333</f>
        <v>1623.5430666666668</v>
      </c>
      <c r="D26" s="1791">
        <v>11.61</v>
      </c>
      <c r="E26" s="199">
        <f t="shared" si="0"/>
        <v>4349.88</v>
      </c>
      <c r="F26" s="199">
        <f>G26*B26</f>
        <v>4594.9012726026322</v>
      </c>
      <c r="G26" s="2087">
        <f t="shared" si="4"/>
        <v>12.263971368156492</v>
      </c>
      <c r="H26" s="200">
        <f t="shared" si="1"/>
        <v>52198.559999999998</v>
      </c>
      <c r="I26" s="1790">
        <f t="shared" si="1"/>
        <v>55138.815271231586</v>
      </c>
      <c r="J26" s="1784">
        <f t="shared" si="2"/>
        <v>5.6328283217613517E-2</v>
      </c>
      <c r="K26" s="2083">
        <v>12.283771664712194</v>
      </c>
      <c r="L26" s="1027"/>
      <c r="M26" s="1784"/>
    </row>
    <row r="27" spans="1:13">
      <c r="A27" s="196" t="s">
        <v>65</v>
      </c>
      <c r="B27" s="1788">
        <f>'[15]ES TONS'!$R$491</f>
        <v>3111.6666666666665</v>
      </c>
      <c r="C27" s="197">
        <f>B27*4.3333</f>
        <v>13483.785166666667</v>
      </c>
      <c r="D27" s="1791">
        <v>19.87</v>
      </c>
      <c r="E27" s="199">
        <f t="shared" si="0"/>
        <v>61828.816666666666</v>
      </c>
      <c r="F27" s="199">
        <f t="shared" si="3"/>
        <v>65311.527762876569</v>
      </c>
      <c r="G27" s="2087">
        <f t="shared" si="4"/>
        <v>20.989242987533981</v>
      </c>
      <c r="H27" s="200">
        <f t="shared" si="1"/>
        <v>741945.8</v>
      </c>
      <c r="I27" s="1790">
        <f t="shared" si="1"/>
        <v>783738.33315451886</v>
      </c>
      <c r="J27" s="1784">
        <f t="shared" si="2"/>
        <v>5.6328283217613517E-2</v>
      </c>
      <c r="K27" s="2083">
        <v>21.023130316781337</v>
      </c>
      <c r="L27" s="1027"/>
      <c r="M27" s="1784"/>
    </row>
    <row r="28" spans="1:13">
      <c r="A28" s="196" t="s">
        <v>66</v>
      </c>
      <c r="B28" s="1788">
        <f>'[15]ES TONS'!$R$492</f>
        <v>1176.5</v>
      </c>
      <c r="C28" s="197">
        <f>B28*4.3333</f>
        <v>5098.1274500000009</v>
      </c>
      <c r="D28" s="1791">
        <v>29.03</v>
      </c>
      <c r="E28" s="199">
        <f t="shared" si="0"/>
        <v>34153.794999999998</v>
      </c>
      <c r="F28" s="199">
        <f>G28*B28</f>
        <v>36077.619637716314</v>
      </c>
      <c r="G28" s="2087">
        <f t="shared" si="4"/>
        <v>30.665210061807322</v>
      </c>
      <c r="H28" s="200">
        <f t="shared" si="1"/>
        <v>409845.54</v>
      </c>
      <c r="I28" s="1790">
        <f t="shared" si="1"/>
        <v>432931.43565259577</v>
      </c>
      <c r="J28" s="1784">
        <f t="shared" si="2"/>
        <v>5.6328283217613517E-2</v>
      </c>
      <c r="K28" s="2083">
        <v>30.714719330456074</v>
      </c>
      <c r="L28" s="1027"/>
      <c r="M28" s="1784"/>
    </row>
    <row r="29" spans="1:13">
      <c r="A29" s="718" t="s">
        <v>1588</v>
      </c>
      <c r="B29" s="1788">
        <f>'[15]ES TONS'!$R$496-B30</f>
        <v>4698.25</v>
      </c>
      <c r="C29" s="620">
        <f>B29*4.333/2</f>
        <v>10178.758625</v>
      </c>
      <c r="D29" s="1791">
        <v>8</v>
      </c>
      <c r="E29" s="719">
        <f t="shared" si="0"/>
        <v>37586</v>
      </c>
      <c r="F29" s="719">
        <f t="shared" si="3"/>
        <v>43466.291455688639</v>
      </c>
      <c r="G29" s="2087">
        <f>D29*(1+'LG Yardwaste'!$H$6)</f>
        <v>9.2515918598815805</v>
      </c>
      <c r="H29" s="200">
        <f t="shared" si="1"/>
        <v>451032</v>
      </c>
      <c r="I29" s="1790">
        <f t="shared" si="1"/>
        <v>521595.49746826367</v>
      </c>
      <c r="J29" s="1784">
        <f t="shared" si="2"/>
        <v>0.15644898248519756</v>
      </c>
      <c r="K29" s="2083">
        <v>9.2292259948190356</v>
      </c>
      <c r="M29" s="1784"/>
    </row>
    <row r="30" spans="1:13">
      <c r="A30" s="718" t="s">
        <v>1591</v>
      </c>
      <c r="B30" s="1788">
        <f>'[15]ES TONS'!$R$377</f>
        <v>2100.25</v>
      </c>
      <c r="C30" s="620"/>
      <c r="D30" s="1791">
        <v>11.05</v>
      </c>
      <c r="E30" s="719">
        <f>D30*B30</f>
        <v>23207.762500000001</v>
      </c>
      <c r="F30" s="719">
        <f>G30*B30</f>
        <v>26838.593328883129</v>
      </c>
      <c r="G30" s="2087">
        <f>D30*(1+'LG Yardwaste'!$H$6)</f>
        <v>12.778761256461435</v>
      </c>
      <c r="H30" s="200">
        <f t="shared" si="1"/>
        <v>278493.15000000002</v>
      </c>
      <c r="I30" s="1790">
        <f>F30*12</f>
        <v>322063.11994659755</v>
      </c>
      <c r="J30" s="1784">
        <f t="shared" si="2"/>
        <v>0.15644898248519756</v>
      </c>
      <c r="K30" s="2083">
        <v>12.747868405343795</v>
      </c>
      <c r="M30" s="1784"/>
    </row>
    <row r="31" spans="1:13">
      <c r="A31" s="196" t="s">
        <v>1590</v>
      </c>
      <c r="B31" s="1788">
        <f>'[15]ES TONS'!$R$495-B32</f>
        <v>7203.4166666666661</v>
      </c>
      <c r="C31" s="197">
        <f>B31*4.333/2</f>
        <v>15606.202208333332</v>
      </c>
      <c r="D31" s="1791">
        <v>8.39</v>
      </c>
      <c r="E31" s="199">
        <f>D31*B31</f>
        <v>60436.665833333333</v>
      </c>
      <c r="F31" s="199">
        <f>G31*B31</f>
        <v>65856.955264807708</v>
      </c>
      <c r="G31" s="2087">
        <f>D31*(1+' LG recycle'!$H$6)</f>
        <v>9.1424609060248336</v>
      </c>
      <c r="H31" s="200">
        <f t="shared" ref="H31:I40" si="5">E31*12</f>
        <v>725239.99</v>
      </c>
      <c r="I31" s="1790">
        <f>F31*12</f>
        <v>790283.46317769249</v>
      </c>
      <c r="J31" s="1784">
        <f t="shared" si="2"/>
        <v>8.9685447678764296E-2</v>
      </c>
      <c r="K31" s="2083">
        <v>9.1037402672161392</v>
      </c>
    </row>
    <row r="32" spans="1:13">
      <c r="A32" s="196" t="s">
        <v>1589</v>
      </c>
      <c r="B32" s="1788">
        <f>'[15]ES TONS'!$R$433</f>
        <v>3215</v>
      </c>
      <c r="C32" s="197"/>
      <c r="D32" s="1791">
        <v>10.45</v>
      </c>
      <c r="E32" s="199">
        <f>D32*B32</f>
        <v>33596.75</v>
      </c>
      <c r="F32" s="199">
        <f>G32*B32</f>
        <v>36609.88956430152</v>
      </c>
      <c r="G32" s="2087">
        <f>D32*(1+' LG recycle'!$H$6)</f>
        <v>11.387212928243086</v>
      </c>
      <c r="H32" s="200">
        <f t="shared" si="5"/>
        <v>403161</v>
      </c>
      <c r="I32" s="1790">
        <f>F32*12</f>
        <v>439318.67477161821</v>
      </c>
      <c r="J32" s="1784">
        <f t="shared" si="2"/>
        <v>8.9685447678764296E-2</v>
      </c>
      <c r="K32" s="2083">
        <v>11.338985195757884</v>
      </c>
    </row>
    <row r="33" spans="1:11">
      <c r="A33" s="196" t="str">
        <f>+A72</f>
        <v>20 Gal Organics Container</v>
      </c>
      <c r="B33" s="1788"/>
      <c r="C33" s="197"/>
      <c r="D33" s="1791"/>
      <c r="E33" s="199">
        <f>D33*B33</f>
        <v>0</v>
      </c>
      <c r="F33" s="199">
        <f>G33*B33</f>
        <v>0</v>
      </c>
      <c r="G33" s="2087">
        <f>D33*(1+' LG recycle'!$H$6)</f>
        <v>0</v>
      </c>
      <c r="H33" s="200">
        <f t="shared" si="5"/>
        <v>0</v>
      </c>
      <c r="I33" s="1790">
        <f>F33*12</f>
        <v>0</v>
      </c>
      <c r="J33" s="1784" t="e">
        <f>+G33/D33-1</f>
        <v>#DIV/0!</v>
      </c>
      <c r="K33" s="2083">
        <v>0</v>
      </c>
    </row>
    <row r="34" spans="1:11">
      <c r="A34" s="196" t="s">
        <v>67</v>
      </c>
      <c r="B34" s="1788"/>
      <c r="C34" s="197" t="s">
        <v>295</v>
      </c>
      <c r="D34" s="1791">
        <v>3.63</v>
      </c>
      <c r="E34" s="199">
        <f t="shared" si="0"/>
        <v>0</v>
      </c>
      <c r="F34" s="199">
        <f>G34*B34</f>
        <v>0</v>
      </c>
      <c r="G34" s="2087">
        <f t="shared" si="4"/>
        <v>3.8344716680799369</v>
      </c>
      <c r="H34" s="200">
        <f t="shared" si="5"/>
        <v>0</v>
      </c>
      <c r="I34" s="1790">
        <f>F34*12</f>
        <v>0</v>
      </c>
      <c r="J34" s="1784">
        <f t="shared" si="2"/>
        <v>5.6328283217613517E-2</v>
      </c>
      <c r="K34" s="2083">
        <v>3.8406624584759057</v>
      </c>
    </row>
    <row r="35" spans="1:11">
      <c r="A35" s="196" t="s">
        <v>68</v>
      </c>
      <c r="B35" s="1788">
        <f>SUM('[13]wutc resi rental'!$C$9:$F$9,'[13]wutc resi rental'!$C$6:$F$6)/D35/12</f>
        <v>32.818750000000001</v>
      </c>
      <c r="C35" s="197" t="s">
        <v>295</v>
      </c>
      <c r="D35" s="1791">
        <v>0.4</v>
      </c>
      <c r="E35" s="199">
        <f t="shared" si="0"/>
        <v>13.127500000000001</v>
      </c>
      <c r="F35" s="199">
        <f t="shared" si="3"/>
        <v>13.866949537939222</v>
      </c>
      <c r="G35" s="2087">
        <f t="shared" si="4"/>
        <v>0.42253131328704541</v>
      </c>
      <c r="H35" s="200">
        <f t="shared" si="5"/>
        <v>157.53000000000003</v>
      </c>
      <c r="I35" s="1790">
        <f t="shared" si="5"/>
        <v>166.40339445527067</v>
      </c>
      <c r="J35" s="1784">
        <f t="shared" si="2"/>
        <v>5.6328283217613517E-2</v>
      </c>
      <c r="K35" s="2083">
        <v>0.42321349404693182</v>
      </c>
    </row>
    <row r="36" spans="1:11">
      <c r="A36" s="196" t="s">
        <v>69</v>
      </c>
      <c r="B36" s="1788">
        <v>0</v>
      </c>
      <c r="C36" s="197" t="s">
        <v>295</v>
      </c>
      <c r="D36" s="1791">
        <v>0.5</v>
      </c>
      <c r="E36" s="199">
        <f t="shared" si="0"/>
        <v>0</v>
      </c>
      <c r="F36" s="199">
        <f t="shared" si="3"/>
        <v>0</v>
      </c>
      <c r="G36" s="2087">
        <f t="shared" si="4"/>
        <v>0.52816414160880676</v>
      </c>
      <c r="H36" s="200">
        <f t="shared" si="5"/>
        <v>0</v>
      </c>
      <c r="I36" s="1790">
        <f t="shared" si="5"/>
        <v>0</v>
      </c>
      <c r="J36" s="1784">
        <f t="shared" si="2"/>
        <v>5.6328283217613517E-2</v>
      </c>
      <c r="K36" s="2083">
        <v>0.52901686755866473</v>
      </c>
    </row>
    <row r="37" spans="1:11">
      <c r="A37" s="196" t="s">
        <v>296</v>
      </c>
      <c r="B37" s="1788">
        <f>SUM('[13]wutc resi rental'!$C$14:$F$14)/D37/12</f>
        <v>270.26537216828478</v>
      </c>
      <c r="C37" s="197" t="s">
        <v>295</v>
      </c>
      <c r="D37" s="1791">
        <v>1.03</v>
      </c>
      <c r="E37" s="199">
        <f t="shared" si="0"/>
        <v>278.37333333333333</v>
      </c>
      <c r="F37" s="199">
        <f t="shared" si="3"/>
        <v>294.05362529356449</v>
      </c>
      <c r="G37" s="2087">
        <f t="shared" si="4"/>
        <v>1.088018131714142</v>
      </c>
      <c r="H37" s="200">
        <f t="shared" si="5"/>
        <v>3340.48</v>
      </c>
      <c r="I37" s="1790">
        <f t="shared" si="5"/>
        <v>3528.6435035227742</v>
      </c>
      <c r="J37" s="1784">
        <f t="shared" si="2"/>
        <v>5.6328283217613517E-2</v>
      </c>
      <c r="K37" s="2083">
        <v>1.0897747471708494</v>
      </c>
    </row>
    <row r="38" spans="1:11">
      <c r="A38" s="196" t="s">
        <v>70</v>
      </c>
      <c r="B38" s="1788">
        <f>SUM('[13]wutc resi rental'!$C$20:$F$20)/D38/12</f>
        <v>3054.4375000000005</v>
      </c>
      <c r="C38" s="197" t="s">
        <v>295</v>
      </c>
      <c r="D38" s="1791">
        <v>1.76</v>
      </c>
      <c r="E38" s="199">
        <f t="shared" si="0"/>
        <v>5375.81</v>
      </c>
      <c r="F38" s="199">
        <f t="shared" si="3"/>
        <v>6106.2413982040807</v>
      </c>
      <c r="G38" s="2087">
        <f>D38*(1+$G$5)+0.14</f>
        <v>1.999137778463</v>
      </c>
      <c r="H38" s="200">
        <f t="shared" si="5"/>
        <v>64509.72</v>
      </c>
      <c r="I38" s="1790">
        <f t="shared" si="5"/>
        <v>73274.896778448965</v>
      </c>
      <c r="J38" s="1784">
        <f t="shared" si="2"/>
        <v>0.1358737377630681</v>
      </c>
      <c r="K38" s="2083">
        <v>1.8621393738064997</v>
      </c>
    </row>
    <row r="39" spans="1:11">
      <c r="A39" s="196" t="s">
        <v>71</v>
      </c>
      <c r="B39" s="1788">
        <f>SUM('[13]wutc resi rental'!$C$25:$F$25)/D39/12</f>
        <v>1222.9015151515155</v>
      </c>
      <c r="C39" s="197" t="s">
        <v>295</v>
      </c>
      <c r="D39" s="1791">
        <v>1.76</v>
      </c>
      <c r="E39" s="199">
        <f t="shared" si="0"/>
        <v>2152.3066666666673</v>
      </c>
      <c r="F39" s="199">
        <f t="shared" si="3"/>
        <v>2444.7486182790371</v>
      </c>
      <c r="G39" s="2087">
        <f>+G38</f>
        <v>1.999137778463</v>
      </c>
      <c r="H39" s="200">
        <f t="shared" si="5"/>
        <v>25827.680000000008</v>
      </c>
      <c r="I39" s="1790">
        <f t="shared" si="5"/>
        <v>29336.983419348446</v>
      </c>
      <c r="J39" s="1784">
        <f t="shared" si="2"/>
        <v>0.1358737377630681</v>
      </c>
      <c r="K39" s="2083">
        <v>1.8621393738064997</v>
      </c>
    </row>
    <row r="40" spans="1:11">
      <c r="A40" s="196" t="s">
        <v>297</v>
      </c>
      <c r="B40" s="1788">
        <f>+'Cont Summ'!N8</f>
        <v>7358</v>
      </c>
      <c r="C40" s="197" t="s">
        <v>295</v>
      </c>
      <c r="D40" s="1791">
        <v>1.76</v>
      </c>
      <c r="E40" s="199">
        <f t="shared" si="0"/>
        <v>12950.08</v>
      </c>
      <c r="F40" s="199">
        <f t="shared" si="3"/>
        <v>14709.655773930754</v>
      </c>
      <c r="G40" s="2087">
        <f>+G38</f>
        <v>1.999137778463</v>
      </c>
      <c r="H40" s="200">
        <f t="shared" si="5"/>
        <v>155400.95999999999</v>
      </c>
      <c r="I40" s="1790">
        <f t="shared" si="5"/>
        <v>176515.86928716904</v>
      </c>
      <c r="J40" s="1784">
        <f t="shared" si="2"/>
        <v>0.1358737377630681</v>
      </c>
      <c r="K40" s="2083">
        <v>1.8621393738064997</v>
      </c>
    </row>
    <row r="41" spans="1:11">
      <c r="A41" s="202"/>
      <c r="B41" s="203"/>
      <c r="C41" s="204"/>
      <c r="D41" s="205"/>
      <c r="E41" s="206">
        <f>D41*B41</f>
        <v>0</v>
      </c>
      <c r="F41" s="206"/>
      <c r="G41" s="2088"/>
      <c r="H41" s="208"/>
      <c r="I41" s="209"/>
      <c r="K41" s="2083"/>
    </row>
    <row r="42" spans="1:11">
      <c r="A42" s="188" t="s">
        <v>298</v>
      </c>
      <c r="B42" s="1792">
        <f>SUM(B15:B31)</f>
        <v>24387.583333333336</v>
      </c>
      <c r="C42" s="1792">
        <f>SUM(C15:C41)</f>
        <v>71411.875408333333</v>
      </c>
      <c r="D42" s="1793"/>
      <c r="E42" s="1792">
        <f>SUM(E15:E41)</f>
        <v>339670.01833333337</v>
      </c>
      <c r="F42" s="1792">
        <f>SUM(F15:F41)</f>
        <v>369655.39691807021</v>
      </c>
      <c r="G42" s="197"/>
      <c r="H42" s="200">
        <f>SUM(H15:H41)</f>
        <v>4076040.2199999997</v>
      </c>
      <c r="I42" s="201">
        <f>SUM(I15:I41)</f>
        <v>4435864.7630168423</v>
      </c>
      <c r="K42" s="2083"/>
    </row>
    <row r="43" spans="1:11" ht="12.75" thickBot="1">
      <c r="A43" s="212" t="s">
        <v>26</v>
      </c>
      <c r="B43" s="213"/>
      <c r="C43" s="197"/>
      <c r="D43" s="198"/>
      <c r="E43" s="214">
        <f>E42*12</f>
        <v>4076040.2200000007</v>
      </c>
      <c r="F43" s="214">
        <f>F42*12</f>
        <v>4435864.7630168423</v>
      </c>
      <c r="G43" s="215"/>
      <c r="H43" s="216">
        <f>(F43-E43)/E43</f>
        <v>8.8277966750985981E-2</v>
      </c>
      <c r="K43" s="2083"/>
    </row>
    <row r="44" spans="1:11" ht="12.75" thickTop="1">
      <c r="E44" s="217"/>
      <c r="K44" s="2083"/>
    </row>
    <row r="45" spans="1:11">
      <c r="K45" s="2083"/>
    </row>
    <row r="46" spans="1:11">
      <c r="C46" s="196" t="s">
        <v>299</v>
      </c>
      <c r="E46" s="199">
        <f>+E43</f>
        <v>4076040.2200000007</v>
      </c>
      <c r="F46" s="199">
        <f>+F43</f>
        <v>4435864.7630168423</v>
      </c>
      <c r="G46" s="199"/>
      <c r="K46" s="2083"/>
    </row>
    <row r="47" spans="1:11">
      <c r="C47" s="196" t="s">
        <v>300</v>
      </c>
      <c r="E47" s="1794">
        <f>Proforma!L14</f>
        <v>4046889.9899999998</v>
      </c>
      <c r="K47" s="2083"/>
    </row>
    <row r="48" spans="1:11">
      <c r="C48" s="196" t="s">
        <v>20</v>
      </c>
      <c r="E48" s="1787">
        <f>+E47-E46</f>
        <v>-29150.230000000913</v>
      </c>
      <c r="K48" s="2083"/>
    </row>
    <row r="49" spans="1:11">
      <c r="C49" s="196"/>
      <c r="E49" s="1787"/>
      <c r="K49" s="2083"/>
    </row>
    <row r="50" spans="1:11">
      <c r="C50" s="196"/>
      <c r="D50" s="1020" t="s">
        <v>1595</v>
      </c>
      <c r="E50" s="1787">
        <v>0</v>
      </c>
      <c r="K50" s="2083"/>
    </row>
    <row r="51" spans="1:11">
      <c r="C51" s="196"/>
      <c r="D51" s="257"/>
      <c r="E51" s="1787"/>
      <c r="K51" s="2083"/>
    </row>
    <row r="52" spans="1:11">
      <c r="C52" s="196"/>
      <c r="D52" s="1020" t="s">
        <v>830</v>
      </c>
      <c r="E52" s="1795">
        <f>+E48+E50</f>
        <v>-29150.230000000913</v>
      </c>
      <c r="K52" s="2083"/>
    </row>
    <row r="53" spans="1:11">
      <c r="E53" s="1796">
        <f>+E52/E46</f>
        <v>-7.1516050938282717E-3</v>
      </c>
      <c r="H53" s="1784"/>
      <c r="K53" s="2083"/>
    </row>
    <row r="54" spans="1:11">
      <c r="E54" s="185"/>
      <c r="K54" s="2083"/>
    </row>
    <row r="55" spans="1:11">
      <c r="E55" s="1797"/>
      <c r="K55" s="2083"/>
    </row>
    <row r="56" spans="1:11">
      <c r="A56" s="331"/>
      <c r="B56" s="332"/>
      <c r="C56" s="332"/>
      <c r="D56" s="333"/>
      <c r="E56" s="332" t="s">
        <v>42</v>
      </c>
      <c r="F56" s="332"/>
      <c r="G56" s="332"/>
      <c r="H56" s="332" t="s">
        <v>26</v>
      </c>
      <c r="I56" s="334" t="s">
        <v>26</v>
      </c>
      <c r="J56" s="516" t="s">
        <v>504</v>
      </c>
      <c r="K56" s="2083" t="s">
        <v>2472</v>
      </c>
    </row>
    <row r="57" spans="1:11">
      <c r="A57" s="335"/>
      <c r="B57" s="336" t="s">
        <v>293</v>
      </c>
      <c r="C57" s="336"/>
      <c r="D57" s="337" t="s">
        <v>41</v>
      </c>
      <c r="E57" s="336" t="s">
        <v>41</v>
      </c>
      <c r="F57" s="336"/>
      <c r="G57" s="336" t="s">
        <v>39</v>
      </c>
      <c r="H57" s="336" t="s">
        <v>41</v>
      </c>
      <c r="I57" s="338" t="s">
        <v>39</v>
      </c>
      <c r="J57" s="517" t="s">
        <v>13</v>
      </c>
      <c r="K57" s="2083" t="s">
        <v>39</v>
      </c>
    </row>
    <row r="58" spans="1:11">
      <c r="A58" s="339"/>
      <c r="B58" s="340" t="s">
        <v>48</v>
      </c>
      <c r="C58" s="340" t="s">
        <v>56</v>
      </c>
      <c r="D58" s="341" t="s">
        <v>55</v>
      </c>
      <c r="E58" s="342" t="s">
        <v>13</v>
      </c>
      <c r="F58" s="342"/>
      <c r="G58" s="342" t="s">
        <v>55</v>
      </c>
      <c r="H58" s="342" t="s">
        <v>13</v>
      </c>
      <c r="I58" s="343" t="s">
        <v>55</v>
      </c>
      <c r="J58" s="518" t="s">
        <v>54</v>
      </c>
      <c r="K58" s="2083" t="s">
        <v>55</v>
      </c>
    </row>
    <row r="59" spans="1:11">
      <c r="A59" s="312" t="s">
        <v>15</v>
      </c>
      <c r="B59" s="313"/>
      <c r="C59" s="313"/>
      <c r="D59" s="313"/>
      <c r="E59" s="313"/>
      <c r="F59" s="313"/>
      <c r="G59" s="1798"/>
      <c r="H59" s="1799"/>
      <c r="I59" s="314"/>
      <c r="J59" s="514"/>
      <c r="K59" s="2083"/>
    </row>
    <row r="60" spans="1:11">
      <c r="A60" s="315" t="s">
        <v>341</v>
      </c>
      <c r="B60" s="309">
        <f>B31-B61</f>
        <v>7175.6666666666661</v>
      </c>
      <c r="C60" s="309">
        <f>C31</f>
        <v>15606.202208333332</v>
      </c>
      <c r="D60" s="1800">
        <f>+D31</f>
        <v>8.39</v>
      </c>
      <c r="E60" s="1799">
        <f>E31-E61</f>
        <v>60176.093333333331</v>
      </c>
      <c r="F60" s="1063"/>
      <c r="G60" s="1798">
        <f>MROUND(D60*(1+$G$81),0.01)</f>
        <v>9.15</v>
      </c>
      <c r="H60" s="1799">
        <f>H31-H61</f>
        <v>722113.12</v>
      </c>
      <c r="I60" s="1801">
        <f>B60*G60*12</f>
        <v>787888.2</v>
      </c>
      <c r="J60" s="514"/>
      <c r="K60" s="2083">
        <v>9.1</v>
      </c>
    </row>
    <row r="61" spans="1:11">
      <c r="A61" s="315" t="s">
        <v>634</v>
      </c>
      <c r="B61" s="1802">
        <f>SUM('[12]ES TONS'!$Q$451:$Q$452,'[12]ES TONS'!$Q$456:$Q$457,'[12]ES TONS'!$Q$459,'[12]ES TONS'!$Q$461)/12-B63</f>
        <v>27.75</v>
      </c>
      <c r="C61" s="309">
        <f>B61*2.16</f>
        <v>59.940000000000005</v>
      </c>
      <c r="D61" s="1803">
        <f>+D60+1</f>
        <v>9.39</v>
      </c>
      <c r="E61" s="1799">
        <f>+B61*D61</f>
        <v>260.57249999999999</v>
      </c>
      <c r="F61" s="186"/>
      <c r="G61" s="1803">
        <f>+G60+1</f>
        <v>10.15</v>
      </c>
      <c r="H61" s="1799">
        <f>+E61*12</f>
        <v>3126.87</v>
      </c>
      <c r="I61" s="1801">
        <f>B61*G61*12</f>
        <v>3379.9500000000003</v>
      </c>
      <c r="J61" s="514"/>
      <c r="K61" s="2083">
        <v>10.1</v>
      </c>
    </row>
    <row r="62" spans="1:11">
      <c r="A62" s="315" t="s">
        <v>342</v>
      </c>
      <c r="B62" s="309">
        <f>B32-B63</f>
        <v>3191</v>
      </c>
      <c r="C62" s="309">
        <f>B62*4.33</f>
        <v>13817.03</v>
      </c>
      <c r="D62" s="1800">
        <f>+D32</f>
        <v>10.45</v>
      </c>
      <c r="E62" s="1799">
        <f>+B62*D62</f>
        <v>33345.949999999997</v>
      </c>
      <c r="F62" s="186"/>
      <c r="G62" s="1798">
        <f>MROUND(D62*(1+$G$81),0.01)</f>
        <v>11.39</v>
      </c>
      <c r="H62" s="1799">
        <f>+E62*12</f>
        <v>400151.39999999997</v>
      </c>
      <c r="I62" s="1801">
        <f>B62*G62*12</f>
        <v>436145.88000000006</v>
      </c>
      <c r="J62" s="514"/>
      <c r="K62" s="2083">
        <v>11.34</v>
      </c>
    </row>
    <row r="63" spans="1:11">
      <c r="A63" s="315" t="s">
        <v>1592</v>
      </c>
      <c r="B63" s="1802">
        <f>+'[12]ES TONS'!$O$461</f>
        <v>24</v>
      </c>
      <c r="C63" s="309">
        <f>B63*4.33</f>
        <v>103.92</v>
      </c>
      <c r="D63" s="1803">
        <f>+D62+1</f>
        <v>11.45</v>
      </c>
      <c r="E63" s="1799">
        <f>+B63*D63</f>
        <v>274.79999999999995</v>
      </c>
      <c r="F63" s="186"/>
      <c r="G63" s="1803">
        <f>+G62+1</f>
        <v>12.39</v>
      </c>
      <c r="H63" s="1799">
        <f>+E63*12</f>
        <v>3297.5999999999995</v>
      </c>
      <c r="I63" s="1801">
        <f>B63*G63*12</f>
        <v>3568.32</v>
      </c>
      <c r="J63" s="514"/>
      <c r="K63" s="2083">
        <v>12.34</v>
      </c>
    </row>
    <row r="64" spans="1:11">
      <c r="A64" s="315"/>
      <c r="B64" s="306"/>
      <c r="C64" s="306"/>
      <c r="D64" s="1804"/>
      <c r="E64" s="1805"/>
      <c r="F64" s="191"/>
      <c r="G64" s="1806"/>
      <c r="H64" s="1805"/>
      <c r="I64" s="1807"/>
      <c r="J64" s="515"/>
      <c r="K64" s="2083"/>
    </row>
    <row r="65" spans="1:11">
      <c r="A65" s="312" t="s">
        <v>105</v>
      </c>
      <c r="B65" s="319">
        <f>SUM(B60:B64)</f>
        <v>10418.416666666666</v>
      </c>
      <c r="C65" s="319">
        <f>SUM(C60:C64)</f>
        <v>29587.092208333332</v>
      </c>
      <c r="D65" s="1808">
        <f>+E65/B65</f>
        <v>9.0279952168035766</v>
      </c>
      <c r="E65" s="1809">
        <f>SUM(E60:E64)</f>
        <v>94057.415833333333</v>
      </c>
      <c r="F65" s="322"/>
      <c r="G65" s="1810"/>
      <c r="H65" s="1809">
        <f>SUM(H60:H64)</f>
        <v>1128688.99</v>
      </c>
      <c r="I65" s="1811">
        <f>SUM(I60:I64)</f>
        <v>1230982.3500000001</v>
      </c>
      <c r="J65" s="1334">
        <f>' LG recycle'!E5</f>
        <v>1238277.2218699718</v>
      </c>
      <c r="K65" s="2083"/>
    </row>
    <row r="66" spans="1:11">
      <c r="A66" s="311"/>
      <c r="B66" s="186"/>
      <c r="C66" s="186"/>
      <c r="D66" s="324"/>
      <c r="E66" s="186"/>
      <c r="F66" s="186"/>
      <c r="G66" s="1798"/>
      <c r="H66" s="1799"/>
      <c r="I66" s="314"/>
      <c r="J66" s="514"/>
      <c r="K66" s="2083"/>
    </row>
    <row r="67" spans="1:11">
      <c r="A67" s="670" t="s">
        <v>16</v>
      </c>
      <c r="B67" s="186"/>
      <c r="C67" s="186"/>
      <c r="D67" s="324"/>
      <c r="E67" s="186"/>
      <c r="F67" s="186"/>
      <c r="G67" s="1798"/>
      <c r="H67" s="1799"/>
      <c r="I67" s="314"/>
      <c r="J67" s="514"/>
      <c r="K67" s="2083"/>
    </row>
    <row r="68" spans="1:11">
      <c r="A68" s="315" t="s">
        <v>341</v>
      </c>
      <c r="B68" s="309">
        <f>+B29-B69</f>
        <v>4667.333333333333</v>
      </c>
      <c r="C68" s="309">
        <f>+C29-C69</f>
        <v>10111.978625</v>
      </c>
      <c r="D68" s="1800">
        <f>+D29</f>
        <v>8</v>
      </c>
      <c r="E68" s="1799">
        <f>E29-E69</f>
        <v>37307.75</v>
      </c>
      <c r="F68" s="186"/>
      <c r="G68" s="1798">
        <f>MROUND(D68*(1+$G$86),0.01)</f>
        <v>9.26</v>
      </c>
      <c r="H68" s="1799">
        <f>+H29-H69</f>
        <v>447693</v>
      </c>
      <c r="I68" s="1801">
        <f t="shared" ref="I68:I73" si="6">B68*G68*12</f>
        <v>518634.07999999996</v>
      </c>
      <c r="J68" s="514"/>
      <c r="K68" s="2083">
        <v>9.23</v>
      </c>
    </row>
    <row r="69" spans="1:11">
      <c r="A69" s="315" t="s">
        <v>635</v>
      </c>
      <c r="B69" s="1802">
        <f>SUM('[12]ES TONS'!$Q$395:$Q$396,'[12]ES TONS'!$Q$400:$Q$401,'[12]ES TONS'!$Q$403,'[12]ES TONS'!$Q$405)/12-B71</f>
        <v>30.916666666666664</v>
      </c>
      <c r="C69" s="309">
        <f>B69*2.16</f>
        <v>66.78</v>
      </c>
      <c r="D69" s="1803">
        <f>+D68+1</f>
        <v>9</v>
      </c>
      <c r="E69" s="1799">
        <f>+B69*D69</f>
        <v>278.25</v>
      </c>
      <c r="F69" s="186"/>
      <c r="G69" s="1803">
        <f>+G68+1</f>
        <v>10.26</v>
      </c>
      <c r="H69" s="1799">
        <f>+E69*12</f>
        <v>3339</v>
      </c>
      <c r="I69" s="1801">
        <f t="shared" si="6"/>
        <v>3806.46</v>
      </c>
      <c r="J69" s="514"/>
      <c r="K69" s="2083">
        <v>10.23</v>
      </c>
    </row>
    <row r="70" spans="1:11">
      <c r="A70" s="315" t="s">
        <v>342</v>
      </c>
      <c r="B70" s="309">
        <f>+B30-B71</f>
        <v>2088.25</v>
      </c>
      <c r="C70" s="309">
        <f>B70*4.33</f>
        <v>9042.1224999999995</v>
      </c>
      <c r="D70" s="1800">
        <f>+D30</f>
        <v>11.05</v>
      </c>
      <c r="E70" s="1799">
        <f>+B70*D70</f>
        <v>23075.162500000002</v>
      </c>
      <c r="F70" s="186"/>
      <c r="G70" s="1798">
        <f>MROUND(D70*(1+$G$86),0.01)</f>
        <v>12.790000000000001</v>
      </c>
      <c r="H70" s="1799">
        <f>+E70*12</f>
        <v>276901.95</v>
      </c>
      <c r="I70" s="1801">
        <f t="shared" si="6"/>
        <v>320504.61000000004</v>
      </c>
      <c r="J70" s="514"/>
      <c r="K70" s="2083">
        <v>12.75</v>
      </c>
    </row>
    <row r="71" spans="1:11">
      <c r="A71" s="315" t="s">
        <v>1593</v>
      </c>
      <c r="B71" s="1802">
        <f>+'[12]ES TONS'!$O$405</f>
        <v>12</v>
      </c>
      <c r="C71" s="309">
        <f>B71*4.33</f>
        <v>51.96</v>
      </c>
      <c r="D71" s="1803">
        <f>+D70+1</f>
        <v>12.05</v>
      </c>
      <c r="E71" s="1799">
        <f>+B71*D71</f>
        <v>144.60000000000002</v>
      </c>
      <c r="F71" s="186"/>
      <c r="G71" s="1803">
        <f>+G70+1</f>
        <v>13.790000000000001</v>
      </c>
      <c r="H71" s="1799">
        <f>+E71*12</f>
        <v>1735.2000000000003</v>
      </c>
      <c r="I71" s="1801">
        <f t="shared" si="6"/>
        <v>1985.7600000000002</v>
      </c>
      <c r="J71" s="514"/>
      <c r="K71" s="2083">
        <v>13.75</v>
      </c>
    </row>
    <row r="72" spans="1:11">
      <c r="A72" s="315" t="s">
        <v>1646</v>
      </c>
      <c r="B72" s="309"/>
      <c r="C72" s="309"/>
      <c r="D72" s="1803"/>
      <c r="E72" s="1799">
        <f>+B72*D72</f>
        <v>0</v>
      </c>
      <c r="F72" s="186"/>
      <c r="G72" s="1798"/>
      <c r="H72" s="1799">
        <f>+E72*12</f>
        <v>0</v>
      </c>
      <c r="I72" s="1801">
        <f t="shared" si="6"/>
        <v>0</v>
      </c>
      <c r="J72" s="514"/>
      <c r="K72" s="2083"/>
    </row>
    <row r="73" spans="1:11">
      <c r="A73" s="315" t="s">
        <v>1594</v>
      </c>
      <c r="B73" s="309">
        <f>B40</f>
        <v>7358</v>
      </c>
      <c r="C73" s="309" t="str">
        <f>C40</f>
        <v>Per Can</v>
      </c>
      <c r="D73" s="1803">
        <f>D40</f>
        <v>1.76</v>
      </c>
      <c r="E73" s="1799">
        <f>E40</f>
        <v>12950.08</v>
      </c>
      <c r="F73" s="186"/>
      <c r="G73" s="1798">
        <f>+G40</f>
        <v>1.999137778463</v>
      </c>
      <c r="H73" s="1799">
        <f>H40</f>
        <v>155400.95999999999</v>
      </c>
      <c r="I73" s="1801">
        <f t="shared" si="6"/>
        <v>176515.86928716904</v>
      </c>
      <c r="J73" s="514"/>
      <c r="K73" s="2083">
        <v>1.8621393738064997</v>
      </c>
    </row>
    <row r="74" spans="1:11">
      <c r="A74" s="315"/>
      <c r="B74" s="309"/>
      <c r="C74" s="309"/>
      <c r="D74" s="1812"/>
      <c r="E74" s="1799"/>
      <c r="F74" s="186"/>
      <c r="G74" s="1798"/>
      <c r="H74" s="1799"/>
      <c r="I74" s="1801"/>
      <c r="J74" s="514"/>
      <c r="K74" s="2083"/>
    </row>
    <row r="75" spans="1:11">
      <c r="A75" s="315"/>
      <c r="B75" s="306"/>
      <c r="C75" s="306"/>
      <c r="D75" s="1804"/>
      <c r="E75" s="1805"/>
      <c r="F75" s="191"/>
      <c r="G75" s="1806"/>
      <c r="H75" s="1805"/>
      <c r="I75" s="1807"/>
      <c r="J75" s="515"/>
      <c r="K75" s="2083"/>
    </row>
    <row r="76" spans="1:11">
      <c r="A76" s="325" t="s">
        <v>105</v>
      </c>
      <c r="B76" s="326">
        <f>SUM(B68:B72)</f>
        <v>6798.5</v>
      </c>
      <c r="C76" s="326">
        <f>SUM(C68:C72)</f>
        <v>19272.841124999999</v>
      </c>
      <c r="D76" s="1813">
        <f>+E76/B76</f>
        <v>10.848840553063175</v>
      </c>
      <c r="E76" s="1814">
        <f>SUM(E68:E75)</f>
        <v>73755.842499999999</v>
      </c>
      <c r="F76" s="329"/>
      <c r="G76" s="1815"/>
      <c r="H76" s="1816">
        <f>SUM(H68:H75)</f>
        <v>885070.10999999987</v>
      </c>
      <c r="I76" s="1817">
        <f>SUM(I68:I75)</f>
        <v>1021446.7792871691</v>
      </c>
      <c r="J76" s="519">
        <f>'LG Yardwaste'!E5</f>
        <v>1032190.1120877792</v>
      </c>
    </row>
    <row r="77" spans="1:11">
      <c r="I77" s="2132">
        <f>+I76/H76-1</f>
        <v>0.15408572467459014</v>
      </c>
    </row>
    <row r="78" spans="1:11">
      <c r="F78" s="509" t="s">
        <v>502</v>
      </c>
      <c r="G78" s="1782">
        <f>' LG recycle'!E6</f>
        <v>101915.14186997172</v>
      </c>
    </row>
    <row r="79" spans="1:11">
      <c r="F79" s="509" t="s">
        <v>681</v>
      </c>
      <c r="G79" s="1782">
        <f>H65</f>
        <v>1128688.99</v>
      </c>
    </row>
    <row r="80" spans="1:11">
      <c r="F80" s="509" t="s">
        <v>6</v>
      </c>
      <c r="G80" s="1783">
        <f>+G78+G79</f>
        <v>1230604.1318699718</v>
      </c>
      <c r="I80" s="201">
        <f>I42-I65-I76</f>
        <v>2183435.633729673</v>
      </c>
    </row>
    <row r="81" spans="4:7">
      <c r="F81" s="509" t="s">
        <v>500</v>
      </c>
      <c r="G81" s="1785">
        <f>+G78/G79</f>
        <v>9.0295150190108364E-2</v>
      </c>
    </row>
    <row r="83" spans="4:7">
      <c r="F83" s="509" t="s">
        <v>503</v>
      </c>
      <c r="G83" s="1782">
        <f>'LG Yardwaste'!E6</f>
        <v>139638.75208777931</v>
      </c>
    </row>
    <row r="84" spans="4:7">
      <c r="F84" s="509" t="s">
        <v>682</v>
      </c>
      <c r="G84" s="1782">
        <f>H76</f>
        <v>885070.10999999987</v>
      </c>
    </row>
    <row r="85" spans="4:7">
      <c r="F85" s="509" t="s">
        <v>5</v>
      </c>
      <c r="G85" s="1783">
        <f>+G83+G84</f>
        <v>1024708.8620877792</v>
      </c>
    </row>
    <row r="86" spans="4:7">
      <c r="F86" s="509" t="s">
        <v>500</v>
      </c>
      <c r="G86" s="1796">
        <f>+G83/G84</f>
        <v>0.15777140196021233</v>
      </c>
    </row>
    <row r="89" spans="4:7">
      <c r="D89" s="1818"/>
      <c r="G89" s="1818"/>
    </row>
    <row r="90" spans="4:7">
      <c r="D90" s="1818"/>
      <c r="G90" s="1818"/>
    </row>
    <row r="91" spans="4:7">
      <c r="D91" s="1818"/>
      <c r="G91" s="1818"/>
    </row>
  </sheetData>
  <pageMargins left="0.75" right="0.75" top="1" bottom="1" header="0.5" footer="0.5"/>
  <pageSetup scale="50" orientation="landscape" r:id="rId1"/>
  <headerFooter alignWithMargins="0">
    <oddHeader>&amp;L&amp;12&amp;A</oddHeader>
  </headerFooter>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M160"/>
  <sheetViews>
    <sheetView showGridLines="0" zoomScale="85" zoomScaleNormal="85" workbookViewId="0">
      <pane xSplit="1" ySplit="6" topLeftCell="B124" activePane="bottomRight" state="frozen"/>
      <selection activeCell="B41" sqref="B41"/>
      <selection pane="topRight" activeCell="B41" sqref="B41"/>
      <selection pane="bottomLeft" activeCell="B41" sqref="B41"/>
      <selection pane="bottomRight" activeCell="O33" sqref="O33"/>
    </sheetView>
  </sheetViews>
  <sheetFormatPr defaultColWidth="12" defaultRowHeight="12"/>
  <cols>
    <col min="1" max="1" width="31.33203125" style="185" customWidth="1"/>
    <col min="2" max="2" width="14.33203125" style="233" bestFit="1" customWidth="1"/>
    <col min="3" max="3" width="15.1640625" style="231" bestFit="1" customWidth="1"/>
    <col min="4" max="4" width="20.5" style="257" bestFit="1" customWidth="1"/>
    <col min="5" max="5" width="22.83203125" style="231" bestFit="1" customWidth="1"/>
    <col min="6" max="6" width="15.5" style="231" bestFit="1" customWidth="1"/>
    <col min="7" max="7" width="13.1640625" style="231" bestFit="1" customWidth="1"/>
    <col min="8" max="8" width="13" style="231" bestFit="1" customWidth="1"/>
    <col min="9" max="9" width="16.1640625" style="231" customWidth="1"/>
    <col min="10" max="10" width="10" style="231" bestFit="1" customWidth="1"/>
    <col min="11" max="11" width="10.5" style="231" bestFit="1" customWidth="1"/>
    <col min="12" max="12" width="14.1640625" style="231" bestFit="1" customWidth="1"/>
    <col min="13" max="16384" width="12" style="185"/>
  </cols>
  <sheetData>
    <row r="1" spans="1:13" ht="12" customHeight="1">
      <c r="A1" s="2209" t="s">
        <v>1562</v>
      </c>
      <c r="B1" s="2209"/>
      <c r="C1" s="2209"/>
      <c r="D1" s="2209"/>
      <c r="E1" s="2209"/>
    </row>
    <row r="2" spans="1:13">
      <c r="A2" s="1169"/>
      <c r="B2" s="1169"/>
      <c r="C2" s="1169"/>
    </row>
    <row r="3" spans="1:13">
      <c r="A3" s="1169"/>
      <c r="B3" s="1169"/>
      <c r="C3" s="1169"/>
    </row>
    <row r="4" spans="1:13">
      <c r="A4" s="1168"/>
      <c r="B4" s="305"/>
      <c r="C4" s="183"/>
      <c r="D4" s="184"/>
      <c r="E4" s="183" t="s">
        <v>42</v>
      </c>
      <c r="F4" s="183" t="s">
        <v>42</v>
      </c>
      <c r="G4" s="183"/>
      <c r="H4" s="183" t="s">
        <v>26</v>
      </c>
      <c r="I4" s="183" t="s">
        <v>26</v>
      </c>
      <c r="J4" s="183"/>
      <c r="K4" s="183"/>
      <c r="L4" s="183"/>
    </row>
    <row r="5" spans="1:13">
      <c r="A5" s="185" t="s">
        <v>292</v>
      </c>
      <c r="B5" s="305"/>
      <c r="C5" s="183"/>
      <c r="D5" s="184" t="s">
        <v>41</v>
      </c>
      <c r="E5" s="183" t="s">
        <v>41</v>
      </c>
      <c r="F5" s="187" t="s">
        <v>39</v>
      </c>
      <c r="G5" s="187" t="s">
        <v>39</v>
      </c>
      <c r="H5" s="183" t="s">
        <v>41</v>
      </c>
      <c r="I5" s="187" t="s">
        <v>39</v>
      </c>
      <c r="J5" s="183"/>
      <c r="K5" s="183"/>
      <c r="L5" s="183" t="s">
        <v>39</v>
      </c>
    </row>
    <row r="6" spans="1:13">
      <c r="A6" s="221"/>
      <c r="B6" s="285" t="s">
        <v>301</v>
      </c>
      <c r="C6" s="189" t="s">
        <v>56</v>
      </c>
      <c r="D6" s="190" t="s">
        <v>55</v>
      </c>
      <c r="E6" s="191" t="s">
        <v>13</v>
      </c>
      <c r="F6" s="191" t="s">
        <v>13</v>
      </c>
      <c r="G6" s="189" t="s">
        <v>55</v>
      </c>
      <c r="H6" s="191" t="s">
        <v>13</v>
      </c>
      <c r="I6" s="191" t="s">
        <v>13</v>
      </c>
      <c r="J6" s="183"/>
      <c r="K6" s="183"/>
      <c r="L6" s="183" t="s">
        <v>516</v>
      </c>
    </row>
    <row r="7" spans="1:13">
      <c r="A7" s="188"/>
      <c r="B7" s="1049"/>
      <c r="C7" s="192"/>
      <c r="D7" s="193"/>
      <c r="E7" s="186"/>
      <c r="F7" s="186"/>
      <c r="G7" s="192"/>
      <c r="H7" s="186"/>
      <c r="I7" s="186"/>
      <c r="J7" s="183"/>
      <c r="K7" s="183" t="s">
        <v>26</v>
      </c>
    </row>
    <row r="8" spans="1:13">
      <c r="A8" s="194" t="s">
        <v>280</v>
      </c>
      <c r="B8" s="210"/>
      <c r="C8" s="187"/>
      <c r="D8" s="218"/>
      <c r="E8" s="199"/>
      <c r="F8" s="199"/>
      <c r="G8" s="215"/>
      <c r="H8" s="183"/>
      <c r="I8" s="183" t="s">
        <v>302</v>
      </c>
      <c r="J8" s="183" t="s">
        <v>303</v>
      </c>
      <c r="K8" s="183" t="s">
        <v>282</v>
      </c>
      <c r="L8" s="185"/>
    </row>
    <row r="9" spans="1:13">
      <c r="A9" s="223" t="s">
        <v>72</v>
      </c>
      <c r="B9" s="1050">
        <f>SUM('[16]PT - No MF'!$J$6:$K$6)</f>
        <v>9</v>
      </c>
      <c r="C9" s="224">
        <f>B9*4.33</f>
        <v>38.97</v>
      </c>
      <c r="D9" s="225">
        <v>3.19</v>
      </c>
      <c r="E9" s="226">
        <f t="shared" ref="E9:E64" si="0">D9*C9</f>
        <v>124.31429999999999</v>
      </c>
      <c r="F9" s="227">
        <f>C9*G9</f>
        <v>130.69513959839935</v>
      </c>
      <c r="G9" s="228">
        <f>D9*(1+'Resi Price Out'!$G$5)</f>
        <v>3.3537372234641869</v>
      </c>
      <c r="H9" s="229">
        <f>E9*12</f>
        <v>1491.7715999999998</v>
      </c>
      <c r="I9" s="227">
        <f>F9*12</f>
        <v>1568.3416751807922</v>
      </c>
      <c r="J9" s="231">
        <v>0.158</v>
      </c>
      <c r="K9" s="232">
        <f t="shared" ref="K9:K64" si="1">+C9*J9*12</f>
        <v>73.887119999999996</v>
      </c>
      <c r="L9" s="345">
        <f>+G9/D9-1</f>
        <v>5.1328283217613402E-2</v>
      </c>
      <c r="M9" s="521"/>
    </row>
    <row r="10" spans="1:13">
      <c r="A10" s="223" t="s">
        <v>73</v>
      </c>
      <c r="B10" s="1050">
        <f>SUM('[16]PT - No MF'!$J$7:$J$8)</f>
        <v>9</v>
      </c>
      <c r="C10" s="224">
        <f>B10*4.33</f>
        <v>38.97</v>
      </c>
      <c r="D10" s="225">
        <v>6.21</v>
      </c>
      <c r="E10" s="226">
        <f t="shared" si="0"/>
        <v>242.00369999999998</v>
      </c>
      <c r="F10" s="227">
        <f>C10*G10</f>
        <v>254.42533445331034</v>
      </c>
      <c r="G10" s="228">
        <f>D10*(1+'Resi Price Out'!$G$5)</f>
        <v>6.5287486387813791</v>
      </c>
      <c r="H10" s="229">
        <f t="shared" ref="H10:H20" si="2">E10*12</f>
        <v>2904.0443999999998</v>
      </c>
      <c r="I10" s="227">
        <f t="shared" ref="I10:I68" si="3">F10*12</f>
        <v>3053.104013439724</v>
      </c>
      <c r="J10" s="231">
        <f>+J9*2</f>
        <v>0.316</v>
      </c>
      <c r="K10" s="232">
        <f t="shared" si="1"/>
        <v>147.77423999999999</v>
      </c>
      <c r="L10" s="345">
        <f t="shared" ref="L10:L58" si="4">+G10/D10-1</f>
        <v>5.1328283217613402E-2</v>
      </c>
      <c r="M10" s="521"/>
    </row>
    <row r="11" spans="1:13">
      <c r="A11" s="223" t="s">
        <v>74</v>
      </c>
      <c r="B11" s="1050">
        <f>SUM('[16]PT - No MF'!$J$9:$J$10)</f>
        <v>54</v>
      </c>
      <c r="C11" s="224">
        <f>B11*4.33</f>
        <v>233.82</v>
      </c>
      <c r="D11" s="225">
        <v>7.79</v>
      </c>
      <c r="E11" s="226">
        <f t="shared" si="0"/>
        <v>1821.4577999999999</v>
      </c>
      <c r="F11" s="227">
        <f t="shared" ref="F11:F62" si="5">C11*G11</f>
        <v>1914.9501018273311</v>
      </c>
      <c r="G11" s="228">
        <f>D11*(1+'Resi Price Out'!$G$5)</f>
        <v>8.1898473262652089</v>
      </c>
      <c r="H11" s="229">
        <f t="shared" si="2"/>
        <v>21857.493599999998</v>
      </c>
      <c r="I11" s="227">
        <f t="shared" si="3"/>
        <v>22979.401221927972</v>
      </c>
      <c r="J11" s="231">
        <f>+J9*3</f>
        <v>0.47399999999999998</v>
      </c>
      <c r="K11" s="232">
        <f t="shared" si="1"/>
        <v>1329.9681599999999</v>
      </c>
      <c r="L11" s="345">
        <f t="shared" si="4"/>
        <v>5.1328283217613402E-2</v>
      </c>
      <c r="M11" s="521"/>
    </row>
    <row r="12" spans="1:13">
      <c r="A12" s="223" t="s">
        <v>304</v>
      </c>
      <c r="B12" s="1050"/>
      <c r="C12" s="224">
        <f>+B12</f>
        <v>0</v>
      </c>
      <c r="D12" s="225">
        <v>19.62</v>
      </c>
      <c r="E12" s="226">
        <f t="shared" si="0"/>
        <v>0</v>
      </c>
      <c r="F12" s="227">
        <f t="shared" si="5"/>
        <v>0</v>
      </c>
      <c r="G12" s="228">
        <f>D12*(1+'Resi Price Out'!$G$5)</f>
        <v>20.627060916729576</v>
      </c>
      <c r="H12" s="229">
        <f t="shared" si="2"/>
        <v>0</v>
      </c>
      <c r="I12" s="227">
        <f t="shared" si="3"/>
        <v>0</v>
      </c>
      <c r="J12" s="231">
        <v>1</v>
      </c>
      <c r="K12" s="232">
        <f t="shared" si="1"/>
        <v>0</v>
      </c>
      <c r="L12" s="345">
        <f t="shared" si="4"/>
        <v>5.1328283217613402E-2</v>
      </c>
      <c r="M12" s="521"/>
    </row>
    <row r="13" spans="1:13">
      <c r="A13" s="223" t="s">
        <v>305</v>
      </c>
      <c r="B13" s="1050">
        <f>SUM('[16]PT - No MF'!$J$11:$K$11)</f>
        <v>17</v>
      </c>
      <c r="C13" s="224">
        <f>+B13*4.33</f>
        <v>73.61</v>
      </c>
      <c r="D13" s="225">
        <v>16.16</v>
      </c>
      <c r="E13" s="226">
        <f t="shared" si="0"/>
        <v>1189.5376000000001</v>
      </c>
      <c r="F13" s="227">
        <f t="shared" si="5"/>
        <v>1250.5945228308001</v>
      </c>
      <c r="G13" s="228">
        <f>D13*(1+'Resi Price Out'!$G$5)</f>
        <v>16.989465056796632</v>
      </c>
      <c r="H13" s="229">
        <f t="shared" si="2"/>
        <v>14274.451200000001</v>
      </c>
      <c r="I13" s="227">
        <f t="shared" si="3"/>
        <v>15007.134273969601</v>
      </c>
      <c r="J13" s="231">
        <v>1</v>
      </c>
      <c r="K13" s="232">
        <f t="shared" si="1"/>
        <v>883.31999999999994</v>
      </c>
      <c r="L13" s="345">
        <f t="shared" si="4"/>
        <v>5.1328283217613402E-2</v>
      </c>
      <c r="M13" s="521"/>
    </row>
    <row r="14" spans="1:13">
      <c r="A14" s="223" t="s">
        <v>1049</v>
      </c>
      <c r="B14" s="1050">
        <f>SUM('[16]PT - No MF'!$I$19)</f>
        <v>1</v>
      </c>
      <c r="C14" s="224">
        <f>+B14*4.33</f>
        <v>4.33</v>
      </c>
      <c r="D14" s="225">
        <v>16.16</v>
      </c>
      <c r="E14" s="226">
        <f t="shared" ref="E14:E20" si="6">D14*C14</f>
        <v>69.972800000000007</v>
      </c>
      <c r="F14" s="227">
        <f t="shared" ref="F14:F20" si="7">C14*G14</f>
        <v>73.564383695929422</v>
      </c>
      <c r="G14" s="228">
        <f>D14*(1+'Resi Price Out'!$G$5)</f>
        <v>16.989465056796632</v>
      </c>
      <c r="H14" s="229">
        <f t="shared" ref="H14:I16" si="8">E14*12</f>
        <v>839.67360000000008</v>
      </c>
      <c r="I14" s="227">
        <f t="shared" si="8"/>
        <v>882.77260435115306</v>
      </c>
      <c r="J14" s="231">
        <v>1</v>
      </c>
      <c r="K14" s="232">
        <f t="shared" ref="K14:K20" si="9">+C14*J14*12</f>
        <v>51.96</v>
      </c>
      <c r="L14" s="345">
        <f t="shared" ref="L14:L20" si="10">+G14/D14-1</f>
        <v>5.1328283217613402E-2</v>
      </c>
      <c r="M14" s="521"/>
    </row>
    <row r="15" spans="1:13">
      <c r="A15" s="223" t="s">
        <v>1051</v>
      </c>
      <c r="B15" s="1050"/>
      <c r="C15" s="224">
        <f>+B15*4.33</f>
        <v>0</v>
      </c>
      <c r="D15" s="225">
        <v>16.16</v>
      </c>
      <c r="E15" s="226">
        <f t="shared" si="6"/>
        <v>0</v>
      </c>
      <c r="F15" s="227">
        <f t="shared" si="7"/>
        <v>0</v>
      </c>
      <c r="G15" s="228">
        <f>D15*(1+'Resi Price Out'!$G$5)</f>
        <v>16.989465056796632</v>
      </c>
      <c r="H15" s="229">
        <f t="shared" si="8"/>
        <v>0</v>
      </c>
      <c r="I15" s="227">
        <f t="shared" si="8"/>
        <v>0</v>
      </c>
      <c r="J15" s="231">
        <v>1</v>
      </c>
      <c r="K15" s="232">
        <f t="shared" si="9"/>
        <v>0</v>
      </c>
      <c r="L15" s="345">
        <f t="shared" si="10"/>
        <v>5.1328283217613402E-2</v>
      </c>
      <c r="M15" s="521"/>
    </row>
    <row r="16" spans="1:13">
      <c r="A16" s="223" t="s">
        <v>1052</v>
      </c>
      <c r="B16" s="1050"/>
      <c r="C16" s="224">
        <f>+B16*4.33</f>
        <v>0</v>
      </c>
      <c r="D16" s="225">
        <v>16.16</v>
      </c>
      <c r="E16" s="226">
        <f t="shared" si="6"/>
        <v>0</v>
      </c>
      <c r="F16" s="227">
        <f t="shared" si="7"/>
        <v>0</v>
      </c>
      <c r="G16" s="228">
        <f>D16*(1+'Resi Price Out'!$G$5)</f>
        <v>16.989465056796632</v>
      </c>
      <c r="H16" s="229">
        <f t="shared" si="8"/>
        <v>0</v>
      </c>
      <c r="I16" s="227">
        <f t="shared" si="8"/>
        <v>0</v>
      </c>
      <c r="J16" s="231">
        <v>1</v>
      </c>
      <c r="K16" s="232">
        <f t="shared" si="9"/>
        <v>0</v>
      </c>
      <c r="L16" s="345">
        <f t="shared" si="10"/>
        <v>5.1328283217613402E-2</v>
      </c>
      <c r="M16" s="521"/>
    </row>
    <row r="17" spans="1:13">
      <c r="A17" s="223" t="s">
        <v>1020</v>
      </c>
      <c r="B17" s="1050">
        <f>SUM('[16]PT - No MF'!$I$31:$J$31)</f>
        <v>2</v>
      </c>
      <c r="C17" s="224">
        <f>B17*1</f>
        <v>2</v>
      </c>
      <c r="D17" s="225">
        <v>22.74</v>
      </c>
      <c r="E17" s="226">
        <f t="shared" si="6"/>
        <v>45.48</v>
      </c>
      <c r="F17" s="227">
        <f t="shared" si="7"/>
        <v>47.814410320737053</v>
      </c>
      <c r="G17" s="228">
        <f>D17*(1+'Resi Price Out'!$G$5)</f>
        <v>23.907205160368527</v>
      </c>
      <c r="H17" s="229">
        <f t="shared" si="2"/>
        <v>545.76</v>
      </c>
      <c r="I17" s="227">
        <f>F17*12</f>
        <v>573.77292384884458</v>
      </c>
      <c r="J17" s="231">
        <v>1.25</v>
      </c>
      <c r="K17" s="232">
        <f t="shared" si="9"/>
        <v>30</v>
      </c>
      <c r="L17" s="345">
        <f t="shared" si="10"/>
        <v>5.1328283217613402E-2</v>
      </c>
      <c r="M17" s="521"/>
    </row>
    <row r="18" spans="1:13">
      <c r="A18" s="223" t="s">
        <v>1021</v>
      </c>
      <c r="B18" s="1050">
        <f>SUM('[16]PT - No MF'!$J$12:$K$12)</f>
        <v>15</v>
      </c>
      <c r="C18" s="234">
        <f>B18*4.333</f>
        <v>64.995000000000005</v>
      </c>
      <c r="D18" s="225">
        <v>19.05</v>
      </c>
      <c r="E18" s="226">
        <f t="shared" si="6"/>
        <v>1238.1547500000001</v>
      </c>
      <c r="F18" s="227">
        <f t="shared" si="7"/>
        <v>1301.7071076752336</v>
      </c>
      <c r="G18" s="228">
        <f>D18*(1+'Resi Price Out'!$G$5)</f>
        <v>20.027803795295537</v>
      </c>
      <c r="H18" s="229">
        <f t="shared" si="2"/>
        <v>14857.857000000002</v>
      </c>
      <c r="I18" s="227">
        <f>F18*12</f>
        <v>15620.485292102803</v>
      </c>
      <c r="J18" s="231">
        <v>1.25</v>
      </c>
      <c r="K18" s="232">
        <f t="shared" si="9"/>
        <v>974.92500000000007</v>
      </c>
      <c r="L18" s="345">
        <f t="shared" si="10"/>
        <v>5.1328283217613402E-2</v>
      </c>
      <c r="M18" s="521"/>
    </row>
    <row r="19" spans="1:13">
      <c r="A19" s="223" t="s">
        <v>1022</v>
      </c>
      <c r="B19" s="1050"/>
      <c r="C19" s="234">
        <f>B19*4.333*2</f>
        <v>0</v>
      </c>
      <c r="D19" s="225">
        <v>19.05</v>
      </c>
      <c r="E19" s="226">
        <f t="shared" si="6"/>
        <v>0</v>
      </c>
      <c r="F19" s="227">
        <f t="shared" si="7"/>
        <v>0</v>
      </c>
      <c r="G19" s="228">
        <f>D19*(1+'Resi Price Out'!$G$5)</f>
        <v>20.027803795295537</v>
      </c>
      <c r="H19" s="229">
        <f t="shared" si="2"/>
        <v>0</v>
      </c>
      <c r="I19" s="227">
        <f>F19*12</f>
        <v>0</v>
      </c>
      <c r="J19" s="231">
        <v>1.25</v>
      </c>
      <c r="K19" s="232">
        <f t="shared" si="9"/>
        <v>0</v>
      </c>
      <c r="L19" s="345">
        <f t="shared" si="10"/>
        <v>5.1328283217613402E-2</v>
      </c>
      <c r="M19" s="521"/>
    </row>
    <row r="20" spans="1:13">
      <c r="A20" s="223" t="s">
        <v>1023</v>
      </c>
      <c r="B20" s="1050"/>
      <c r="C20" s="234">
        <f>B20*4.333*3</f>
        <v>0</v>
      </c>
      <c r="D20" s="225">
        <v>19.05</v>
      </c>
      <c r="E20" s="226">
        <f t="shared" si="6"/>
        <v>0</v>
      </c>
      <c r="F20" s="227">
        <f t="shared" si="7"/>
        <v>0</v>
      </c>
      <c r="G20" s="228">
        <f>D20*(1+'Resi Price Out'!$G$5)</f>
        <v>20.027803795295537</v>
      </c>
      <c r="H20" s="229">
        <f t="shared" si="2"/>
        <v>0</v>
      </c>
      <c r="I20" s="227">
        <f>F20*12</f>
        <v>0</v>
      </c>
      <c r="J20" s="231">
        <v>1.25</v>
      </c>
      <c r="K20" s="232">
        <f t="shared" si="9"/>
        <v>0</v>
      </c>
      <c r="L20" s="345">
        <f t="shared" si="10"/>
        <v>5.1328283217613402E-2</v>
      </c>
      <c r="M20" s="521"/>
    </row>
    <row r="21" spans="1:13">
      <c r="A21" s="223" t="s">
        <v>561</v>
      </c>
      <c r="B21" s="1050"/>
      <c r="C21" s="224">
        <f>B21*1</f>
        <v>0</v>
      </c>
      <c r="D21" s="225">
        <v>0</v>
      </c>
      <c r="E21" s="226">
        <f t="shared" si="0"/>
        <v>0</v>
      </c>
      <c r="F21" s="227">
        <f t="shared" ref="F21:F27" si="11">C21*G21</f>
        <v>0</v>
      </c>
      <c r="G21" s="228">
        <f>D21*(1+'Resi Price Out'!$G$5)</f>
        <v>0</v>
      </c>
      <c r="H21" s="229">
        <f t="shared" ref="H21:H28" si="12">E21*12</f>
        <v>0</v>
      </c>
      <c r="I21" s="227">
        <f t="shared" ref="I21:I27" si="13">F21*12</f>
        <v>0</v>
      </c>
      <c r="J21" s="231">
        <v>1.5</v>
      </c>
      <c r="K21" s="232">
        <f t="shared" ref="K21:K27" si="14">+C21*J21*12</f>
        <v>0</v>
      </c>
      <c r="L21" s="345" t="e">
        <f t="shared" ref="L21:L27" si="15">+G21/D21-1</f>
        <v>#DIV/0!</v>
      </c>
      <c r="M21" s="521"/>
    </row>
    <row r="22" spans="1:13">
      <c r="A22" s="223" t="s">
        <v>562</v>
      </c>
      <c r="B22" s="1050"/>
      <c r="C22" s="234">
        <f>B22*4.333</f>
        <v>0</v>
      </c>
      <c r="D22" s="225">
        <v>0</v>
      </c>
      <c r="E22" s="226">
        <f t="shared" si="0"/>
        <v>0</v>
      </c>
      <c r="F22" s="227">
        <f t="shared" si="11"/>
        <v>0</v>
      </c>
      <c r="G22" s="228">
        <f>D22*(1+'Resi Price Out'!$G$5)</f>
        <v>0</v>
      </c>
      <c r="H22" s="229">
        <f t="shared" si="12"/>
        <v>0</v>
      </c>
      <c r="I22" s="227">
        <f t="shared" si="13"/>
        <v>0</v>
      </c>
      <c r="J22" s="231">
        <v>1.5</v>
      </c>
      <c r="K22" s="232">
        <f t="shared" si="14"/>
        <v>0</v>
      </c>
      <c r="L22" s="345" t="e">
        <f t="shared" si="15"/>
        <v>#DIV/0!</v>
      </c>
      <c r="M22" s="521"/>
    </row>
    <row r="23" spans="1:13">
      <c r="A23" s="223" t="s">
        <v>563</v>
      </c>
      <c r="B23" s="1050"/>
      <c r="C23" s="234">
        <f>B23*4.333*2</f>
        <v>0</v>
      </c>
      <c r="D23" s="225">
        <v>0</v>
      </c>
      <c r="E23" s="226">
        <f t="shared" si="0"/>
        <v>0</v>
      </c>
      <c r="F23" s="227">
        <f t="shared" si="11"/>
        <v>0</v>
      </c>
      <c r="G23" s="228">
        <f>D23*(1+'Resi Price Out'!$G$5)</f>
        <v>0</v>
      </c>
      <c r="H23" s="229">
        <f t="shared" si="12"/>
        <v>0</v>
      </c>
      <c r="I23" s="227">
        <f t="shared" si="13"/>
        <v>0</v>
      </c>
      <c r="J23" s="231">
        <v>1.5</v>
      </c>
      <c r="K23" s="232">
        <f t="shared" si="14"/>
        <v>0</v>
      </c>
      <c r="L23" s="345" t="e">
        <f t="shared" si="15"/>
        <v>#DIV/0!</v>
      </c>
      <c r="M23" s="521"/>
    </row>
    <row r="24" spans="1:13">
      <c r="A24" s="223" t="s">
        <v>564</v>
      </c>
      <c r="B24" s="1050"/>
      <c r="C24" s="234">
        <f>B24*4.333*3</f>
        <v>0</v>
      </c>
      <c r="D24" s="225">
        <v>0</v>
      </c>
      <c r="E24" s="226">
        <f t="shared" si="0"/>
        <v>0</v>
      </c>
      <c r="F24" s="227">
        <f t="shared" si="11"/>
        <v>0</v>
      </c>
      <c r="G24" s="228">
        <f>D24*(1+'Resi Price Out'!$G$5)</f>
        <v>0</v>
      </c>
      <c r="H24" s="229">
        <f t="shared" si="12"/>
        <v>0</v>
      </c>
      <c r="I24" s="227">
        <f t="shared" si="13"/>
        <v>0</v>
      </c>
      <c r="J24" s="231">
        <v>1.5</v>
      </c>
      <c r="K24" s="232">
        <f t="shared" si="14"/>
        <v>0</v>
      </c>
      <c r="L24" s="345" t="e">
        <f t="shared" si="15"/>
        <v>#DIV/0!</v>
      </c>
      <c r="M24" s="521"/>
    </row>
    <row r="25" spans="1:13">
      <c r="A25" s="223" t="s">
        <v>1050</v>
      </c>
      <c r="B25" s="1050"/>
      <c r="C25" s="234">
        <f>B25*4.333*3</f>
        <v>0</v>
      </c>
      <c r="D25" s="225">
        <v>0</v>
      </c>
      <c r="E25" s="226">
        <f>D25*C25</f>
        <v>0</v>
      </c>
      <c r="F25" s="227">
        <f>C25*G25</f>
        <v>0</v>
      </c>
      <c r="G25" s="228">
        <f>D25*(1+'Resi Price Out'!$G$5)</f>
        <v>0</v>
      </c>
      <c r="H25" s="229">
        <f>E25*12</f>
        <v>0</v>
      </c>
      <c r="I25" s="227">
        <f>F25*12</f>
        <v>0</v>
      </c>
      <c r="J25" s="231">
        <v>1.5</v>
      </c>
      <c r="K25" s="232">
        <f>+C25*J25*12</f>
        <v>0</v>
      </c>
      <c r="L25" s="345" t="e">
        <f>+G25/D25-1</f>
        <v>#DIV/0!</v>
      </c>
      <c r="M25" s="521"/>
    </row>
    <row r="26" spans="1:13">
      <c r="A26" s="223" t="s">
        <v>843</v>
      </c>
      <c r="B26" s="1050"/>
      <c r="C26" s="234">
        <f>B26*4.333</f>
        <v>0</v>
      </c>
      <c r="D26" s="225">
        <v>0</v>
      </c>
      <c r="E26" s="226">
        <f>D26*C26</f>
        <v>0</v>
      </c>
      <c r="F26" s="227">
        <f t="shared" si="11"/>
        <v>0</v>
      </c>
      <c r="G26" s="228">
        <f>D26*(1+'Resi Price Out'!$G$5)</f>
        <v>0</v>
      </c>
      <c r="H26" s="229">
        <f>E26*12</f>
        <v>0</v>
      </c>
      <c r="I26" s="227">
        <f t="shared" si="13"/>
        <v>0</v>
      </c>
      <c r="J26" s="231">
        <v>3</v>
      </c>
      <c r="K26" s="232">
        <f t="shared" si="14"/>
        <v>0</v>
      </c>
      <c r="L26" s="345" t="e">
        <f t="shared" si="15"/>
        <v>#DIV/0!</v>
      </c>
      <c r="M26" s="521"/>
    </row>
    <row r="27" spans="1:13">
      <c r="A27" s="223" t="s">
        <v>656</v>
      </c>
      <c r="B27" s="1050"/>
      <c r="C27" s="234">
        <f>B27*4.333</f>
        <v>0</v>
      </c>
      <c r="D27" s="225">
        <v>0</v>
      </c>
      <c r="E27" s="226">
        <f>D27*C27</f>
        <v>0</v>
      </c>
      <c r="F27" s="227">
        <f t="shared" si="11"/>
        <v>0</v>
      </c>
      <c r="G27" s="228">
        <f>D27*(1+'Resi Price Out'!$G$5)</f>
        <v>0</v>
      </c>
      <c r="H27" s="229">
        <f>E27*12</f>
        <v>0</v>
      </c>
      <c r="I27" s="227">
        <f t="shared" si="13"/>
        <v>0</v>
      </c>
      <c r="J27" s="231">
        <v>3</v>
      </c>
      <c r="K27" s="232">
        <f t="shared" si="14"/>
        <v>0</v>
      </c>
      <c r="L27" s="345" t="e">
        <f t="shared" si="15"/>
        <v>#DIV/0!</v>
      </c>
      <c r="M27" s="521"/>
    </row>
    <row r="28" spans="1:13">
      <c r="A28" s="223" t="s">
        <v>306</v>
      </c>
      <c r="B28" s="1050">
        <f>SUM('[16]PT - No MF'!$I$32:$J$32)</f>
        <v>5</v>
      </c>
      <c r="C28" s="234">
        <f>B28*1</f>
        <v>5</v>
      </c>
      <c r="D28" s="225">
        <v>33.47</v>
      </c>
      <c r="E28" s="226">
        <f t="shared" si="0"/>
        <v>167.35</v>
      </c>
      <c r="F28" s="227">
        <f t="shared" si="5"/>
        <v>175.93978819646762</v>
      </c>
      <c r="G28" s="228">
        <f>D28*(1+'Resi Price Out'!$G$5)</f>
        <v>35.187957639293522</v>
      </c>
      <c r="H28" s="229">
        <f t="shared" si="12"/>
        <v>2008.1999999999998</v>
      </c>
      <c r="I28" s="227">
        <f t="shared" si="3"/>
        <v>2111.2774583576115</v>
      </c>
      <c r="J28" s="231">
        <v>2</v>
      </c>
      <c r="K28" s="232">
        <f t="shared" si="1"/>
        <v>120</v>
      </c>
      <c r="L28" s="345">
        <f t="shared" si="4"/>
        <v>5.1328283217613402E-2</v>
      </c>
      <c r="M28" s="521"/>
    </row>
    <row r="29" spans="1:13">
      <c r="A29" s="223" t="s">
        <v>75</v>
      </c>
      <c r="B29" s="1050">
        <f>SUM('[16]PT - No MF'!$J$13:$K$13)</f>
        <v>22</v>
      </c>
      <c r="C29" s="234">
        <f>B29*4.333*1</f>
        <v>95.326000000000008</v>
      </c>
      <c r="D29" s="225">
        <v>29.44</v>
      </c>
      <c r="E29" s="226">
        <f t="shared" si="0"/>
        <v>2806.3974400000002</v>
      </c>
      <c r="F29" s="227">
        <f t="shared" si="5"/>
        <v>2950.4450026215054</v>
      </c>
      <c r="G29" s="228">
        <f>D29*(1+'Resi Price Out'!$G$5)</f>
        <v>30.951104657926539</v>
      </c>
      <c r="H29" s="229">
        <f>E29*12</f>
        <v>33676.76928</v>
      </c>
      <c r="I29" s="227">
        <f t="shared" si="3"/>
        <v>35405.340031458065</v>
      </c>
      <c r="J29" s="231">
        <v>2</v>
      </c>
      <c r="K29" s="232">
        <f t="shared" si="1"/>
        <v>2287.8240000000001</v>
      </c>
      <c r="L29" s="345">
        <f t="shared" si="4"/>
        <v>5.1328283217613402E-2</v>
      </c>
      <c r="M29" s="521"/>
    </row>
    <row r="30" spans="1:13">
      <c r="A30" s="223" t="s">
        <v>76</v>
      </c>
      <c r="B30" s="1050">
        <f>SUM('[16]PT - No MF'!$I$20)</f>
        <v>1</v>
      </c>
      <c r="C30" s="234">
        <f>B30*4.333*2</f>
        <v>8.6660000000000004</v>
      </c>
      <c r="D30" s="225">
        <v>29.44</v>
      </c>
      <c r="E30" s="226">
        <f t="shared" si="0"/>
        <v>255.12704000000002</v>
      </c>
      <c r="F30" s="227">
        <f t="shared" si="5"/>
        <v>268.2222729655914</v>
      </c>
      <c r="G30" s="228">
        <f>D30*(1+'Resi Price Out'!$G$5)</f>
        <v>30.951104657926539</v>
      </c>
      <c r="H30" s="229">
        <f>E30*12</f>
        <v>3061.52448</v>
      </c>
      <c r="I30" s="227">
        <f t="shared" si="3"/>
        <v>3218.6672755870968</v>
      </c>
      <c r="J30" s="231">
        <v>2</v>
      </c>
      <c r="K30" s="232">
        <f t="shared" si="1"/>
        <v>207.98400000000001</v>
      </c>
      <c r="L30" s="345">
        <f t="shared" si="4"/>
        <v>5.1328283217613402E-2</v>
      </c>
      <c r="M30" s="521"/>
    </row>
    <row r="31" spans="1:13">
      <c r="A31" s="223" t="s">
        <v>104</v>
      </c>
      <c r="B31" s="1050"/>
      <c r="C31" s="234">
        <f>B31*4.333*3</f>
        <v>0</v>
      </c>
      <c r="D31" s="225">
        <v>29.44</v>
      </c>
      <c r="E31" s="226">
        <f t="shared" si="0"/>
        <v>0</v>
      </c>
      <c r="F31" s="227">
        <f>C31*G31</f>
        <v>0</v>
      </c>
      <c r="G31" s="228">
        <f>D31*(1+'Resi Price Out'!$G$5)</f>
        <v>30.951104657926539</v>
      </c>
      <c r="H31" s="229">
        <f t="shared" ref="H31:I33" si="16">E31*12</f>
        <v>0</v>
      </c>
      <c r="I31" s="227">
        <f t="shared" si="16"/>
        <v>0</v>
      </c>
      <c r="J31" s="231">
        <v>2</v>
      </c>
      <c r="K31" s="232">
        <f>+C31*J31*12</f>
        <v>0</v>
      </c>
      <c r="L31" s="345">
        <f>+G31/D31-1</f>
        <v>5.1328283217613402E-2</v>
      </c>
      <c r="M31" s="521"/>
    </row>
    <row r="32" spans="1:13">
      <c r="A32" s="223" t="s">
        <v>567</v>
      </c>
      <c r="B32" s="1050"/>
      <c r="C32" s="234">
        <f>B32*4.333*4</f>
        <v>0</v>
      </c>
      <c r="D32" s="225">
        <v>29.44</v>
      </c>
      <c r="E32" s="226">
        <f>D32*C32</f>
        <v>0</v>
      </c>
      <c r="F32" s="227">
        <f>C32*G32</f>
        <v>0</v>
      </c>
      <c r="G32" s="228">
        <f>D32*(1+'Resi Price Out'!$G$5)</f>
        <v>30.951104657926539</v>
      </c>
      <c r="H32" s="229">
        <f t="shared" si="16"/>
        <v>0</v>
      </c>
      <c r="I32" s="227">
        <f t="shared" si="16"/>
        <v>0</v>
      </c>
      <c r="J32" s="231">
        <v>2</v>
      </c>
      <c r="K32" s="232">
        <f>+C32*J32*12</f>
        <v>0</v>
      </c>
      <c r="L32" s="345">
        <f>+G32/D32-1</f>
        <v>5.1328283217613402E-2</v>
      </c>
      <c r="M32" s="521"/>
    </row>
    <row r="33" spans="1:13">
      <c r="A33" s="223" t="s">
        <v>712</v>
      </c>
      <c r="B33" s="1050"/>
      <c r="C33" s="234">
        <f>B33*4.333*5</f>
        <v>0</v>
      </c>
      <c r="D33" s="225">
        <v>29.44</v>
      </c>
      <c r="E33" s="226">
        <f>D33*C33</f>
        <v>0</v>
      </c>
      <c r="F33" s="227">
        <f>C33*G33</f>
        <v>0</v>
      </c>
      <c r="G33" s="228">
        <f>D33*(1+'Resi Price Out'!$G$5)</f>
        <v>30.951104657926539</v>
      </c>
      <c r="H33" s="229">
        <f t="shared" si="16"/>
        <v>0</v>
      </c>
      <c r="I33" s="227">
        <f t="shared" si="16"/>
        <v>0</v>
      </c>
      <c r="J33" s="231">
        <v>2</v>
      </c>
      <c r="K33" s="232">
        <f>+C33*J33*12</f>
        <v>0</v>
      </c>
      <c r="L33" s="345">
        <f>+G33/D33-1</f>
        <v>5.1328283217613402E-2</v>
      </c>
      <c r="M33" s="521"/>
    </row>
    <row r="34" spans="1:13">
      <c r="A34" s="223" t="s">
        <v>713</v>
      </c>
      <c r="B34" s="1050"/>
      <c r="C34" s="234">
        <f>B34*4.333*6</f>
        <v>0</v>
      </c>
      <c r="D34" s="225">
        <v>29.44</v>
      </c>
      <c r="E34" s="226">
        <f>D34*C34</f>
        <v>0</v>
      </c>
      <c r="F34" s="227">
        <f t="shared" si="5"/>
        <v>0</v>
      </c>
      <c r="G34" s="228">
        <f>D34*(1+'Resi Price Out'!$G$5)</f>
        <v>30.951104657926539</v>
      </c>
      <c r="H34" s="229">
        <f t="shared" ref="H34:H70" si="17">E34*12</f>
        <v>0</v>
      </c>
      <c r="I34" s="227">
        <f t="shared" si="3"/>
        <v>0</v>
      </c>
      <c r="J34" s="231">
        <v>2</v>
      </c>
      <c r="K34" s="232">
        <f t="shared" si="1"/>
        <v>0</v>
      </c>
      <c r="L34" s="345">
        <f t="shared" si="4"/>
        <v>5.1328283217613402E-2</v>
      </c>
      <c r="M34" s="521"/>
    </row>
    <row r="35" spans="1:13">
      <c r="A35" s="223" t="s">
        <v>307</v>
      </c>
      <c r="B35" s="1050"/>
      <c r="C35" s="234">
        <f>B35*4.333</f>
        <v>0</v>
      </c>
      <c r="D35" s="225">
        <v>149.47</v>
      </c>
      <c r="E35" s="226">
        <f t="shared" si="0"/>
        <v>0</v>
      </c>
      <c r="F35" s="227">
        <f t="shared" si="5"/>
        <v>0</v>
      </c>
      <c r="G35" s="228">
        <f>D35*(1+'Resi Price Out'!$G$5)</f>
        <v>157.14203849253667</v>
      </c>
      <c r="H35" s="229">
        <f t="shared" si="17"/>
        <v>0</v>
      </c>
      <c r="I35" s="227">
        <f t="shared" si="3"/>
        <v>0</v>
      </c>
      <c r="J35" s="231">
        <v>3</v>
      </c>
      <c r="K35" s="232">
        <f t="shared" si="1"/>
        <v>0</v>
      </c>
      <c r="L35" s="345">
        <f t="shared" si="4"/>
        <v>5.1328283217613402E-2</v>
      </c>
      <c r="M35" s="521"/>
    </row>
    <row r="36" spans="1:13">
      <c r="A36" s="223" t="s">
        <v>657</v>
      </c>
      <c r="B36" s="1050"/>
      <c r="C36" s="234">
        <f>B36*4.333</f>
        <v>0</v>
      </c>
      <c r="D36" s="225">
        <v>156.4</v>
      </c>
      <c r="E36" s="226">
        <f>D36*C36</f>
        <v>0</v>
      </c>
      <c r="F36" s="227">
        <f>C36*G36</f>
        <v>0</v>
      </c>
      <c r="G36" s="228">
        <f>D36*(1+'Resi Price Out'!$G$5)</f>
        <v>164.42774349523475</v>
      </c>
      <c r="H36" s="229">
        <f t="shared" si="17"/>
        <v>0</v>
      </c>
      <c r="I36" s="227">
        <f>F36*12</f>
        <v>0</v>
      </c>
      <c r="J36" s="231">
        <v>3</v>
      </c>
      <c r="K36" s="232">
        <f>+C36*J36*12</f>
        <v>0</v>
      </c>
      <c r="L36" s="345">
        <f>+G36/D36-1</f>
        <v>5.1328283217613402E-2</v>
      </c>
      <c r="M36" s="521"/>
    </row>
    <row r="37" spans="1:13">
      <c r="A37" s="223" t="s">
        <v>77</v>
      </c>
      <c r="B37" s="1050">
        <f>SUM('[16]PT - No MF'!$I$33:$J$33)</f>
        <v>2</v>
      </c>
      <c r="C37" s="234">
        <f>B37*1</f>
        <v>2</v>
      </c>
      <c r="D37" s="225">
        <v>46.75</v>
      </c>
      <c r="E37" s="226">
        <f t="shared" si="0"/>
        <v>93.5</v>
      </c>
      <c r="F37" s="227">
        <f t="shared" si="5"/>
        <v>98.29919448084685</v>
      </c>
      <c r="G37" s="228">
        <f>D37*(1+'Resi Price Out'!$G$5)</f>
        <v>49.149597240423425</v>
      </c>
      <c r="H37" s="229">
        <f t="shared" si="17"/>
        <v>1122</v>
      </c>
      <c r="I37" s="227">
        <f t="shared" si="3"/>
        <v>1179.5903337701623</v>
      </c>
      <c r="J37" s="231">
        <v>3</v>
      </c>
      <c r="K37" s="232">
        <f t="shared" si="1"/>
        <v>72</v>
      </c>
      <c r="L37" s="345">
        <f t="shared" si="4"/>
        <v>5.1328283217613402E-2</v>
      </c>
      <c r="M37" s="521"/>
    </row>
    <row r="38" spans="1:13">
      <c r="A38" s="223" t="s">
        <v>78</v>
      </c>
      <c r="B38" s="1050">
        <f>SUM('[16]PT - No MF'!$J$14:$K$14)</f>
        <v>18</v>
      </c>
      <c r="C38" s="234">
        <f>B38*4.333*1</f>
        <v>77.994</v>
      </c>
      <c r="D38" s="225">
        <v>43.29</v>
      </c>
      <c r="E38" s="226">
        <f>D38*C38</f>
        <v>3376.3602599999999</v>
      </c>
      <c r="F38" s="227">
        <f t="shared" si="5"/>
        <v>3549.6630356699748</v>
      </c>
      <c r="G38" s="228">
        <f>D38*(1+'Resi Price Out'!$G$5)</f>
        <v>45.512001380490481</v>
      </c>
      <c r="H38" s="229">
        <f t="shared" si="17"/>
        <v>40516.323120000001</v>
      </c>
      <c r="I38" s="227">
        <f t="shared" si="3"/>
        <v>42595.956428039695</v>
      </c>
      <c r="J38" s="231">
        <v>3</v>
      </c>
      <c r="K38" s="232">
        <f t="shared" si="1"/>
        <v>2807.7840000000001</v>
      </c>
      <c r="L38" s="345">
        <f t="shared" si="4"/>
        <v>5.1328283217613402E-2</v>
      </c>
      <c r="M38" s="521"/>
    </row>
    <row r="39" spans="1:13">
      <c r="A39" s="223" t="s">
        <v>79</v>
      </c>
      <c r="B39" s="1050">
        <f>SUM('[16]PT - No MF'!$I$21)</f>
        <v>2</v>
      </c>
      <c r="C39" s="234">
        <f>B39*4.333*2</f>
        <v>17.332000000000001</v>
      </c>
      <c r="D39" s="225">
        <v>43.29</v>
      </c>
      <c r="E39" s="226">
        <f t="shared" si="0"/>
        <v>750.30228</v>
      </c>
      <c r="F39" s="227">
        <f t="shared" si="5"/>
        <v>788.81400792666102</v>
      </c>
      <c r="G39" s="228">
        <f>D39*(1+'Resi Price Out'!$G$5)</f>
        <v>45.512001380490481</v>
      </c>
      <c r="H39" s="229">
        <f t="shared" si="17"/>
        <v>9003.6273600000004</v>
      </c>
      <c r="I39" s="227">
        <f t="shared" si="3"/>
        <v>9465.7680951199327</v>
      </c>
      <c r="J39" s="231">
        <v>3</v>
      </c>
      <c r="K39" s="232">
        <f t="shared" si="1"/>
        <v>623.952</v>
      </c>
      <c r="L39" s="345">
        <f t="shared" si="4"/>
        <v>5.1328283217613402E-2</v>
      </c>
      <c r="M39" s="521"/>
    </row>
    <row r="40" spans="1:13">
      <c r="A40" s="223" t="s">
        <v>80</v>
      </c>
      <c r="B40" s="1050">
        <f>SUM('[16]PT - No MF'!$I$26)</f>
        <v>2</v>
      </c>
      <c r="C40" s="234">
        <f>B40*4.333*3</f>
        <v>25.998000000000001</v>
      </c>
      <c r="D40" s="225">
        <v>43.29</v>
      </c>
      <c r="E40" s="226">
        <f t="shared" si="0"/>
        <v>1125.4534200000001</v>
      </c>
      <c r="F40" s="227">
        <f t="shared" si="5"/>
        <v>1183.2210118899916</v>
      </c>
      <c r="G40" s="228">
        <f>D40*(1+'Resi Price Out'!$G$5)</f>
        <v>45.512001380490481</v>
      </c>
      <c r="H40" s="229">
        <f t="shared" si="17"/>
        <v>13505.441040000002</v>
      </c>
      <c r="I40" s="227">
        <f t="shared" si="3"/>
        <v>14198.652142679899</v>
      </c>
      <c r="J40" s="231">
        <v>3</v>
      </c>
      <c r="K40" s="232">
        <f t="shared" si="1"/>
        <v>935.928</v>
      </c>
      <c r="L40" s="345">
        <f t="shared" si="4"/>
        <v>5.1328283217613402E-2</v>
      </c>
      <c r="M40" s="521"/>
    </row>
    <row r="41" spans="1:13">
      <c r="A41" s="223" t="s">
        <v>308</v>
      </c>
      <c r="B41" s="1050"/>
      <c r="C41" s="234">
        <f>B41*4.333</f>
        <v>0</v>
      </c>
      <c r="D41" s="225">
        <v>260.44</v>
      </c>
      <c r="E41" s="226">
        <f t="shared" si="0"/>
        <v>0</v>
      </c>
      <c r="F41" s="227">
        <f t="shared" si="5"/>
        <v>0</v>
      </c>
      <c r="G41" s="228">
        <f>D41*(1+'Resi Price Out'!$G$5)</f>
        <v>273.80793808119523</v>
      </c>
      <c r="H41" s="229">
        <f t="shared" si="17"/>
        <v>0</v>
      </c>
      <c r="I41" s="227">
        <f t="shared" si="3"/>
        <v>0</v>
      </c>
      <c r="J41" s="231">
        <v>4</v>
      </c>
      <c r="K41" s="232">
        <f t="shared" si="1"/>
        <v>0</v>
      </c>
      <c r="L41" s="345">
        <f t="shared" si="4"/>
        <v>5.1328283217613402E-2</v>
      </c>
      <c r="M41" s="521"/>
    </row>
    <row r="42" spans="1:13">
      <c r="A42" s="223" t="s">
        <v>658</v>
      </c>
      <c r="B42" s="1050"/>
      <c r="C42" s="234">
        <f>B42*4.333</f>
        <v>0</v>
      </c>
      <c r="D42" s="225">
        <v>208.77</v>
      </c>
      <c r="E42" s="226">
        <f>D42*C42</f>
        <v>0</v>
      </c>
      <c r="F42" s="227">
        <f>C42*G42</f>
        <v>0</v>
      </c>
      <c r="G42" s="228">
        <f>D42*(1+'Resi Price Out'!$G$5)</f>
        <v>219.48580568734116</v>
      </c>
      <c r="H42" s="229">
        <f t="shared" si="17"/>
        <v>0</v>
      </c>
      <c r="I42" s="227">
        <f>F42*12</f>
        <v>0</v>
      </c>
      <c r="J42" s="231">
        <v>4</v>
      </c>
      <c r="K42" s="232">
        <f>+C42*J42*12</f>
        <v>0</v>
      </c>
      <c r="L42" s="345">
        <f>+G42/D42-1</f>
        <v>5.1328283217613402E-2</v>
      </c>
      <c r="M42" s="521"/>
    </row>
    <row r="43" spans="1:13">
      <c r="A43" s="223" t="s">
        <v>81</v>
      </c>
      <c r="B43" s="1050">
        <f>SUM('[16]PT - No MF'!$I$34:$J$34)</f>
        <v>8</v>
      </c>
      <c r="C43" s="234">
        <f>B43*1</f>
        <v>8</v>
      </c>
      <c r="D43" s="225">
        <v>61.18</v>
      </c>
      <c r="E43" s="226">
        <f t="shared" si="0"/>
        <v>489.44</v>
      </c>
      <c r="F43" s="227">
        <f t="shared" si="5"/>
        <v>514.56211493802869</v>
      </c>
      <c r="G43" s="228">
        <f>D43*(1+'Resi Price Out'!$G$5)</f>
        <v>64.320264367253586</v>
      </c>
      <c r="H43" s="229">
        <f t="shared" si="17"/>
        <v>5873.28</v>
      </c>
      <c r="I43" s="227">
        <f t="shared" si="3"/>
        <v>6174.7453792563447</v>
      </c>
      <c r="J43" s="231">
        <v>4</v>
      </c>
      <c r="K43" s="232">
        <f t="shared" si="1"/>
        <v>384</v>
      </c>
      <c r="L43" s="345">
        <f t="shared" si="4"/>
        <v>5.1328283217613402E-2</v>
      </c>
      <c r="M43" s="521"/>
    </row>
    <row r="44" spans="1:13">
      <c r="A44" s="223" t="s">
        <v>82</v>
      </c>
      <c r="B44" s="1050">
        <f>SUM('[16]PT - No MF'!$J$15:$K$15)</f>
        <v>30</v>
      </c>
      <c r="C44" s="234">
        <f>B44*4.333*1</f>
        <v>129.99</v>
      </c>
      <c r="D44" s="225">
        <v>55.41</v>
      </c>
      <c r="E44" s="226">
        <f t="shared" si="0"/>
        <v>7202.7458999999999</v>
      </c>
      <c r="F44" s="227">
        <f t="shared" si="5"/>
        <v>7572.4504814997035</v>
      </c>
      <c r="G44" s="228">
        <f>D44*(1+'Resi Price Out'!$G$5)</f>
        <v>58.254100173087956</v>
      </c>
      <c r="H44" s="229">
        <f t="shared" si="17"/>
        <v>86432.950799999991</v>
      </c>
      <c r="I44" s="227">
        <f t="shared" si="3"/>
        <v>90869.405777996435</v>
      </c>
      <c r="J44" s="231">
        <v>4</v>
      </c>
      <c r="K44" s="232">
        <f t="shared" si="1"/>
        <v>6239.52</v>
      </c>
      <c r="L44" s="345">
        <f t="shared" si="4"/>
        <v>5.1328283217613402E-2</v>
      </c>
      <c r="M44" s="521"/>
    </row>
    <row r="45" spans="1:13">
      <c r="A45" s="223" t="s">
        <v>83</v>
      </c>
      <c r="B45" s="1050">
        <f>SUM('[16]PT - No MF'!$I$22)</f>
        <v>9</v>
      </c>
      <c r="C45" s="234">
        <f>B45*4.333*2</f>
        <v>77.994</v>
      </c>
      <c r="D45" s="225">
        <v>55.41</v>
      </c>
      <c r="E45" s="226">
        <f t="shared" si="0"/>
        <v>4321.6475399999999</v>
      </c>
      <c r="F45" s="227">
        <f t="shared" si="5"/>
        <v>4543.4702888998218</v>
      </c>
      <c r="G45" s="228">
        <f>D45*(1+'Resi Price Out'!$G$5)</f>
        <v>58.254100173087956</v>
      </c>
      <c r="H45" s="229">
        <f t="shared" si="17"/>
        <v>51859.770479999999</v>
      </c>
      <c r="I45" s="227">
        <f t="shared" si="3"/>
        <v>54521.643466797861</v>
      </c>
      <c r="J45" s="231">
        <v>4</v>
      </c>
      <c r="K45" s="232">
        <f t="shared" si="1"/>
        <v>3743.712</v>
      </c>
      <c r="L45" s="345">
        <f t="shared" si="4"/>
        <v>5.1328283217613402E-2</v>
      </c>
      <c r="M45" s="521"/>
    </row>
    <row r="46" spans="1:13">
      <c r="A46" s="223" t="s">
        <v>84</v>
      </c>
      <c r="B46" s="1050">
        <f>SUM('[16]PT - No MF'!$I$27)</f>
        <v>3</v>
      </c>
      <c r="C46" s="234">
        <f>B46*4.333*3</f>
        <v>38.997</v>
      </c>
      <c r="D46" s="225">
        <v>55.41</v>
      </c>
      <c r="E46" s="226">
        <f t="shared" si="0"/>
        <v>2160.82377</v>
      </c>
      <c r="F46" s="227">
        <f t="shared" si="5"/>
        <v>2271.7351444499109</v>
      </c>
      <c r="G46" s="228">
        <f>D46*(1+'Resi Price Out'!$G$5)</f>
        <v>58.254100173087956</v>
      </c>
      <c r="H46" s="229">
        <f t="shared" si="17"/>
        <v>25929.88524</v>
      </c>
      <c r="I46" s="227">
        <f t="shared" si="3"/>
        <v>27260.821733398931</v>
      </c>
      <c r="J46" s="231">
        <v>4</v>
      </c>
      <c r="K46" s="232">
        <f t="shared" si="1"/>
        <v>1871.856</v>
      </c>
      <c r="L46" s="345">
        <f t="shared" si="4"/>
        <v>5.1328283217613402E-2</v>
      </c>
      <c r="M46" s="521"/>
    </row>
    <row r="47" spans="1:13">
      <c r="A47" s="223" t="s">
        <v>569</v>
      </c>
      <c r="B47" s="1050"/>
      <c r="C47" s="234">
        <f>B47*4.333*4</f>
        <v>0</v>
      </c>
      <c r="D47" s="225">
        <v>55.41</v>
      </c>
      <c r="E47" s="226">
        <f>D47*C47</f>
        <v>0</v>
      </c>
      <c r="F47" s="227">
        <f>C47*G47</f>
        <v>0</v>
      </c>
      <c r="G47" s="228">
        <f>D47*(1+'Resi Price Out'!$G$5)</f>
        <v>58.254100173087956</v>
      </c>
      <c r="H47" s="229">
        <f t="shared" si="17"/>
        <v>0</v>
      </c>
      <c r="I47" s="227">
        <f>F47*12</f>
        <v>0</v>
      </c>
      <c r="J47" s="231">
        <v>4</v>
      </c>
      <c r="K47" s="232">
        <f>+C47*J47*12</f>
        <v>0</v>
      </c>
      <c r="L47" s="345">
        <f>+G47/D47-1</f>
        <v>5.1328283217613402E-2</v>
      </c>
      <c r="M47" s="521"/>
    </row>
    <row r="48" spans="1:13">
      <c r="A48" s="223" t="s">
        <v>636</v>
      </c>
      <c r="B48" s="1050"/>
      <c r="C48" s="234">
        <f>B48*4.333*5</f>
        <v>0</v>
      </c>
      <c r="D48" s="225">
        <v>55.41</v>
      </c>
      <c r="E48" s="226">
        <f>D48*C48</f>
        <v>0</v>
      </c>
      <c r="F48" s="227">
        <f>C48*G48</f>
        <v>0</v>
      </c>
      <c r="G48" s="228">
        <f>D48*(1+'Resi Price Out'!$G$5)</f>
        <v>58.254100173087956</v>
      </c>
      <c r="H48" s="229">
        <f t="shared" si="17"/>
        <v>0</v>
      </c>
      <c r="I48" s="227">
        <f>F48*12</f>
        <v>0</v>
      </c>
      <c r="J48" s="231">
        <v>4</v>
      </c>
      <c r="K48" s="232">
        <f>+C48*J48*12</f>
        <v>0</v>
      </c>
      <c r="L48" s="345">
        <f>+G48/D48-1</f>
        <v>5.1328283217613402E-2</v>
      </c>
      <c r="M48" s="521"/>
    </row>
    <row r="49" spans="1:13">
      <c r="A49" s="223" t="s">
        <v>714</v>
      </c>
      <c r="B49" s="1050"/>
      <c r="C49" s="234">
        <f>B49*4.333*8</f>
        <v>0</v>
      </c>
      <c r="D49" s="225">
        <v>55.41</v>
      </c>
      <c r="E49" s="226">
        <f>D49*C49</f>
        <v>0</v>
      </c>
      <c r="F49" s="227">
        <f t="shared" si="5"/>
        <v>0</v>
      </c>
      <c r="G49" s="228">
        <f>D49*(1+'Resi Price Out'!$G$5)</f>
        <v>58.254100173087956</v>
      </c>
      <c r="H49" s="229">
        <f t="shared" si="17"/>
        <v>0</v>
      </c>
      <c r="I49" s="227">
        <f t="shared" si="3"/>
        <v>0</v>
      </c>
      <c r="J49" s="231">
        <v>4</v>
      </c>
      <c r="K49" s="232">
        <f t="shared" si="1"/>
        <v>0</v>
      </c>
      <c r="L49" s="345">
        <f t="shared" si="4"/>
        <v>5.1328283217613402E-2</v>
      </c>
      <c r="M49" s="521"/>
    </row>
    <row r="50" spans="1:13">
      <c r="A50" s="223" t="s">
        <v>660</v>
      </c>
      <c r="B50" s="1050"/>
      <c r="C50" s="234">
        <f>B50*4.333</f>
        <v>0</v>
      </c>
      <c r="D50" s="225"/>
      <c r="E50" s="226">
        <f t="shared" si="0"/>
        <v>0</v>
      </c>
      <c r="F50" s="227">
        <f t="shared" si="5"/>
        <v>0</v>
      </c>
      <c r="G50" s="228">
        <f>D50*(1+'Resi Price Out'!$G$5)</f>
        <v>0</v>
      </c>
      <c r="H50" s="229">
        <f t="shared" si="17"/>
        <v>0</v>
      </c>
      <c r="I50" s="227">
        <f t="shared" si="3"/>
        <v>0</v>
      </c>
      <c r="J50" s="231">
        <v>6</v>
      </c>
      <c r="K50" s="232">
        <f t="shared" si="1"/>
        <v>0</v>
      </c>
      <c r="L50" s="345" t="e">
        <f t="shared" si="4"/>
        <v>#DIV/0!</v>
      </c>
      <c r="M50" s="521"/>
    </row>
    <row r="51" spans="1:13">
      <c r="A51" s="223" t="s">
        <v>659</v>
      </c>
      <c r="B51" s="1050"/>
      <c r="C51" s="234">
        <f>B51*4.333</f>
        <v>0</v>
      </c>
      <c r="D51" s="225"/>
      <c r="E51" s="226">
        <f>D51*C51</f>
        <v>0</v>
      </c>
      <c r="F51" s="227">
        <f>C51*G51</f>
        <v>0</v>
      </c>
      <c r="G51" s="228">
        <f>D51*(1+'Resi Price Out'!$G$5)</f>
        <v>0</v>
      </c>
      <c r="H51" s="229">
        <f t="shared" si="17"/>
        <v>0</v>
      </c>
      <c r="I51" s="227">
        <f>F51*12</f>
        <v>0</v>
      </c>
      <c r="J51" s="231">
        <v>6</v>
      </c>
      <c r="K51" s="232">
        <f>+C51*J51*12</f>
        <v>0</v>
      </c>
      <c r="L51" s="345" t="e">
        <f>+G51/D51-1</f>
        <v>#DIV/0!</v>
      </c>
      <c r="M51" s="521"/>
    </row>
    <row r="52" spans="1:13">
      <c r="A52" s="223" t="s">
        <v>309</v>
      </c>
      <c r="B52" s="1050"/>
      <c r="C52" s="234">
        <f>B52*4.333</f>
        <v>0</v>
      </c>
      <c r="D52" s="225">
        <v>333.55</v>
      </c>
      <c r="E52" s="226">
        <f t="shared" si="0"/>
        <v>0</v>
      </c>
      <c r="F52" s="227">
        <f t="shared" si="5"/>
        <v>0</v>
      </c>
      <c r="G52" s="228">
        <f>D52*(1+'Resi Price Out'!$G$5)</f>
        <v>350.67054886723497</v>
      </c>
      <c r="H52" s="229">
        <f t="shared" si="17"/>
        <v>0</v>
      </c>
      <c r="I52" s="227">
        <f t="shared" si="3"/>
        <v>0</v>
      </c>
      <c r="J52" s="231">
        <v>6</v>
      </c>
      <c r="K52" s="232">
        <f t="shared" si="1"/>
        <v>0</v>
      </c>
      <c r="L52" s="345">
        <f t="shared" si="4"/>
        <v>5.1328283217613402E-2</v>
      </c>
      <c r="M52" s="521"/>
    </row>
    <row r="53" spans="1:13">
      <c r="A53" s="223" t="s">
        <v>661</v>
      </c>
      <c r="B53" s="1050"/>
      <c r="C53" s="234">
        <f>B53*4.333</f>
        <v>0</v>
      </c>
      <c r="D53" s="225">
        <v>309.02999999999997</v>
      </c>
      <c r="E53" s="226">
        <f>D53*C53</f>
        <v>0</v>
      </c>
      <c r="F53" s="227">
        <f>C53*G53</f>
        <v>0</v>
      </c>
      <c r="G53" s="228">
        <f>D53*(1+'Resi Price Out'!$G$5)</f>
        <v>324.89197936273905</v>
      </c>
      <c r="H53" s="229">
        <f t="shared" si="17"/>
        <v>0</v>
      </c>
      <c r="I53" s="227">
        <f>F53*12</f>
        <v>0</v>
      </c>
      <c r="J53" s="231">
        <v>6</v>
      </c>
      <c r="K53" s="232">
        <f>+C53*J53*12</f>
        <v>0</v>
      </c>
      <c r="L53" s="345">
        <f>+G53/D53-1</f>
        <v>5.1328283217613402E-2</v>
      </c>
      <c r="M53" s="521"/>
    </row>
    <row r="54" spans="1:13">
      <c r="A54" s="223" t="s">
        <v>85</v>
      </c>
      <c r="B54" s="1050">
        <f>SUM('[16]PT - No MF'!$I$35:$J$35)</f>
        <v>8</v>
      </c>
      <c r="C54" s="234">
        <f>+B54*1</f>
        <v>8</v>
      </c>
      <c r="D54" s="225">
        <v>91.19</v>
      </c>
      <c r="E54" s="226">
        <f t="shared" si="0"/>
        <v>729.52</v>
      </c>
      <c r="F54" s="227">
        <f t="shared" si="5"/>
        <v>766.96500917291326</v>
      </c>
      <c r="G54" s="228">
        <f>D54*(1+'Resi Price Out'!$G$5)</f>
        <v>95.870626146614157</v>
      </c>
      <c r="H54" s="229">
        <f t="shared" si="17"/>
        <v>8754.24</v>
      </c>
      <c r="I54" s="227">
        <f t="shared" si="3"/>
        <v>9203.5801100749595</v>
      </c>
      <c r="J54" s="231">
        <v>6</v>
      </c>
      <c r="K54" s="232">
        <f t="shared" si="1"/>
        <v>576</v>
      </c>
      <c r="L54" s="345">
        <f t="shared" si="4"/>
        <v>5.1328283217613402E-2</v>
      </c>
      <c r="M54" s="521"/>
    </row>
    <row r="55" spans="1:13">
      <c r="A55" s="223" t="s">
        <v>86</v>
      </c>
      <c r="B55" s="1050">
        <f>SUM('[16]PT - No MF'!$J$16:$K$16)</f>
        <v>14</v>
      </c>
      <c r="C55" s="234">
        <f>B55*4.333</f>
        <v>60.662000000000006</v>
      </c>
      <c r="D55" s="225">
        <v>83.11</v>
      </c>
      <c r="E55" s="226">
        <f>D55*C55</f>
        <v>5041.6188200000006</v>
      </c>
      <c r="F55" s="227">
        <f t="shared" si="5"/>
        <v>5300.3964586682105</v>
      </c>
      <c r="G55" s="228">
        <f>D55*(1+'Resi Price Out'!$G$5)</f>
        <v>87.375893618215855</v>
      </c>
      <c r="H55" s="229">
        <f t="shared" si="17"/>
        <v>60499.425840000011</v>
      </c>
      <c r="I55" s="227">
        <f t="shared" si="3"/>
        <v>63604.757504018526</v>
      </c>
      <c r="J55" s="231">
        <v>6</v>
      </c>
      <c r="K55" s="232">
        <f t="shared" si="1"/>
        <v>4367.6640000000007</v>
      </c>
      <c r="L55" s="345">
        <f t="shared" si="4"/>
        <v>5.1328283217613402E-2</v>
      </c>
      <c r="M55" s="521"/>
    </row>
    <row r="56" spans="1:13">
      <c r="A56" s="223" t="s">
        <v>87</v>
      </c>
      <c r="B56" s="1050">
        <f>SUM('[16]PT - No MF'!$I$23)</f>
        <v>4</v>
      </c>
      <c r="C56" s="234">
        <f>B56*4.333*2</f>
        <v>34.664000000000001</v>
      </c>
      <c r="D56" s="225">
        <v>83.11</v>
      </c>
      <c r="E56" s="226">
        <f t="shared" si="0"/>
        <v>2880.9250400000001</v>
      </c>
      <c r="F56" s="227">
        <f t="shared" si="5"/>
        <v>3028.7979763818344</v>
      </c>
      <c r="G56" s="228">
        <f>D56*(1+'Resi Price Out'!$G$5)</f>
        <v>87.375893618215855</v>
      </c>
      <c r="H56" s="229">
        <f t="shared" si="17"/>
        <v>34571.100480000001</v>
      </c>
      <c r="I56" s="227">
        <f t="shared" si="3"/>
        <v>36345.575716582011</v>
      </c>
      <c r="J56" s="231">
        <v>6</v>
      </c>
      <c r="K56" s="232">
        <f t="shared" si="1"/>
        <v>2495.808</v>
      </c>
      <c r="L56" s="345">
        <f t="shared" si="4"/>
        <v>5.1328283217613402E-2</v>
      </c>
      <c r="M56" s="521"/>
    </row>
    <row r="57" spans="1:13">
      <c r="A57" s="223" t="s">
        <v>88</v>
      </c>
      <c r="B57" s="1050"/>
      <c r="C57" s="234">
        <f>B57*4.333*3</f>
        <v>0</v>
      </c>
      <c r="D57" s="225">
        <v>83.11</v>
      </c>
      <c r="E57" s="226">
        <f t="shared" si="0"/>
        <v>0</v>
      </c>
      <c r="F57" s="227">
        <f t="shared" si="5"/>
        <v>0</v>
      </c>
      <c r="G57" s="228">
        <f>D57*(1+'Resi Price Out'!$G$5)</f>
        <v>87.375893618215855</v>
      </c>
      <c r="H57" s="229">
        <f t="shared" si="17"/>
        <v>0</v>
      </c>
      <c r="I57" s="227">
        <f t="shared" si="3"/>
        <v>0</v>
      </c>
      <c r="J57" s="231">
        <v>6</v>
      </c>
      <c r="K57" s="232">
        <f t="shared" si="1"/>
        <v>0</v>
      </c>
      <c r="L57" s="345">
        <f t="shared" si="4"/>
        <v>5.1328283217613402E-2</v>
      </c>
      <c r="M57" s="521"/>
    </row>
    <row r="58" spans="1:13">
      <c r="A58" s="223" t="s">
        <v>1053</v>
      </c>
      <c r="B58" s="1050"/>
      <c r="C58" s="234">
        <f>B58*4.333*6</f>
        <v>0</v>
      </c>
      <c r="D58" s="225">
        <v>83.11</v>
      </c>
      <c r="E58" s="226">
        <f t="shared" si="0"/>
        <v>0</v>
      </c>
      <c r="F58" s="227">
        <f t="shared" si="5"/>
        <v>0</v>
      </c>
      <c r="G58" s="228">
        <f>D58*(1+'Resi Price Out'!$G$5)</f>
        <v>87.375893618215855</v>
      </c>
      <c r="H58" s="229">
        <f t="shared" si="17"/>
        <v>0</v>
      </c>
      <c r="I58" s="227">
        <f t="shared" si="3"/>
        <v>0</v>
      </c>
      <c r="J58" s="231">
        <v>6</v>
      </c>
      <c r="K58" s="232">
        <f t="shared" si="1"/>
        <v>0</v>
      </c>
      <c r="L58" s="345">
        <f t="shared" si="4"/>
        <v>5.1328283217613402E-2</v>
      </c>
      <c r="M58" s="521"/>
    </row>
    <row r="59" spans="1:13">
      <c r="A59" s="223" t="s">
        <v>89</v>
      </c>
      <c r="B59" s="1050">
        <f>SUM('[16]PT - No MF'!$I$36:$J$36)</f>
        <v>4</v>
      </c>
      <c r="C59" s="234">
        <f>+B59*1</f>
        <v>4</v>
      </c>
      <c r="D59" s="225">
        <v>110.83</v>
      </c>
      <c r="E59" s="226">
        <f t="shared" si="0"/>
        <v>443.32</v>
      </c>
      <c r="F59" s="227">
        <f t="shared" si="5"/>
        <v>466.07485451603236</v>
      </c>
      <c r="G59" s="228">
        <f>D59*(1+'Resi Price Out'!$G$5)</f>
        <v>116.51871362900809</v>
      </c>
      <c r="H59" s="229">
        <f t="shared" si="17"/>
        <v>5319.84</v>
      </c>
      <c r="I59" s="227">
        <f t="shared" si="3"/>
        <v>5592.8982541923888</v>
      </c>
      <c r="J59" s="231">
        <v>8</v>
      </c>
      <c r="K59" s="232">
        <f t="shared" si="1"/>
        <v>384</v>
      </c>
      <c r="L59" s="345">
        <f t="shared" ref="L59:L68" si="18">+G59/D59-1</f>
        <v>5.1328283217613402E-2</v>
      </c>
      <c r="M59" s="521"/>
    </row>
    <row r="60" spans="1:13">
      <c r="A60" s="223" t="s">
        <v>90</v>
      </c>
      <c r="B60" s="1050">
        <f>SUM('[16]PT - No MF'!$I$17)</f>
        <v>4</v>
      </c>
      <c r="C60" s="234">
        <f>B60*4.333</f>
        <v>17.332000000000001</v>
      </c>
      <c r="D60" s="225">
        <v>108.53</v>
      </c>
      <c r="E60" s="226">
        <f t="shared" si="0"/>
        <v>1881.04196</v>
      </c>
      <c r="F60" s="227">
        <f t="shared" si="5"/>
        <v>1977.5926144670948</v>
      </c>
      <c r="G60" s="228">
        <f>D60*(1+'Resi Price Out'!$G$5)</f>
        <v>114.10065857760759</v>
      </c>
      <c r="H60" s="229">
        <f t="shared" si="17"/>
        <v>22572.503519999998</v>
      </c>
      <c r="I60" s="227">
        <f t="shared" si="3"/>
        <v>23731.111373605137</v>
      </c>
      <c r="J60" s="231">
        <v>8</v>
      </c>
      <c r="K60" s="232">
        <f t="shared" si="1"/>
        <v>1663.8720000000001</v>
      </c>
      <c r="L60" s="345">
        <f t="shared" si="18"/>
        <v>5.1328283217613402E-2</v>
      </c>
      <c r="M60" s="521"/>
    </row>
    <row r="61" spans="1:13">
      <c r="A61" s="223" t="s">
        <v>91</v>
      </c>
      <c r="B61" s="1050">
        <f>SUM('[16]PT - No MF'!$I$24)</f>
        <v>5</v>
      </c>
      <c r="C61" s="234">
        <f>B61*4.333*2</f>
        <v>43.33</v>
      </c>
      <c r="D61" s="225">
        <v>108.53</v>
      </c>
      <c r="E61" s="226">
        <f t="shared" si="0"/>
        <v>4702.6049000000003</v>
      </c>
      <c r="F61" s="227">
        <f t="shared" si="5"/>
        <v>4943.9815361677365</v>
      </c>
      <c r="G61" s="228">
        <f>D61*(1+'Resi Price Out'!$G$5)</f>
        <v>114.10065857760759</v>
      </c>
      <c r="H61" s="229">
        <f t="shared" si="17"/>
        <v>56431.258800000003</v>
      </c>
      <c r="I61" s="227">
        <f t="shared" si="3"/>
        <v>59327.778434012842</v>
      </c>
      <c r="J61" s="231">
        <v>8</v>
      </c>
      <c r="K61" s="232">
        <f t="shared" si="1"/>
        <v>4159.68</v>
      </c>
      <c r="L61" s="345">
        <f t="shared" si="18"/>
        <v>5.1328283217613402E-2</v>
      </c>
      <c r="M61" s="521"/>
    </row>
    <row r="62" spans="1:13">
      <c r="A62" s="223" t="s">
        <v>92</v>
      </c>
      <c r="B62" s="1050"/>
      <c r="C62" s="234">
        <f>B62*4.333*3</f>
        <v>0</v>
      </c>
      <c r="D62" s="225">
        <v>108.53</v>
      </c>
      <c r="E62" s="226">
        <f t="shared" si="0"/>
        <v>0</v>
      </c>
      <c r="F62" s="227">
        <f t="shared" si="5"/>
        <v>0</v>
      </c>
      <c r="G62" s="228">
        <f>D62*(1+'Resi Price Out'!$G$5)</f>
        <v>114.10065857760759</v>
      </c>
      <c r="H62" s="229">
        <f t="shared" si="17"/>
        <v>0</v>
      </c>
      <c r="I62" s="227">
        <f t="shared" si="3"/>
        <v>0</v>
      </c>
      <c r="J62" s="231">
        <v>8</v>
      </c>
      <c r="K62" s="232">
        <f t="shared" si="1"/>
        <v>0</v>
      </c>
      <c r="L62" s="345">
        <f t="shared" si="18"/>
        <v>5.1328283217613402E-2</v>
      </c>
      <c r="M62" s="521"/>
    </row>
    <row r="63" spans="1:13">
      <c r="A63" s="223" t="s">
        <v>568</v>
      </c>
      <c r="B63" s="1050"/>
      <c r="C63" s="234">
        <f>B63*4.333*4</f>
        <v>0</v>
      </c>
      <c r="D63" s="225">
        <v>108.53</v>
      </c>
      <c r="E63" s="226">
        <f t="shared" si="0"/>
        <v>0</v>
      </c>
      <c r="F63" s="227">
        <f>C63*G63</f>
        <v>0</v>
      </c>
      <c r="G63" s="228">
        <f>D63*(1+'Resi Price Out'!$G$5)</f>
        <v>114.10065857760759</v>
      </c>
      <c r="H63" s="229">
        <f t="shared" si="17"/>
        <v>0</v>
      </c>
      <c r="I63" s="227">
        <f>F63*12</f>
        <v>0</v>
      </c>
      <c r="J63" s="231">
        <v>8</v>
      </c>
      <c r="K63" s="232">
        <f>+C63*J63*12</f>
        <v>0</v>
      </c>
      <c r="L63" s="345">
        <f>+G63/D63-1</f>
        <v>5.1328283217613402E-2</v>
      </c>
      <c r="M63" s="521"/>
    </row>
    <row r="64" spans="1:13">
      <c r="A64" s="223" t="s">
        <v>310</v>
      </c>
      <c r="B64" s="1050"/>
      <c r="C64" s="234">
        <f>B64*4.333*5</f>
        <v>0</v>
      </c>
      <c r="D64" s="225">
        <v>108.53</v>
      </c>
      <c r="E64" s="226">
        <f t="shared" si="0"/>
        <v>0</v>
      </c>
      <c r="F64" s="227">
        <f>C64*G64</f>
        <v>0</v>
      </c>
      <c r="G64" s="228">
        <f>D64*(1+'Resi Price Out'!$G$5)</f>
        <v>114.10065857760759</v>
      </c>
      <c r="H64" s="229">
        <f t="shared" si="17"/>
        <v>0</v>
      </c>
      <c r="I64" s="227">
        <f t="shared" si="3"/>
        <v>0</v>
      </c>
      <c r="J64" s="231">
        <v>8</v>
      </c>
      <c r="K64" s="232">
        <f t="shared" si="1"/>
        <v>0</v>
      </c>
      <c r="L64" s="345">
        <f t="shared" si="18"/>
        <v>5.1328283217613402E-2</v>
      </c>
      <c r="M64" s="521"/>
    </row>
    <row r="65" spans="1:12">
      <c r="A65" s="223" t="s">
        <v>93</v>
      </c>
      <c r="B65" s="1261">
        <f>SUM('[13]wutc comm rental'!B6:H6)/D65/12</f>
        <v>1.9634502923976613</v>
      </c>
      <c r="C65" s="234" t="s">
        <v>295</v>
      </c>
      <c r="D65" s="235">
        <v>1.1399999999999999</v>
      </c>
      <c r="E65" s="226">
        <f>+D65*B65</f>
        <v>2.2383333333333337</v>
      </c>
      <c r="F65" s="227">
        <f t="shared" ref="F65:F70" si="19">+G65*B65</f>
        <v>2.353223140602092</v>
      </c>
      <c r="G65" s="228">
        <f>D65*(1+'Resi Price Out'!$G$5)</f>
        <v>1.1985142428680793</v>
      </c>
      <c r="H65" s="229">
        <f t="shared" si="17"/>
        <v>26.860000000000007</v>
      </c>
      <c r="I65" s="227">
        <f>F65*12</f>
        <v>28.238677687225106</v>
      </c>
      <c r="L65" s="345">
        <f t="shared" si="18"/>
        <v>5.1328283217613402E-2</v>
      </c>
    </row>
    <row r="66" spans="1:12">
      <c r="A66" s="223" t="s">
        <v>94</v>
      </c>
      <c r="B66" s="1261">
        <f>SUM('[13]wutc comm rental'!B7:H7)/D66/12</f>
        <v>5.5506628787878824</v>
      </c>
      <c r="C66" s="234" t="s">
        <v>295</v>
      </c>
      <c r="D66" s="235">
        <v>1.76</v>
      </c>
      <c r="E66" s="226">
        <f>+D66*B66</f>
        <v>9.7691666666666723</v>
      </c>
      <c r="F66" s="227">
        <f t="shared" si="19"/>
        <v>10.270601220133408</v>
      </c>
      <c r="G66" s="228">
        <f>D66*(1+'Resi Price Out'!$G$5)</f>
        <v>1.8503377784629995</v>
      </c>
      <c r="H66" s="229">
        <f t="shared" si="17"/>
        <v>117.23000000000008</v>
      </c>
      <c r="I66" s="227">
        <f t="shared" si="3"/>
        <v>123.24721464160089</v>
      </c>
      <c r="L66" s="345">
        <f t="shared" si="18"/>
        <v>5.1328283217613402E-2</v>
      </c>
    </row>
    <row r="67" spans="1:12">
      <c r="A67" s="223" t="s">
        <v>95</v>
      </c>
      <c r="B67" s="1261">
        <f>SUM('[13]wutc comm rental'!B8:H8)/D67/12</f>
        <v>64.510890151515127</v>
      </c>
      <c r="C67" s="234" t="s">
        <v>295</v>
      </c>
      <c r="D67" s="235">
        <v>1.76</v>
      </c>
      <c r="E67" s="226">
        <f>+D67*B67</f>
        <v>113.53916666666663</v>
      </c>
      <c r="F67" s="227">
        <f t="shared" si="19"/>
        <v>119.36693716962509</v>
      </c>
      <c r="G67" s="228">
        <f>D67*(1+'Resi Price Out'!$G$5)</f>
        <v>1.8503377784629995</v>
      </c>
      <c r="H67" s="229">
        <f t="shared" si="17"/>
        <v>1362.4699999999996</v>
      </c>
      <c r="I67" s="227">
        <f t="shared" si="3"/>
        <v>1432.4032460355011</v>
      </c>
      <c r="L67" s="345">
        <f t="shared" si="18"/>
        <v>5.1328283217613402E-2</v>
      </c>
    </row>
    <row r="68" spans="1:12">
      <c r="A68" s="223" t="s">
        <v>96</v>
      </c>
      <c r="B68" s="1261">
        <f>SUM('[13]wutc comm rental'!B9:H9)/D68/12</f>
        <v>16.569672131147538</v>
      </c>
      <c r="C68" s="234" t="s">
        <v>295</v>
      </c>
      <c r="D68" s="235">
        <v>6.71</v>
      </c>
      <c r="E68" s="226">
        <f>+D68*B68</f>
        <v>111.18249999999998</v>
      </c>
      <c r="F68" s="227">
        <f t="shared" si="19"/>
        <v>116.88930684884227</v>
      </c>
      <c r="G68" s="235">
        <f>D68*(1+'Resi Price Out'!$G$5)</f>
        <v>7.0544127803901855</v>
      </c>
      <c r="H68" s="229">
        <f t="shared" si="17"/>
        <v>1334.1899999999996</v>
      </c>
      <c r="I68" s="227">
        <f t="shared" si="3"/>
        <v>1402.6716821861073</v>
      </c>
      <c r="L68" s="345">
        <f t="shared" si="18"/>
        <v>5.1328283217613402E-2</v>
      </c>
    </row>
    <row r="69" spans="1:12">
      <c r="A69" s="223" t="s">
        <v>1024</v>
      </c>
      <c r="B69" s="1261">
        <f>SUM('[13]wutc comm rental'!B10:H10)/D69/12</f>
        <v>15.086021505376344</v>
      </c>
      <c r="C69" s="234" t="s">
        <v>295</v>
      </c>
      <c r="D69" s="235">
        <v>7.75</v>
      </c>
      <c r="E69" s="226">
        <f>+D69*B69</f>
        <v>116.91666666666667</v>
      </c>
      <c r="F69" s="227">
        <f t="shared" si="19"/>
        <v>122.91779844619263</v>
      </c>
      <c r="G69" s="235">
        <f>D69*(1+'Resi Price Out'!$G$5)</f>
        <v>8.1477941949365036</v>
      </c>
      <c r="H69" s="229">
        <f t="shared" si="17"/>
        <v>1403</v>
      </c>
      <c r="I69" s="227">
        <f t="shared" ref="I69:I76" si="20">F69*12</f>
        <v>1475.0135813543116</v>
      </c>
      <c r="L69" s="345">
        <f t="shared" ref="L69:L75" si="21">+G69/D69-1</f>
        <v>5.1328283217613402E-2</v>
      </c>
    </row>
    <row r="70" spans="1:12">
      <c r="A70" s="223" t="s">
        <v>565</v>
      </c>
      <c r="B70" s="1261">
        <v>0</v>
      </c>
      <c r="C70" s="234" t="s">
        <v>295</v>
      </c>
      <c r="D70" s="235">
        <v>0</v>
      </c>
      <c r="E70" s="226">
        <f t="shared" ref="E70:E75" si="22">+D70*B70</f>
        <v>0</v>
      </c>
      <c r="F70" s="227">
        <f t="shared" si="19"/>
        <v>0</v>
      </c>
      <c r="G70" s="235">
        <f>D70*(1+'Resi Price Out'!$G$5)</f>
        <v>0</v>
      </c>
      <c r="H70" s="229">
        <f t="shared" si="17"/>
        <v>0</v>
      </c>
      <c r="I70" s="227">
        <f t="shared" si="20"/>
        <v>0</v>
      </c>
      <c r="L70" s="345" t="e">
        <f t="shared" si="21"/>
        <v>#DIV/0!</v>
      </c>
    </row>
    <row r="71" spans="1:12">
      <c r="A71" s="223" t="s">
        <v>97</v>
      </c>
      <c r="B71" s="1261">
        <f>SUM('[13]wutc comm rental'!B11:H11)/D71/12</f>
        <v>41.149231950844836</v>
      </c>
      <c r="C71" s="234" t="s">
        <v>295</v>
      </c>
      <c r="D71" s="235">
        <v>10.85</v>
      </c>
      <c r="E71" s="226">
        <f t="shared" si="22"/>
        <v>446.46916666666647</v>
      </c>
      <c r="F71" s="227">
        <f t="shared" ref="F71:F76" si="23">+G71*B71</f>
        <v>469.3856625012649</v>
      </c>
      <c r="G71" s="235">
        <f>D71*(1+'Resi Price Out'!$G$5)</f>
        <v>11.406911872911104</v>
      </c>
      <c r="H71" s="229">
        <f t="shared" ref="H71:H76" si="24">E71*12</f>
        <v>5357.6299999999974</v>
      </c>
      <c r="I71" s="227">
        <f t="shared" si="20"/>
        <v>5632.6279500151786</v>
      </c>
      <c r="L71" s="345">
        <f t="shared" si="21"/>
        <v>5.1328283217613402E-2</v>
      </c>
    </row>
    <row r="72" spans="1:12">
      <c r="A72" s="223" t="s">
        <v>98</v>
      </c>
      <c r="B72" s="1261">
        <f>SUM('[13]wutc comm rental'!B12:H12)/D72/12</f>
        <v>21.7795358649789</v>
      </c>
      <c r="C72" s="234" t="s">
        <v>295</v>
      </c>
      <c r="D72" s="235">
        <v>13.43</v>
      </c>
      <c r="E72" s="226">
        <f t="shared" si="22"/>
        <v>292.49916666666661</v>
      </c>
      <c r="F72" s="227">
        <f t="shared" si="23"/>
        <v>307.51264673424919</v>
      </c>
      <c r="G72" s="235">
        <f>D72*(1+'Resi Price Out'!$G$5)</f>
        <v>14.119338843612548</v>
      </c>
      <c r="H72" s="229">
        <f t="shared" si="24"/>
        <v>3509.9899999999993</v>
      </c>
      <c r="I72" s="227">
        <f t="shared" si="20"/>
        <v>3690.1517608109903</v>
      </c>
      <c r="L72" s="345">
        <f t="shared" si="21"/>
        <v>5.1328283217613402E-2</v>
      </c>
    </row>
    <row r="73" spans="1:12">
      <c r="A73" s="223" t="s">
        <v>99</v>
      </c>
      <c r="B73" s="1261">
        <f>SUM('[13]wutc comm rental'!B13:H13)/D73/12</f>
        <v>48.995680227471546</v>
      </c>
      <c r="C73" s="234" t="s">
        <v>295</v>
      </c>
      <c r="D73" s="235">
        <v>15.24</v>
      </c>
      <c r="E73" s="226">
        <f t="shared" si="22"/>
        <v>746.69416666666632</v>
      </c>
      <c r="F73" s="227">
        <f t="shared" si="23"/>
        <v>785.02069633027281</v>
      </c>
      <c r="G73" s="235">
        <f>D73*(1+'Resi Price Out'!$G$5)</f>
        <v>16.022243036236429</v>
      </c>
      <c r="H73" s="229">
        <f t="shared" si="24"/>
        <v>8960.3299999999963</v>
      </c>
      <c r="I73" s="227">
        <f t="shared" si="20"/>
        <v>9420.2483559632747</v>
      </c>
      <c r="L73" s="345">
        <f t="shared" si="21"/>
        <v>5.1328283217613402E-2</v>
      </c>
    </row>
    <row r="74" spans="1:12">
      <c r="A74" s="223" t="s">
        <v>100</v>
      </c>
      <c r="B74" s="1261">
        <f>SUM('[13]wutc comm rental'!B14:H14)/D74/12</f>
        <v>24.70413550373955</v>
      </c>
      <c r="C74" s="234" t="s">
        <v>295</v>
      </c>
      <c r="D74" s="235">
        <v>22.73</v>
      </c>
      <c r="E74" s="226">
        <f t="shared" si="22"/>
        <v>561.52499999999998</v>
      </c>
      <c r="F74" s="227">
        <f t="shared" si="23"/>
        <v>590.3471142337703</v>
      </c>
      <c r="G74" s="235">
        <f>D74*(1+'Resi Price Out'!$G$5)</f>
        <v>23.896691877536352</v>
      </c>
      <c r="H74" s="229">
        <f t="shared" si="24"/>
        <v>6738.2999999999993</v>
      </c>
      <c r="I74" s="227">
        <f t="shared" si="20"/>
        <v>7084.1653708052436</v>
      </c>
      <c r="L74" s="345">
        <f t="shared" si="21"/>
        <v>5.1328283217613402E-2</v>
      </c>
    </row>
    <row r="75" spans="1:12">
      <c r="A75" s="223" t="s">
        <v>101</v>
      </c>
      <c r="B75" s="1261">
        <f>SUM('[13]wutc comm rental'!B15:H15)/D75/12</f>
        <v>13.919408955994321</v>
      </c>
      <c r="C75" s="234" t="s">
        <v>295</v>
      </c>
      <c r="D75" s="235">
        <v>25.83</v>
      </c>
      <c r="E75" s="226">
        <f t="shared" si="22"/>
        <v>359.5383333333333</v>
      </c>
      <c r="F75" s="227">
        <f t="shared" si="23"/>
        <v>377.99281873425531</v>
      </c>
      <c r="G75" s="235">
        <f>D75*(1+'Resi Price Out'!$G$5)</f>
        <v>27.155809555510952</v>
      </c>
      <c r="H75" s="229">
        <f t="shared" si="24"/>
        <v>4314.4599999999991</v>
      </c>
      <c r="I75" s="227">
        <f t="shared" si="20"/>
        <v>4535.9138248110639</v>
      </c>
      <c r="L75" s="345">
        <f t="shared" si="21"/>
        <v>5.1328283217613402E-2</v>
      </c>
    </row>
    <row r="76" spans="1:12">
      <c r="A76" s="223" t="s">
        <v>67</v>
      </c>
      <c r="B76" s="1261"/>
      <c r="C76" s="234"/>
      <c r="D76" s="1036">
        <v>16</v>
      </c>
      <c r="E76" s="226">
        <f>+D76*B76</f>
        <v>0</v>
      </c>
      <c r="F76" s="227">
        <f t="shared" si="23"/>
        <v>0</v>
      </c>
      <c r="G76" s="235">
        <f>D76*(1+'Resi Price Out'!$G$5)</f>
        <v>16.821252531481814</v>
      </c>
      <c r="H76" s="229">
        <f t="shared" si="24"/>
        <v>0</v>
      </c>
      <c r="I76" s="227">
        <f t="shared" si="20"/>
        <v>0</v>
      </c>
      <c r="L76" s="345">
        <f>+G76/D76-1</f>
        <v>5.1328283217613402E-2</v>
      </c>
    </row>
    <row r="77" spans="1:12">
      <c r="A77" s="192" t="s">
        <v>102</v>
      </c>
      <c r="B77" s="1051">
        <f>SUM(B9:B75)</f>
        <v>502.22868946225361</v>
      </c>
      <c r="C77" s="236"/>
      <c r="D77" s="235"/>
      <c r="E77" s="226">
        <f>SUM(E9:E75)</f>
        <v>45919.470986666682</v>
      </c>
      <c r="F77" s="227">
        <f>SUM(F9:F75)</f>
        <v>48276.43859867326</v>
      </c>
      <c r="G77" s="227"/>
      <c r="H77" s="227">
        <f>SUM(H9:H75)</f>
        <v>551033.65183999995</v>
      </c>
      <c r="I77" s="237">
        <f>SUM(I9:I75)</f>
        <v>579317.2631840792</v>
      </c>
    </row>
    <row r="78" spans="1:12">
      <c r="A78" s="192"/>
      <c r="B78" s="1051"/>
      <c r="C78" s="234"/>
      <c r="D78" s="235" t="s">
        <v>311</v>
      </c>
      <c r="E78" s="226">
        <f>+E77*12</f>
        <v>551033.65184000018</v>
      </c>
      <c r="F78" s="227"/>
      <c r="G78" s="238"/>
      <c r="H78" s="229"/>
      <c r="I78" s="229"/>
    </row>
    <row r="79" spans="1:12">
      <c r="A79" s="192"/>
      <c r="B79" s="1051"/>
      <c r="C79" s="234"/>
      <c r="D79" s="235"/>
      <c r="E79" s="227"/>
      <c r="F79" s="345"/>
      <c r="G79" s="238"/>
      <c r="H79" s="229"/>
      <c r="I79" s="345"/>
    </row>
    <row r="80" spans="1:12">
      <c r="A80" s="194" t="s">
        <v>103</v>
      </c>
      <c r="B80" s="1051"/>
      <c r="C80" s="234"/>
      <c r="D80" s="235"/>
      <c r="F80" s="227"/>
      <c r="G80" s="238"/>
    </row>
    <row r="81" spans="1:13">
      <c r="A81" s="239"/>
      <c r="B81" s="1051"/>
      <c r="C81" s="234"/>
      <c r="D81" s="235"/>
      <c r="G81" s="238"/>
    </row>
    <row r="82" spans="1:13">
      <c r="A82" s="223" t="s">
        <v>72</v>
      </c>
      <c r="B82" s="1050">
        <f>SUM('[16]PT - MF'!$H$6:$I$6)</f>
        <v>184</v>
      </c>
      <c r="C82" s="224">
        <f>B82*4.3333</f>
        <v>797.32720000000006</v>
      </c>
      <c r="D82" s="225">
        <v>3.57</v>
      </c>
      <c r="E82" s="226">
        <f>D82*C82</f>
        <v>2846.4581040000003</v>
      </c>
      <c r="F82" s="227">
        <f t="shared" ref="F82:F131" si="25">C82*G82</f>
        <v>2992.5619117291831</v>
      </c>
      <c r="G82" s="228">
        <f>D82*(1+'Resi Price Out'!$G$5)</f>
        <v>3.7532419710868798</v>
      </c>
      <c r="H82" s="229">
        <f t="shared" ref="H82:I141" si="26">E82*12</f>
        <v>34157.497248</v>
      </c>
      <c r="I82" s="227">
        <f t="shared" si="26"/>
        <v>35910.742940750199</v>
      </c>
      <c r="J82" s="231">
        <v>0.158</v>
      </c>
      <c r="K82" s="232">
        <f t="shared" ref="K82:K131" si="27">+J82*C82*12</f>
        <v>1511.7323712000002</v>
      </c>
      <c r="L82" s="345">
        <f t="shared" ref="L82:L141" si="28">+G82/D82-1</f>
        <v>5.1328283217613402E-2</v>
      </c>
      <c r="M82" s="521"/>
    </row>
    <row r="83" spans="1:13">
      <c r="A83" s="223" t="s">
        <v>73</v>
      </c>
      <c r="B83" s="1050"/>
      <c r="C83" s="224">
        <f>B83*4.3333</f>
        <v>0</v>
      </c>
      <c r="D83" s="225">
        <v>6.97</v>
      </c>
      <c r="E83" s="226">
        <f t="shared" ref="E83:E131" si="29">D83*C83</f>
        <v>0</v>
      </c>
      <c r="F83" s="227">
        <f t="shared" si="25"/>
        <v>0</v>
      </c>
      <c r="G83" s="228">
        <f>D83*(1+'Resi Price Out'!$G$5)</f>
        <v>7.327758134026765</v>
      </c>
      <c r="H83" s="229">
        <f t="shared" si="26"/>
        <v>0</v>
      </c>
      <c r="I83" s="227">
        <f t="shared" si="26"/>
        <v>0</v>
      </c>
      <c r="J83" s="231">
        <f>+J82*2</f>
        <v>0.316</v>
      </c>
      <c r="K83" s="232">
        <f>+J83*C83*12</f>
        <v>0</v>
      </c>
      <c r="L83" s="345">
        <f t="shared" si="28"/>
        <v>5.1328283217613402E-2</v>
      </c>
      <c r="M83" s="521"/>
    </row>
    <row r="84" spans="1:13">
      <c r="A84" s="223" t="s">
        <v>74</v>
      </c>
      <c r="B84" s="1050">
        <f>SUM('[16]PT - MF'!$H$7:$I$7)</f>
        <v>24</v>
      </c>
      <c r="C84" s="224">
        <f>B84*4.3333</f>
        <v>103.9992</v>
      </c>
      <c r="D84" s="225">
        <v>8.94</v>
      </c>
      <c r="E84" s="226">
        <f t="shared" si="29"/>
        <v>929.75284799999997</v>
      </c>
      <c r="F84" s="227">
        <f t="shared" si="25"/>
        <v>977.4754655045266</v>
      </c>
      <c r="G84" s="228">
        <f>D84*(1+'Resi Price Out'!$G$5)</f>
        <v>9.3988748519654628</v>
      </c>
      <c r="H84" s="229">
        <f t="shared" si="26"/>
        <v>11157.034175999999</v>
      </c>
      <c r="I84" s="227">
        <f t="shared" si="26"/>
        <v>11729.705586054319</v>
      </c>
      <c r="J84" s="231">
        <f>+J82*3</f>
        <v>0.47399999999999998</v>
      </c>
      <c r="K84" s="232">
        <f t="shared" si="27"/>
        <v>591.54744960000005</v>
      </c>
      <c r="L84" s="345">
        <f t="shared" si="28"/>
        <v>5.1328283217613402E-2</v>
      </c>
      <c r="M84" s="521"/>
    </row>
    <row r="85" spans="1:13">
      <c r="A85" s="223" t="s">
        <v>844</v>
      </c>
      <c r="B85" s="1050"/>
      <c r="C85" s="224">
        <f>+B85*4.3333</f>
        <v>0</v>
      </c>
      <c r="D85" s="225">
        <v>22</v>
      </c>
      <c r="E85" s="226">
        <f>D85*C85</f>
        <v>0</v>
      </c>
      <c r="F85" s="227">
        <f>C85*G85</f>
        <v>0</v>
      </c>
      <c r="G85" s="228">
        <f>D85*(1+'Resi Price Out'!$G$5)</f>
        <v>23.129222230787494</v>
      </c>
      <c r="H85" s="229">
        <f>E85*12</f>
        <v>0</v>
      </c>
      <c r="I85" s="227">
        <f>F85*12</f>
        <v>0</v>
      </c>
      <c r="J85" s="231">
        <v>1</v>
      </c>
      <c r="K85" s="232">
        <f>+J85*C85*12</f>
        <v>0</v>
      </c>
      <c r="L85" s="345">
        <f>+G85/D85-1</f>
        <v>5.1328283217613402E-2</v>
      </c>
      <c r="M85" s="521"/>
    </row>
    <row r="86" spans="1:13">
      <c r="A86" s="223" t="s">
        <v>305</v>
      </c>
      <c r="B86" s="1050">
        <f>SUM('[16]PT - MF'!$H$8:$I$8)</f>
        <v>4</v>
      </c>
      <c r="C86" s="224">
        <f>+B86*4.3333</f>
        <v>17.333200000000001</v>
      </c>
      <c r="D86" s="225">
        <v>18.54</v>
      </c>
      <c r="E86" s="226">
        <f t="shared" si="29"/>
        <v>321.357528</v>
      </c>
      <c r="F86" s="227">
        <f t="shared" si="25"/>
        <v>337.85225821129615</v>
      </c>
      <c r="G86" s="228">
        <f>D86*(1+'Resi Price Out'!$G$5)</f>
        <v>19.491626370854551</v>
      </c>
      <c r="H86" s="229">
        <f t="shared" si="26"/>
        <v>3856.290336</v>
      </c>
      <c r="I86" s="227">
        <f t="shared" si="26"/>
        <v>4054.2270985355535</v>
      </c>
      <c r="J86" s="231">
        <v>1</v>
      </c>
      <c r="K86" s="232">
        <f t="shared" si="27"/>
        <v>207.9984</v>
      </c>
      <c r="L86" s="345">
        <f t="shared" si="28"/>
        <v>5.1328283217613402E-2</v>
      </c>
      <c r="M86" s="521"/>
    </row>
    <row r="87" spans="1:13">
      <c r="A87" s="223" t="s">
        <v>1020</v>
      </c>
      <c r="B87" s="1050"/>
      <c r="C87" s="224">
        <f>+B87*1</f>
        <v>0</v>
      </c>
      <c r="D87" s="225">
        <v>22.03</v>
      </c>
      <c r="E87" s="226">
        <f>D87*C87</f>
        <v>0</v>
      </c>
      <c r="F87" s="227">
        <f>C87*G87</f>
        <v>0</v>
      </c>
      <c r="G87" s="228">
        <f>D87*(1+'Resi Price Out'!$G$5)</f>
        <v>23.160762079284023</v>
      </c>
      <c r="H87" s="229">
        <f t="shared" ref="H87:I90" si="30">E87*12</f>
        <v>0</v>
      </c>
      <c r="I87" s="227">
        <f t="shared" si="30"/>
        <v>0</v>
      </c>
      <c r="J87" s="231">
        <v>1.25</v>
      </c>
      <c r="K87" s="232">
        <f>+J87*C87*12</f>
        <v>0</v>
      </c>
      <c r="L87" s="345">
        <f>+G87/D87-1</f>
        <v>5.1328283217613402E-2</v>
      </c>
      <c r="M87" s="521"/>
    </row>
    <row r="88" spans="1:13">
      <c r="A88" s="223" t="s">
        <v>1021</v>
      </c>
      <c r="B88" s="1050">
        <f>SUM('[16]PT - MF'!$H$9:$I$9)</f>
        <v>4</v>
      </c>
      <c r="C88" s="224">
        <f>B88*4.3333</f>
        <v>17.333200000000001</v>
      </c>
      <c r="D88" s="225">
        <v>22.03</v>
      </c>
      <c r="E88" s="226">
        <f>D88*C88</f>
        <v>381.85039600000005</v>
      </c>
      <c r="F88" s="227">
        <f>C88*G88</f>
        <v>401.45012127264584</v>
      </c>
      <c r="G88" s="228">
        <f>D88*(1+'Resi Price Out'!$G$5)</f>
        <v>23.160762079284023</v>
      </c>
      <c r="H88" s="229">
        <f t="shared" si="30"/>
        <v>4582.2047520000006</v>
      </c>
      <c r="I88" s="227">
        <f t="shared" si="30"/>
        <v>4817.4014552717499</v>
      </c>
      <c r="J88" s="231">
        <v>1.25</v>
      </c>
      <c r="K88" s="232">
        <f>+J88*C88*12</f>
        <v>259.99800000000005</v>
      </c>
      <c r="L88" s="345">
        <f>+G88/D88-1</f>
        <v>5.1328283217613402E-2</v>
      </c>
      <c r="M88" s="521"/>
    </row>
    <row r="89" spans="1:13">
      <c r="A89" s="223" t="s">
        <v>1022</v>
      </c>
      <c r="B89" s="1050">
        <f>SUM('[16]PT - MF'!$G$16)</f>
        <v>1</v>
      </c>
      <c r="C89" s="224">
        <f>B89*4.3333*2</f>
        <v>8.6666000000000007</v>
      </c>
      <c r="D89" s="225">
        <v>22.03</v>
      </c>
      <c r="E89" s="226">
        <f>D89*C89</f>
        <v>190.92519800000002</v>
      </c>
      <c r="F89" s="227">
        <f>C89*G89</f>
        <v>200.72506063632292</v>
      </c>
      <c r="G89" s="228">
        <f>D89*(1+'Resi Price Out'!$G$5)</f>
        <v>23.160762079284023</v>
      </c>
      <c r="H89" s="229">
        <f t="shared" si="30"/>
        <v>2291.1023760000003</v>
      </c>
      <c r="I89" s="227">
        <f t="shared" si="30"/>
        <v>2408.700727635875</v>
      </c>
      <c r="J89" s="231">
        <v>1.25</v>
      </c>
      <c r="K89" s="232">
        <f>+J89*C89*12</f>
        <v>129.99900000000002</v>
      </c>
      <c r="L89" s="345">
        <f>+G89/D89-1</f>
        <v>5.1328283217613402E-2</v>
      </c>
      <c r="M89" s="521"/>
    </row>
    <row r="90" spans="1:13">
      <c r="A90" s="223" t="s">
        <v>1023</v>
      </c>
      <c r="B90" s="1050"/>
      <c r="C90" s="224">
        <f>B90*4.3333*3</f>
        <v>0</v>
      </c>
      <c r="D90" s="225">
        <v>22.03</v>
      </c>
      <c r="E90" s="226">
        <f>D90*C90</f>
        <v>0</v>
      </c>
      <c r="F90" s="227">
        <f>C90*G90</f>
        <v>0</v>
      </c>
      <c r="G90" s="228">
        <f>D90*(1+'Resi Price Out'!$G$5)</f>
        <v>23.160762079284023</v>
      </c>
      <c r="H90" s="229">
        <f t="shared" si="30"/>
        <v>0</v>
      </c>
      <c r="I90" s="227">
        <f t="shared" si="30"/>
        <v>0</v>
      </c>
      <c r="J90" s="231">
        <v>1.25</v>
      </c>
      <c r="K90" s="232">
        <f>+J90*C90*12</f>
        <v>0</v>
      </c>
      <c r="L90" s="345">
        <f>+G90/D90-1</f>
        <v>5.1328283217613402E-2</v>
      </c>
      <c r="M90" s="521"/>
    </row>
    <row r="91" spans="1:13">
      <c r="A91" s="223" t="s">
        <v>566</v>
      </c>
      <c r="B91" s="1050"/>
      <c r="C91" s="224">
        <f>+B91*1</f>
        <v>0</v>
      </c>
      <c r="D91" s="225"/>
      <c r="E91" s="226">
        <f t="shared" si="29"/>
        <v>0</v>
      </c>
      <c r="F91" s="227">
        <f t="shared" ref="F91:F96" si="31">C91*G91</f>
        <v>0</v>
      </c>
      <c r="G91" s="228">
        <f>D91*(1+'Resi Price Out'!$G$5)</f>
        <v>0</v>
      </c>
      <c r="H91" s="229">
        <f t="shared" ref="H91:I94" si="32">E91*12</f>
        <v>0</v>
      </c>
      <c r="I91" s="227">
        <f t="shared" si="32"/>
        <v>0</v>
      </c>
      <c r="J91" s="231">
        <v>1.5</v>
      </c>
      <c r="K91" s="232">
        <f t="shared" ref="K91:K96" si="33">+J91*C91*12</f>
        <v>0</v>
      </c>
      <c r="L91" s="345" t="e">
        <f t="shared" ref="L91:L96" si="34">+G91/D91-1</f>
        <v>#DIV/0!</v>
      </c>
      <c r="M91" s="521"/>
    </row>
    <row r="92" spans="1:13">
      <c r="A92" s="223" t="s">
        <v>562</v>
      </c>
      <c r="B92" s="1050"/>
      <c r="C92" s="224">
        <f>B92*4.3333</f>
        <v>0</v>
      </c>
      <c r="D92" s="225"/>
      <c r="E92" s="226">
        <f t="shared" si="29"/>
        <v>0</v>
      </c>
      <c r="F92" s="227">
        <f t="shared" si="31"/>
        <v>0</v>
      </c>
      <c r="G92" s="228">
        <f>D92*(1+'Resi Price Out'!$G$5)</f>
        <v>0</v>
      </c>
      <c r="H92" s="229">
        <f t="shared" si="32"/>
        <v>0</v>
      </c>
      <c r="I92" s="227">
        <f t="shared" si="32"/>
        <v>0</v>
      </c>
      <c r="J92" s="231">
        <v>1.5</v>
      </c>
      <c r="K92" s="232">
        <f t="shared" si="33"/>
        <v>0</v>
      </c>
      <c r="L92" s="345" t="e">
        <f t="shared" si="34"/>
        <v>#DIV/0!</v>
      </c>
      <c r="M92" s="521"/>
    </row>
    <row r="93" spans="1:13">
      <c r="A93" s="223" t="s">
        <v>563</v>
      </c>
      <c r="B93" s="1050"/>
      <c r="C93" s="224">
        <f>B93*4.3333*2</f>
        <v>0</v>
      </c>
      <c r="D93" s="225"/>
      <c r="E93" s="226">
        <f t="shared" si="29"/>
        <v>0</v>
      </c>
      <c r="F93" s="227">
        <f t="shared" si="31"/>
        <v>0</v>
      </c>
      <c r="G93" s="228">
        <f>D93*(1+'Resi Price Out'!$G$5)</f>
        <v>0</v>
      </c>
      <c r="H93" s="229">
        <f t="shared" si="32"/>
        <v>0</v>
      </c>
      <c r="I93" s="227">
        <f t="shared" si="32"/>
        <v>0</v>
      </c>
      <c r="J93" s="231">
        <v>1.5</v>
      </c>
      <c r="K93" s="232">
        <f t="shared" si="33"/>
        <v>0</v>
      </c>
      <c r="L93" s="345" t="e">
        <f t="shared" si="34"/>
        <v>#DIV/0!</v>
      </c>
      <c r="M93" s="521"/>
    </row>
    <row r="94" spans="1:13">
      <c r="A94" s="223" t="s">
        <v>564</v>
      </c>
      <c r="B94" s="1050"/>
      <c r="C94" s="224">
        <f>B94*4.3333*3</f>
        <v>0</v>
      </c>
      <c r="D94" s="225"/>
      <c r="E94" s="226">
        <f t="shared" si="29"/>
        <v>0</v>
      </c>
      <c r="F94" s="227">
        <f t="shared" si="31"/>
        <v>0</v>
      </c>
      <c r="G94" s="228">
        <f>D94*(1+'Resi Price Out'!$G$5)</f>
        <v>0</v>
      </c>
      <c r="H94" s="229">
        <f t="shared" si="32"/>
        <v>0</v>
      </c>
      <c r="I94" s="227">
        <f t="shared" si="32"/>
        <v>0</v>
      </c>
      <c r="J94" s="231">
        <v>1.5</v>
      </c>
      <c r="K94" s="232">
        <f t="shared" si="33"/>
        <v>0</v>
      </c>
      <c r="L94" s="345" t="e">
        <f t="shared" si="34"/>
        <v>#DIV/0!</v>
      </c>
      <c r="M94" s="521"/>
    </row>
    <row r="95" spans="1:13">
      <c r="A95" s="223" t="s">
        <v>843</v>
      </c>
      <c r="B95" s="1050"/>
      <c r="C95" s="234">
        <f>B95*4.333</f>
        <v>0</v>
      </c>
      <c r="D95" s="225"/>
      <c r="E95" s="226">
        <f>D95*C95</f>
        <v>0</v>
      </c>
      <c r="F95" s="227">
        <f t="shared" si="31"/>
        <v>0</v>
      </c>
      <c r="G95" s="228">
        <f>D95*(1+'Resi Price Out'!$G$5)</f>
        <v>0</v>
      </c>
      <c r="H95" s="229">
        <f>E95*12</f>
        <v>0</v>
      </c>
      <c r="I95" s="227">
        <f>F95*12</f>
        <v>0</v>
      </c>
      <c r="J95" s="231">
        <v>3</v>
      </c>
      <c r="K95" s="232">
        <f t="shared" si="33"/>
        <v>0</v>
      </c>
      <c r="L95" s="345" t="e">
        <f t="shared" si="34"/>
        <v>#DIV/0!</v>
      </c>
      <c r="M95" s="521"/>
    </row>
    <row r="96" spans="1:13">
      <c r="A96" s="223" t="s">
        <v>656</v>
      </c>
      <c r="B96" s="1050"/>
      <c r="C96" s="234">
        <f>B96*4.333</f>
        <v>0</v>
      </c>
      <c r="D96" s="231"/>
      <c r="E96" s="226">
        <f>D96*C96</f>
        <v>0</v>
      </c>
      <c r="F96" s="227">
        <f t="shared" si="31"/>
        <v>0</v>
      </c>
      <c r="G96" s="228">
        <f>D96*(1+'Resi Price Out'!$G$5)</f>
        <v>0</v>
      </c>
      <c r="H96" s="229">
        <f>E96*12</f>
        <v>0</v>
      </c>
      <c r="I96" s="227">
        <f>F96*12</f>
        <v>0</v>
      </c>
      <c r="J96" s="231">
        <v>3</v>
      </c>
      <c r="K96" s="232">
        <f t="shared" si="33"/>
        <v>0</v>
      </c>
      <c r="L96" s="345" t="e">
        <f t="shared" si="34"/>
        <v>#DIV/0!</v>
      </c>
      <c r="M96" s="521"/>
    </row>
    <row r="97" spans="1:13">
      <c r="A97" s="223" t="s">
        <v>306</v>
      </c>
      <c r="B97" s="1050"/>
      <c r="C97" s="224">
        <f>B97*1</f>
        <v>0</v>
      </c>
      <c r="D97" s="225">
        <v>38.24</v>
      </c>
      <c r="E97" s="226">
        <f t="shared" si="29"/>
        <v>0</v>
      </c>
      <c r="F97" s="227">
        <f t="shared" si="25"/>
        <v>0</v>
      </c>
      <c r="G97" s="228">
        <f>D97*(1+'Resi Price Out'!$G$5)</f>
        <v>40.202793550241537</v>
      </c>
      <c r="H97" s="229">
        <f t="shared" si="26"/>
        <v>0</v>
      </c>
      <c r="I97" s="227">
        <f t="shared" si="26"/>
        <v>0</v>
      </c>
      <c r="J97" s="231">
        <v>2</v>
      </c>
      <c r="K97" s="232">
        <f t="shared" si="27"/>
        <v>0</v>
      </c>
      <c r="L97" s="345">
        <f t="shared" si="28"/>
        <v>5.1328283217613402E-2</v>
      </c>
      <c r="M97" s="521"/>
    </row>
    <row r="98" spans="1:13">
      <c r="A98" s="223" t="s">
        <v>75</v>
      </c>
      <c r="B98" s="1050">
        <f>SUM('[16]PT - MF'!$H$10:$I$10)</f>
        <v>14</v>
      </c>
      <c r="C98" s="234">
        <f>B98*4.3333</f>
        <v>60.666200000000003</v>
      </c>
      <c r="D98" s="225">
        <v>34.200000000000003</v>
      </c>
      <c r="E98" s="226">
        <f t="shared" si="29"/>
        <v>2074.7840400000005</v>
      </c>
      <c r="F98" s="227">
        <f t="shared" si="25"/>
        <v>2181.2791428205041</v>
      </c>
      <c r="G98" s="228">
        <f>D98*(1+'Resi Price Out'!$G$5)</f>
        <v>35.955427286042379</v>
      </c>
      <c r="H98" s="229">
        <f t="shared" si="26"/>
        <v>24897.408480000006</v>
      </c>
      <c r="I98" s="227">
        <f t="shared" si="26"/>
        <v>26175.349713846052</v>
      </c>
      <c r="J98" s="231">
        <v>2</v>
      </c>
      <c r="K98" s="232">
        <f t="shared" si="27"/>
        <v>1455.9888000000001</v>
      </c>
      <c r="L98" s="345">
        <f t="shared" si="28"/>
        <v>5.1328283217613402E-2</v>
      </c>
      <c r="M98" s="521"/>
    </row>
    <row r="99" spans="1:13">
      <c r="A99" s="223" t="s">
        <v>76</v>
      </c>
      <c r="B99" s="1050">
        <f>SUM('[16]PT - MF'!$G$17)</f>
        <v>1</v>
      </c>
      <c r="C99" s="234">
        <f>B99*4.3333*2</f>
        <v>8.6666000000000007</v>
      </c>
      <c r="D99" s="225">
        <v>34.200000000000003</v>
      </c>
      <c r="E99" s="226">
        <f t="shared" si="29"/>
        <v>296.39772000000005</v>
      </c>
      <c r="F99" s="227">
        <f t="shared" si="25"/>
        <v>311.61130611721489</v>
      </c>
      <c r="G99" s="228">
        <f>D99*(1+'Resi Price Out'!$G$5)</f>
        <v>35.955427286042379</v>
      </c>
      <c r="H99" s="229">
        <f t="shared" si="26"/>
        <v>3556.7726400000006</v>
      </c>
      <c r="I99" s="227">
        <f t="shared" si="26"/>
        <v>3739.3356734065787</v>
      </c>
      <c r="J99" s="231">
        <v>2</v>
      </c>
      <c r="K99" s="232">
        <f t="shared" si="27"/>
        <v>207.9984</v>
      </c>
      <c r="L99" s="345">
        <f t="shared" si="28"/>
        <v>5.1328283217613402E-2</v>
      </c>
      <c r="M99" s="521"/>
    </row>
    <row r="100" spans="1:13">
      <c r="A100" s="223" t="s">
        <v>104</v>
      </c>
      <c r="B100" s="1050"/>
      <c r="C100" s="234">
        <f>B100*4.3333*3</f>
        <v>0</v>
      </c>
      <c r="D100" s="225">
        <v>34.200000000000003</v>
      </c>
      <c r="E100" s="226">
        <f>D100*C100</f>
        <v>0</v>
      </c>
      <c r="F100" s="227">
        <f>C100*G100</f>
        <v>0</v>
      </c>
      <c r="G100" s="228">
        <f>D100*(1+'Resi Price Out'!$G$5)</f>
        <v>35.955427286042379</v>
      </c>
      <c r="H100" s="229">
        <f t="shared" ref="H100:I102" si="35">E100*12</f>
        <v>0</v>
      </c>
      <c r="I100" s="227">
        <f t="shared" si="35"/>
        <v>0</v>
      </c>
      <c r="J100" s="231">
        <v>2</v>
      </c>
      <c r="K100" s="232">
        <f>+J100*C100*12</f>
        <v>0</v>
      </c>
      <c r="L100" s="345">
        <f>+G100/D100-1</f>
        <v>5.1328283217613402E-2</v>
      </c>
      <c r="M100" s="521"/>
    </row>
    <row r="101" spans="1:13">
      <c r="A101" s="223" t="s">
        <v>567</v>
      </c>
      <c r="B101" s="1050"/>
      <c r="C101" s="234">
        <f>B101*4.3333*4</f>
        <v>0</v>
      </c>
      <c r="D101" s="225">
        <v>34.200000000000003</v>
      </c>
      <c r="E101" s="226">
        <f>D101*C101</f>
        <v>0</v>
      </c>
      <c r="F101" s="227">
        <f>C101*G101</f>
        <v>0</v>
      </c>
      <c r="G101" s="228">
        <f>D101*(1+'Resi Price Out'!$G$5)</f>
        <v>35.955427286042379</v>
      </c>
      <c r="H101" s="229">
        <f t="shared" si="35"/>
        <v>0</v>
      </c>
      <c r="I101" s="227">
        <f t="shared" si="35"/>
        <v>0</v>
      </c>
      <c r="J101" s="231">
        <v>2</v>
      </c>
      <c r="K101" s="232">
        <f>+J101*C101*12</f>
        <v>0</v>
      </c>
      <c r="L101" s="345">
        <f>+G101/D101-1</f>
        <v>5.1328283217613402E-2</v>
      </c>
      <c r="M101" s="521"/>
    </row>
    <row r="102" spans="1:13">
      <c r="A102" s="223" t="s">
        <v>712</v>
      </c>
      <c r="B102" s="1050"/>
      <c r="C102" s="234">
        <f>B102*4.3333*5</f>
        <v>0</v>
      </c>
      <c r="D102" s="225">
        <v>34.200000000000003</v>
      </c>
      <c r="E102" s="226">
        <f>D102*C102</f>
        <v>0</v>
      </c>
      <c r="F102" s="227">
        <f>C102*G102</f>
        <v>0</v>
      </c>
      <c r="G102" s="228">
        <f>D102*(1+'Resi Price Out'!$G$5)</f>
        <v>35.955427286042379</v>
      </c>
      <c r="H102" s="229">
        <f t="shared" si="35"/>
        <v>0</v>
      </c>
      <c r="I102" s="227">
        <f t="shared" si="35"/>
        <v>0</v>
      </c>
      <c r="J102" s="231">
        <v>2</v>
      </c>
      <c r="K102" s="232">
        <f>+J102*C102*12</f>
        <v>0</v>
      </c>
      <c r="L102" s="345">
        <f>+G102/D102-1</f>
        <v>5.1328283217613402E-2</v>
      </c>
      <c r="M102" s="521"/>
    </row>
    <row r="103" spans="1:13">
      <c r="A103" s="223" t="s">
        <v>713</v>
      </c>
      <c r="B103" s="1050"/>
      <c r="C103" s="234">
        <f>B103*4.3333*6</f>
        <v>0</v>
      </c>
      <c r="D103" s="225">
        <v>34.200000000000003</v>
      </c>
      <c r="E103" s="226">
        <f t="shared" si="29"/>
        <v>0</v>
      </c>
      <c r="F103" s="227">
        <f t="shared" si="25"/>
        <v>0</v>
      </c>
      <c r="G103" s="228">
        <f>D103*(1+'Resi Price Out'!$G$5)</f>
        <v>35.955427286042379</v>
      </c>
      <c r="H103" s="229">
        <f t="shared" si="26"/>
        <v>0</v>
      </c>
      <c r="I103" s="227">
        <f t="shared" si="26"/>
        <v>0</v>
      </c>
      <c r="J103" s="231">
        <v>2</v>
      </c>
      <c r="K103" s="232">
        <f t="shared" si="27"/>
        <v>0</v>
      </c>
      <c r="L103" s="345">
        <f t="shared" si="28"/>
        <v>5.1328283217613402E-2</v>
      </c>
      <c r="M103" s="521"/>
    </row>
    <row r="104" spans="1:13">
      <c r="A104" s="223" t="s">
        <v>307</v>
      </c>
      <c r="B104" s="1050"/>
      <c r="C104" s="234">
        <f>B104*4.333</f>
        <v>0</v>
      </c>
      <c r="D104" s="225">
        <v>174.47</v>
      </c>
      <c r="E104" s="226">
        <f t="shared" si="29"/>
        <v>0</v>
      </c>
      <c r="F104" s="227">
        <f t="shared" si="25"/>
        <v>0</v>
      </c>
      <c r="G104" s="228">
        <f>D104*(1+'Resi Price Out'!$G$5)</f>
        <v>183.42524557297702</v>
      </c>
      <c r="H104" s="229">
        <f t="shared" si="26"/>
        <v>0</v>
      </c>
      <c r="I104" s="227">
        <f t="shared" si="26"/>
        <v>0</v>
      </c>
      <c r="J104" s="231">
        <v>3</v>
      </c>
      <c r="K104" s="232">
        <f t="shared" si="27"/>
        <v>0</v>
      </c>
      <c r="L104" s="345">
        <f t="shared" si="28"/>
        <v>5.1328283217613402E-2</v>
      </c>
      <c r="M104" s="521"/>
    </row>
    <row r="105" spans="1:13">
      <c r="A105" s="223" t="s">
        <v>657</v>
      </c>
      <c r="B105" s="1050"/>
      <c r="C105" s="234">
        <f>B105*4.333</f>
        <v>0</v>
      </c>
      <c r="D105" s="231"/>
      <c r="E105" s="226">
        <f>D105*C105</f>
        <v>0</v>
      </c>
      <c r="F105" s="227">
        <f>C105*G105</f>
        <v>0</v>
      </c>
      <c r="G105" s="228">
        <f>D105*(1+'Resi Price Out'!$G$5)</f>
        <v>0</v>
      </c>
      <c r="H105" s="229">
        <f>E105*12</f>
        <v>0</v>
      </c>
      <c r="I105" s="227">
        <f>F105*12</f>
        <v>0</v>
      </c>
      <c r="J105" s="231">
        <v>3</v>
      </c>
      <c r="K105" s="232">
        <f>+J105*C105*12</f>
        <v>0</v>
      </c>
      <c r="L105" s="345" t="e">
        <f>+G105/D105-1</f>
        <v>#DIV/0!</v>
      </c>
      <c r="M105" s="521"/>
    </row>
    <row r="106" spans="1:13">
      <c r="A106" s="223" t="s">
        <v>77</v>
      </c>
      <c r="B106" s="1050"/>
      <c r="C106" s="234">
        <f>B106*4.333</f>
        <v>0</v>
      </c>
      <c r="D106" s="225">
        <v>53.89</v>
      </c>
      <c r="E106" s="226">
        <f t="shared" si="29"/>
        <v>0</v>
      </c>
      <c r="F106" s="227">
        <f t="shared" si="25"/>
        <v>0</v>
      </c>
      <c r="G106" s="228">
        <f>D106*(1+'Resi Price Out'!$G$5)</f>
        <v>56.656081182597184</v>
      </c>
      <c r="H106" s="229">
        <f t="shared" si="26"/>
        <v>0</v>
      </c>
      <c r="I106" s="227">
        <f t="shared" si="26"/>
        <v>0</v>
      </c>
      <c r="J106" s="231">
        <v>3</v>
      </c>
      <c r="K106" s="232">
        <f t="shared" si="27"/>
        <v>0</v>
      </c>
      <c r="L106" s="345">
        <f t="shared" si="28"/>
        <v>5.1328283217613402E-2</v>
      </c>
      <c r="M106" s="521"/>
    </row>
    <row r="107" spans="1:13">
      <c r="A107" s="223" t="s">
        <v>78</v>
      </c>
      <c r="B107" s="1050">
        <f>SUM('[16]PT - MF'!$H$11:$I$11)</f>
        <v>6</v>
      </c>
      <c r="C107" s="234">
        <f>B107*4.3333</f>
        <v>25.9998</v>
      </c>
      <c r="D107" s="225">
        <v>50.43</v>
      </c>
      <c r="E107" s="226">
        <f t="shared" si="29"/>
        <v>1311.1699140000001</v>
      </c>
      <c r="F107" s="227">
        <f t="shared" si="25"/>
        <v>1378.4700146922057</v>
      </c>
      <c r="G107" s="228">
        <f>D107*(1+'Resi Price Out'!$G$5)</f>
        <v>53.01848532266424</v>
      </c>
      <c r="H107" s="229">
        <f t="shared" si="26"/>
        <v>15734.038968000001</v>
      </c>
      <c r="I107" s="227">
        <f t="shared" si="26"/>
        <v>16541.640176306468</v>
      </c>
      <c r="J107" s="231">
        <v>3</v>
      </c>
      <c r="K107" s="232">
        <f t="shared" si="27"/>
        <v>935.9928000000001</v>
      </c>
      <c r="L107" s="345">
        <f t="shared" si="28"/>
        <v>5.1328283217613402E-2</v>
      </c>
      <c r="M107" s="521"/>
    </row>
    <row r="108" spans="1:13">
      <c r="A108" s="223" t="s">
        <v>79</v>
      </c>
      <c r="B108" s="1050">
        <f>SUM('[16]PT - MF'!$G$18)</f>
        <v>7</v>
      </c>
      <c r="C108" s="234">
        <f>B108*4.3333*2</f>
        <v>60.666200000000003</v>
      </c>
      <c r="D108" s="225">
        <v>50.43</v>
      </c>
      <c r="E108" s="226">
        <f t="shared" si="29"/>
        <v>3059.3964660000001</v>
      </c>
      <c r="F108" s="227">
        <f t="shared" si="25"/>
        <v>3216.4300342818137</v>
      </c>
      <c r="G108" s="228">
        <f>D108*(1+'Resi Price Out'!$G$5)</f>
        <v>53.01848532266424</v>
      </c>
      <c r="H108" s="229">
        <f t="shared" si="26"/>
        <v>36712.757592000002</v>
      </c>
      <c r="I108" s="227">
        <f t="shared" si="26"/>
        <v>38597.160411381767</v>
      </c>
      <c r="J108" s="231">
        <v>3</v>
      </c>
      <c r="K108" s="232">
        <f t="shared" si="27"/>
        <v>2183.9832000000001</v>
      </c>
      <c r="L108" s="345">
        <f t="shared" si="28"/>
        <v>5.1328283217613402E-2</v>
      </c>
      <c r="M108" s="521"/>
    </row>
    <row r="109" spans="1:13">
      <c r="A109" s="223" t="s">
        <v>80</v>
      </c>
      <c r="B109" s="1050"/>
      <c r="C109" s="234">
        <f>B109*4.3333*3</f>
        <v>0</v>
      </c>
      <c r="D109" s="225">
        <v>50.43</v>
      </c>
      <c r="E109" s="226">
        <f t="shared" si="29"/>
        <v>0</v>
      </c>
      <c r="F109" s="227">
        <f t="shared" si="25"/>
        <v>0</v>
      </c>
      <c r="G109" s="228">
        <f>D109*(1+'Resi Price Out'!$G$5)</f>
        <v>53.01848532266424</v>
      </c>
      <c r="H109" s="229">
        <f t="shared" si="26"/>
        <v>0</v>
      </c>
      <c r="I109" s="227">
        <f t="shared" si="26"/>
        <v>0</v>
      </c>
      <c r="J109" s="231">
        <v>3</v>
      </c>
      <c r="K109" s="232">
        <f t="shared" si="27"/>
        <v>0</v>
      </c>
      <c r="L109" s="345">
        <f t="shared" si="28"/>
        <v>5.1328283217613402E-2</v>
      </c>
      <c r="M109" s="521"/>
    </row>
    <row r="110" spans="1:13">
      <c r="A110" s="223" t="s">
        <v>308</v>
      </c>
      <c r="B110" s="1050"/>
      <c r="C110" s="234">
        <f>B110*4.333</f>
        <v>0</v>
      </c>
      <c r="D110" s="225">
        <v>293.77</v>
      </c>
      <c r="E110" s="226">
        <f t="shared" si="29"/>
        <v>0</v>
      </c>
      <c r="F110" s="227">
        <f t="shared" si="25"/>
        <v>0</v>
      </c>
      <c r="G110" s="228">
        <f>D110*(1+'Resi Price Out'!$G$5)</f>
        <v>308.84870976083829</v>
      </c>
      <c r="H110" s="229">
        <f t="shared" si="26"/>
        <v>0</v>
      </c>
      <c r="I110" s="227">
        <f t="shared" si="26"/>
        <v>0</v>
      </c>
      <c r="J110" s="231">
        <v>4</v>
      </c>
      <c r="K110" s="232">
        <f t="shared" si="27"/>
        <v>0</v>
      </c>
      <c r="L110" s="345">
        <f t="shared" si="28"/>
        <v>5.1328283217613402E-2</v>
      </c>
      <c r="M110" s="521"/>
    </row>
    <row r="111" spans="1:13">
      <c r="A111" s="223" t="s">
        <v>658</v>
      </c>
      <c r="B111" s="1050"/>
      <c r="C111" s="234">
        <f>B111*4.333</f>
        <v>0</v>
      </c>
      <c r="D111" s="231"/>
      <c r="E111" s="226">
        <f>D111*C111</f>
        <v>0</v>
      </c>
      <c r="F111" s="227">
        <f>C111*G111</f>
        <v>0</v>
      </c>
      <c r="G111" s="228">
        <f>D111*(1+'Resi Price Out'!$G$5)</f>
        <v>0</v>
      </c>
      <c r="H111" s="229">
        <f>E111*12</f>
        <v>0</v>
      </c>
      <c r="I111" s="227">
        <f>F111*12</f>
        <v>0</v>
      </c>
      <c r="J111" s="231">
        <v>4</v>
      </c>
      <c r="K111" s="232">
        <f>+J111*C111*12</f>
        <v>0</v>
      </c>
      <c r="L111" s="345" t="e">
        <f>+G111/D111-1</f>
        <v>#DIV/0!</v>
      </c>
      <c r="M111" s="521"/>
    </row>
    <row r="112" spans="1:13">
      <c r="A112" s="223" t="s">
        <v>81</v>
      </c>
      <c r="B112" s="1050"/>
      <c r="C112" s="234">
        <f>+B112*1</f>
        <v>0</v>
      </c>
      <c r="D112" s="225">
        <v>70.7</v>
      </c>
      <c r="E112" s="226">
        <f t="shared" si="29"/>
        <v>0</v>
      </c>
      <c r="F112" s="227">
        <f t="shared" si="25"/>
        <v>0</v>
      </c>
      <c r="G112" s="228">
        <f>D112*(1+'Resi Price Out'!$G$5)</f>
        <v>74.328909623485274</v>
      </c>
      <c r="H112" s="229">
        <f t="shared" si="26"/>
        <v>0</v>
      </c>
      <c r="I112" s="227">
        <f t="shared" si="26"/>
        <v>0</v>
      </c>
      <c r="J112" s="231">
        <v>4</v>
      </c>
      <c r="K112" s="232">
        <f t="shared" si="27"/>
        <v>0</v>
      </c>
      <c r="L112" s="345">
        <f t="shared" si="28"/>
        <v>5.1328283217613402E-2</v>
      </c>
      <c r="M112" s="521"/>
    </row>
    <row r="113" spans="1:13">
      <c r="A113" s="223" t="s">
        <v>82</v>
      </c>
      <c r="B113" s="1050">
        <f>SUM('[16]PT - MF'!$H$12:$I$12)</f>
        <v>16</v>
      </c>
      <c r="C113" s="234">
        <f>B113*4.3333</f>
        <v>69.332800000000006</v>
      </c>
      <c r="D113" s="225">
        <v>64.930000000000007</v>
      </c>
      <c r="E113" s="226">
        <f t="shared" si="29"/>
        <v>4501.7787040000012</v>
      </c>
      <c r="F113" s="227">
        <f t="shared" si="25"/>
        <v>4732.8472763019336</v>
      </c>
      <c r="G113" s="228">
        <f>D113*(1+'Resi Price Out'!$G$5)</f>
        <v>68.262745429319651</v>
      </c>
      <c r="H113" s="229">
        <f t="shared" si="26"/>
        <v>54021.344448000018</v>
      </c>
      <c r="I113" s="227">
        <f t="shared" si="26"/>
        <v>56794.167315623199</v>
      </c>
      <c r="J113" s="231">
        <v>4</v>
      </c>
      <c r="K113" s="232">
        <f t="shared" si="27"/>
        <v>3327.9744000000001</v>
      </c>
      <c r="L113" s="345">
        <f t="shared" si="28"/>
        <v>5.1328283217613402E-2</v>
      </c>
      <c r="M113" s="521"/>
    </row>
    <row r="114" spans="1:13">
      <c r="A114" s="223" t="s">
        <v>83</v>
      </c>
      <c r="B114" s="1050">
        <f>SUM('[16]PT - MF'!$G$19)</f>
        <v>9</v>
      </c>
      <c r="C114" s="234">
        <f>B114*4.3333*2</f>
        <v>77.999400000000009</v>
      </c>
      <c r="D114" s="225">
        <v>64.930000000000007</v>
      </c>
      <c r="E114" s="226">
        <f t="shared" si="29"/>
        <v>5064.5010420000008</v>
      </c>
      <c r="F114" s="227">
        <f t="shared" si="25"/>
        <v>5324.4531858396758</v>
      </c>
      <c r="G114" s="228">
        <f>D114*(1+'Resi Price Out'!$G$5)</f>
        <v>68.262745429319651</v>
      </c>
      <c r="H114" s="229">
        <f t="shared" si="26"/>
        <v>60774.012504000013</v>
      </c>
      <c r="I114" s="227">
        <f t="shared" si="26"/>
        <v>63893.438230076106</v>
      </c>
      <c r="J114" s="231">
        <v>4</v>
      </c>
      <c r="K114" s="232">
        <f t="shared" si="27"/>
        <v>3743.9712000000004</v>
      </c>
      <c r="L114" s="345">
        <f t="shared" si="28"/>
        <v>5.1328283217613402E-2</v>
      </c>
      <c r="M114" s="521"/>
    </row>
    <row r="115" spans="1:13">
      <c r="A115" s="223" t="s">
        <v>84</v>
      </c>
      <c r="B115" s="1050">
        <f>SUM('[16]PT - MF'!$G$23)</f>
        <v>2</v>
      </c>
      <c r="C115" s="234">
        <f>B115*4.3333*3</f>
        <v>25.9998</v>
      </c>
      <c r="D115" s="225">
        <v>64.930000000000007</v>
      </c>
      <c r="E115" s="226">
        <f t="shared" si="29"/>
        <v>1688.1670140000001</v>
      </c>
      <c r="F115" s="227">
        <f t="shared" si="25"/>
        <v>1774.8177286132252</v>
      </c>
      <c r="G115" s="228">
        <f>D115*(1+'Resi Price Out'!$G$5)</f>
        <v>68.262745429319651</v>
      </c>
      <c r="H115" s="229">
        <f t="shared" si="26"/>
        <v>20258.004167999999</v>
      </c>
      <c r="I115" s="227">
        <f t="shared" si="26"/>
        <v>21297.812743358703</v>
      </c>
      <c r="J115" s="231">
        <v>4</v>
      </c>
      <c r="K115" s="232">
        <f t="shared" si="27"/>
        <v>1247.9904000000001</v>
      </c>
      <c r="L115" s="345">
        <f t="shared" si="28"/>
        <v>5.1328283217613402E-2</v>
      </c>
      <c r="M115" s="521"/>
    </row>
    <row r="116" spans="1:13">
      <c r="A116" s="223" t="s">
        <v>569</v>
      </c>
      <c r="B116" s="1050"/>
      <c r="C116" s="234">
        <f>(B116*4.3333)*4</f>
        <v>0</v>
      </c>
      <c r="D116" s="225">
        <v>64.930000000000007</v>
      </c>
      <c r="E116" s="226">
        <f>D116*C116</f>
        <v>0</v>
      </c>
      <c r="F116" s="227">
        <f>C116*G116</f>
        <v>0</v>
      </c>
      <c r="G116" s="228">
        <f>D116*(1+'Resi Price Out'!$G$5)</f>
        <v>68.262745429319651</v>
      </c>
      <c r="H116" s="229">
        <f>E116*12</f>
        <v>0</v>
      </c>
      <c r="I116" s="227">
        <f>F116*12</f>
        <v>0</v>
      </c>
      <c r="J116" s="231">
        <v>4</v>
      </c>
      <c r="K116" s="232">
        <f>+J116*C116*12</f>
        <v>0</v>
      </c>
      <c r="L116" s="345">
        <f>+G116/D116-1</f>
        <v>5.1328283217613402E-2</v>
      </c>
      <c r="M116" s="521"/>
    </row>
    <row r="117" spans="1:13">
      <c r="A117" s="223" t="s">
        <v>636</v>
      </c>
      <c r="B117" s="1050"/>
      <c r="C117" s="234">
        <f>(B117*4.3333)*5</f>
        <v>0</v>
      </c>
      <c r="D117" s="225">
        <v>64.930000000000007</v>
      </c>
      <c r="E117" s="226">
        <f>D117*C117</f>
        <v>0</v>
      </c>
      <c r="F117" s="227">
        <f>C117*G117</f>
        <v>0</v>
      </c>
      <c r="G117" s="228">
        <f>D117*(1+'Resi Price Out'!$G$5)</f>
        <v>68.262745429319651</v>
      </c>
      <c r="H117" s="229">
        <f>E117*12</f>
        <v>0</v>
      </c>
      <c r="I117" s="227">
        <f>F117*12</f>
        <v>0</v>
      </c>
      <c r="J117" s="231">
        <v>4</v>
      </c>
      <c r="K117" s="232">
        <f>+J117*C117*12</f>
        <v>0</v>
      </c>
      <c r="L117" s="345">
        <f>+G117/D117-1</f>
        <v>5.1328283217613402E-2</v>
      </c>
      <c r="M117" s="521"/>
    </row>
    <row r="118" spans="1:13">
      <c r="A118" s="223" t="s">
        <v>714</v>
      </c>
      <c r="B118" s="1050"/>
      <c r="C118" s="234">
        <f>(B118*4.3333)*6</f>
        <v>0</v>
      </c>
      <c r="D118" s="225">
        <v>64.930000000000007</v>
      </c>
      <c r="E118" s="226">
        <f t="shared" si="29"/>
        <v>0</v>
      </c>
      <c r="F118" s="227">
        <f>C118*G118</f>
        <v>0</v>
      </c>
      <c r="G118" s="228">
        <f>D118*(1+'Resi Price Out'!$G$5)</f>
        <v>68.262745429319651</v>
      </c>
      <c r="H118" s="229">
        <f t="shared" si="26"/>
        <v>0</v>
      </c>
      <c r="I118" s="227">
        <f t="shared" si="26"/>
        <v>0</v>
      </c>
      <c r="J118" s="231">
        <v>4</v>
      </c>
      <c r="K118" s="232">
        <f t="shared" si="27"/>
        <v>0</v>
      </c>
      <c r="L118" s="345">
        <f t="shared" si="28"/>
        <v>5.1328283217613402E-2</v>
      </c>
      <c r="M118" s="521"/>
    </row>
    <row r="119" spans="1:13">
      <c r="A119" s="223" t="s">
        <v>660</v>
      </c>
      <c r="B119" s="1050"/>
      <c r="C119" s="234">
        <f>B119*4.333</f>
        <v>0</v>
      </c>
      <c r="D119" s="225">
        <v>0</v>
      </c>
      <c r="E119" s="226">
        <f t="shared" si="29"/>
        <v>0</v>
      </c>
      <c r="F119" s="227">
        <f t="shared" si="25"/>
        <v>0</v>
      </c>
      <c r="G119" s="228">
        <f>D119*(1+'Resi Price Out'!$G$5)</f>
        <v>0</v>
      </c>
      <c r="H119" s="229">
        <f t="shared" si="26"/>
        <v>0</v>
      </c>
      <c r="I119" s="227">
        <f t="shared" si="26"/>
        <v>0</v>
      </c>
      <c r="J119" s="231">
        <v>5</v>
      </c>
      <c r="K119" s="232">
        <f t="shared" si="27"/>
        <v>0</v>
      </c>
      <c r="L119" s="345" t="e">
        <f>+G119/D119-1</f>
        <v>#DIV/0!</v>
      </c>
      <c r="M119" s="521"/>
    </row>
    <row r="120" spans="1:13">
      <c r="A120" s="223" t="s">
        <v>659</v>
      </c>
      <c r="B120" s="1050"/>
      <c r="C120" s="234">
        <f>B120*4.333</f>
        <v>0</v>
      </c>
      <c r="D120" s="231"/>
      <c r="E120" s="226">
        <f>D120*C120</f>
        <v>0</v>
      </c>
      <c r="F120" s="227">
        <f>C120*G120</f>
        <v>0</v>
      </c>
      <c r="G120" s="228">
        <f>D120*(1+'Resi Price Out'!$G$5)</f>
        <v>0</v>
      </c>
      <c r="H120" s="229">
        <f>E120*12</f>
        <v>0</v>
      </c>
      <c r="I120" s="227">
        <f>F120*12</f>
        <v>0</v>
      </c>
      <c r="J120" s="231">
        <v>5</v>
      </c>
      <c r="K120" s="232">
        <f>+J120*C120*12</f>
        <v>0</v>
      </c>
      <c r="L120" s="345" t="e">
        <f>+G120/D120-1</f>
        <v>#DIV/0!</v>
      </c>
      <c r="M120" s="521"/>
    </row>
    <row r="121" spans="1:13">
      <c r="A121" s="223" t="s">
        <v>309</v>
      </c>
      <c r="B121" s="1050"/>
      <c r="C121" s="234">
        <f>B121*4.333</f>
        <v>0</v>
      </c>
      <c r="D121" s="225">
        <v>383.55</v>
      </c>
      <c r="E121" s="226">
        <f t="shared" si="29"/>
        <v>0</v>
      </c>
      <c r="F121" s="227">
        <f t="shared" si="25"/>
        <v>0</v>
      </c>
      <c r="G121" s="228">
        <f>D121*(1+'Resi Price Out'!$G$5)</f>
        <v>403.23696302811561</v>
      </c>
      <c r="H121" s="229">
        <f t="shared" si="26"/>
        <v>0</v>
      </c>
      <c r="I121" s="227">
        <f t="shared" si="26"/>
        <v>0</v>
      </c>
      <c r="J121" s="231">
        <v>6</v>
      </c>
      <c r="K121" s="232">
        <f t="shared" si="27"/>
        <v>0</v>
      </c>
      <c r="L121" s="345">
        <f t="shared" si="28"/>
        <v>5.1328283217613402E-2</v>
      </c>
      <c r="M121" s="521"/>
    </row>
    <row r="122" spans="1:13">
      <c r="A122" s="223" t="s">
        <v>661</v>
      </c>
      <c r="B122" s="1050"/>
      <c r="C122" s="234">
        <f>B122*4.333</f>
        <v>0</v>
      </c>
      <c r="D122" s="231"/>
      <c r="E122" s="226">
        <f>D122*C122</f>
        <v>0</v>
      </c>
      <c r="F122" s="227">
        <f>C122*G122</f>
        <v>0</v>
      </c>
      <c r="G122" s="728">
        <f>D122*(1+'Resi Price Out'!$G$5)</f>
        <v>0</v>
      </c>
      <c r="H122" s="229">
        <f>E122*12</f>
        <v>0</v>
      </c>
      <c r="I122" s="227">
        <f>F122*12</f>
        <v>0</v>
      </c>
      <c r="J122" s="231">
        <v>6</v>
      </c>
      <c r="K122" s="232">
        <f>+J122*C122*12</f>
        <v>0</v>
      </c>
      <c r="L122" s="345" t="e">
        <f>+G122/D122-1</f>
        <v>#DIV/0!</v>
      </c>
      <c r="M122" s="521"/>
    </row>
    <row r="123" spans="1:13">
      <c r="A123" s="223" t="s">
        <v>85</v>
      </c>
      <c r="B123" s="1050"/>
      <c r="C123" s="234">
        <f>+B123*1</f>
        <v>0</v>
      </c>
      <c r="D123" s="225">
        <v>105.47</v>
      </c>
      <c r="E123" s="226">
        <f t="shared" si="29"/>
        <v>0</v>
      </c>
      <c r="F123" s="227">
        <f t="shared" si="25"/>
        <v>0</v>
      </c>
      <c r="G123" s="728">
        <f>D123*(1+'Resi Price Out'!$G$5)</f>
        <v>110.88359403096169</v>
      </c>
      <c r="H123" s="229">
        <f t="shared" si="26"/>
        <v>0</v>
      </c>
      <c r="I123" s="227">
        <f t="shared" si="26"/>
        <v>0</v>
      </c>
      <c r="J123" s="231">
        <v>6</v>
      </c>
      <c r="K123" s="232">
        <f t="shared" si="27"/>
        <v>0</v>
      </c>
      <c r="L123" s="345">
        <f t="shared" si="28"/>
        <v>5.1328283217613402E-2</v>
      </c>
      <c r="M123" s="521"/>
    </row>
    <row r="124" spans="1:13">
      <c r="A124" s="223" t="s">
        <v>86</v>
      </c>
      <c r="B124" s="1050">
        <f>SUM('[16]PT - MF'!$G$13)</f>
        <v>12</v>
      </c>
      <c r="C124" s="234">
        <f>B124*4.3333</f>
        <v>51.999600000000001</v>
      </c>
      <c r="D124" s="225">
        <v>97.4</v>
      </c>
      <c r="E124" s="226">
        <f t="shared" si="29"/>
        <v>5064.7610400000003</v>
      </c>
      <c r="F124" s="227">
        <f t="shared" si="25"/>
        <v>5324.7265290906544</v>
      </c>
      <c r="G124" s="728">
        <f>D124*(1+'Resi Price Out'!$G$5)</f>
        <v>102.39937478539555</v>
      </c>
      <c r="H124" s="229">
        <f t="shared" si="26"/>
        <v>60777.13248</v>
      </c>
      <c r="I124" s="227">
        <f t="shared" si="26"/>
        <v>63896.718349087852</v>
      </c>
      <c r="J124" s="231">
        <v>6</v>
      </c>
      <c r="K124" s="232">
        <f t="shared" si="27"/>
        <v>3743.9712000000004</v>
      </c>
      <c r="L124" s="345">
        <f t="shared" si="28"/>
        <v>5.1328283217613402E-2</v>
      </c>
      <c r="M124" s="521"/>
    </row>
    <row r="125" spans="1:13">
      <c r="A125" s="223" t="s">
        <v>87</v>
      </c>
      <c r="B125" s="1050">
        <f>SUM('[16]PT - MF'!$G$20)</f>
        <v>2</v>
      </c>
      <c r="C125" s="234">
        <f>B125*4.3333*2</f>
        <v>17.333200000000001</v>
      </c>
      <c r="D125" s="225">
        <v>97.4</v>
      </c>
      <c r="E125" s="226">
        <f t="shared" si="29"/>
        <v>1688.2536800000003</v>
      </c>
      <c r="F125" s="227">
        <f t="shared" si="25"/>
        <v>1774.9088430302183</v>
      </c>
      <c r="G125" s="728">
        <f>D125*(1+'Resi Price Out'!$G$5)</f>
        <v>102.39937478539555</v>
      </c>
      <c r="H125" s="229">
        <f t="shared" si="26"/>
        <v>20259.044160000005</v>
      </c>
      <c r="I125" s="227">
        <f t="shared" si="26"/>
        <v>21298.906116362621</v>
      </c>
      <c r="J125" s="231">
        <v>6</v>
      </c>
      <c r="K125" s="232">
        <f t="shared" si="27"/>
        <v>1247.9904000000001</v>
      </c>
      <c r="L125" s="345">
        <f t="shared" si="28"/>
        <v>5.1328283217613402E-2</v>
      </c>
      <c r="M125" s="521"/>
    </row>
    <row r="126" spans="1:13">
      <c r="A126" s="223" t="s">
        <v>88</v>
      </c>
      <c r="B126" s="1050"/>
      <c r="C126" s="234">
        <f>B126*4.3333*3</f>
        <v>0</v>
      </c>
      <c r="D126" s="225">
        <v>97.4</v>
      </c>
      <c r="E126" s="226">
        <f t="shared" si="29"/>
        <v>0</v>
      </c>
      <c r="F126" s="227">
        <f t="shared" si="25"/>
        <v>0</v>
      </c>
      <c r="G126" s="728">
        <f>D126*(1+'Resi Price Out'!$G$5)</f>
        <v>102.39937478539555</v>
      </c>
      <c r="H126" s="229">
        <f t="shared" si="26"/>
        <v>0</v>
      </c>
      <c r="I126" s="227">
        <f t="shared" si="26"/>
        <v>0</v>
      </c>
      <c r="J126" s="231">
        <v>6</v>
      </c>
      <c r="K126" s="232">
        <f t="shared" si="27"/>
        <v>0</v>
      </c>
      <c r="L126" s="345">
        <f t="shared" si="28"/>
        <v>5.1328283217613402E-2</v>
      </c>
      <c r="M126" s="521"/>
    </row>
    <row r="127" spans="1:13">
      <c r="A127" s="223" t="s">
        <v>89</v>
      </c>
      <c r="B127" s="1050">
        <f>SUM('[16]PT - MF'!$G$27:$H$27)</f>
        <v>1</v>
      </c>
      <c r="C127" s="234">
        <f>+B127*1</f>
        <v>1</v>
      </c>
      <c r="D127" s="225">
        <v>129.88</v>
      </c>
      <c r="E127" s="226">
        <f t="shared" si="29"/>
        <v>129.88</v>
      </c>
      <c r="F127" s="227">
        <f t="shared" si="25"/>
        <v>136.54651742430363</v>
      </c>
      <c r="G127" s="728">
        <f>D127*(1+'Resi Price Out'!$G$5)</f>
        <v>136.54651742430363</v>
      </c>
      <c r="H127" s="229">
        <f t="shared" si="26"/>
        <v>1558.56</v>
      </c>
      <c r="I127" s="227">
        <f t="shared" si="26"/>
        <v>1638.5582090916437</v>
      </c>
      <c r="J127" s="231">
        <v>8</v>
      </c>
      <c r="K127" s="232">
        <f t="shared" si="27"/>
        <v>96</v>
      </c>
      <c r="L127" s="345">
        <f t="shared" si="28"/>
        <v>5.1328283217613402E-2</v>
      </c>
      <c r="M127" s="521"/>
    </row>
    <row r="128" spans="1:13">
      <c r="A128" s="223" t="s">
        <v>90</v>
      </c>
      <c r="B128" s="1050">
        <f>SUM('[16]PT - MF'!$H$14:$I$14)</f>
        <v>2</v>
      </c>
      <c r="C128" s="234">
        <f>B128*4.3333</f>
        <v>8.6666000000000007</v>
      </c>
      <c r="D128" s="225">
        <v>127.57</v>
      </c>
      <c r="E128" s="226">
        <f t="shared" si="29"/>
        <v>1105.598162</v>
      </c>
      <c r="F128" s="227">
        <f t="shared" si="25"/>
        <v>1162.346617584009</v>
      </c>
      <c r="G128" s="728">
        <f>D128*(1+'Resi Price Out'!$G$5)</f>
        <v>134.11794909007094</v>
      </c>
      <c r="H128" s="229">
        <f t="shared" si="26"/>
        <v>13267.177943999999</v>
      </c>
      <c r="I128" s="227">
        <f t="shared" si="26"/>
        <v>13948.159411008108</v>
      </c>
      <c r="J128" s="231">
        <v>8</v>
      </c>
      <c r="K128" s="232">
        <f t="shared" si="27"/>
        <v>831.99360000000001</v>
      </c>
      <c r="L128" s="345">
        <f t="shared" si="28"/>
        <v>5.1328283217613402E-2</v>
      </c>
      <c r="M128" s="521"/>
    </row>
    <row r="129" spans="1:13">
      <c r="A129" s="223" t="s">
        <v>91</v>
      </c>
      <c r="B129" s="1050">
        <f>SUM('[16]PT - MF'!$G$21)</f>
        <v>5</v>
      </c>
      <c r="C129" s="234">
        <f>B129*4.3333*2</f>
        <v>43.333000000000006</v>
      </c>
      <c r="D129" s="225">
        <v>127.57</v>
      </c>
      <c r="E129" s="226">
        <f t="shared" si="29"/>
        <v>5527.9908100000002</v>
      </c>
      <c r="F129" s="227">
        <f t="shared" si="25"/>
        <v>5811.7330879200445</v>
      </c>
      <c r="G129" s="228">
        <f>D129*(1+'Resi Price Out'!$G$5)</f>
        <v>134.11794909007094</v>
      </c>
      <c r="H129" s="229">
        <f t="shared" si="26"/>
        <v>66335.889720000006</v>
      </c>
      <c r="I129" s="227">
        <f t="shared" si="26"/>
        <v>69740.79705504053</v>
      </c>
      <c r="J129" s="231">
        <v>8</v>
      </c>
      <c r="K129" s="232">
        <f t="shared" si="27"/>
        <v>4159.9680000000008</v>
      </c>
      <c r="L129" s="345">
        <f t="shared" si="28"/>
        <v>5.1328283217613402E-2</v>
      </c>
      <c r="M129" s="521"/>
    </row>
    <row r="130" spans="1:13">
      <c r="A130" s="223" t="s">
        <v>92</v>
      </c>
      <c r="B130" s="1050"/>
      <c r="C130" s="234">
        <f>B130*4.3333*3</f>
        <v>0</v>
      </c>
      <c r="D130" s="225">
        <v>127.57</v>
      </c>
      <c r="E130" s="226">
        <f>D130*C130</f>
        <v>0</v>
      </c>
      <c r="F130" s="227">
        <f>C130*G130</f>
        <v>0</v>
      </c>
      <c r="G130" s="228">
        <f>D130*(1+'Resi Price Out'!$G$5)</f>
        <v>134.11794909007094</v>
      </c>
      <c r="H130" s="229">
        <f>E130*12</f>
        <v>0</v>
      </c>
      <c r="I130" s="227">
        <f>F130*12</f>
        <v>0</v>
      </c>
      <c r="J130" s="231">
        <v>8</v>
      </c>
      <c r="K130" s="232">
        <f>+J130*C130*12</f>
        <v>0</v>
      </c>
      <c r="L130" s="345">
        <f>+G130/D130-1</f>
        <v>5.1328283217613402E-2</v>
      </c>
      <c r="M130" s="521"/>
    </row>
    <row r="131" spans="1:13">
      <c r="A131" s="223" t="s">
        <v>568</v>
      </c>
      <c r="B131" s="1050"/>
      <c r="C131" s="234">
        <f>B131*4.3333*4</f>
        <v>0</v>
      </c>
      <c r="D131" s="225">
        <v>127.57</v>
      </c>
      <c r="E131" s="226">
        <f t="shared" si="29"/>
        <v>0</v>
      </c>
      <c r="F131" s="227">
        <f t="shared" si="25"/>
        <v>0</v>
      </c>
      <c r="G131" s="228">
        <f>D131*(1+'Resi Price Out'!$G$5)</f>
        <v>134.11794909007094</v>
      </c>
      <c r="H131" s="229">
        <f t="shared" si="26"/>
        <v>0</v>
      </c>
      <c r="I131" s="227">
        <f t="shared" si="26"/>
        <v>0</v>
      </c>
      <c r="J131" s="231">
        <v>8</v>
      </c>
      <c r="K131" s="232">
        <f t="shared" si="27"/>
        <v>0</v>
      </c>
      <c r="L131" s="345">
        <f t="shared" si="28"/>
        <v>5.1328283217613402E-2</v>
      </c>
      <c r="M131" s="521"/>
    </row>
    <row r="132" spans="1:13">
      <c r="A132" s="223" t="s">
        <v>93</v>
      </c>
      <c r="B132" s="1261">
        <f>SUM('[13]wutc MF rental'!$B$6:$D$6)/D132/12</f>
        <v>74.000000000000014</v>
      </c>
      <c r="C132" s="234" t="s">
        <v>295</v>
      </c>
      <c r="D132" s="235">
        <v>1.1399999999999999</v>
      </c>
      <c r="E132" s="226">
        <f>+D132*B132</f>
        <v>84.360000000000014</v>
      </c>
      <c r="F132" s="227">
        <f t="shared" ref="F132:F141" si="36">+G132*B132</f>
        <v>88.690053972237891</v>
      </c>
      <c r="G132" s="228">
        <f>D132*(1+'Resi Price Out'!$G$5)</f>
        <v>1.1985142428680793</v>
      </c>
      <c r="H132" s="229">
        <f t="shared" si="26"/>
        <v>1012.3200000000002</v>
      </c>
      <c r="I132" s="227">
        <f t="shared" si="26"/>
        <v>1064.2806476668547</v>
      </c>
      <c r="L132" s="345">
        <f t="shared" si="28"/>
        <v>5.1328283217613402E-2</v>
      </c>
      <c r="M132" s="223"/>
    </row>
    <row r="133" spans="1:13">
      <c r="A133" s="223" t="s">
        <v>94</v>
      </c>
      <c r="B133" s="1261">
        <v>0</v>
      </c>
      <c r="C133" s="234" t="s">
        <v>295</v>
      </c>
      <c r="D133" s="235">
        <v>1.76</v>
      </c>
      <c r="E133" s="226">
        <f>+D133*B133</f>
        <v>0</v>
      </c>
      <c r="F133" s="227">
        <f t="shared" si="36"/>
        <v>0</v>
      </c>
      <c r="G133" s="228">
        <f>D133*(1+'Resi Price Out'!$G$5)</f>
        <v>1.8503377784629995</v>
      </c>
      <c r="H133" s="229">
        <f t="shared" si="26"/>
        <v>0</v>
      </c>
      <c r="I133" s="227">
        <f t="shared" si="26"/>
        <v>0</v>
      </c>
      <c r="L133" s="345">
        <f t="shared" si="28"/>
        <v>5.1328283217613402E-2</v>
      </c>
      <c r="M133" s="223"/>
    </row>
    <row r="134" spans="1:13">
      <c r="A134" s="223" t="s">
        <v>95</v>
      </c>
      <c r="B134" s="1261">
        <f>SUM('[13]wutc MF rental'!B7:D7)/D134/12</f>
        <v>44.25568181818182</v>
      </c>
      <c r="C134" s="234" t="s">
        <v>295</v>
      </c>
      <c r="D134" s="235">
        <v>1.76</v>
      </c>
      <c r="E134" s="226">
        <f t="shared" ref="E134:E141" si="37">+D134*B134</f>
        <v>77.89</v>
      </c>
      <c r="F134" s="227">
        <f t="shared" si="36"/>
        <v>81.887959979819911</v>
      </c>
      <c r="G134" s="228">
        <f>D134*(1+'Resi Price Out'!$G$5)</f>
        <v>1.8503377784629995</v>
      </c>
      <c r="H134" s="229">
        <f t="shared" si="26"/>
        <v>934.68000000000006</v>
      </c>
      <c r="I134" s="227">
        <f t="shared" si="26"/>
        <v>982.65551975783887</v>
      </c>
      <c r="L134" s="345">
        <f t="shared" si="28"/>
        <v>5.1328283217613402E-2</v>
      </c>
      <c r="M134" s="223"/>
    </row>
    <row r="135" spans="1:13">
      <c r="A135" s="223" t="s">
        <v>96</v>
      </c>
      <c r="B135" s="1261">
        <f>SUM('[13]wutc MF rental'!B8:D8)/D135/12</f>
        <v>3.6271733730750118</v>
      </c>
      <c r="C135" s="234" t="s">
        <v>295</v>
      </c>
      <c r="D135" s="235">
        <v>6.71</v>
      </c>
      <c r="E135" s="226">
        <f t="shared" si="37"/>
        <v>24.338333333333328</v>
      </c>
      <c r="F135" s="227">
        <f t="shared" si="36"/>
        <v>25.587578199711341</v>
      </c>
      <c r="G135" s="235">
        <f>D135*(1+'Resi Price Out'!$G$5)</f>
        <v>7.0544127803901855</v>
      </c>
      <c r="H135" s="229">
        <f t="shared" si="26"/>
        <v>292.05999999999995</v>
      </c>
      <c r="I135" s="227">
        <f t="shared" si="26"/>
        <v>307.05093839653608</v>
      </c>
      <c r="L135" s="345">
        <f t="shared" si="28"/>
        <v>5.1328283217613402E-2</v>
      </c>
    </row>
    <row r="136" spans="1:13">
      <c r="A136" s="223" t="s">
        <v>1024</v>
      </c>
      <c r="B136" s="1261">
        <f>SUM('[13]wutc MF rental'!B9:D9)/D136/12</f>
        <v>5</v>
      </c>
      <c r="C136" s="234" t="s">
        <v>295</v>
      </c>
      <c r="D136" s="235">
        <v>7.75</v>
      </c>
      <c r="E136" s="226">
        <f t="shared" si="37"/>
        <v>38.75</v>
      </c>
      <c r="F136" s="227">
        <f t="shared" si="36"/>
        <v>40.738970974682516</v>
      </c>
      <c r="G136" s="235">
        <f>D136*(1+'Resi Price Out'!$G$5)</f>
        <v>8.1477941949365036</v>
      </c>
      <c r="H136" s="229">
        <f t="shared" si="26"/>
        <v>465</v>
      </c>
      <c r="I136" s="227">
        <f t="shared" si="26"/>
        <v>488.86765169619019</v>
      </c>
      <c r="L136" s="345">
        <f t="shared" si="28"/>
        <v>5.1328283217613402E-2</v>
      </c>
    </row>
    <row r="137" spans="1:13">
      <c r="A137" s="223" t="s">
        <v>565</v>
      </c>
      <c r="B137" s="1261">
        <v>0</v>
      </c>
      <c r="C137" s="234" t="s">
        <v>295</v>
      </c>
      <c r="D137" s="235">
        <v>9</v>
      </c>
      <c r="E137" s="226">
        <f t="shared" si="37"/>
        <v>0</v>
      </c>
      <c r="F137" s="227">
        <f t="shared" si="36"/>
        <v>0</v>
      </c>
      <c r="G137" s="235">
        <f>D137*(1+'Resi Price Out'!$G$5)</f>
        <v>9.46195454895852</v>
      </c>
      <c r="H137" s="229">
        <f t="shared" si="26"/>
        <v>0</v>
      </c>
      <c r="I137" s="227">
        <f t="shared" si="26"/>
        <v>0</v>
      </c>
      <c r="L137" s="345">
        <f t="shared" si="28"/>
        <v>5.1328283217613402E-2</v>
      </c>
    </row>
    <row r="138" spans="1:13">
      <c r="A138" s="223" t="s">
        <v>97</v>
      </c>
      <c r="B138" s="1261">
        <f>SUM('[13]wutc MF rental'!B10:D10)/D138/12</f>
        <v>12.508218125960063</v>
      </c>
      <c r="C138" s="234" t="s">
        <v>295</v>
      </c>
      <c r="D138" s="235">
        <v>10.85</v>
      </c>
      <c r="E138" s="226">
        <f t="shared" si="37"/>
        <v>135.71416666666667</v>
      </c>
      <c r="F138" s="227">
        <f t="shared" si="36"/>
        <v>142.68014184997574</v>
      </c>
      <c r="G138" s="235">
        <f>D138*(1+'Resi Price Out'!$G$5)</f>
        <v>11.406911872911104</v>
      </c>
      <c r="H138" s="229">
        <f t="shared" si="26"/>
        <v>1628.5700000000002</v>
      </c>
      <c r="I138" s="227">
        <f t="shared" si="26"/>
        <v>1712.161702199709</v>
      </c>
      <c r="L138" s="345">
        <f t="shared" si="28"/>
        <v>5.1328283217613402E-2</v>
      </c>
    </row>
    <row r="139" spans="1:13">
      <c r="A139" s="223" t="s">
        <v>98</v>
      </c>
      <c r="B139" s="1261">
        <f>SUM('[13]wutc MF rental'!B11:D11)/D139/12</f>
        <v>13.000000000000002</v>
      </c>
      <c r="C139" s="234" t="s">
        <v>295</v>
      </c>
      <c r="D139" s="235">
        <v>13.43</v>
      </c>
      <c r="E139" s="226">
        <f t="shared" si="37"/>
        <v>174.59000000000003</v>
      </c>
      <c r="F139" s="227">
        <f t="shared" si="36"/>
        <v>183.55140496696313</v>
      </c>
      <c r="G139" s="235">
        <f>D139*(1+'Resi Price Out'!$G$5)</f>
        <v>14.119338843612548</v>
      </c>
      <c r="H139" s="229">
        <f t="shared" si="26"/>
        <v>2095.0800000000004</v>
      </c>
      <c r="I139" s="227">
        <f t="shared" si="26"/>
        <v>2202.6168596035577</v>
      </c>
      <c r="L139" s="345">
        <f t="shared" si="28"/>
        <v>5.1328283217613402E-2</v>
      </c>
    </row>
    <row r="140" spans="1:13">
      <c r="A140" s="223" t="s">
        <v>99</v>
      </c>
      <c r="B140" s="1261">
        <f>SUM('[13]wutc MF rental'!B12:D12)/D140/12</f>
        <v>27.16005030621173</v>
      </c>
      <c r="C140" s="234" t="s">
        <v>295</v>
      </c>
      <c r="D140" s="235">
        <v>15.24</v>
      </c>
      <c r="E140" s="226">
        <f t="shared" si="37"/>
        <v>413.91916666666674</v>
      </c>
      <c r="F140" s="227">
        <f t="shared" si="36"/>
        <v>435.16492688253197</v>
      </c>
      <c r="G140" s="235">
        <f>D140*(1+'Resi Price Out'!$G$5)</f>
        <v>16.022243036236429</v>
      </c>
      <c r="H140" s="229">
        <f t="shared" si="26"/>
        <v>4967.0300000000007</v>
      </c>
      <c r="I140" s="227">
        <f t="shared" si="26"/>
        <v>5221.9791225903837</v>
      </c>
      <c r="L140" s="345">
        <f t="shared" si="28"/>
        <v>5.1328283217613402E-2</v>
      </c>
    </row>
    <row r="141" spans="1:13">
      <c r="A141" s="223" t="s">
        <v>100</v>
      </c>
      <c r="B141" s="1261">
        <f>SUM('[13]wutc MF rental'!B13:D13)/D141/12</f>
        <v>13.359583516644674</v>
      </c>
      <c r="C141" s="234" t="s">
        <v>295</v>
      </c>
      <c r="D141" s="235">
        <v>22.73</v>
      </c>
      <c r="E141" s="226">
        <f t="shared" si="37"/>
        <v>303.66333333333347</v>
      </c>
      <c r="F141" s="227">
        <f t="shared" si="36"/>
        <v>319.24985090947132</v>
      </c>
      <c r="G141" s="235">
        <f>D141*(1+'Resi Price Out'!$G$5)</f>
        <v>23.896691877536352</v>
      </c>
      <c r="H141" s="229">
        <f t="shared" si="26"/>
        <v>3643.9600000000019</v>
      </c>
      <c r="I141" s="227">
        <f t="shared" si="26"/>
        <v>3830.9982109136558</v>
      </c>
      <c r="L141" s="345">
        <f t="shared" si="28"/>
        <v>5.1328283217613402E-2</v>
      </c>
    </row>
    <row r="142" spans="1:13">
      <c r="A142" s="223" t="s">
        <v>101</v>
      </c>
      <c r="B142" s="1261">
        <f>SUM('[13]wutc MF rental'!B14:D14)/D142/12</f>
        <v>8</v>
      </c>
      <c r="C142" s="234" t="s">
        <v>295</v>
      </c>
      <c r="D142" s="235">
        <v>25.83</v>
      </c>
      <c r="E142" s="226">
        <f>+D142*B142</f>
        <v>206.64</v>
      </c>
      <c r="F142" s="227">
        <f>+G142*B142</f>
        <v>217.24647644408762</v>
      </c>
      <c r="G142" s="235">
        <f>D142*(1+'Resi Price Out'!$G$5)</f>
        <v>27.155809555510952</v>
      </c>
      <c r="H142" s="229">
        <f t="shared" ref="H142:I144" si="38">E142*12</f>
        <v>2479.6799999999998</v>
      </c>
      <c r="I142" s="227">
        <f t="shared" si="38"/>
        <v>2606.9577173290513</v>
      </c>
      <c r="L142" s="345">
        <f>+G142/D142-1</f>
        <v>5.1328283217613402E-2</v>
      </c>
    </row>
    <row r="143" spans="1:13">
      <c r="A143" s="223" t="s">
        <v>1598</v>
      </c>
      <c r="B143" s="1261"/>
      <c r="C143" s="234" t="s">
        <v>295</v>
      </c>
      <c r="D143" s="235">
        <v>27.5</v>
      </c>
      <c r="E143" s="226">
        <f>+D143*B143</f>
        <v>0</v>
      </c>
      <c r="F143" s="227">
        <f>+G143*B143</f>
        <v>0</v>
      </c>
      <c r="G143" s="235">
        <f>D143*(1+'Resi Price Out'!$G$5)</f>
        <v>28.911527788484367</v>
      </c>
      <c r="H143" s="229">
        <f t="shared" si="38"/>
        <v>0</v>
      </c>
      <c r="I143" s="227">
        <f t="shared" si="38"/>
        <v>0</v>
      </c>
      <c r="L143" s="345">
        <f>+G143/D143-1</f>
        <v>5.1328283217613402E-2</v>
      </c>
    </row>
    <row r="144" spans="1:13">
      <c r="A144" s="240" t="s">
        <v>67</v>
      </c>
      <c r="B144" s="1052"/>
      <c r="C144" s="1037" t="s">
        <v>295</v>
      </c>
      <c r="D144" s="1040"/>
      <c r="E144" s="242">
        <f>+D144*B144</f>
        <v>0</v>
      </c>
      <c r="F144" s="243">
        <f>+G144*B144</f>
        <v>0</v>
      </c>
      <c r="G144" s="241">
        <f>D144*(1+'Resi Price Out'!$G$5)</f>
        <v>0</v>
      </c>
      <c r="H144" s="244">
        <f t="shared" si="38"/>
        <v>0</v>
      </c>
      <c r="I144" s="243">
        <f t="shared" si="38"/>
        <v>0</v>
      </c>
      <c r="J144" s="1038"/>
      <c r="K144" s="1038"/>
      <c r="L144" s="1039" t="e">
        <f>+G144/D144-1</f>
        <v>#DIV/0!</v>
      </c>
    </row>
    <row r="145" spans="1:9">
      <c r="A145" s="192" t="s">
        <v>312</v>
      </c>
      <c r="B145" s="1051">
        <f>SUM(B82:B131)</f>
        <v>294</v>
      </c>
      <c r="C145" s="1064">
        <f>SUM(C82:C131)</f>
        <v>1396.3226000000004</v>
      </c>
      <c r="D145" s="235"/>
      <c r="E145" s="226">
        <f>SUM(E82:E142)</f>
        <v>37642.887665999995</v>
      </c>
      <c r="F145" s="227">
        <f>SUM(F82:F141)</f>
        <v>39357.785988805175</v>
      </c>
      <c r="G145" s="227" t="s">
        <v>21</v>
      </c>
      <c r="H145" s="227">
        <f>SUM(H82:H142)</f>
        <v>451714.65199200012</v>
      </c>
      <c r="I145" s="227">
        <f>SUM(I82:I141)</f>
        <v>472293.4318656621</v>
      </c>
    </row>
    <row r="146" spans="1:9">
      <c r="B146" s="1051"/>
      <c r="C146" s="245"/>
      <c r="D146" s="246"/>
      <c r="E146" s="227"/>
      <c r="F146" s="227"/>
      <c r="G146" s="238"/>
      <c r="H146" s="229">
        <f>E146*12</f>
        <v>0</v>
      </c>
      <c r="I146" s="227"/>
    </row>
    <row r="147" spans="1:9" ht="12.75" thickBot="1">
      <c r="A147" s="247" t="s">
        <v>313</v>
      </c>
      <c r="B147" s="248">
        <f>B145+B77</f>
        <v>796.22868946225367</v>
      </c>
      <c r="C147" s="248">
        <f>SUM(C9:C146)</f>
        <v>3904.6252000000013</v>
      </c>
      <c r="D147" s="249"/>
      <c r="E147" s="250">
        <f>E145+E77</f>
        <v>83562.358652666677</v>
      </c>
      <c r="F147" s="248">
        <f>F145+F77</f>
        <v>87634.224587478442</v>
      </c>
      <c r="G147" s="251"/>
      <c r="H147" s="252">
        <f>SUM(H146:H146)</f>
        <v>0</v>
      </c>
      <c r="I147" s="248"/>
    </row>
    <row r="148" spans="1:9" ht="12.75" thickTop="1">
      <c r="A148" s="185" t="s">
        <v>26</v>
      </c>
      <c r="B148" s="253"/>
      <c r="C148" s="253"/>
      <c r="D148" s="254"/>
      <c r="E148" s="344">
        <f>E147*12</f>
        <v>1002748.3038320001</v>
      </c>
      <c r="F148" s="344">
        <f>F147*12</f>
        <v>1051610.6950497413</v>
      </c>
      <c r="G148" s="255"/>
      <c r="H148" s="256"/>
      <c r="I148" s="344"/>
    </row>
    <row r="149" spans="1:9">
      <c r="A149" s="185" t="s">
        <v>343</v>
      </c>
      <c r="E149" s="227">
        <f>Proforma!L13</f>
        <v>1020481.5000000001</v>
      </c>
      <c r="F149" s="345"/>
    </row>
    <row r="150" spans="1:9">
      <c r="E150" s="1280">
        <f>+E149-E148</f>
        <v>17733.196167999995</v>
      </c>
    </row>
    <row r="151" spans="1:9">
      <c r="E151" s="345">
        <f>+E150/E149</f>
        <v>1.7377283339286398E-2</v>
      </c>
    </row>
    <row r="152" spans="1:9">
      <c r="E152" s="345"/>
    </row>
    <row r="153" spans="1:9">
      <c r="D153" s="1020" t="s">
        <v>842</v>
      </c>
      <c r="E153" s="1021">
        <v>0</v>
      </c>
    </row>
    <row r="154" spans="1:9">
      <c r="E154" s="345"/>
    </row>
    <row r="155" spans="1:9">
      <c r="D155" s="1020" t="s">
        <v>830</v>
      </c>
      <c r="E155" s="1021">
        <f>E150+E153</f>
        <v>17733.196167999995</v>
      </c>
    </row>
    <row r="157" spans="1:9">
      <c r="D157" s="185"/>
      <c r="E157" s="521">
        <f>E155/E149</f>
        <v>1.7377283339286398E-2</v>
      </c>
      <c r="F157" s="185"/>
    </row>
    <row r="158" spans="1:9">
      <c r="D158" s="185"/>
      <c r="E158" s="185"/>
      <c r="F158" s="185"/>
    </row>
    <row r="159" spans="1:9">
      <c r="D159" s="257" t="s">
        <v>519</v>
      </c>
      <c r="E159" s="229">
        <f>+E148-'MF Recy Price Out'!L65</f>
        <v>937334.36702000012</v>
      </c>
      <c r="F159" s="229">
        <f>+F148-'MF Recy Price Out'!M65</f>
        <v>951608.66730359569</v>
      </c>
    </row>
    <row r="160" spans="1:9">
      <c r="F160" s="345">
        <f>+F159/E159-1</f>
        <v>1.5228610820039457E-2</v>
      </c>
    </row>
  </sheetData>
  <customSheetViews>
    <customSheetView guid="{3B54C4DD-9207-4EC3-9D58-6DDE29113D77}" showGridLines="0" showRuler="0" topLeftCell="A22">
      <selection activeCell="D21" sqref="D21"/>
      <rowBreaks count="1" manualBreakCount="1">
        <brk id="68" max="16383" man="1"/>
      </rowBreaks>
      <pageMargins left="0.75" right="0.75" top="1" bottom="1" header="0.5" footer="0.5"/>
      <pageSetup scale="60" fitToHeight="2" orientation="landscape" r:id="rId1"/>
      <headerFooter alignWithMargins="0">
        <oddHeader>&amp;L&amp;12&amp;A</oddHeader>
      </headerFooter>
    </customSheetView>
    <customSheetView guid="{F69ABAD1-EF76-489D-B027-1BD1F4CFE8A6}" showGridLines="0" topLeftCell="A22">
      <selection activeCell="D21" sqref="D21"/>
      <rowBreaks count="1" manualBreakCount="1">
        <brk id="68" max="16383" man="1"/>
      </rowBreaks>
      <pageMargins left="0.75" right="0.75" top="1" bottom="1" header="0.5" footer="0.5"/>
      <pageSetup scale="60" fitToHeight="2" orientation="landscape" r:id="rId2"/>
      <headerFooter alignWithMargins="0">
        <oddHeader>&amp;L&amp;12&amp;A</oddHeader>
      </headerFooter>
    </customSheetView>
  </customSheetViews>
  <mergeCells count="1">
    <mergeCell ref="A1:E1"/>
  </mergeCells>
  <phoneticPr fontId="0" type="noConversion"/>
  <pageMargins left="0.25" right="0.25" top="0.75" bottom="0.75" header="0.3" footer="0.3"/>
  <pageSetup scale="39" orientation="portrait" r:id="rId3"/>
  <headerFooter alignWithMargins="0">
    <oddHeader>&amp;L&amp;12&amp;A</oddHeader>
  </headerFooter>
  <rowBreaks count="1" manualBreakCount="1">
    <brk id="78" max="16383" man="1"/>
  </rowBreaks>
  <drawing r:id="rId4"/>
  <legacyDrawing r:id="rId5"/>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O161"/>
  <sheetViews>
    <sheetView zoomScale="115" zoomScaleNormal="115" workbookViewId="0">
      <pane ySplit="6" topLeftCell="A48" activePane="bottomLeft" state="frozen"/>
      <selection pane="bottomLeft" activeCell="N145" sqref="N145"/>
    </sheetView>
  </sheetViews>
  <sheetFormatPr defaultColWidth="12" defaultRowHeight="12"/>
  <cols>
    <col min="1" max="1" width="31.33203125" style="185" customWidth="1"/>
    <col min="2" max="2" width="14.33203125" style="233" bestFit="1" customWidth="1"/>
    <col min="3" max="3" width="15.1640625" style="231" bestFit="1" customWidth="1"/>
    <col min="4" max="4" width="11.6640625" style="257" customWidth="1"/>
    <col min="5" max="5" width="18.5" style="231" customWidth="1"/>
    <col min="6" max="6" width="15.5" style="231" bestFit="1" customWidth="1"/>
    <col min="7" max="7" width="13.1640625" style="2089" bestFit="1" customWidth="1"/>
    <col min="8" max="8" width="13" style="231" bestFit="1" customWidth="1"/>
    <col min="9" max="9" width="16.1640625" style="231" customWidth="1"/>
    <col min="10" max="10" width="10" style="231" bestFit="1" customWidth="1"/>
    <col min="11" max="11" width="10.5" style="231" bestFit="1" customWidth="1"/>
    <col min="12" max="12" width="14.1640625" style="720" bestFit="1" customWidth="1"/>
    <col min="13" max="13" width="12" style="2103"/>
    <col min="14" max="14" width="17" style="185" customWidth="1"/>
    <col min="15" max="15" width="16" style="185" bestFit="1" customWidth="1"/>
    <col min="16" max="16384" width="12" style="185"/>
  </cols>
  <sheetData>
    <row r="1" spans="1:14" ht="12" customHeight="1">
      <c r="A1" s="2209" t="s">
        <v>1562</v>
      </c>
      <c r="B1" s="2209"/>
      <c r="C1" s="2209"/>
      <c r="D1" s="2209"/>
      <c r="E1" s="2209"/>
      <c r="G1" s="2131">
        <f>+'Resi Price Out Staff'!G5</f>
        <v>5.6328283217613462E-2</v>
      </c>
      <c r="H1" s="231" t="s">
        <v>2488</v>
      </c>
      <c r="M1" s="2100"/>
    </row>
    <row r="2" spans="1:14">
      <c r="A2" s="1169"/>
      <c r="B2" s="1169"/>
      <c r="C2" s="1169"/>
      <c r="M2" s="2100"/>
    </row>
    <row r="3" spans="1:14">
      <c r="A3" s="1169"/>
      <c r="B3" s="1169"/>
      <c r="C3" s="1169"/>
      <c r="M3" s="2100"/>
    </row>
    <row r="4" spans="1:14">
      <c r="A4" s="1168"/>
      <c r="B4" s="305"/>
      <c r="C4" s="183"/>
      <c r="D4" s="184"/>
      <c r="E4" s="183" t="s">
        <v>42</v>
      </c>
      <c r="F4" s="183" t="s">
        <v>42</v>
      </c>
      <c r="G4" s="2090" t="s">
        <v>1741</v>
      </c>
      <c r="H4" s="183" t="s">
        <v>26</v>
      </c>
      <c r="I4" s="183" t="s">
        <v>26</v>
      </c>
      <c r="J4" s="183"/>
      <c r="K4" s="183"/>
      <c r="L4" s="220"/>
      <c r="M4" s="2100" t="s">
        <v>2472</v>
      </c>
    </row>
    <row r="5" spans="1:14">
      <c r="A5" s="185" t="s">
        <v>292</v>
      </c>
      <c r="B5" s="305"/>
      <c r="C5" s="183"/>
      <c r="D5" s="184" t="s">
        <v>41</v>
      </c>
      <c r="E5" s="183" t="s">
        <v>41</v>
      </c>
      <c r="F5" s="187" t="s">
        <v>39</v>
      </c>
      <c r="G5" s="2091" t="s">
        <v>39</v>
      </c>
      <c r="H5" s="183" t="s">
        <v>41</v>
      </c>
      <c r="I5" s="187" t="s">
        <v>39</v>
      </c>
      <c r="J5" s="183"/>
      <c r="K5" s="183"/>
      <c r="L5" s="220" t="s">
        <v>39</v>
      </c>
      <c r="M5" s="2100" t="s">
        <v>39</v>
      </c>
    </row>
    <row r="6" spans="1:14">
      <c r="A6" s="221"/>
      <c r="B6" s="285" t="s">
        <v>301</v>
      </c>
      <c r="C6" s="189" t="s">
        <v>56</v>
      </c>
      <c r="D6" s="190" t="s">
        <v>55</v>
      </c>
      <c r="E6" s="191" t="s">
        <v>13</v>
      </c>
      <c r="F6" s="191" t="s">
        <v>13</v>
      </c>
      <c r="G6" s="2092" t="s">
        <v>55</v>
      </c>
      <c r="H6" s="191" t="s">
        <v>13</v>
      </c>
      <c r="I6" s="191" t="s">
        <v>13</v>
      </c>
      <c r="J6" s="183"/>
      <c r="K6" s="183"/>
      <c r="L6" s="220" t="s">
        <v>516</v>
      </c>
      <c r="M6" s="2100" t="s">
        <v>55</v>
      </c>
    </row>
    <row r="7" spans="1:14">
      <c r="A7" s="188"/>
      <c r="B7" s="1049"/>
      <c r="C7" s="192"/>
      <c r="D7" s="193"/>
      <c r="E7" s="186"/>
      <c r="F7" s="186"/>
      <c r="G7" s="2093"/>
      <c r="H7" s="186"/>
      <c r="I7" s="186"/>
      <c r="J7" s="183"/>
      <c r="K7" s="183" t="s">
        <v>26</v>
      </c>
      <c r="M7" s="2100"/>
    </row>
    <row r="8" spans="1:14">
      <c r="A8" s="194" t="s">
        <v>280</v>
      </c>
      <c r="B8" s="210"/>
      <c r="C8" s="187"/>
      <c r="D8" s="218"/>
      <c r="E8" s="199"/>
      <c r="F8" s="199"/>
      <c r="G8" s="2094"/>
      <c r="H8" s="183"/>
      <c r="I8" s="183" t="s">
        <v>302</v>
      </c>
      <c r="J8" s="183" t="s">
        <v>303</v>
      </c>
      <c r="K8" s="183" t="s">
        <v>282</v>
      </c>
      <c r="L8" s="2132"/>
      <c r="M8" s="2100"/>
    </row>
    <row r="9" spans="1:14">
      <c r="A9" s="223" t="s">
        <v>72</v>
      </c>
      <c r="B9" s="1050">
        <f>SUM('[16]PT - No MF'!$J$6:$K$6)</f>
        <v>9</v>
      </c>
      <c r="C9" s="224">
        <f>B9*4.33</f>
        <v>38.97</v>
      </c>
      <c r="D9" s="225">
        <v>3.19</v>
      </c>
      <c r="E9" s="226">
        <f t="shared" ref="E9:E64" si="0">D9*C9</f>
        <v>124.31429999999999</v>
      </c>
      <c r="F9" s="227">
        <f>C9*G9</f>
        <v>131.31671109839937</v>
      </c>
      <c r="G9" s="2095">
        <f>D9*(1+$G$1)</f>
        <v>3.369687223464187</v>
      </c>
      <c r="H9" s="229">
        <f>E9*12</f>
        <v>1491.7715999999998</v>
      </c>
      <c r="I9" s="227">
        <f>F9*12</f>
        <v>1575.8005331807924</v>
      </c>
      <c r="J9" s="231">
        <v>0.158</v>
      </c>
      <c r="K9" s="232">
        <f t="shared" ref="K9:K64" si="1">+C9*J9*12</f>
        <v>73.887119999999996</v>
      </c>
      <c r="L9" s="720">
        <f>+G9/D9-1</f>
        <v>5.6328283217613517E-2</v>
      </c>
      <c r="M9" s="2101">
        <v>3.3751276150242808</v>
      </c>
      <c r="N9" s="2132">
        <f>+M9/D9-1</f>
        <v>5.8033735117329455E-2</v>
      </c>
    </row>
    <row r="10" spans="1:14">
      <c r="A10" s="223" t="s">
        <v>73</v>
      </c>
      <c r="B10" s="1050">
        <f>SUM('[16]PT - No MF'!$J$7:$J$8)</f>
        <v>9</v>
      </c>
      <c r="C10" s="224">
        <f>B10*4.33</f>
        <v>38.97</v>
      </c>
      <c r="D10" s="225">
        <v>6.21</v>
      </c>
      <c r="E10" s="226">
        <f t="shared" si="0"/>
        <v>242.00369999999998</v>
      </c>
      <c r="F10" s="227">
        <f>C10*G10</f>
        <v>255.63535295331036</v>
      </c>
      <c r="G10" s="2095">
        <f t="shared" ref="G10:G73" si="2">D10*(1+$G$1)</f>
        <v>6.5597986387813796</v>
      </c>
      <c r="H10" s="229">
        <f t="shared" ref="H10:I24" si="3">E10*12</f>
        <v>2904.0443999999998</v>
      </c>
      <c r="I10" s="227">
        <f t="shared" si="3"/>
        <v>3067.6242354397245</v>
      </c>
      <c r="J10" s="231">
        <f>+J9*2</f>
        <v>0.316</v>
      </c>
      <c r="K10" s="232">
        <f t="shared" si="1"/>
        <v>147.77423999999999</v>
      </c>
      <c r="L10" s="720">
        <f t="shared" ref="L10:L73" si="4">+G10/D10-1</f>
        <v>5.6328283217613517E-2</v>
      </c>
      <c r="M10" s="2101">
        <v>6.5703894950786159</v>
      </c>
    </row>
    <row r="11" spans="1:14">
      <c r="A11" s="223" t="s">
        <v>74</v>
      </c>
      <c r="B11" s="1050">
        <f>SUM('[16]PT - No MF'!$J$9:$J$10)</f>
        <v>54</v>
      </c>
      <c r="C11" s="224">
        <f>B11*4.33</f>
        <v>233.82</v>
      </c>
      <c r="D11" s="225">
        <v>7.79</v>
      </c>
      <c r="E11" s="226">
        <f t="shared" si="0"/>
        <v>1821.4577999999999</v>
      </c>
      <c r="F11" s="227">
        <f t="shared" ref="F11:F62" si="5">C11*G11</f>
        <v>1924.0573908273311</v>
      </c>
      <c r="G11" s="2095">
        <f t="shared" si="2"/>
        <v>8.2287973262652088</v>
      </c>
      <c r="H11" s="229">
        <f t="shared" si="3"/>
        <v>21857.493599999998</v>
      </c>
      <c r="I11" s="227">
        <f t="shared" si="3"/>
        <v>23088.688689927974</v>
      </c>
      <c r="J11" s="231">
        <f>+J9*3</f>
        <v>0.47399999999999998</v>
      </c>
      <c r="K11" s="232">
        <f t="shared" si="1"/>
        <v>1329.9681599999999</v>
      </c>
      <c r="L11" s="720">
        <f t="shared" si="4"/>
        <v>5.6328283217613517E-2</v>
      </c>
      <c r="M11" s="2101">
        <v>8.2420827965639969</v>
      </c>
    </row>
    <row r="12" spans="1:14">
      <c r="A12" s="223" t="s">
        <v>304</v>
      </c>
      <c r="B12" s="1050"/>
      <c r="C12" s="224">
        <f>+B12</f>
        <v>0</v>
      </c>
      <c r="D12" s="225">
        <v>19.62</v>
      </c>
      <c r="E12" s="226">
        <f t="shared" si="0"/>
        <v>0</v>
      </c>
      <c r="F12" s="227">
        <f t="shared" si="5"/>
        <v>0</v>
      </c>
      <c r="G12" s="2095">
        <f t="shared" si="2"/>
        <v>20.725160916729578</v>
      </c>
      <c r="H12" s="229">
        <f t="shared" si="3"/>
        <v>0</v>
      </c>
      <c r="I12" s="227">
        <f t="shared" si="3"/>
        <v>0</v>
      </c>
      <c r="J12" s="231">
        <v>1</v>
      </c>
      <c r="K12" s="232">
        <f t="shared" si="1"/>
        <v>0</v>
      </c>
      <c r="L12" s="720">
        <f t="shared" si="4"/>
        <v>5.6328283217613517E-2</v>
      </c>
      <c r="M12" s="2101">
        <v>20.758621883002004</v>
      </c>
    </row>
    <row r="13" spans="1:14">
      <c r="A13" s="223" t="s">
        <v>305</v>
      </c>
      <c r="B13" s="1050">
        <f>SUM('[16]PT - No MF'!$J$11:$K$11)</f>
        <v>17</v>
      </c>
      <c r="C13" s="224">
        <f>+B13*4.33</f>
        <v>73.61</v>
      </c>
      <c r="D13" s="225">
        <v>16.16</v>
      </c>
      <c r="E13" s="226">
        <f t="shared" si="0"/>
        <v>1189.5376000000001</v>
      </c>
      <c r="F13" s="227">
        <f t="shared" si="5"/>
        <v>1256.5422108308003</v>
      </c>
      <c r="G13" s="2095">
        <f t="shared" si="2"/>
        <v>17.070265056796636</v>
      </c>
      <c r="H13" s="229">
        <f t="shared" si="3"/>
        <v>14274.451200000001</v>
      </c>
      <c r="I13" s="227">
        <f t="shared" si="3"/>
        <v>15078.506529969603</v>
      </c>
      <c r="J13" s="231">
        <v>1</v>
      </c>
      <c r="K13" s="232">
        <f t="shared" si="1"/>
        <v>883.31999999999994</v>
      </c>
      <c r="L13" s="720">
        <f t="shared" si="4"/>
        <v>5.6328283217613517E-2</v>
      </c>
      <c r="M13" s="2101">
        <v>17.097825159496043</v>
      </c>
    </row>
    <row r="14" spans="1:14">
      <c r="A14" s="223" t="s">
        <v>1049</v>
      </c>
      <c r="B14" s="1050">
        <f>SUM('[16]PT - No MF'!$I$19)</f>
        <v>1</v>
      </c>
      <c r="C14" s="224">
        <f>+B14*4.33</f>
        <v>4.33</v>
      </c>
      <c r="D14" s="225">
        <v>16.16</v>
      </c>
      <c r="E14" s="226">
        <f t="shared" si="0"/>
        <v>69.972800000000007</v>
      </c>
      <c r="F14" s="227">
        <f t="shared" si="5"/>
        <v>73.914247695929433</v>
      </c>
      <c r="G14" s="2095">
        <f t="shared" si="2"/>
        <v>17.070265056796636</v>
      </c>
      <c r="H14" s="229">
        <f t="shared" si="3"/>
        <v>839.67360000000008</v>
      </c>
      <c r="I14" s="227">
        <f t="shared" si="3"/>
        <v>886.97097235115325</v>
      </c>
      <c r="J14" s="231">
        <v>1</v>
      </c>
      <c r="K14" s="232">
        <f t="shared" si="1"/>
        <v>51.96</v>
      </c>
      <c r="L14" s="720">
        <f t="shared" si="4"/>
        <v>5.6328283217613517E-2</v>
      </c>
      <c r="M14" s="2101">
        <v>17.097825159496043</v>
      </c>
    </row>
    <row r="15" spans="1:14">
      <c r="A15" s="223" t="s">
        <v>1051</v>
      </c>
      <c r="B15" s="1050"/>
      <c r="C15" s="224">
        <f>+B15*4.33</f>
        <v>0</v>
      </c>
      <c r="D15" s="225">
        <v>16.16</v>
      </c>
      <c r="E15" s="226">
        <f t="shared" si="0"/>
        <v>0</v>
      </c>
      <c r="F15" s="227">
        <f t="shared" si="5"/>
        <v>0</v>
      </c>
      <c r="G15" s="2095">
        <f t="shared" si="2"/>
        <v>17.070265056796636</v>
      </c>
      <c r="H15" s="229">
        <f t="shared" si="3"/>
        <v>0</v>
      </c>
      <c r="I15" s="227">
        <f t="shared" si="3"/>
        <v>0</v>
      </c>
      <c r="J15" s="231">
        <v>1</v>
      </c>
      <c r="K15" s="232">
        <f t="shared" si="1"/>
        <v>0</v>
      </c>
      <c r="L15" s="720">
        <f t="shared" si="4"/>
        <v>5.6328283217613517E-2</v>
      </c>
      <c r="M15" s="2101">
        <v>17.097825159496043</v>
      </c>
    </row>
    <row r="16" spans="1:14">
      <c r="A16" s="223" t="s">
        <v>1052</v>
      </c>
      <c r="B16" s="1050"/>
      <c r="C16" s="224">
        <f>+B16*4.33</f>
        <v>0</v>
      </c>
      <c r="D16" s="225">
        <v>16.16</v>
      </c>
      <c r="E16" s="226">
        <f t="shared" si="0"/>
        <v>0</v>
      </c>
      <c r="F16" s="227">
        <f t="shared" si="5"/>
        <v>0</v>
      </c>
      <c r="G16" s="2095">
        <f t="shared" si="2"/>
        <v>17.070265056796636</v>
      </c>
      <c r="H16" s="229">
        <f t="shared" si="3"/>
        <v>0</v>
      </c>
      <c r="I16" s="227">
        <f t="shared" si="3"/>
        <v>0</v>
      </c>
      <c r="J16" s="231">
        <v>1</v>
      </c>
      <c r="K16" s="232">
        <f t="shared" si="1"/>
        <v>0</v>
      </c>
      <c r="L16" s="720">
        <f t="shared" si="4"/>
        <v>5.6328283217613517E-2</v>
      </c>
      <c r="M16" s="2101">
        <v>17.097825159496043</v>
      </c>
    </row>
    <row r="17" spans="1:13">
      <c r="A17" s="223" t="s">
        <v>1020</v>
      </c>
      <c r="B17" s="1050">
        <f>SUM('[16]PT - No MF'!$I$31:$J$31)</f>
        <v>2</v>
      </c>
      <c r="C17" s="224">
        <f>B17*1</f>
        <v>2</v>
      </c>
      <c r="D17" s="225">
        <v>22.74</v>
      </c>
      <c r="E17" s="226">
        <f t="shared" si="0"/>
        <v>45.48</v>
      </c>
      <c r="F17" s="227">
        <f t="shared" si="5"/>
        <v>48.041810320737056</v>
      </c>
      <c r="G17" s="2095">
        <f t="shared" si="2"/>
        <v>24.020905160368528</v>
      </c>
      <c r="H17" s="229">
        <f t="shared" si="3"/>
        <v>545.76</v>
      </c>
      <c r="I17" s="227">
        <f>F17*12</f>
        <v>576.50172384884468</v>
      </c>
      <c r="J17" s="231">
        <v>1.25</v>
      </c>
      <c r="K17" s="232">
        <f t="shared" si="1"/>
        <v>30</v>
      </c>
      <c r="L17" s="720">
        <f t="shared" si="4"/>
        <v>5.6328283217613517E-2</v>
      </c>
      <c r="M17" s="2101">
        <v>24.059687136568069</v>
      </c>
    </row>
    <row r="18" spans="1:13">
      <c r="A18" s="223" t="s">
        <v>1021</v>
      </c>
      <c r="B18" s="1050">
        <f>SUM('[16]PT - No MF'!$J$12:$K$12)</f>
        <v>15</v>
      </c>
      <c r="C18" s="234">
        <f>B18*4.333</f>
        <v>64.995000000000005</v>
      </c>
      <c r="D18" s="225">
        <v>19.05</v>
      </c>
      <c r="E18" s="226">
        <f t="shared" si="0"/>
        <v>1238.1547500000001</v>
      </c>
      <c r="F18" s="227">
        <f t="shared" si="5"/>
        <v>1307.8978814252334</v>
      </c>
      <c r="G18" s="2095">
        <f t="shared" si="2"/>
        <v>20.123053795295537</v>
      </c>
      <c r="H18" s="229">
        <f t="shared" si="3"/>
        <v>14857.857000000002</v>
      </c>
      <c r="I18" s="227">
        <f>F18*12</f>
        <v>15694.774577102802</v>
      </c>
      <c r="J18" s="231">
        <v>1.25</v>
      </c>
      <c r="K18" s="232">
        <f t="shared" si="1"/>
        <v>974.92500000000007</v>
      </c>
      <c r="L18" s="720">
        <f t="shared" si="4"/>
        <v>5.6328283217613517E-2</v>
      </c>
      <c r="M18" s="2101">
        <v>20.155542653985126</v>
      </c>
    </row>
    <row r="19" spans="1:13">
      <c r="A19" s="223" t="s">
        <v>1022</v>
      </c>
      <c r="B19" s="1050"/>
      <c r="C19" s="234">
        <f>B19*4.333*2</f>
        <v>0</v>
      </c>
      <c r="D19" s="225">
        <v>19.05</v>
      </c>
      <c r="E19" s="226">
        <f t="shared" si="0"/>
        <v>0</v>
      </c>
      <c r="F19" s="227">
        <f t="shared" si="5"/>
        <v>0</v>
      </c>
      <c r="G19" s="2095">
        <f t="shared" si="2"/>
        <v>20.123053795295537</v>
      </c>
      <c r="H19" s="229">
        <f t="shared" si="3"/>
        <v>0</v>
      </c>
      <c r="I19" s="227">
        <f>F19*12</f>
        <v>0</v>
      </c>
      <c r="J19" s="231">
        <v>1.25</v>
      </c>
      <c r="K19" s="232">
        <f t="shared" si="1"/>
        <v>0</v>
      </c>
      <c r="L19" s="720">
        <f t="shared" si="4"/>
        <v>5.6328283217613517E-2</v>
      </c>
      <c r="M19" s="2101">
        <v>20.155542653985126</v>
      </c>
    </row>
    <row r="20" spans="1:13">
      <c r="A20" s="223" t="s">
        <v>1023</v>
      </c>
      <c r="B20" s="1050"/>
      <c r="C20" s="234">
        <f>B20*4.333*3</f>
        <v>0</v>
      </c>
      <c r="D20" s="225">
        <v>19.05</v>
      </c>
      <c r="E20" s="226">
        <f t="shared" si="0"/>
        <v>0</v>
      </c>
      <c r="F20" s="227">
        <f t="shared" si="5"/>
        <v>0</v>
      </c>
      <c r="G20" s="2095">
        <f t="shared" si="2"/>
        <v>20.123053795295537</v>
      </c>
      <c r="H20" s="229">
        <f t="shared" si="3"/>
        <v>0</v>
      </c>
      <c r="I20" s="227">
        <f>F20*12</f>
        <v>0</v>
      </c>
      <c r="J20" s="231">
        <v>1.25</v>
      </c>
      <c r="K20" s="232">
        <f t="shared" si="1"/>
        <v>0</v>
      </c>
      <c r="L20" s="720">
        <f t="shared" si="4"/>
        <v>5.6328283217613517E-2</v>
      </c>
      <c r="M20" s="2101">
        <v>20.155542653985126</v>
      </c>
    </row>
    <row r="21" spans="1:13">
      <c r="A21" s="223" t="s">
        <v>561</v>
      </c>
      <c r="B21" s="1050"/>
      <c r="C21" s="224">
        <f>B21*1</f>
        <v>0</v>
      </c>
      <c r="D21" s="225">
        <v>0</v>
      </c>
      <c r="E21" s="226">
        <f t="shared" si="0"/>
        <v>0</v>
      </c>
      <c r="F21" s="227">
        <f t="shared" si="5"/>
        <v>0</v>
      </c>
      <c r="G21" s="2095">
        <f t="shared" si="2"/>
        <v>0</v>
      </c>
      <c r="H21" s="229">
        <f t="shared" si="3"/>
        <v>0</v>
      </c>
      <c r="I21" s="227">
        <f t="shared" si="3"/>
        <v>0</v>
      </c>
      <c r="J21" s="231">
        <v>1.5</v>
      </c>
      <c r="K21" s="232">
        <f t="shared" si="1"/>
        <v>0</v>
      </c>
      <c r="L21" s="720" t="e">
        <f t="shared" si="4"/>
        <v>#DIV/0!</v>
      </c>
      <c r="M21" s="2101">
        <v>0</v>
      </c>
    </row>
    <row r="22" spans="1:13">
      <c r="A22" s="223" t="s">
        <v>562</v>
      </c>
      <c r="B22" s="1050"/>
      <c r="C22" s="234">
        <f>B22*4.333</f>
        <v>0</v>
      </c>
      <c r="D22" s="225">
        <v>0</v>
      </c>
      <c r="E22" s="226">
        <f t="shared" si="0"/>
        <v>0</v>
      </c>
      <c r="F22" s="227">
        <f t="shared" si="5"/>
        <v>0</v>
      </c>
      <c r="G22" s="2095">
        <f t="shared" si="2"/>
        <v>0</v>
      </c>
      <c r="H22" s="229">
        <f t="shared" si="3"/>
        <v>0</v>
      </c>
      <c r="I22" s="227">
        <f t="shared" si="3"/>
        <v>0</v>
      </c>
      <c r="J22" s="231">
        <v>1.5</v>
      </c>
      <c r="K22" s="232">
        <f t="shared" si="1"/>
        <v>0</v>
      </c>
      <c r="L22" s="720" t="e">
        <f t="shared" si="4"/>
        <v>#DIV/0!</v>
      </c>
      <c r="M22" s="2101">
        <v>0</v>
      </c>
    </row>
    <row r="23" spans="1:13">
      <c r="A23" s="223" t="s">
        <v>563</v>
      </c>
      <c r="B23" s="1050"/>
      <c r="C23" s="234">
        <f>B23*4.333*2</f>
        <v>0</v>
      </c>
      <c r="D23" s="225">
        <v>0</v>
      </c>
      <c r="E23" s="226">
        <f t="shared" si="0"/>
        <v>0</v>
      </c>
      <c r="F23" s="227">
        <f t="shared" si="5"/>
        <v>0</v>
      </c>
      <c r="G23" s="2095">
        <f t="shared" si="2"/>
        <v>0</v>
      </c>
      <c r="H23" s="229">
        <f t="shared" si="3"/>
        <v>0</v>
      </c>
      <c r="I23" s="227">
        <f t="shared" si="3"/>
        <v>0</v>
      </c>
      <c r="J23" s="231">
        <v>1.5</v>
      </c>
      <c r="K23" s="232">
        <f t="shared" si="1"/>
        <v>0</v>
      </c>
      <c r="L23" s="720" t="e">
        <f t="shared" si="4"/>
        <v>#DIV/0!</v>
      </c>
      <c r="M23" s="2101">
        <v>0</v>
      </c>
    </row>
    <row r="24" spans="1:13">
      <c r="A24" s="223" t="s">
        <v>564</v>
      </c>
      <c r="B24" s="1050"/>
      <c r="C24" s="234">
        <f>B24*4.333*3</f>
        <v>0</v>
      </c>
      <c r="D24" s="225">
        <v>0</v>
      </c>
      <c r="E24" s="226">
        <f t="shared" si="0"/>
        <v>0</v>
      </c>
      <c r="F24" s="227">
        <f t="shared" si="5"/>
        <v>0</v>
      </c>
      <c r="G24" s="2095">
        <f t="shared" si="2"/>
        <v>0</v>
      </c>
      <c r="H24" s="229">
        <f t="shared" si="3"/>
        <v>0</v>
      </c>
      <c r="I24" s="227">
        <f t="shared" si="3"/>
        <v>0</v>
      </c>
      <c r="J24" s="231">
        <v>1.5</v>
      </c>
      <c r="K24" s="232">
        <f t="shared" si="1"/>
        <v>0</v>
      </c>
      <c r="L24" s="720" t="e">
        <f t="shared" si="4"/>
        <v>#DIV/0!</v>
      </c>
      <c r="M24" s="2101">
        <v>0</v>
      </c>
    </row>
    <row r="25" spans="1:13">
      <c r="A25" s="223" t="s">
        <v>1050</v>
      </c>
      <c r="B25" s="1050"/>
      <c r="C25" s="234">
        <f>B25*4.333*3</f>
        <v>0</v>
      </c>
      <c r="D25" s="225">
        <v>0</v>
      </c>
      <c r="E25" s="226">
        <f>D25*C25</f>
        <v>0</v>
      </c>
      <c r="F25" s="227">
        <f>C25*G25</f>
        <v>0</v>
      </c>
      <c r="G25" s="2095">
        <f t="shared" si="2"/>
        <v>0</v>
      </c>
      <c r="H25" s="229">
        <f>E25*12</f>
        <v>0</v>
      </c>
      <c r="I25" s="227">
        <f>F25*12</f>
        <v>0</v>
      </c>
      <c r="J25" s="231">
        <v>1.5</v>
      </c>
      <c r="K25" s="232">
        <f>+C25*J25*12</f>
        <v>0</v>
      </c>
      <c r="L25" s="720" t="e">
        <f>+G25/D25-1</f>
        <v>#DIV/0!</v>
      </c>
      <c r="M25" s="2101">
        <v>0</v>
      </c>
    </row>
    <row r="26" spans="1:13">
      <c r="A26" s="223" t="s">
        <v>843</v>
      </c>
      <c r="B26" s="1050"/>
      <c r="C26" s="234">
        <f>B26*4.333</f>
        <v>0</v>
      </c>
      <c r="D26" s="225">
        <v>0</v>
      </c>
      <c r="E26" s="226">
        <f>D26*C26</f>
        <v>0</v>
      </c>
      <c r="F26" s="227">
        <f t="shared" si="5"/>
        <v>0</v>
      </c>
      <c r="G26" s="2095">
        <f t="shared" si="2"/>
        <v>0</v>
      </c>
      <c r="H26" s="229">
        <f>E26*12</f>
        <v>0</v>
      </c>
      <c r="I26" s="227">
        <f t="shared" ref="I26:I76" si="6">F26*12</f>
        <v>0</v>
      </c>
      <c r="J26" s="231">
        <v>3</v>
      </c>
      <c r="K26" s="232">
        <f t="shared" si="1"/>
        <v>0</v>
      </c>
      <c r="L26" s="720" t="e">
        <f t="shared" si="4"/>
        <v>#DIV/0!</v>
      </c>
      <c r="M26" s="2101">
        <v>0</v>
      </c>
    </row>
    <row r="27" spans="1:13">
      <c r="A27" s="223" t="s">
        <v>656</v>
      </c>
      <c r="B27" s="1050"/>
      <c r="C27" s="234">
        <f>B27*4.333</f>
        <v>0</v>
      </c>
      <c r="D27" s="225">
        <v>0</v>
      </c>
      <c r="E27" s="226">
        <f>D27*C27</f>
        <v>0</v>
      </c>
      <c r="F27" s="227">
        <f t="shared" si="5"/>
        <v>0</v>
      </c>
      <c r="G27" s="2095">
        <f t="shared" si="2"/>
        <v>0</v>
      </c>
      <c r="H27" s="229">
        <f>E27*12</f>
        <v>0</v>
      </c>
      <c r="I27" s="227">
        <f t="shared" si="6"/>
        <v>0</v>
      </c>
      <c r="J27" s="231">
        <v>3</v>
      </c>
      <c r="K27" s="232">
        <f t="shared" si="1"/>
        <v>0</v>
      </c>
      <c r="L27" s="720" t="e">
        <f t="shared" si="4"/>
        <v>#DIV/0!</v>
      </c>
      <c r="M27" s="2101">
        <v>0</v>
      </c>
    </row>
    <row r="28" spans="1:13">
      <c r="A28" s="223" t="s">
        <v>306</v>
      </c>
      <c r="B28" s="1050">
        <f>SUM('[16]PT - No MF'!$I$32:$J$32)</f>
        <v>5</v>
      </c>
      <c r="C28" s="234">
        <f>B28*1</f>
        <v>5</v>
      </c>
      <c r="D28" s="225">
        <v>33.47</v>
      </c>
      <c r="E28" s="226">
        <f t="shared" si="0"/>
        <v>167.35</v>
      </c>
      <c r="F28" s="227">
        <f t="shared" si="5"/>
        <v>176.77653819646761</v>
      </c>
      <c r="G28" s="2095">
        <f t="shared" si="2"/>
        <v>35.355307639293521</v>
      </c>
      <c r="H28" s="229">
        <f>E28*12</f>
        <v>2008.1999999999998</v>
      </c>
      <c r="I28" s="227">
        <f t="shared" si="6"/>
        <v>2121.3184583576112</v>
      </c>
      <c r="J28" s="231">
        <v>2</v>
      </c>
      <c r="K28" s="232">
        <f t="shared" si="1"/>
        <v>120</v>
      </c>
      <c r="L28" s="720">
        <f t="shared" si="4"/>
        <v>5.6328283217613517E-2</v>
      </c>
      <c r="M28" s="2101">
        <v>35.412389114377014</v>
      </c>
    </row>
    <row r="29" spans="1:13">
      <c r="A29" s="223" t="s">
        <v>75</v>
      </c>
      <c r="B29" s="1050">
        <f>SUM('[16]PT - No MF'!$J$13:$K$13)</f>
        <v>22</v>
      </c>
      <c r="C29" s="234">
        <f>B29*4.333*1</f>
        <v>95.326000000000008</v>
      </c>
      <c r="D29" s="225">
        <v>29.44</v>
      </c>
      <c r="E29" s="226">
        <f t="shared" si="0"/>
        <v>2806.3974400000002</v>
      </c>
      <c r="F29" s="227">
        <f t="shared" si="5"/>
        <v>2964.4769898215059</v>
      </c>
      <c r="G29" s="2095">
        <f t="shared" si="2"/>
        <v>31.098304657926544</v>
      </c>
      <c r="H29" s="229">
        <f>E29*12</f>
        <v>33676.76928</v>
      </c>
      <c r="I29" s="227">
        <f t="shared" si="6"/>
        <v>35573.723877858072</v>
      </c>
      <c r="J29" s="231">
        <v>2</v>
      </c>
      <c r="K29" s="232">
        <f t="shared" si="1"/>
        <v>2287.8240000000001</v>
      </c>
      <c r="L29" s="720">
        <f t="shared" si="4"/>
        <v>5.6328283217613517E-2</v>
      </c>
      <c r="M29" s="2101">
        <v>31.148513161854179</v>
      </c>
    </row>
    <row r="30" spans="1:13">
      <c r="A30" s="223" t="s">
        <v>76</v>
      </c>
      <c r="B30" s="1050">
        <f>SUM('[16]PT - No MF'!$I$20)</f>
        <v>1</v>
      </c>
      <c r="C30" s="234">
        <f>B30*4.333*2</f>
        <v>8.6660000000000004</v>
      </c>
      <c r="D30" s="225">
        <v>29.44</v>
      </c>
      <c r="E30" s="226">
        <f t="shared" si="0"/>
        <v>255.12704000000002</v>
      </c>
      <c r="F30" s="227">
        <f t="shared" si="5"/>
        <v>269.49790816559147</v>
      </c>
      <c r="G30" s="2095">
        <f t="shared" si="2"/>
        <v>31.098304657926544</v>
      </c>
      <c r="H30" s="229">
        <f>E30*12</f>
        <v>3061.52448</v>
      </c>
      <c r="I30" s="227">
        <f t="shared" si="6"/>
        <v>3233.9748979870974</v>
      </c>
      <c r="J30" s="231">
        <v>2</v>
      </c>
      <c r="K30" s="232">
        <f t="shared" si="1"/>
        <v>207.98400000000001</v>
      </c>
      <c r="L30" s="720">
        <f t="shared" si="4"/>
        <v>5.6328283217613517E-2</v>
      </c>
      <c r="M30" s="2101">
        <v>31.148513161854179</v>
      </c>
    </row>
    <row r="31" spans="1:13">
      <c r="A31" s="223" t="s">
        <v>104</v>
      </c>
      <c r="B31" s="1050"/>
      <c r="C31" s="234">
        <f>B31*4.333*3</f>
        <v>0</v>
      </c>
      <c r="D31" s="225">
        <v>29.44</v>
      </c>
      <c r="E31" s="226">
        <f t="shared" si="0"/>
        <v>0</v>
      </c>
      <c r="F31" s="227">
        <f>C31*G31</f>
        <v>0</v>
      </c>
      <c r="G31" s="2095">
        <f t="shared" si="2"/>
        <v>31.098304657926544</v>
      </c>
      <c r="H31" s="229">
        <f t="shared" ref="H31:I46" si="7">E31*12</f>
        <v>0</v>
      </c>
      <c r="I31" s="227">
        <f t="shared" si="7"/>
        <v>0</v>
      </c>
      <c r="J31" s="231">
        <v>2</v>
      </c>
      <c r="K31" s="232">
        <f>+C31*J31*12</f>
        <v>0</v>
      </c>
      <c r="L31" s="720">
        <f>+G31/D31-1</f>
        <v>5.6328283217613517E-2</v>
      </c>
      <c r="M31" s="2101">
        <v>31.148513161854179</v>
      </c>
    </row>
    <row r="32" spans="1:13">
      <c r="A32" s="223" t="s">
        <v>567</v>
      </c>
      <c r="B32" s="1050"/>
      <c r="C32" s="234">
        <f>B32*4.333*4</f>
        <v>0</v>
      </c>
      <c r="D32" s="225">
        <v>29.44</v>
      </c>
      <c r="E32" s="226">
        <f>D32*C32</f>
        <v>0</v>
      </c>
      <c r="F32" s="227">
        <f>C32*G32</f>
        <v>0</v>
      </c>
      <c r="G32" s="2095">
        <f t="shared" si="2"/>
        <v>31.098304657926544</v>
      </c>
      <c r="H32" s="229">
        <f t="shared" si="7"/>
        <v>0</v>
      </c>
      <c r="I32" s="227">
        <f t="shared" si="7"/>
        <v>0</v>
      </c>
      <c r="J32" s="231">
        <v>2</v>
      </c>
      <c r="K32" s="232">
        <f>+C32*J32*12</f>
        <v>0</v>
      </c>
      <c r="L32" s="720">
        <f>+G32/D32-1</f>
        <v>5.6328283217613517E-2</v>
      </c>
      <c r="M32" s="2101">
        <v>31.148513161854179</v>
      </c>
    </row>
    <row r="33" spans="1:13">
      <c r="A33" s="223" t="s">
        <v>712</v>
      </c>
      <c r="B33" s="1050"/>
      <c r="C33" s="234">
        <f>B33*4.333*5</f>
        <v>0</v>
      </c>
      <c r="D33" s="225">
        <v>29.44</v>
      </c>
      <c r="E33" s="226">
        <f>D33*C33</f>
        <v>0</v>
      </c>
      <c r="F33" s="227">
        <f>C33*G33</f>
        <v>0</v>
      </c>
      <c r="G33" s="2095">
        <f t="shared" si="2"/>
        <v>31.098304657926544</v>
      </c>
      <c r="H33" s="229">
        <f t="shared" si="7"/>
        <v>0</v>
      </c>
      <c r="I33" s="227">
        <f t="shared" si="7"/>
        <v>0</v>
      </c>
      <c r="J33" s="231">
        <v>2</v>
      </c>
      <c r="K33" s="232">
        <f>+C33*J33*12</f>
        <v>0</v>
      </c>
      <c r="L33" s="720">
        <f>+G33/D33-1</f>
        <v>5.6328283217613517E-2</v>
      </c>
      <c r="M33" s="2101">
        <v>31.148513161854179</v>
      </c>
    </row>
    <row r="34" spans="1:13">
      <c r="A34" s="223" t="s">
        <v>713</v>
      </c>
      <c r="B34" s="1050"/>
      <c r="C34" s="234">
        <f>B34*4.333*6</f>
        <v>0</v>
      </c>
      <c r="D34" s="225">
        <v>29.44</v>
      </c>
      <c r="E34" s="226">
        <f>D34*C34</f>
        <v>0</v>
      </c>
      <c r="F34" s="227">
        <f t="shared" si="5"/>
        <v>0</v>
      </c>
      <c r="G34" s="2095">
        <f t="shared" si="2"/>
        <v>31.098304657926544</v>
      </c>
      <c r="H34" s="229">
        <f t="shared" si="7"/>
        <v>0</v>
      </c>
      <c r="I34" s="227">
        <f t="shared" si="6"/>
        <v>0</v>
      </c>
      <c r="J34" s="231">
        <v>2</v>
      </c>
      <c r="K34" s="232">
        <f t="shared" si="1"/>
        <v>0</v>
      </c>
      <c r="L34" s="720">
        <f t="shared" si="4"/>
        <v>5.6328283217613517E-2</v>
      </c>
      <c r="M34" s="2101">
        <v>31.148513161854179</v>
      </c>
    </row>
    <row r="35" spans="1:13">
      <c r="A35" s="223" t="s">
        <v>307</v>
      </c>
      <c r="B35" s="1050"/>
      <c r="C35" s="234">
        <f>B35*4.333</f>
        <v>0</v>
      </c>
      <c r="D35" s="225">
        <v>149.47</v>
      </c>
      <c r="E35" s="226">
        <f t="shared" si="0"/>
        <v>0</v>
      </c>
      <c r="F35" s="227">
        <f t="shared" si="5"/>
        <v>0</v>
      </c>
      <c r="G35" s="2095">
        <f t="shared" si="2"/>
        <v>157.88938849253668</v>
      </c>
      <c r="H35" s="229">
        <f t="shared" si="7"/>
        <v>0</v>
      </c>
      <c r="I35" s="227">
        <f t="shared" si="6"/>
        <v>0</v>
      </c>
      <c r="J35" s="231">
        <v>3</v>
      </c>
      <c r="K35" s="232">
        <f t="shared" si="1"/>
        <v>0</v>
      </c>
      <c r="L35" s="720">
        <f t="shared" si="4"/>
        <v>5.6328283217613517E-2</v>
      </c>
      <c r="M35" s="2101">
        <v>158.14430238798724</v>
      </c>
    </row>
    <row r="36" spans="1:13">
      <c r="A36" s="223" t="s">
        <v>657</v>
      </c>
      <c r="B36" s="1050"/>
      <c r="C36" s="234">
        <f>B36*4.333</f>
        <v>0</v>
      </c>
      <c r="D36" s="225">
        <v>156.4</v>
      </c>
      <c r="E36" s="226">
        <f>D36*C36</f>
        <v>0</v>
      </c>
      <c r="F36" s="227">
        <f>C36*G36</f>
        <v>0</v>
      </c>
      <c r="G36" s="2095">
        <f t="shared" si="2"/>
        <v>165.20974349523476</v>
      </c>
      <c r="H36" s="229">
        <f t="shared" si="7"/>
        <v>0</v>
      </c>
      <c r="I36" s="227">
        <f>F36*12</f>
        <v>0</v>
      </c>
      <c r="J36" s="231">
        <v>3</v>
      </c>
      <c r="K36" s="232">
        <f>+C36*J36*12</f>
        <v>0</v>
      </c>
      <c r="L36" s="720">
        <f>+G36/D36-1</f>
        <v>5.6328283217613517E-2</v>
      </c>
      <c r="M36" s="2101">
        <v>165.47647617235035</v>
      </c>
    </row>
    <row r="37" spans="1:13">
      <c r="A37" s="223" t="s">
        <v>77</v>
      </c>
      <c r="B37" s="1050">
        <f>SUM('[16]PT - No MF'!$I$33:$J$33)</f>
        <v>2</v>
      </c>
      <c r="C37" s="234">
        <f>B37*1</f>
        <v>2</v>
      </c>
      <c r="D37" s="225">
        <v>46.75</v>
      </c>
      <c r="E37" s="226">
        <f t="shared" si="0"/>
        <v>93.5</v>
      </c>
      <c r="F37" s="227">
        <f t="shared" si="5"/>
        <v>98.766694480846866</v>
      </c>
      <c r="G37" s="2095">
        <f t="shared" si="2"/>
        <v>49.383347240423433</v>
      </c>
      <c r="H37" s="229">
        <f t="shared" si="7"/>
        <v>1122</v>
      </c>
      <c r="I37" s="227">
        <f t="shared" si="6"/>
        <v>1185.2003337701624</v>
      </c>
      <c r="J37" s="231">
        <v>3</v>
      </c>
      <c r="K37" s="232">
        <f t="shared" si="1"/>
        <v>72</v>
      </c>
      <c r="L37" s="720">
        <f t="shared" si="4"/>
        <v>5.6328283217613517E-2</v>
      </c>
      <c r="M37" s="2101">
        <v>49.46307711673515</v>
      </c>
    </row>
    <row r="38" spans="1:13">
      <c r="A38" s="223" t="s">
        <v>78</v>
      </c>
      <c r="B38" s="1050">
        <f>SUM('[16]PT - No MF'!$J$14:$K$14)</f>
        <v>18</v>
      </c>
      <c r="C38" s="234">
        <f>B38*4.333*1</f>
        <v>77.994</v>
      </c>
      <c r="D38" s="225">
        <v>43.29</v>
      </c>
      <c r="E38" s="226">
        <f>D38*C38</f>
        <v>3376.3602599999999</v>
      </c>
      <c r="F38" s="227">
        <f t="shared" si="5"/>
        <v>3566.5448369699752</v>
      </c>
      <c r="G38" s="2095">
        <f t="shared" si="2"/>
        <v>45.72845138049049</v>
      </c>
      <c r="H38" s="229">
        <f t="shared" si="7"/>
        <v>40516.323120000001</v>
      </c>
      <c r="I38" s="227">
        <f t="shared" si="6"/>
        <v>42798.538043639703</v>
      </c>
      <c r="J38" s="231">
        <v>3</v>
      </c>
      <c r="K38" s="232">
        <f t="shared" si="1"/>
        <v>2807.7840000000001</v>
      </c>
      <c r="L38" s="720">
        <f t="shared" si="4"/>
        <v>5.6328283217613517E-2</v>
      </c>
      <c r="M38" s="2101">
        <v>45.802280393229189</v>
      </c>
    </row>
    <row r="39" spans="1:13">
      <c r="A39" s="223" t="s">
        <v>79</v>
      </c>
      <c r="B39" s="1050">
        <f>SUM('[16]PT - No MF'!$I$21)</f>
        <v>2</v>
      </c>
      <c r="C39" s="234">
        <f>B39*4.333*2</f>
        <v>17.332000000000001</v>
      </c>
      <c r="D39" s="225">
        <v>43.29</v>
      </c>
      <c r="E39" s="226">
        <f t="shared" si="0"/>
        <v>750.30228</v>
      </c>
      <c r="F39" s="227">
        <f t="shared" si="5"/>
        <v>792.56551932666116</v>
      </c>
      <c r="G39" s="2095">
        <f t="shared" si="2"/>
        <v>45.72845138049049</v>
      </c>
      <c r="H39" s="229">
        <f t="shared" si="7"/>
        <v>9003.6273600000004</v>
      </c>
      <c r="I39" s="227">
        <f t="shared" si="6"/>
        <v>9510.7862319199339</v>
      </c>
      <c r="J39" s="231">
        <v>3</v>
      </c>
      <c r="K39" s="232">
        <f t="shared" si="1"/>
        <v>623.952</v>
      </c>
      <c r="L39" s="720">
        <f t="shared" si="4"/>
        <v>5.6328283217613517E-2</v>
      </c>
      <c r="M39" s="2101">
        <v>45.802280393229189</v>
      </c>
    </row>
    <row r="40" spans="1:13">
      <c r="A40" s="223" t="s">
        <v>80</v>
      </c>
      <c r="B40" s="1050">
        <f>SUM('[16]PT - No MF'!$I$26)</f>
        <v>2</v>
      </c>
      <c r="C40" s="234">
        <f>B40*4.333*3</f>
        <v>25.998000000000001</v>
      </c>
      <c r="D40" s="225">
        <v>43.29</v>
      </c>
      <c r="E40" s="226">
        <f t="shared" si="0"/>
        <v>1125.4534200000001</v>
      </c>
      <c r="F40" s="227">
        <f t="shared" si="5"/>
        <v>1188.8482789899917</v>
      </c>
      <c r="G40" s="2095">
        <f t="shared" si="2"/>
        <v>45.72845138049049</v>
      </c>
      <c r="H40" s="229">
        <f t="shared" si="7"/>
        <v>13505.441040000002</v>
      </c>
      <c r="I40" s="227">
        <f t="shared" si="6"/>
        <v>14266.179347879901</v>
      </c>
      <c r="J40" s="231">
        <v>3</v>
      </c>
      <c r="K40" s="232">
        <f t="shared" si="1"/>
        <v>935.928</v>
      </c>
      <c r="L40" s="720">
        <f t="shared" si="4"/>
        <v>5.6328283217613517E-2</v>
      </c>
      <c r="M40" s="2101">
        <v>45.802280393229189</v>
      </c>
    </row>
    <row r="41" spans="1:13">
      <c r="A41" s="223" t="s">
        <v>308</v>
      </c>
      <c r="B41" s="1050"/>
      <c r="C41" s="234">
        <f>B41*4.333</f>
        <v>0</v>
      </c>
      <c r="D41" s="225">
        <v>260.44</v>
      </c>
      <c r="E41" s="226">
        <f t="shared" si="0"/>
        <v>0</v>
      </c>
      <c r="F41" s="227">
        <f t="shared" si="5"/>
        <v>0</v>
      </c>
      <c r="G41" s="2095">
        <f t="shared" si="2"/>
        <v>275.11013808119526</v>
      </c>
      <c r="H41" s="229">
        <f t="shared" si="7"/>
        <v>0</v>
      </c>
      <c r="I41" s="227">
        <f t="shared" si="6"/>
        <v>0</v>
      </c>
      <c r="J41" s="231">
        <v>4</v>
      </c>
      <c r="K41" s="232">
        <f t="shared" si="1"/>
        <v>0</v>
      </c>
      <c r="L41" s="720">
        <f t="shared" si="4"/>
        <v>5.6328283217613517E-2</v>
      </c>
      <c r="M41" s="2101">
        <v>275.5543059739573</v>
      </c>
    </row>
    <row r="42" spans="1:13">
      <c r="A42" s="223" t="s">
        <v>658</v>
      </c>
      <c r="B42" s="1050"/>
      <c r="C42" s="234">
        <f>B42*4.333</f>
        <v>0</v>
      </c>
      <c r="D42" s="225">
        <v>208.77</v>
      </c>
      <c r="E42" s="226">
        <f>D42*C42</f>
        <v>0</v>
      </c>
      <c r="F42" s="227">
        <f>C42*G42</f>
        <v>0</v>
      </c>
      <c r="G42" s="2095">
        <f t="shared" si="2"/>
        <v>220.52965568734118</v>
      </c>
      <c r="H42" s="229">
        <f t="shared" si="7"/>
        <v>0</v>
      </c>
      <c r="I42" s="227">
        <f>F42*12</f>
        <v>0</v>
      </c>
      <c r="J42" s="231">
        <v>4</v>
      </c>
      <c r="K42" s="232">
        <f>+C42*J42*12</f>
        <v>0</v>
      </c>
      <c r="L42" s="720">
        <f>+G42/D42-1</f>
        <v>5.6328283217613517E-2</v>
      </c>
      <c r="M42" s="2101">
        <v>220.88570288044488</v>
      </c>
    </row>
    <row r="43" spans="1:13">
      <c r="A43" s="223" t="s">
        <v>81</v>
      </c>
      <c r="B43" s="1050">
        <f>SUM('[16]PT - No MF'!$I$34:$J$34)</f>
        <v>8</v>
      </c>
      <c r="C43" s="234">
        <f>B43*1</f>
        <v>8</v>
      </c>
      <c r="D43" s="225">
        <v>61.18</v>
      </c>
      <c r="E43" s="226">
        <f t="shared" si="0"/>
        <v>489.44</v>
      </c>
      <c r="F43" s="227">
        <f t="shared" si="5"/>
        <v>517.00931493802875</v>
      </c>
      <c r="G43" s="2095">
        <f t="shared" si="2"/>
        <v>64.626164367253594</v>
      </c>
      <c r="H43" s="229">
        <f t="shared" si="7"/>
        <v>5873.28</v>
      </c>
      <c r="I43" s="227">
        <f t="shared" si="6"/>
        <v>6204.1117792563455</v>
      </c>
      <c r="J43" s="231">
        <v>4</v>
      </c>
      <c r="K43" s="232">
        <f t="shared" si="1"/>
        <v>384</v>
      </c>
      <c r="L43" s="720">
        <f t="shared" si="4"/>
        <v>5.6328283217613517E-2</v>
      </c>
      <c r="M43" s="2101">
        <v>64.73050391447822</v>
      </c>
    </row>
    <row r="44" spans="1:13">
      <c r="A44" s="223" t="s">
        <v>82</v>
      </c>
      <c r="B44" s="1050">
        <f>SUM('[16]PT - No MF'!$J$15:$K$15)</f>
        <v>30</v>
      </c>
      <c r="C44" s="234">
        <f>B44*4.333*1</f>
        <v>129.99</v>
      </c>
      <c r="D44" s="225">
        <v>55.41</v>
      </c>
      <c r="E44" s="226">
        <f t="shared" si="0"/>
        <v>7202.7458999999999</v>
      </c>
      <c r="F44" s="227">
        <f t="shared" si="5"/>
        <v>7608.4642109997039</v>
      </c>
      <c r="G44" s="2095">
        <f t="shared" si="2"/>
        <v>58.531150173087958</v>
      </c>
      <c r="H44" s="229">
        <f t="shared" si="7"/>
        <v>86432.950799999991</v>
      </c>
      <c r="I44" s="227">
        <f t="shared" si="6"/>
        <v>91301.570531996447</v>
      </c>
      <c r="J44" s="231">
        <v>4</v>
      </c>
      <c r="K44" s="232">
        <f t="shared" si="1"/>
        <v>6239.52</v>
      </c>
      <c r="L44" s="720">
        <f t="shared" si="4"/>
        <v>5.6328283217613517E-2</v>
      </c>
      <c r="M44" s="2101">
        <v>58.625649262851219</v>
      </c>
    </row>
    <row r="45" spans="1:13">
      <c r="A45" s="223" t="s">
        <v>83</v>
      </c>
      <c r="B45" s="1050">
        <f>SUM('[16]PT - No MF'!$I$22)</f>
        <v>9</v>
      </c>
      <c r="C45" s="234">
        <f>B45*4.333*2</f>
        <v>77.994</v>
      </c>
      <c r="D45" s="225">
        <v>55.41</v>
      </c>
      <c r="E45" s="226">
        <f t="shared" si="0"/>
        <v>4321.6475399999999</v>
      </c>
      <c r="F45" s="227">
        <f t="shared" si="5"/>
        <v>4565.078526599822</v>
      </c>
      <c r="G45" s="2095">
        <f t="shared" si="2"/>
        <v>58.531150173087958</v>
      </c>
      <c r="H45" s="229">
        <f t="shared" si="7"/>
        <v>51859.770479999999</v>
      </c>
      <c r="I45" s="227">
        <f t="shared" si="6"/>
        <v>54780.942319197864</v>
      </c>
      <c r="J45" s="231">
        <v>4</v>
      </c>
      <c r="K45" s="232">
        <f t="shared" si="1"/>
        <v>3743.712</v>
      </c>
      <c r="L45" s="720">
        <f t="shared" si="4"/>
        <v>5.6328283217613517E-2</v>
      </c>
      <c r="M45" s="2101">
        <v>58.625649262851219</v>
      </c>
    </row>
    <row r="46" spans="1:13">
      <c r="A46" s="223" t="s">
        <v>84</v>
      </c>
      <c r="B46" s="1050">
        <f>SUM('[16]PT - No MF'!$I$27)</f>
        <v>3</v>
      </c>
      <c r="C46" s="234">
        <f>B46*4.333*3</f>
        <v>38.997</v>
      </c>
      <c r="D46" s="225">
        <v>55.41</v>
      </c>
      <c r="E46" s="226">
        <f t="shared" si="0"/>
        <v>2160.82377</v>
      </c>
      <c r="F46" s="227">
        <f t="shared" si="5"/>
        <v>2282.539263299911</v>
      </c>
      <c r="G46" s="2095">
        <f t="shared" si="2"/>
        <v>58.531150173087958</v>
      </c>
      <c r="H46" s="229">
        <f t="shared" si="7"/>
        <v>25929.88524</v>
      </c>
      <c r="I46" s="227">
        <f t="shared" si="6"/>
        <v>27390.471159598932</v>
      </c>
      <c r="J46" s="231">
        <v>4</v>
      </c>
      <c r="K46" s="232">
        <f t="shared" si="1"/>
        <v>1871.856</v>
      </c>
      <c r="L46" s="720">
        <f t="shared" si="4"/>
        <v>5.6328283217613517E-2</v>
      </c>
      <c r="M46" s="2101">
        <v>58.625649262851219</v>
      </c>
    </row>
    <row r="47" spans="1:13">
      <c r="A47" s="223" t="s">
        <v>569</v>
      </c>
      <c r="B47" s="1050"/>
      <c r="C47" s="234">
        <f>B47*4.333*4</f>
        <v>0</v>
      </c>
      <c r="D47" s="225">
        <v>55.41</v>
      </c>
      <c r="E47" s="226">
        <f>D47*C47</f>
        <v>0</v>
      </c>
      <c r="F47" s="227">
        <f>C47*G47</f>
        <v>0</v>
      </c>
      <c r="G47" s="2095">
        <f t="shared" si="2"/>
        <v>58.531150173087958</v>
      </c>
      <c r="H47" s="229">
        <f t="shared" ref="H47:H76" si="8">E47*12</f>
        <v>0</v>
      </c>
      <c r="I47" s="227">
        <f>F47*12</f>
        <v>0</v>
      </c>
      <c r="J47" s="231">
        <v>4</v>
      </c>
      <c r="K47" s="232">
        <f>+C47*J47*12</f>
        <v>0</v>
      </c>
      <c r="L47" s="720">
        <f>+G47/D47-1</f>
        <v>5.6328283217613517E-2</v>
      </c>
      <c r="M47" s="2101">
        <v>58.625649262851219</v>
      </c>
    </row>
    <row r="48" spans="1:13">
      <c r="A48" s="223" t="s">
        <v>636</v>
      </c>
      <c r="B48" s="1050"/>
      <c r="C48" s="234">
        <f>B48*4.333*5</f>
        <v>0</v>
      </c>
      <c r="D48" s="225">
        <v>55.41</v>
      </c>
      <c r="E48" s="226">
        <f>D48*C48</f>
        <v>0</v>
      </c>
      <c r="F48" s="227">
        <f>C48*G48</f>
        <v>0</v>
      </c>
      <c r="G48" s="2095">
        <f t="shared" si="2"/>
        <v>58.531150173087958</v>
      </c>
      <c r="H48" s="229">
        <f t="shared" si="8"/>
        <v>0</v>
      </c>
      <c r="I48" s="227">
        <f>F48*12</f>
        <v>0</v>
      </c>
      <c r="J48" s="231">
        <v>4</v>
      </c>
      <c r="K48" s="232">
        <f>+C48*J48*12</f>
        <v>0</v>
      </c>
      <c r="L48" s="720">
        <f>+G48/D48-1</f>
        <v>5.6328283217613517E-2</v>
      </c>
      <c r="M48" s="2101">
        <v>58.625649262851219</v>
      </c>
    </row>
    <row r="49" spans="1:13">
      <c r="A49" s="223" t="s">
        <v>714</v>
      </c>
      <c r="B49" s="1050"/>
      <c r="C49" s="234">
        <f>B49*4.333*8</f>
        <v>0</v>
      </c>
      <c r="D49" s="225">
        <v>55.41</v>
      </c>
      <c r="E49" s="226">
        <f>D49*C49</f>
        <v>0</v>
      </c>
      <c r="F49" s="227">
        <f t="shared" si="5"/>
        <v>0</v>
      </c>
      <c r="G49" s="2095">
        <f t="shared" si="2"/>
        <v>58.531150173087958</v>
      </c>
      <c r="H49" s="229">
        <f t="shared" si="8"/>
        <v>0</v>
      </c>
      <c r="I49" s="227">
        <f t="shared" si="6"/>
        <v>0</v>
      </c>
      <c r="J49" s="231">
        <v>4</v>
      </c>
      <c r="K49" s="232">
        <f t="shared" si="1"/>
        <v>0</v>
      </c>
      <c r="L49" s="720">
        <f t="shared" si="4"/>
        <v>5.6328283217613517E-2</v>
      </c>
      <c r="M49" s="2101">
        <v>58.625649262851219</v>
      </c>
    </row>
    <row r="50" spans="1:13">
      <c r="A50" s="223" t="s">
        <v>660</v>
      </c>
      <c r="B50" s="1050"/>
      <c r="C50" s="234">
        <f>B50*4.333</f>
        <v>0</v>
      </c>
      <c r="D50" s="225"/>
      <c r="E50" s="226">
        <f t="shared" si="0"/>
        <v>0</v>
      </c>
      <c r="F50" s="227">
        <f t="shared" si="5"/>
        <v>0</v>
      </c>
      <c r="G50" s="2095">
        <f t="shared" si="2"/>
        <v>0</v>
      </c>
      <c r="H50" s="229">
        <f t="shared" si="8"/>
        <v>0</v>
      </c>
      <c r="I50" s="227">
        <f t="shared" si="6"/>
        <v>0</v>
      </c>
      <c r="J50" s="231">
        <v>6</v>
      </c>
      <c r="K50" s="232">
        <f t="shared" si="1"/>
        <v>0</v>
      </c>
      <c r="L50" s="720" t="e">
        <f t="shared" si="4"/>
        <v>#DIV/0!</v>
      </c>
      <c r="M50" s="2101">
        <v>0</v>
      </c>
    </row>
    <row r="51" spans="1:13">
      <c r="A51" s="223" t="s">
        <v>659</v>
      </c>
      <c r="B51" s="1050"/>
      <c r="C51" s="234">
        <f>B51*4.333</f>
        <v>0</v>
      </c>
      <c r="D51" s="225"/>
      <c r="E51" s="226">
        <f>D51*C51</f>
        <v>0</v>
      </c>
      <c r="F51" s="227">
        <f>C51*G51</f>
        <v>0</v>
      </c>
      <c r="G51" s="2095">
        <f t="shared" si="2"/>
        <v>0</v>
      </c>
      <c r="H51" s="229">
        <f t="shared" si="8"/>
        <v>0</v>
      </c>
      <c r="I51" s="227">
        <f>F51*12</f>
        <v>0</v>
      </c>
      <c r="J51" s="231">
        <v>6</v>
      </c>
      <c r="K51" s="232">
        <f>+C51*J51*12</f>
        <v>0</v>
      </c>
      <c r="L51" s="720" t="e">
        <f>+G51/D51-1</f>
        <v>#DIV/0!</v>
      </c>
      <c r="M51" s="2101">
        <v>0</v>
      </c>
    </row>
    <row r="52" spans="1:13">
      <c r="A52" s="223" t="s">
        <v>309</v>
      </c>
      <c r="B52" s="1050"/>
      <c r="C52" s="234">
        <f>B52*4.333</f>
        <v>0</v>
      </c>
      <c r="D52" s="225">
        <v>333.55</v>
      </c>
      <c r="E52" s="226">
        <f t="shared" si="0"/>
        <v>0</v>
      </c>
      <c r="F52" s="227">
        <f t="shared" si="5"/>
        <v>0</v>
      </c>
      <c r="G52" s="2095">
        <f t="shared" si="2"/>
        <v>352.33829886723498</v>
      </c>
      <c r="H52" s="229">
        <f t="shared" si="8"/>
        <v>0</v>
      </c>
      <c r="I52" s="227">
        <f t="shared" si="6"/>
        <v>0</v>
      </c>
      <c r="J52" s="231">
        <v>6</v>
      </c>
      <c r="K52" s="232">
        <f t="shared" si="1"/>
        <v>0</v>
      </c>
      <c r="L52" s="720">
        <f t="shared" si="4"/>
        <v>5.6328283217613517E-2</v>
      </c>
      <c r="M52" s="2101">
        <v>352.90715234838524</v>
      </c>
    </row>
    <row r="53" spans="1:13">
      <c r="A53" s="223" t="s">
        <v>661</v>
      </c>
      <c r="B53" s="1050"/>
      <c r="C53" s="234">
        <f>B53*4.333</f>
        <v>0</v>
      </c>
      <c r="D53" s="225">
        <v>309.02999999999997</v>
      </c>
      <c r="E53" s="226">
        <f>D53*C53</f>
        <v>0</v>
      </c>
      <c r="F53" s="227">
        <f>C53*G53</f>
        <v>0</v>
      </c>
      <c r="G53" s="2095">
        <f t="shared" si="2"/>
        <v>326.43712936273909</v>
      </c>
      <c r="H53" s="229">
        <f t="shared" si="8"/>
        <v>0</v>
      </c>
      <c r="I53" s="227">
        <f>F53*12</f>
        <v>0</v>
      </c>
      <c r="J53" s="231">
        <v>6</v>
      </c>
      <c r="K53" s="232">
        <f>+C53*J53*12</f>
        <v>0</v>
      </c>
      <c r="L53" s="720">
        <f>+G53/D53-1</f>
        <v>5.6328283217613517E-2</v>
      </c>
      <c r="M53" s="2101">
        <v>326.96416516330828</v>
      </c>
    </row>
    <row r="54" spans="1:13">
      <c r="A54" s="223" t="s">
        <v>85</v>
      </c>
      <c r="B54" s="1050">
        <f>SUM('[16]PT - No MF'!$I$35:$J$35)</f>
        <v>8</v>
      </c>
      <c r="C54" s="234">
        <f>+B54*1</f>
        <v>8</v>
      </c>
      <c r="D54" s="225">
        <v>91.19</v>
      </c>
      <c r="E54" s="226">
        <f t="shared" si="0"/>
        <v>729.52</v>
      </c>
      <c r="F54" s="227">
        <f t="shared" si="5"/>
        <v>770.61260917291338</v>
      </c>
      <c r="G54" s="2095">
        <f t="shared" si="2"/>
        <v>96.326576146614173</v>
      </c>
      <c r="H54" s="229">
        <f t="shared" si="8"/>
        <v>8754.24</v>
      </c>
      <c r="I54" s="227">
        <f t="shared" si="6"/>
        <v>9247.3513100749606</v>
      </c>
      <c r="J54" s="231">
        <v>6</v>
      </c>
      <c r="K54" s="232">
        <f t="shared" si="1"/>
        <v>576</v>
      </c>
      <c r="L54" s="720">
        <f t="shared" si="4"/>
        <v>5.6328283217613517E-2</v>
      </c>
      <c r="M54" s="2101">
        <v>96.482096305349273</v>
      </c>
    </row>
    <row r="55" spans="1:13">
      <c r="A55" s="223" t="s">
        <v>86</v>
      </c>
      <c r="B55" s="1050">
        <f>SUM('[16]PT - No MF'!$J$16:$K$16)</f>
        <v>14</v>
      </c>
      <c r="C55" s="234">
        <f>B55*4.333</f>
        <v>60.662000000000006</v>
      </c>
      <c r="D55" s="225">
        <v>83.11</v>
      </c>
      <c r="E55" s="226">
        <f>D55*C55</f>
        <v>5041.6188200000006</v>
      </c>
      <c r="F55" s="227">
        <f t="shared" si="5"/>
        <v>5325.6045527682118</v>
      </c>
      <c r="G55" s="2095">
        <f t="shared" si="2"/>
        <v>87.791443618215865</v>
      </c>
      <c r="H55" s="229">
        <f t="shared" si="8"/>
        <v>60499.425840000011</v>
      </c>
      <c r="I55" s="227">
        <f t="shared" si="6"/>
        <v>63907.254633218545</v>
      </c>
      <c r="J55" s="231">
        <v>6</v>
      </c>
      <c r="K55" s="232">
        <f t="shared" si="1"/>
        <v>4367.6640000000007</v>
      </c>
      <c r="L55" s="720">
        <f t="shared" si="4"/>
        <v>5.6328283217613517E-2</v>
      </c>
      <c r="M55" s="2101">
        <v>87.933183725601253</v>
      </c>
    </row>
    <row r="56" spans="1:13">
      <c r="A56" s="223" t="s">
        <v>87</v>
      </c>
      <c r="B56" s="1050">
        <f>SUM('[16]PT - No MF'!$I$23)</f>
        <v>4</v>
      </c>
      <c r="C56" s="234">
        <f>B56*4.333*2</f>
        <v>34.664000000000001</v>
      </c>
      <c r="D56" s="225">
        <v>83.11</v>
      </c>
      <c r="E56" s="226">
        <f t="shared" si="0"/>
        <v>2880.9250400000001</v>
      </c>
      <c r="F56" s="227">
        <f t="shared" si="5"/>
        <v>3043.2026015818351</v>
      </c>
      <c r="G56" s="2095">
        <f t="shared" si="2"/>
        <v>87.791443618215865</v>
      </c>
      <c r="H56" s="229">
        <f t="shared" si="8"/>
        <v>34571.100480000001</v>
      </c>
      <c r="I56" s="227">
        <f t="shared" si="6"/>
        <v>36518.431218982019</v>
      </c>
      <c r="J56" s="231">
        <v>6</v>
      </c>
      <c r="K56" s="232">
        <f t="shared" si="1"/>
        <v>2495.808</v>
      </c>
      <c r="L56" s="720">
        <f t="shared" si="4"/>
        <v>5.6328283217613517E-2</v>
      </c>
      <c r="M56" s="2101">
        <v>87.933183725601253</v>
      </c>
    </row>
    <row r="57" spans="1:13">
      <c r="A57" s="223" t="s">
        <v>88</v>
      </c>
      <c r="B57" s="1050"/>
      <c r="C57" s="234">
        <f>B57*4.333*3</f>
        <v>0</v>
      </c>
      <c r="D57" s="225">
        <v>83.11</v>
      </c>
      <c r="E57" s="226">
        <f t="shared" si="0"/>
        <v>0</v>
      </c>
      <c r="F57" s="227">
        <f t="shared" si="5"/>
        <v>0</v>
      </c>
      <c r="G57" s="2095">
        <f t="shared" si="2"/>
        <v>87.791443618215865</v>
      </c>
      <c r="H57" s="229">
        <f t="shared" si="8"/>
        <v>0</v>
      </c>
      <c r="I57" s="227">
        <f t="shared" si="6"/>
        <v>0</v>
      </c>
      <c r="J57" s="231">
        <v>6</v>
      </c>
      <c r="K57" s="232">
        <f t="shared" si="1"/>
        <v>0</v>
      </c>
      <c r="L57" s="720">
        <f t="shared" si="4"/>
        <v>5.6328283217613517E-2</v>
      </c>
      <c r="M57" s="2101">
        <v>87.933183725601253</v>
      </c>
    </row>
    <row r="58" spans="1:13">
      <c r="A58" s="223" t="s">
        <v>1053</v>
      </c>
      <c r="B58" s="1050"/>
      <c r="C58" s="234">
        <f>B58*4.333*6</f>
        <v>0</v>
      </c>
      <c r="D58" s="225">
        <v>83.11</v>
      </c>
      <c r="E58" s="226">
        <f t="shared" si="0"/>
        <v>0</v>
      </c>
      <c r="F58" s="227">
        <f t="shared" si="5"/>
        <v>0</v>
      </c>
      <c r="G58" s="2095">
        <f t="shared" si="2"/>
        <v>87.791443618215865</v>
      </c>
      <c r="H58" s="229">
        <f t="shared" si="8"/>
        <v>0</v>
      </c>
      <c r="I58" s="227">
        <f t="shared" si="6"/>
        <v>0</v>
      </c>
      <c r="J58" s="231">
        <v>6</v>
      </c>
      <c r="K58" s="232">
        <f t="shared" si="1"/>
        <v>0</v>
      </c>
      <c r="L58" s="720">
        <f t="shared" si="4"/>
        <v>5.6328283217613517E-2</v>
      </c>
      <c r="M58" s="2101">
        <v>87.933183725601253</v>
      </c>
    </row>
    <row r="59" spans="1:13">
      <c r="A59" s="223" t="s">
        <v>89</v>
      </c>
      <c r="B59" s="1050">
        <f>SUM('[16]PT - No MF'!$I$36:$J$36)</f>
        <v>4</v>
      </c>
      <c r="C59" s="234">
        <f>+B59*1</f>
        <v>4</v>
      </c>
      <c r="D59" s="225">
        <v>110.83</v>
      </c>
      <c r="E59" s="226">
        <f t="shared" si="0"/>
        <v>443.32</v>
      </c>
      <c r="F59" s="227">
        <f t="shared" si="5"/>
        <v>468.29145451603245</v>
      </c>
      <c r="G59" s="2095">
        <f t="shared" si="2"/>
        <v>117.07286362900811</v>
      </c>
      <c r="H59" s="229">
        <f t="shared" si="8"/>
        <v>5319.84</v>
      </c>
      <c r="I59" s="227">
        <f t="shared" si="6"/>
        <v>5619.4974541923893</v>
      </c>
      <c r="J59" s="231">
        <v>8</v>
      </c>
      <c r="K59" s="232">
        <f t="shared" si="1"/>
        <v>384</v>
      </c>
      <c r="L59" s="720">
        <f t="shared" si="4"/>
        <v>5.6328283217613517E-2</v>
      </c>
      <c r="M59" s="2101">
        <v>117.26187886305362</v>
      </c>
    </row>
    <row r="60" spans="1:13">
      <c r="A60" s="223" t="s">
        <v>90</v>
      </c>
      <c r="B60" s="1050">
        <f>SUM('[16]PT - No MF'!$I$17)</f>
        <v>4</v>
      </c>
      <c r="C60" s="234">
        <f>B60*4.333</f>
        <v>17.332000000000001</v>
      </c>
      <c r="D60" s="225">
        <v>108.53</v>
      </c>
      <c r="E60" s="226">
        <f t="shared" si="0"/>
        <v>1881.04196</v>
      </c>
      <c r="F60" s="227">
        <f t="shared" si="5"/>
        <v>1986.997824267095</v>
      </c>
      <c r="G60" s="2095">
        <f t="shared" si="2"/>
        <v>114.6433085776076</v>
      </c>
      <c r="H60" s="229">
        <f t="shared" si="8"/>
        <v>22572.503519999998</v>
      </c>
      <c r="I60" s="227">
        <f t="shared" si="6"/>
        <v>23843.97389120514</v>
      </c>
      <c r="J60" s="231">
        <v>8</v>
      </c>
      <c r="K60" s="232">
        <f t="shared" si="1"/>
        <v>1663.8720000000001</v>
      </c>
      <c r="L60" s="720">
        <f t="shared" si="4"/>
        <v>5.6328283217613517E-2</v>
      </c>
      <c r="M60" s="2101">
        <v>114.82840127228377</v>
      </c>
    </row>
    <row r="61" spans="1:13">
      <c r="A61" s="223" t="s">
        <v>91</v>
      </c>
      <c r="B61" s="1050">
        <f>SUM('[16]PT - No MF'!$I$24)</f>
        <v>5</v>
      </c>
      <c r="C61" s="234">
        <f>B61*4.333*2</f>
        <v>43.33</v>
      </c>
      <c r="D61" s="225">
        <v>108.53</v>
      </c>
      <c r="E61" s="226">
        <f t="shared" si="0"/>
        <v>4702.6049000000003</v>
      </c>
      <c r="F61" s="227">
        <f t="shared" si="5"/>
        <v>4967.4945606677375</v>
      </c>
      <c r="G61" s="2095">
        <f t="shared" si="2"/>
        <v>114.6433085776076</v>
      </c>
      <c r="H61" s="229">
        <f t="shared" si="8"/>
        <v>56431.258800000003</v>
      </c>
      <c r="I61" s="227">
        <f t="shared" si="6"/>
        <v>59609.93472801285</v>
      </c>
      <c r="J61" s="231">
        <v>8</v>
      </c>
      <c r="K61" s="232">
        <f t="shared" si="1"/>
        <v>4159.68</v>
      </c>
      <c r="L61" s="720">
        <f t="shared" si="4"/>
        <v>5.6328283217613517E-2</v>
      </c>
      <c r="M61" s="2101">
        <v>114.82840127228377</v>
      </c>
    </row>
    <row r="62" spans="1:13">
      <c r="A62" s="223" t="s">
        <v>92</v>
      </c>
      <c r="B62" s="1050"/>
      <c r="C62" s="234">
        <f>B62*4.333*3</f>
        <v>0</v>
      </c>
      <c r="D62" s="225">
        <v>108.53</v>
      </c>
      <c r="E62" s="226">
        <f t="shared" si="0"/>
        <v>0</v>
      </c>
      <c r="F62" s="227">
        <f t="shared" si="5"/>
        <v>0</v>
      </c>
      <c r="G62" s="2095">
        <f t="shared" si="2"/>
        <v>114.6433085776076</v>
      </c>
      <c r="H62" s="229">
        <f t="shared" si="8"/>
        <v>0</v>
      </c>
      <c r="I62" s="227">
        <f t="shared" si="6"/>
        <v>0</v>
      </c>
      <c r="J62" s="231">
        <v>8</v>
      </c>
      <c r="K62" s="232">
        <f t="shared" si="1"/>
        <v>0</v>
      </c>
      <c r="L62" s="720">
        <f t="shared" si="4"/>
        <v>5.6328283217613517E-2</v>
      </c>
      <c r="M62" s="2101">
        <v>114.82840127228377</v>
      </c>
    </row>
    <row r="63" spans="1:13">
      <c r="A63" s="223" t="s">
        <v>568</v>
      </c>
      <c r="B63" s="1050"/>
      <c r="C63" s="234">
        <f>B63*4.333*4</f>
        <v>0</v>
      </c>
      <c r="D63" s="225">
        <v>108.53</v>
      </c>
      <c r="E63" s="226">
        <f t="shared" si="0"/>
        <v>0</v>
      </c>
      <c r="F63" s="227">
        <f>C63*G63</f>
        <v>0</v>
      </c>
      <c r="G63" s="2095">
        <f t="shared" si="2"/>
        <v>114.6433085776076</v>
      </c>
      <c r="H63" s="229">
        <f t="shared" si="8"/>
        <v>0</v>
      </c>
      <c r="I63" s="227">
        <f>F63*12</f>
        <v>0</v>
      </c>
      <c r="J63" s="231">
        <v>8</v>
      </c>
      <c r="K63" s="232">
        <f>+C63*J63*12</f>
        <v>0</v>
      </c>
      <c r="L63" s="720">
        <f>+G63/D63-1</f>
        <v>5.6328283217613517E-2</v>
      </c>
      <c r="M63" s="2101">
        <v>114.82840127228377</v>
      </c>
    </row>
    <row r="64" spans="1:13">
      <c r="A64" s="223" t="s">
        <v>310</v>
      </c>
      <c r="B64" s="1050"/>
      <c r="C64" s="234">
        <f>B64*4.333*5</f>
        <v>0</v>
      </c>
      <c r="D64" s="225">
        <v>108.53</v>
      </c>
      <c r="E64" s="226">
        <f t="shared" si="0"/>
        <v>0</v>
      </c>
      <c r="F64" s="227">
        <f>C64*G64</f>
        <v>0</v>
      </c>
      <c r="G64" s="2095">
        <f t="shared" si="2"/>
        <v>114.6433085776076</v>
      </c>
      <c r="H64" s="229">
        <f t="shared" si="8"/>
        <v>0</v>
      </c>
      <c r="I64" s="227">
        <f t="shared" si="6"/>
        <v>0</v>
      </c>
      <c r="J64" s="231">
        <v>8</v>
      </c>
      <c r="K64" s="232">
        <f t="shared" si="1"/>
        <v>0</v>
      </c>
      <c r="L64" s="720">
        <f t="shared" si="4"/>
        <v>5.6328283217613517E-2</v>
      </c>
      <c r="M64" s="2101">
        <v>114.82840127228377</v>
      </c>
    </row>
    <row r="65" spans="1:15">
      <c r="A65" s="223" t="s">
        <v>93</v>
      </c>
      <c r="B65" s="1261">
        <f>SUM('[13]wutc comm rental'!B6:H6)/D65/12</f>
        <v>1.9634502923976613</v>
      </c>
      <c r="C65" s="234" t="s">
        <v>295</v>
      </c>
      <c r="D65" s="235">
        <v>1.1399999999999999</v>
      </c>
      <c r="E65" s="226">
        <f>+D65*B65</f>
        <v>2.2383333333333337</v>
      </c>
      <c r="F65" s="227">
        <f t="shared" ref="F65:F76" si="9">+G65*B65</f>
        <v>2.3644148072687585</v>
      </c>
      <c r="G65" s="2095">
        <f t="shared" si="2"/>
        <v>1.2042142428680793</v>
      </c>
      <c r="H65" s="229">
        <f t="shared" si="8"/>
        <v>26.860000000000007</v>
      </c>
      <c r="I65" s="227">
        <f>F65*12</f>
        <v>28.372977687225102</v>
      </c>
      <c r="L65" s="720">
        <f t="shared" si="4"/>
        <v>5.6328283217613517E-2</v>
      </c>
      <c r="M65" s="2100">
        <v>1.2061584580337554</v>
      </c>
    </row>
    <row r="66" spans="1:15">
      <c r="A66" s="223" t="s">
        <v>94</v>
      </c>
      <c r="B66" s="1261">
        <f>SUM('[13]wutc comm rental'!B7:H7)/D66/12</f>
        <v>5.5506628787878824</v>
      </c>
      <c r="C66" s="234" t="s">
        <v>295</v>
      </c>
      <c r="D66" s="235">
        <v>1.76</v>
      </c>
      <c r="E66" s="226">
        <f>+D66*B66</f>
        <v>9.7691666666666723</v>
      </c>
      <c r="F66" s="227">
        <f t="shared" si="9"/>
        <v>10.319447053466744</v>
      </c>
      <c r="G66" s="2095">
        <f t="shared" si="2"/>
        <v>1.8591377784629999</v>
      </c>
      <c r="H66" s="229">
        <f t="shared" si="8"/>
        <v>117.23000000000008</v>
      </c>
      <c r="I66" s="227">
        <f t="shared" si="6"/>
        <v>123.83336464160092</v>
      </c>
      <c r="L66" s="720">
        <f t="shared" si="4"/>
        <v>5.6328283217613517E-2</v>
      </c>
      <c r="M66" s="2100">
        <v>1.8621393738064997</v>
      </c>
    </row>
    <row r="67" spans="1:15">
      <c r="A67" s="223" t="s">
        <v>95</v>
      </c>
      <c r="B67" s="1261">
        <f>SUM('[13]wutc comm rental'!B8:H8)/D67/12</f>
        <v>64.510890151515127</v>
      </c>
      <c r="C67" s="234" t="s">
        <v>295</v>
      </c>
      <c r="D67" s="235">
        <v>1.76</v>
      </c>
      <c r="E67" s="226">
        <f>+D67*B67</f>
        <v>113.53916666666663</v>
      </c>
      <c r="F67" s="227">
        <f t="shared" si="9"/>
        <v>119.93463300295845</v>
      </c>
      <c r="G67" s="2095">
        <f t="shared" si="2"/>
        <v>1.8591377784629999</v>
      </c>
      <c r="H67" s="229">
        <f t="shared" si="8"/>
        <v>1362.4699999999996</v>
      </c>
      <c r="I67" s="227">
        <f t="shared" si="6"/>
        <v>1439.2155960355014</v>
      </c>
      <c r="L67" s="720">
        <f t="shared" si="4"/>
        <v>5.6328283217613517E-2</v>
      </c>
      <c r="M67" s="2100">
        <v>1.8621393738064997</v>
      </c>
    </row>
    <row r="68" spans="1:15">
      <c r="A68" s="223" t="s">
        <v>96</v>
      </c>
      <c r="B68" s="1261">
        <f>SUM('[13]wutc comm rental'!B9:H9)/D68/12</f>
        <v>16.569672131147538</v>
      </c>
      <c r="C68" s="234" t="s">
        <v>295</v>
      </c>
      <c r="D68" s="235">
        <v>6.71</v>
      </c>
      <c r="E68" s="226">
        <f>+D68*B68</f>
        <v>111.18249999999998</v>
      </c>
      <c r="F68" s="227">
        <f t="shared" si="9"/>
        <v>117.44521934884229</v>
      </c>
      <c r="G68" s="2095">
        <f t="shared" si="2"/>
        <v>7.0879627803901863</v>
      </c>
      <c r="H68" s="229">
        <f t="shared" si="8"/>
        <v>1334.1899999999996</v>
      </c>
      <c r="I68" s="227">
        <f t="shared" si="6"/>
        <v>1409.3426321861075</v>
      </c>
      <c r="L68" s="720">
        <f t="shared" si="4"/>
        <v>5.6328283217613517E-2</v>
      </c>
      <c r="M68" s="2100">
        <v>7.0994063626372803</v>
      </c>
    </row>
    <row r="69" spans="1:15">
      <c r="A69" s="223" t="s">
        <v>1024</v>
      </c>
      <c r="B69" s="1261">
        <f>SUM('[13]wutc comm rental'!B10:H10)/D69/12</f>
        <v>15.086021505376344</v>
      </c>
      <c r="C69" s="234" t="s">
        <v>295</v>
      </c>
      <c r="D69" s="235">
        <v>7.75</v>
      </c>
      <c r="E69" s="226">
        <f>+D69*B69</f>
        <v>116.91666666666667</v>
      </c>
      <c r="F69" s="227">
        <f t="shared" si="9"/>
        <v>123.50238177952599</v>
      </c>
      <c r="G69" s="2095">
        <f t="shared" si="2"/>
        <v>8.1865441949365056</v>
      </c>
      <c r="H69" s="229">
        <f t="shared" si="8"/>
        <v>1403</v>
      </c>
      <c r="I69" s="227">
        <f t="shared" si="6"/>
        <v>1482.0285813543119</v>
      </c>
      <c r="L69" s="720">
        <f t="shared" si="4"/>
        <v>5.6328283217613739E-2</v>
      </c>
      <c r="M69" s="2100">
        <v>8.1997614471593039</v>
      </c>
    </row>
    <row r="70" spans="1:15">
      <c r="A70" s="223" t="s">
        <v>565</v>
      </c>
      <c r="B70" s="1261">
        <v>0</v>
      </c>
      <c r="C70" s="234" t="s">
        <v>295</v>
      </c>
      <c r="D70" s="235">
        <v>0</v>
      </c>
      <c r="E70" s="226">
        <f t="shared" ref="E70:E75" si="10">+D70*B70</f>
        <v>0</v>
      </c>
      <c r="F70" s="227">
        <f t="shared" si="9"/>
        <v>0</v>
      </c>
      <c r="G70" s="2095">
        <f t="shared" si="2"/>
        <v>0</v>
      </c>
      <c r="H70" s="229">
        <f t="shared" si="8"/>
        <v>0</v>
      </c>
      <c r="I70" s="227">
        <f t="shared" si="6"/>
        <v>0</v>
      </c>
      <c r="L70" s="720" t="e">
        <f t="shared" si="4"/>
        <v>#DIV/0!</v>
      </c>
      <c r="M70" s="2100">
        <v>0</v>
      </c>
    </row>
    <row r="71" spans="1:15">
      <c r="A71" s="223" t="s">
        <v>97</v>
      </c>
      <c r="B71" s="1261">
        <f>SUM('[13]wutc comm rental'!B11:H11)/D71/12</f>
        <v>41.149231950844836</v>
      </c>
      <c r="C71" s="234" t="s">
        <v>295</v>
      </c>
      <c r="D71" s="235">
        <v>10.85</v>
      </c>
      <c r="E71" s="226">
        <f t="shared" si="10"/>
        <v>446.46916666666647</v>
      </c>
      <c r="F71" s="227">
        <f t="shared" si="9"/>
        <v>471.6180083345983</v>
      </c>
      <c r="G71" s="2095">
        <f t="shared" si="2"/>
        <v>11.461161872911106</v>
      </c>
      <c r="H71" s="229">
        <f t="shared" si="8"/>
        <v>5357.6299999999974</v>
      </c>
      <c r="I71" s="227">
        <f t="shared" si="6"/>
        <v>5659.4161000151798</v>
      </c>
      <c r="L71" s="720">
        <f t="shared" si="4"/>
        <v>5.6328283217613517E-2</v>
      </c>
      <c r="M71" s="2100">
        <v>11.479666026023024</v>
      </c>
    </row>
    <row r="72" spans="1:15">
      <c r="A72" s="223" t="s">
        <v>98</v>
      </c>
      <c r="B72" s="1261">
        <f>SUM('[13]wutc comm rental'!B12:H12)/D72/12</f>
        <v>21.7795358649789</v>
      </c>
      <c r="C72" s="234" t="s">
        <v>295</v>
      </c>
      <c r="D72" s="235">
        <v>13.43</v>
      </c>
      <c r="E72" s="226">
        <f t="shared" si="10"/>
        <v>292.49916666666661</v>
      </c>
      <c r="F72" s="227">
        <f t="shared" si="9"/>
        <v>308.97514256758257</v>
      </c>
      <c r="G72" s="2095">
        <f t="shared" si="2"/>
        <v>14.186488843612549</v>
      </c>
      <c r="H72" s="229">
        <f t="shared" si="8"/>
        <v>3509.9899999999993</v>
      </c>
      <c r="I72" s="227">
        <f t="shared" si="6"/>
        <v>3707.7017108109908</v>
      </c>
      <c r="L72" s="720">
        <f t="shared" si="4"/>
        <v>5.6328283217613517E-2</v>
      </c>
      <c r="M72" s="2100">
        <v>14.209393062625734</v>
      </c>
    </row>
    <row r="73" spans="1:15">
      <c r="A73" s="223" t="s">
        <v>99</v>
      </c>
      <c r="B73" s="1261">
        <f>SUM('[13]wutc comm rental'!B13:H13)/D73/12</f>
        <v>48.995680227471546</v>
      </c>
      <c r="C73" s="234" t="s">
        <v>295</v>
      </c>
      <c r="D73" s="235">
        <v>15.24</v>
      </c>
      <c r="E73" s="226">
        <f t="shared" si="10"/>
        <v>746.69416666666632</v>
      </c>
      <c r="F73" s="227">
        <f t="shared" si="9"/>
        <v>788.75416716360621</v>
      </c>
      <c r="G73" s="2095">
        <f t="shared" si="2"/>
        <v>16.098443036236429</v>
      </c>
      <c r="H73" s="229">
        <f t="shared" si="8"/>
        <v>8960.3299999999963</v>
      </c>
      <c r="I73" s="227">
        <f t="shared" si="6"/>
        <v>9465.0500059632741</v>
      </c>
      <c r="L73" s="720">
        <f t="shared" si="4"/>
        <v>5.6328283217613517E-2</v>
      </c>
      <c r="M73" s="2100">
        <v>16.124434123188102</v>
      </c>
    </row>
    <row r="74" spans="1:15">
      <c r="A74" s="223" t="s">
        <v>100</v>
      </c>
      <c r="B74" s="1261">
        <f>SUM('[13]wutc comm rental'!B14:H14)/D74/12</f>
        <v>24.70413550373955</v>
      </c>
      <c r="C74" s="234" t="s">
        <v>295</v>
      </c>
      <c r="D74" s="235">
        <v>22.73</v>
      </c>
      <c r="E74" s="226">
        <f t="shared" si="10"/>
        <v>561.52499999999998</v>
      </c>
      <c r="F74" s="227">
        <f t="shared" si="9"/>
        <v>593.15473923377044</v>
      </c>
      <c r="G74" s="2095">
        <f>D74*(1+$G$1)</f>
        <v>24.010341877536355</v>
      </c>
      <c r="H74" s="229">
        <f t="shared" si="8"/>
        <v>6738.2999999999993</v>
      </c>
      <c r="I74" s="227">
        <f t="shared" si="6"/>
        <v>7117.8568708052453</v>
      </c>
      <c r="L74" s="720">
        <f>+G74/D74-1</f>
        <v>5.6328283217613517E-2</v>
      </c>
      <c r="M74" s="2100">
        <v>24.049106799216897</v>
      </c>
    </row>
    <row r="75" spans="1:15">
      <c r="A75" s="223" t="s">
        <v>101</v>
      </c>
      <c r="B75" s="1261">
        <f>SUM('[13]wutc comm rental'!B15:H15)/D75/12</f>
        <v>13.919408955994321</v>
      </c>
      <c r="C75" s="234" t="s">
        <v>295</v>
      </c>
      <c r="D75" s="235">
        <v>25.83</v>
      </c>
      <c r="E75" s="226">
        <f t="shared" si="10"/>
        <v>359.5383333333333</v>
      </c>
      <c r="F75" s="227">
        <f t="shared" si="9"/>
        <v>379.79051040092202</v>
      </c>
      <c r="G75" s="2095">
        <f>D75*(1+$G$1)</f>
        <v>27.284959555510955</v>
      </c>
      <c r="H75" s="229">
        <f t="shared" si="8"/>
        <v>4314.4599999999991</v>
      </c>
      <c r="I75" s="227">
        <f t="shared" si="6"/>
        <v>4557.4861248110647</v>
      </c>
      <c r="L75" s="720">
        <f>+G75/D75-1</f>
        <v>5.6328283217613517E-2</v>
      </c>
      <c r="M75" s="2100">
        <v>27.329011378080619</v>
      </c>
    </row>
    <row r="76" spans="1:15">
      <c r="A76" s="223" t="s">
        <v>67</v>
      </c>
      <c r="B76" s="1261"/>
      <c r="C76" s="234"/>
      <c r="D76" s="1036">
        <v>16</v>
      </c>
      <c r="E76" s="226">
        <f>+D76*B76</f>
        <v>0</v>
      </c>
      <c r="F76" s="227">
        <f t="shared" si="9"/>
        <v>0</v>
      </c>
      <c r="G76" s="2095">
        <f>D76*(1+$G$1)</f>
        <v>16.901252531481816</v>
      </c>
      <c r="H76" s="229">
        <f t="shared" si="8"/>
        <v>0</v>
      </c>
      <c r="I76" s="227">
        <f t="shared" si="6"/>
        <v>0</v>
      </c>
      <c r="L76" s="720">
        <f>+G76/D76-1</f>
        <v>5.6328283217613517E-2</v>
      </c>
      <c r="M76" s="2100">
        <v>16.928539761877271</v>
      </c>
    </row>
    <row r="77" spans="1:15">
      <c r="A77" s="192" t="s">
        <v>102</v>
      </c>
      <c r="B77" s="1051">
        <f>SUM(B9:B75)</f>
        <v>502.22868946225361</v>
      </c>
      <c r="C77" s="236"/>
      <c r="D77" s="235"/>
      <c r="E77" s="226">
        <f>SUM(E9:E75)</f>
        <v>45919.470986666682</v>
      </c>
      <c r="F77" s="227">
        <f>SUM(F9:F75)</f>
        <v>48506.035953606595</v>
      </c>
      <c r="G77" s="2096"/>
      <c r="H77" s="227">
        <f>SUM(H9:H75)</f>
        <v>551033.65183999995</v>
      </c>
      <c r="I77" s="237">
        <f>SUM(I9:I75)</f>
        <v>582072.43144327949</v>
      </c>
      <c r="M77" s="2100"/>
    </row>
    <row r="78" spans="1:15">
      <c r="A78" s="192"/>
      <c r="B78" s="1051"/>
      <c r="C78" s="234"/>
      <c r="D78" s="235" t="s">
        <v>311</v>
      </c>
      <c r="E78" s="226">
        <f>+E77*12</f>
        <v>551033.65184000018</v>
      </c>
      <c r="F78" s="227"/>
      <c r="G78" s="2097"/>
      <c r="H78" s="229"/>
      <c r="I78" s="229"/>
      <c r="M78" s="2100"/>
    </row>
    <row r="79" spans="1:15">
      <c r="A79" s="192"/>
      <c r="B79" s="1051"/>
      <c r="C79" s="234"/>
      <c r="D79" s="235"/>
      <c r="E79" s="227"/>
      <c r="F79" s="345"/>
      <c r="G79" s="2097"/>
      <c r="H79" s="229"/>
      <c r="I79" s="345"/>
      <c r="M79" s="2100"/>
      <c r="N79" s="2142"/>
      <c r="O79" s="2142"/>
    </row>
    <row r="80" spans="1:15">
      <c r="A80" s="194" t="s">
        <v>103</v>
      </c>
      <c r="B80" s="1051"/>
      <c r="C80" s="234"/>
      <c r="D80" s="235"/>
      <c r="F80" s="227"/>
      <c r="G80" s="2097"/>
      <c r="M80" s="2100"/>
      <c r="N80" s="2142"/>
      <c r="O80" s="2142"/>
    </row>
    <row r="81" spans="1:15">
      <c r="A81" s="239"/>
      <c r="B81" s="1051"/>
      <c r="C81" s="234"/>
      <c r="D81" s="235"/>
      <c r="G81" s="2141"/>
      <c r="M81" s="2100"/>
      <c r="N81" s="2143"/>
      <c r="O81" s="2142"/>
    </row>
    <row r="82" spans="1:15">
      <c r="A82" s="223" t="s">
        <v>72</v>
      </c>
      <c r="B82" s="1050">
        <f>SUM('[16]PT - MF'!$H$6:$I$6)</f>
        <v>184</v>
      </c>
      <c r="C82" s="224">
        <f>B82*4.3333</f>
        <v>797.32720000000006</v>
      </c>
      <c r="D82" s="225">
        <v>3.57</v>
      </c>
      <c r="E82" s="226">
        <f>D82*C82</f>
        <v>2846.4581040000003</v>
      </c>
      <c r="F82" s="227">
        <f>C82*G82</f>
        <v>3006.7942022491834</v>
      </c>
      <c r="G82" s="2095">
        <f t="shared" ref="G82:G144" si="11">D82*(1+$G$1)</f>
        <v>3.77109197108688</v>
      </c>
      <c r="H82" s="229">
        <f t="shared" ref="H82:I141" si="12">E82*12</f>
        <v>34157.497248</v>
      </c>
      <c r="I82" s="227">
        <f t="shared" si="12"/>
        <v>36081.530426990197</v>
      </c>
      <c r="J82" s="231">
        <v>0.158</v>
      </c>
      <c r="K82" s="232">
        <f t="shared" ref="K82:K131" si="13">+J82*C82*12</f>
        <v>1511.7323712000002</v>
      </c>
      <c r="L82" s="720">
        <f t="shared" ref="L82:L141" si="14">+G82/D82-1</f>
        <v>5.6328283217613517E-2</v>
      </c>
      <c r="M82" s="2101">
        <v>3.7771804343688662</v>
      </c>
      <c r="N82" s="2144"/>
      <c r="O82" s="2145"/>
    </row>
    <row r="83" spans="1:15">
      <c r="A83" s="223" t="s">
        <v>73</v>
      </c>
      <c r="B83" s="1050"/>
      <c r="C83" s="224">
        <f>B83*4.3333</f>
        <v>0</v>
      </c>
      <c r="D83" s="225">
        <v>6.97</v>
      </c>
      <c r="E83" s="226">
        <f t="shared" ref="E83:E131" si="15">D83*C83</f>
        <v>0</v>
      </c>
      <c r="F83" s="227">
        <f t="shared" ref="F83:F131" si="16">C83*G83</f>
        <v>0</v>
      </c>
      <c r="G83" s="2095">
        <f t="shared" si="11"/>
        <v>7.3626081340267664</v>
      </c>
      <c r="H83" s="229">
        <f t="shared" si="12"/>
        <v>0</v>
      </c>
      <c r="I83" s="227">
        <f t="shared" si="12"/>
        <v>0</v>
      </c>
      <c r="J83" s="231">
        <f>+J82*2</f>
        <v>0.316</v>
      </c>
      <c r="K83" s="232">
        <f>+J83*C83*12</f>
        <v>0</v>
      </c>
      <c r="L83" s="720">
        <f t="shared" si="14"/>
        <v>5.6328283217613517E-2</v>
      </c>
      <c r="M83" s="2101">
        <v>7.3744951337677858</v>
      </c>
      <c r="N83" s="2144"/>
      <c r="O83" s="2145"/>
    </row>
    <row r="84" spans="1:15">
      <c r="A84" s="223" t="s">
        <v>74</v>
      </c>
      <c r="B84" s="1050">
        <f>SUM('[16]PT - MF'!$H$7:$I$7)</f>
        <v>24</v>
      </c>
      <c r="C84" s="224">
        <f>B84*4.3333</f>
        <v>103.9992</v>
      </c>
      <c r="D84" s="225">
        <v>8.94</v>
      </c>
      <c r="E84" s="226">
        <f t="shared" si="15"/>
        <v>929.75284799999997</v>
      </c>
      <c r="F84" s="227">
        <f t="shared" si="16"/>
        <v>982.12422974452682</v>
      </c>
      <c r="G84" s="2095">
        <f t="shared" si="11"/>
        <v>9.4435748519654652</v>
      </c>
      <c r="H84" s="229">
        <f t="shared" si="12"/>
        <v>11157.034175999999</v>
      </c>
      <c r="I84" s="227">
        <f t="shared" si="12"/>
        <v>11785.490756934321</v>
      </c>
      <c r="J84" s="231">
        <f>+J82*3</f>
        <v>0.47399999999999998</v>
      </c>
      <c r="K84" s="232">
        <f t="shared" si="13"/>
        <v>591.54744960000005</v>
      </c>
      <c r="L84" s="720">
        <f t="shared" si="14"/>
        <v>5.6328283217613517E-2</v>
      </c>
      <c r="M84" s="2101">
        <v>9.458821591948924</v>
      </c>
      <c r="N84" s="2144"/>
      <c r="O84" s="2145"/>
    </row>
    <row r="85" spans="1:15">
      <c r="A85" s="223" t="s">
        <v>844</v>
      </c>
      <c r="B85" s="1050"/>
      <c r="C85" s="224">
        <f>+B85*4.3333</f>
        <v>0</v>
      </c>
      <c r="D85" s="225">
        <v>22</v>
      </c>
      <c r="E85" s="226">
        <f>D85*C85</f>
        <v>0</v>
      </c>
      <c r="F85" s="227">
        <f>C85*G85</f>
        <v>0</v>
      </c>
      <c r="G85" s="2095">
        <f t="shared" si="11"/>
        <v>23.239222230787497</v>
      </c>
      <c r="H85" s="229">
        <f>E85*12</f>
        <v>0</v>
      </c>
      <c r="I85" s="227">
        <f>F85*12</f>
        <v>0</v>
      </c>
      <c r="J85" s="231">
        <v>1</v>
      </c>
      <c r="K85" s="232">
        <f>+J85*C85*12</f>
        <v>0</v>
      </c>
      <c r="L85" s="720">
        <f>+G85/D85-1</f>
        <v>5.6328283217613517E-2</v>
      </c>
      <c r="M85" s="2101">
        <v>23.276742172581248</v>
      </c>
      <c r="N85" s="2144"/>
      <c r="O85" s="2145"/>
    </row>
    <row r="86" spans="1:15">
      <c r="A86" s="223" t="s">
        <v>305</v>
      </c>
      <c r="B86" s="1050">
        <f>SUM('[16]PT - MF'!$H$8:$I$8)</f>
        <v>4</v>
      </c>
      <c r="C86" s="224">
        <f>+B86*4.3333</f>
        <v>17.333200000000001</v>
      </c>
      <c r="D86" s="225">
        <v>18.54</v>
      </c>
      <c r="E86" s="226">
        <f t="shared" si="15"/>
        <v>321.357528</v>
      </c>
      <c r="F86" s="227">
        <f t="shared" si="16"/>
        <v>339.4590458512962</v>
      </c>
      <c r="G86" s="2095">
        <f t="shared" si="11"/>
        <v>19.584326370854555</v>
      </c>
      <c r="H86" s="229">
        <f t="shared" si="12"/>
        <v>3856.290336</v>
      </c>
      <c r="I86" s="227">
        <f t="shared" si="12"/>
        <v>4073.5085502155544</v>
      </c>
      <c r="J86" s="231">
        <v>1</v>
      </c>
      <c r="K86" s="232">
        <f t="shared" si="13"/>
        <v>207.9984</v>
      </c>
      <c r="L86" s="720">
        <f t="shared" si="14"/>
        <v>5.6328283217613517E-2</v>
      </c>
      <c r="M86" s="2101">
        <v>19.615945449075287</v>
      </c>
      <c r="N86" s="2144"/>
      <c r="O86" s="2145"/>
    </row>
    <row r="87" spans="1:15">
      <c r="A87" s="223" t="s">
        <v>1020</v>
      </c>
      <c r="B87" s="1050"/>
      <c r="C87" s="224">
        <f>+B87*1</f>
        <v>0</v>
      </c>
      <c r="D87" s="225">
        <v>22.03</v>
      </c>
      <c r="E87" s="226">
        <f>D87*C87</f>
        <v>0</v>
      </c>
      <c r="F87" s="227">
        <f>C87*G87</f>
        <v>0</v>
      </c>
      <c r="G87" s="2095">
        <f t="shared" si="11"/>
        <v>23.270912079284027</v>
      </c>
      <c r="H87" s="229">
        <f t="shared" si="12"/>
        <v>0</v>
      </c>
      <c r="I87" s="227">
        <f t="shared" si="12"/>
        <v>0</v>
      </c>
      <c r="J87" s="231">
        <v>1.25</v>
      </c>
      <c r="K87" s="232">
        <f>+J87*C87*12</f>
        <v>0</v>
      </c>
      <c r="L87" s="720">
        <f>+G87/D87-1</f>
        <v>5.6328283217613517E-2</v>
      </c>
      <c r="M87" s="2101">
        <v>23.30848318463477</v>
      </c>
      <c r="N87" s="2144"/>
      <c r="O87" s="2145"/>
    </row>
    <row r="88" spans="1:15">
      <c r="A88" s="223" t="s">
        <v>1021</v>
      </c>
      <c r="B88" s="1050">
        <f>SUM('[16]PT - MF'!$H$9:$I$9)</f>
        <v>4</v>
      </c>
      <c r="C88" s="224">
        <f>B88*4.3333</f>
        <v>17.333200000000001</v>
      </c>
      <c r="D88" s="225">
        <v>22.03</v>
      </c>
      <c r="E88" s="226">
        <f>D88*C88</f>
        <v>381.85039600000005</v>
      </c>
      <c r="F88" s="227">
        <f>C88*G88</f>
        <v>403.35937325264592</v>
      </c>
      <c r="G88" s="2095">
        <f t="shared" si="11"/>
        <v>23.270912079284027</v>
      </c>
      <c r="H88" s="229">
        <f t="shared" si="12"/>
        <v>4582.2047520000006</v>
      </c>
      <c r="I88" s="227">
        <f t="shared" si="12"/>
        <v>4840.3124790317506</v>
      </c>
      <c r="J88" s="231">
        <v>1.25</v>
      </c>
      <c r="K88" s="232">
        <f>+J88*C88*12</f>
        <v>259.99800000000005</v>
      </c>
      <c r="L88" s="720">
        <f>+G88/D88-1</f>
        <v>5.6328283217613517E-2</v>
      </c>
      <c r="M88" s="2101">
        <v>23.30848318463477</v>
      </c>
      <c r="N88" s="2144"/>
      <c r="O88" s="2145"/>
    </row>
    <row r="89" spans="1:15">
      <c r="A89" s="223" t="s">
        <v>1022</v>
      </c>
      <c r="B89" s="1050">
        <f>SUM('[16]PT - MF'!$G$16)</f>
        <v>1</v>
      </c>
      <c r="C89" s="224">
        <f>B89*4.3333*2</f>
        <v>8.6666000000000007</v>
      </c>
      <c r="D89" s="225">
        <v>22.03</v>
      </c>
      <c r="E89" s="226">
        <f>D89*C89</f>
        <v>190.92519800000002</v>
      </c>
      <c r="F89" s="227">
        <f>C89*G89</f>
        <v>201.67968662632296</v>
      </c>
      <c r="G89" s="2095">
        <f t="shared" si="11"/>
        <v>23.270912079284027</v>
      </c>
      <c r="H89" s="229">
        <f t="shared" si="12"/>
        <v>2291.1023760000003</v>
      </c>
      <c r="I89" s="227">
        <f t="shared" si="12"/>
        <v>2420.1562395158753</v>
      </c>
      <c r="J89" s="231">
        <v>1.25</v>
      </c>
      <c r="K89" s="232">
        <f>+J89*C89*12</f>
        <v>129.99900000000002</v>
      </c>
      <c r="L89" s="720">
        <f>+G89/D89-1</f>
        <v>5.6328283217613517E-2</v>
      </c>
      <c r="M89" s="2101">
        <v>23.30848318463477</v>
      </c>
      <c r="N89" s="2144"/>
      <c r="O89" s="2145"/>
    </row>
    <row r="90" spans="1:15">
      <c r="A90" s="223" t="s">
        <v>1023</v>
      </c>
      <c r="B90" s="1050"/>
      <c r="C90" s="224">
        <f>B90*4.3333*3</f>
        <v>0</v>
      </c>
      <c r="D90" s="225">
        <v>22.03</v>
      </c>
      <c r="E90" s="226">
        <f>D90*C90</f>
        <v>0</v>
      </c>
      <c r="F90" s="227">
        <f>C90*G90</f>
        <v>0</v>
      </c>
      <c r="G90" s="2095">
        <f t="shared" si="11"/>
        <v>23.270912079284027</v>
      </c>
      <c r="H90" s="229">
        <f t="shared" si="12"/>
        <v>0</v>
      </c>
      <c r="I90" s="227">
        <f t="shared" si="12"/>
        <v>0</v>
      </c>
      <c r="J90" s="231">
        <v>1.25</v>
      </c>
      <c r="K90" s="232">
        <f>+J90*C90*12</f>
        <v>0</v>
      </c>
      <c r="L90" s="720">
        <f>+G90/D90-1</f>
        <v>5.6328283217613517E-2</v>
      </c>
      <c r="M90" s="2101">
        <v>23.30848318463477</v>
      </c>
      <c r="N90" s="2144"/>
      <c r="O90" s="2145"/>
    </row>
    <row r="91" spans="1:15">
      <c r="A91" s="223" t="s">
        <v>566</v>
      </c>
      <c r="B91" s="1050"/>
      <c r="C91" s="224">
        <f>+B91*1</f>
        <v>0</v>
      </c>
      <c r="D91" s="225"/>
      <c r="E91" s="226">
        <f t="shared" si="15"/>
        <v>0</v>
      </c>
      <c r="F91" s="227">
        <f t="shared" ref="F91:F96" si="17">C91*G91</f>
        <v>0</v>
      </c>
      <c r="G91" s="2095">
        <f t="shared" si="11"/>
        <v>0</v>
      </c>
      <c r="H91" s="229">
        <f t="shared" si="12"/>
        <v>0</v>
      </c>
      <c r="I91" s="227">
        <f t="shared" si="12"/>
        <v>0</v>
      </c>
      <c r="J91" s="231">
        <v>1.5</v>
      </c>
      <c r="K91" s="232">
        <f t="shared" ref="K91:K96" si="18">+J91*C91*12</f>
        <v>0</v>
      </c>
      <c r="L91" s="720" t="e">
        <f t="shared" ref="L91:L96" si="19">+G91/D91-1</f>
        <v>#DIV/0!</v>
      </c>
      <c r="M91" s="2101">
        <v>0</v>
      </c>
      <c r="N91" s="2144"/>
      <c r="O91" s="2145"/>
    </row>
    <row r="92" spans="1:15">
      <c r="A92" s="223" t="s">
        <v>562</v>
      </c>
      <c r="B92" s="1050"/>
      <c r="C92" s="224">
        <f>B92*4.3333</f>
        <v>0</v>
      </c>
      <c r="D92" s="225"/>
      <c r="E92" s="226">
        <f t="shared" si="15"/>
        <v>0</v>
      </c>
      <c r="F92" s="227">
        <f t="shared" si="17"/>
        <v>0</v>
      </c>
      <c r="G92" s="2095">
        <f t="shared" si="11"/>
        <v>0</v>
      </c>
      <c r="H92" s="229">
        <f t="shared" si="12"/>
        <v>0</v>
      </c>
      <c r="I92" s="227">
        <f t="shared" si="12"/>
        <v>0</v>
      </c>
      <c r="J92" s="231">
        <v>1.5</v>
      </c>
      <c r="K92" s="232">
        <f t="shared" si="18"/>
        <v>0</v>
      </c>
      <c r="L92" s="720" t="e">
        <f t="shared" si="19"/>
        <v>#DIV/0!</v>
      </c>
      <c r="M92" s="2101">
        <v>0</v>
      </c>
      <c r="N92" s="2144"/>
      <c r="O92" s="2145"/>
    </row>
    <row r="93" spans="1:15">
      <c r="A93" s="223" t="s">
        <v>563</v>
      </c>
      <c r="B93" s="1050"/>
      <c r="C93" s="224">
        <f>B93*4.3333*2</f>
        <v>0</v>
      </c>
      <c r="D93" s="225"/>
      <c r="E93" s="226">
        <f t="shared" si="15"/>
        <v>0</v>
      </c>
      <c r="F93" s="227">
        <f t="shared" si="17"/>
        <v>0</v>
      </c>
      <c r="G93" s="2095">
        <f t="shared" si="11"/>
        <v>0</v>
      </c>
      <c r="H93" s="229">
        <f t="shared" si="12"/>
        <v>0</v>
      </c>
      <c r="I93" s="227">
        <f t="shared" si="12"/>
        <v>0</v>
      </c>
      <c r="J93" s="231">
        <v>1.5</v>
      </c>
      <c r="K93" s="232">
        <f t="shared" si="18"/>
        <v>0</v>
      </c>
      <c r="L93" s="720" t="e">
        <f t="shared" si="19"/>
        <v>#DIV/0!</v>
      </c>
      <c r="M93" s="2101">
        <v>0</v>
      </c>
      <c r="N93" s="2144"/>
      <c r="O93" s="2145"/>
    </row>
    <row r="94" spans="1:15">
      <c r="A94" s="223" t="s">
        <v>564</v>
      </c>
      <c r="B94" s="1050"/>
      <c r="C94" s="224">
        <f>B94*4.3333*3</f>
        <v>0</v>
      </c>
      <c r="D94" s="225"/>
      <c r="E94" s="226">
        <f t="shared" si="15"/>
        <v>0</v>
      </c>
      <c r="F94" s="227">
        <f t="shared" si="17"/>
        <v>0</v>
      </c>
      <c r="G94" s="2095">
        <f t="shared" si="11"/>
        <v>0</v>
      </c>
      <c r="H94" s="229">
        <f t="shared" si="12"/>
        <v>0</v>
      </c>
      <c r="I94" s="227">
        <f t="shared" si="12"/>
        <v>0</v>
      </c>
      <c r="J94" s="231">
        <v>1.5</v>
      </c>
      <c r="K94" s="232">
        <f t="shared" si="18"/>
        <v>0</v>
      </c>
      <c r="L94" s="720" t="e">
        <f t="shared" si="19"/>
        <v>#DIV/0!</v>
      </c>
      <c r="M94" s="2101">
        <v>0</v>
      </c>
      <c r="N94" s="2144"/>
      <c r="O94" s="2145"/>
    </row>
    <row r="95" spans="1:15">
      <c r="A95" s="223" t="s">
        <v>843</v>
      </c>
      <c r="B95" s="1050"/>
      <c r="C95" s="234">
        <f>B95*4.333</f>
        <v>0</v>
      </c>
      <c r="D95" s="225"/>
      <c r="E95" s="226">
        <f>D95*C95</f>
        <v>0</v>
      </c>
      <c r="F95" s="227">
        <f t="shared" si="17"/>
        <v>0</v>
      </c>
      <c r="G95" s="2095">
        <f t="shared" si="11"/>
        <v>0</v>
      </c>
      <c r="H95" s="229">
        <f>E95*12</f>
        <v>0</v>
      </c>
      <c r="I95" s="227">
        <f>F95*12</f>
        <v>0</v>
      </c>
      <c r="J95" s="231">
        <v>3</v>
      </c>
      <c r="K95" s="232">
        <f t="shared" si="18"/>
        <v>0</v>
      </c>
      <c r="L95" s="720" t="e">
        <f t="shared" si="19"/>
        <v>#DIV/0!</v>
      </c>
      <c r="M95" s="2101">
        <v>0</v>
      </c>
      <c r="N95" s="2144"/>
      <c r="O95" s="2145"/>
    </row>
    <row r="96" spans="1:15">
      <c r="A96" s="223" t="s">
        <v>656</v>
      </c>
      <c r="B96" s="1050"/>
      <c r="C96" s="234">
        <f>B96*4.333</f>
        <v>0</v>
      </c>
      <c r="D96" s="231"/>
      <c r="E96" s="226">
        <f>D96*C96</f>
        <v>0</v>
      </c>
      <c r="F96" s="227">
        <f t="shared" si="17"/>
        <v>0</v>
      </c>
      <c r="G96" s="2095">
        <f t="shared" si="11"/>
        <v>0</v>
      </c>
      <c r="H96" s="229">
        <f>E96*12</f>
        <v>0</v>
      </c>
      <c r="I96" s="227">
        <f>F96*12</f>
        <v>0</v>
      </c>
      <c r="J96" s="231">
        <v>3</v>
      </c>
      <c r="K96" s="232">
        <f t="shared" si="18"/>
        <v>0</v>
      </c>
      <c r="L96" s="720" t="e">
        <f t="shared" si="19"/>
        <v>#DIV/0!</v>
      </c>
      <c r="M96" s="2101">
        <v>0</v>
      </c>
      <c r="N96" s="2144"/>
      <c r="O96" s="2145"/>
    </row>
    <row r="97" spans="1:15">
      <c r="A97" s="223" t="s">
        <v>306</v>
      </c>
      <c r="B97" s="1050"/>
      <c r="C97" s="224">
        <f>B97*1</f>
        <v>0</v>
      </c>
      <c r="D97" s="225">
        <v>38.24</v>
      </c>
      <c r="E97" s="226">
        <f t="shared" si="15"/>
        <v>0</v>
      </c>
      <c r="F97" s="227">
        <f t="shared" si="16"/>
        <v>0</v>
      </c>
      <c r="G97" s="2095">
        <f t="shared" si="11"/>
        <v>40.393993550241539</v>
      </c>
      <c r="H97" s="229">
        <f t="shared" si="12"/>
        <v>0</v>
      </c>
      <c r="I97" s="227">
        <f t="shared" si="12"/>
        <v>0</v>
      </c>
      <c r="J97" s="231">
        <v>2</v>
      </c>
      <c r="K97" s="232">
        <f t="shared" si="13"/>
        <v>0</v>
      </c>
      <c r="L97" s="720">
        <f t="shared" si="14"/>
        <v>5.6328283217613517E-2</v>
      </c>
      <c r="M97" s="2101">
        <v>40.45921003088668</v>
      </c>
      <c r="N97" s="2144"/>
      <c r="O97" s="2145"/>
    </row>
    <row r="98" spans="1:15">
      <c r="A98" s="223" t="s">
        <v>75</v>
      </c>
      <c r="B98" s="1050">
        <f>SUM('[16]PT - MF'!$H$10:$I$10)</f>
        <v>14</v>
      </c>
      <c r="C98" s="234">
        <f>B98*4.3333</f>
        <v>60.666200000000003</v>
      </c>
      <c r="D98" s="225">
        <v>34.200000000000003</v>
      </c>
      <c r="E98" s="226">
        <f t="shared" si="15"/>
        <v>2074.7840400000005</v>
      </c>
      <c r="F98" s="227">
        <f t="shared" si="16"/>
        <v>2191.6530630205048</v>
      </c>
      <c r="G98" s="2095">
        <f t="shared" si="11"/>
        <v>36.126427286042386</v>
      </c>
      <c r="H98" s="229">
        <f t="shared" si="12"/>
        <v>24897.408480000006</v>
      </c>
      <c r="I98" s="227">
        <f t="shared" si="12"/>
        <v>26299.836756246055</v>
      </c>
      <c r="J98" s="231">
        <v>2</v>
      </c>
      <c r="K98" s="232">
        <f t="shared" si="13"/>
        <v>1455.9888000000001</v>
      </c>
      <c r="L98" s="720">
        <f t="shared" si="14"/>
        <v>5.6328283217613517E-2</v>
      </c>
      <c r="M98" s="2101">
        <v>36.184753741012671</v>
      </c>
      <c r="N98" s="2144"/>
      <c r="O98" s="2145"/>
    </row>
    <row r="99" spans="1:15">
      <c r="A99" s="223" t="s">
        <v>76</v>
      </c>
      <c r="B99" s="1050">
        <f>SUM('[16]PT - MF'!$G$17)</f>
        <v>1</v>
      </c>
      <c r="C99" s="234">
        <f>B99*4.3333*2</f>
        <v>8.6666000000000007</v>
      </c>
      <c r="D99" s="225">
        <v>34.200000000000003</v>
      </c>
      <c r="E99" s="226">
        <f t="shared" si="15"/>
        <v>296.39772000000005</v>
      </c>
      <c r="F99" s="227">
        <f t="shared" si="16"/>
        <v>313.09329471721497</v>
      </c>
      <c r="G99" s="2095">
        <f t="shared" si="11"/>
        <v>36.126427286042386</v>
      </c>
      <c r="H99" s="229">
        <f t="shared" si="12"/>
        <v>3556.7726400000006</v>
      </c>
      <c r="I99" s="227">
        <f t="shared" si="12"/>
        <v>3757.1195366065795</v>
      </c>
      <c r="J99" s="231">
        <v>2</v>
      </c>
      <c r="K99" s="232">
        <f t="shared" si="13"/>
        <v>207.9984</v>
      </c>
      <c r="L99" s="720">
        <f t="shared" si="14"/>
        <v>5.6328283217613517E-2</v>
      </c>
      <c r="M99" s="2101">
        <v>36.184753741012671</v>
      </c>
      <c r="N99" s="2144"/>
      <c r="O99" s="2145"/>
    </row>
    <row r="100" spans="1:15">
      <c r="A100" s="223" t="s">
        <v>104</v>
      </c>
      <c r="B100" s="1050"/>
      <c r="C100" s="234">
        <f>B100*4.3333*3</f>
        <v>0</v>
      </c>
      <c r="D100" s="225">
        <v>34.200000000000003</v>
      </c>
      <c r="E100" s="226">
        <f>D100*C100</f>
        <v>0</v>
      </c>
      <c r="F100" s="227">
        <f>C100*G100</f>
        <v>0</v>
      </c>
      <c r="G100" s="2095">
        <f t="shared" si="11"/>
        <v>36.126427286042386</v>
      </c>
      <c r="H100" s="229">
        <f t="shared" si="12"/>
        <v>0</v>
      </c>
      <c r="I100" s="227">
        <f t="shared" si="12"/>
        <v>0</v>
      </c>
      <c r="J100" s="231">
        <v>2</v>
      </c>
      <c r="K100" s="232">
        <f>+J100*C100*12</f>
        <v>0</v>
      </c>
      <c r="L100" s="720">
        <f>+G100/D100-1</f>
        <v>5.6328283217613517E-2</v>
      </c>
      <c r="M100" s="2101">
        <v>36.184753741012671</v>
      </c>
      <c r="N100" s="2144"/>
      <c r="O100" s="2145"/>
    </row>
    <row r="101" spans="1:15">
      <c r="A101" s="223" t="s">
        <v>567</v>
      </c>
      <c r="B101" s="1050"/>
      <c r="C101" s="234">
        <f>B101*4.3333*4</f>
        <v>0</v>
      </c>
      <c r="D101" s="225">
        <v>34.200000000000003</v>
      </c>
      <c r="E101" s="226">
        <f>D101*C101</f>
        <v>0</v>
      </c>
      <c r="F101" s="227">
        <f>C101*G101</f>
        <v>0</v>
      </c>
      <c r="G101" s="2095">
        <f t="shared" si="11"/>
        <v>36.126427286042386</v>
      </c>
      <c r="H101" s="229">
        <f t="shared" si="12"/>
        <v>0</v>
      </c>
      <c r="I101" s="227">
        <f t="shared" si="12"/>
        <v>0</v>
      </c>
      <c r="J101" s="231">
        <v>2</v>
      </c>
      <c r="K101" s="232">
        <f>+J101*C101*12</f>
        <v>0</v>
      </c>
      <c r="L101" s="720">
        <f>+G101/D101-1</f>
        <v>5.6328283217613517E-2</v>
      </c>
      <c r="M101" s="2101">
        <v>36.184753741012671</v>
      </c>
      <c r="N101" s="2144"/>
      <c r="O101" s="2145"/>
    </row>
    <row r="102" spans="1:15">
      <c r="A102" s="223" t="s">
        <v>712</v>
      </c>
      <c r="B102" s="1050"/>
      <c r="C102" s="234">
        <f>B102*4.3333*5</f>
        <v>0</v>
      </c>
      <c r="D102" s="225">
        <v>34.200000000000003</v>
      </c>
      <c r="E102" s="226">
        <f>D102*C102</f>
        <v>0</v>
      </c>
      <c r="F102" s="227">
        <f>C102*G102</f>
        <v>0</v>
      </c>
      <c r="G102" s="2095">
        <f t="shared" si="11"/>
        <v>36.126427286042386</v>
      </c>
      <c r="H102" s="229">
        <f t="shared" si="12"/>
        <v>0</v>
      </c>
      <c r="I102" s="227">
        <f t="shared" si="12"/>
        <v>0</v>
      </c>
      <c r="J102" s="231">
        <v>2</v>
      </c>
      <c r="K102" s="232">
        <f>+J102*C102*12</f>
        <v>0</v>
      </c>
      <c r="L102" s="720">
        <f>+G102/D102-1</f>
        <v>5.6328283217613517E-2</v>
      </c>
      <c r="M102" s="2101">
        <v>36.184753741012671</v>
      </c>
      <c r="N102" s="2144"/>
      <c r="O102" s="2145"/>
    </row>
    <row r="103" spans="1:15">
      <c r="A103" s="223" t="s">
        <v>713</v>
      </c>
      <c r="B103" s="1050"/>
      <c r="C103" s="234">
        <f>B103*4.3333*6</f>
        <v>0</v>
      </c>
      <c r="D103" s="225">
        <v>34.200000000000003</v>
      </c>
      <c r="E103" s="226">
        <f t="shared" si="15"/>
        <v>0</v>
      </c>
      <c r="F103" s="227">
        <f t="shared" si="16"/>
        <v>0</v>
      </c>
      <c r="G103" s="2095">
        <f t="shared" si="11"/>
        <v>36.126427286042386</v>
      </c>
      <c r="H103" s="229">
        <f t="shared" si="12"/>
        <v>0</v>
      </c>
      <c r="I103" s="227">
        <f t="shared" si="12"/>
        <v>0</v>
      </c>
      <c r="J103" s="231">
        <v>2</v>
      </c>
      <c r="K103" s="232">
        <f t="shared" si="13"/>
        <v>0</v>
      </c>
      <c r="L103" s="720">
        <f t="shared" si="14"/>
        <v>5.6328283217613517E-2</v>
      </c>
      <c r="M103" s="2101">
        <v>36.184753741012671</v>
      </c>
      <c r="N103" s="2144"/>
      <c r="O103" s="2145"/>
    </row>
    <row r="104" spans="1:15">
      <c r="A104" s="223" t="s">
        <v>307</v>
      </c>
      <c r="B104" s="1050"/>
      <c r="C104" s="234">
        <f>B104*4.333</f>
        <v>0</v>
      </c>
      <c r="D104" s="225">
        <v>174.47</v>
      </c>
      <c r="E104" s="226">
        <f t="shared" si="15"/>
        <v>0</v>
      </c>
      <c r="F104" s="227">
        <f t="shared" si="16"/>
        <v>0</v>
      </c>
      <c r="G104" s="2095">
        <f t="shared" si="11"/>
        <v>184.29759557297703</v>
      </c>
      <c r="H104" s="229">
        <f t="shared" si="12"/>
        <v>0</v>
      </c>
      <c r="I104" s="227">
        <f t="shared" si="12"/>
        <v>0</v>
      </c>
      <c r="J104" s="231">
        <v>3</v>
      </c>
      <c r="K104" s="232">
        <f t="shared" si="13"/>
        <v>0</v>
      </c>
      <c r="L104" s="720">
        <f t="shared" si="14"/>
        <v>5.6328283217613517E-2</v>
      </c>
      <c r="M104" s="2101">
        <v>184.59514576592048</v>
      </c>
      <c r="N104" s="2144"/>
      <c r="O104" s="2145"/>
    </row>
    <row r="105" spans="1:15">
      <c r="A105" s="223" t="s">
        <v>657</v>
      </c>
      <c r="B105" s="1050"/>
      <c r="C105" s="234">
        <f>B105*4.333</f>
        <v>0</v>
      </c>
      <c r="D105" s="231"/>
      <c r="E105" s="226">
        <f>D105*C105</f>
        <v>0</v>
      </c>
      <c r="F105" s="227">
        <f>C105*G105</f>
        <v>0</v>
      </c>
      <c r="G105" s="2095">
        <f t="shared" si="11"/>
        <v>0</v>
      </c>
      <c r="H105" s="229">
        <f>E105*12</f>
        <v>0</v>
      </c>
      <c r="I105" s="227">
        <f>F105*12</f>
        <v>0</v>
      </c>
      <c r="J105" s="231">
        <v>3</v>
      </c>
      <c r="K105" s="232">
        <f>+J105*C105*12</f>
        <v>0</v>
      </c>
      <c r="L105" s="720" t="e">
        <f>+G105/D105-1</f>
        <v>#DIV/0!</v>
      </c>
      <c r="M105" s="2101">
        <v>0</v>
      </c>
      <c r="N105" s="2144"/>
      <c r="O105" s="2145"/>
    </row>
    <row r="106" spans="1:15">
      <c r="A106" s="223" t="s">
        <v>77</v>
      </c>
      <c r="B106" s="1050"/>
      <c r="C106" s="234">
        <f>B106*4.333</f>
        <v>0</v>
      </c>
      <c r="D106" s="225">
        <v>53.89</v>
      </c>
      <c r="E106" s="226">
        <f t="shared" si="15"/>
        <v>0</v>
      </c>
      <c r="F106" s="227">
        <f t="shared" si="16"/>
        <v>0</v>
      </c>
      <c r="G106" s="2095">
        <f t="shared" si="11"/>
        <v>56.92553118259719</v>
      </c>
      <c r="H106" s="229">
        <f t="shared" si="12"/>
        <v>0</v>
      </c>
      <c r="I106" s="227">
        <f t="shared" si="12"/>
        <v>0</v>
      </c>
      <c r="J106" s="231">
        <v>3</v>
      </c>
      <c r="K106" s="232">
        <f t="shared" si="13"/>
        <v>0</v>
      </c>
      <c r="L106" s="720">
        <f t="shared" si="14"/>
        <v>5.6328283217613517E-2</v>
      </c>
      <c r="M106" s="2101">
        <v>57.017437985472888</v>
      </c>
      <c r="N106" s="2144"/>
      <c r="O106" s="2145"/>
    </row>
    <row r="107" spans="1:15">
      <c r="A107" s="223" t="s">
        <v>78</v>
      </c>
      <c r="B107" s="1050">
        <f>SUM('[16]PT - MF'!$H$11:$I$11)</f>
        <v>6</v>
      </c>
      <c r="C107" s="234">
        <f>B107*4.3333</f>
        <v>25.9998</v>
      </c>
      <c r="D107" s="225">
        <v>50.43</v>
      </c>
      <c r="E107" s="226">
        <f t="shared" si="15"/>
        <v>1311.1699140000001</v>
      </c>
      <c r="F107" s="227">
        <f t="shared" si="16"/>
        <v>1385.0258642622059</v>
      </c>
      <c r="G107" s="2095">
        <f t="shared" si="11"/>
        <v>53.270635322664248</v>
      </c>
      <c r="H107" s="229">
        <f t="shared" si="12"/>
        <v>15734.038968000001</v>
      </c>
      <c r="I107" s="227">
        <f t="shared" si="12"/>
        <v>16620.310371146472</v>
      </c>
      <c r="J107" s="231">
        <v>3</v>
      </c>
      <c r="K107" s="232">
        <f t="shared" si="13"/>
        <v>935.9928000000001</v>
      </c>
      <c r="L107" s="720">
        <f t="shared" si="14"/>
        <v>5.6328283217613517E-2</v>
      </c>
      <c r="M107" s="2101">
        <v>53.356641261966921</v>
      </c>
      <c r="N107" s="2144"/>
      <c r="O107" s="2145"/>
    </row>
    <row r="108" spans="1:15">
      <c r="A108" s="223" t="s">
        <v>79</v>
      </c>
      <c r="B108" s="1050">
        <f>SUM('[16]PT - MF'!$G$18)</f>
        <v>7</v>
      </c>
      <c r="C108" s="234">
        <f>B108*4.3333*2</f>
        <v>60.666200000000003</v>
      </c>
      <c r="D108" s="225">
        <v>50.43</v>
      </c>
      <c r="E108" s="226">
        <f t="shared" si="15"/>
        <v>3059.3964660000001</v>
      </c>
      <c r="F108" s="227">
        <f t="shared" si="16"/>
        <v>3231.7270166118142</v>
      </c>
      <c r="G108" s="2095">
        <f t="shared" si="11"/>
        <v>53.270635322664248</v>
      </c>
      <c r="H108" s="229">
        <f t="shared" si="12"/>
        <v>36712.757592000002</v>
      </c>
      <c r="I108" s="227">
        <f t="shared" si="12"/>
        <v>38780.72419934177</v>
      </c>
      <c r="J108" s="231">
        <v>3</v>
      </c>
      <c r="K108" s="232">
        <f t="shared" si="13"/>
        <v>2183.9832000000001</v>
      </c>
      <c r="L108" s="720">
        <f t="shared" si="14"/>
        <v>5.6328283217613517E-2</v>
      </c>
      <c r="M108" s="2101">
        <v>53.356641261966921</v>
      </c>
      <c r="N108" s="2144"/>
      <c r="O108" s="2145"/>
    </row>
    <row r="109" spans="1:15">
      <c r="A109" s="223" t="s">
        <v>80</v>
      </c>
      <c r="B109" s="1050"/>
      <c r="C109" s="234">
        <f>B109*4.3333*3</f>
        <v>0</v>
      </c>
      <c r="D109" s="225">
        <v>50.43</v>
      </c>
      <c r="E109" s="226">
        <f t="shared" si="15"/>
        <v>0</v>
      </c>
      <c r="F109" s="227">
        <f t="shared" si="16"/>
        <v>0</v>
      </c>
      <c r="G109" s="2095">
        <f t="shared" si="11"/>
        <v>53.270635322664248</v>
      </c>
      <c r="H109" s="229">
        <f t="shared" si="12"/>
        <v>0</v>
      </c>
      <c r="I109" s="227">
        <f t="shared" si="12"/>
        <v>0</v>
      </c>
      <c r="J109" s="231">
        <v>3</v>
      </c>
      <c r="K109" s="232">
        <f t="shared" si="13"/>
        <v>0</v>
      </c>
      <c r="L109" s="720">
        <f t="shared" si="14"/>
        <v>5.6328283217613517E-2</v>
      </c>
      <c r="M109" s="2101">
        <v>53.356641261966921</v>
      </c>
      <c r="N109" s="2144"/>
      <c r="O109" s="2145"/>
    </row>
    <row r="110" spans="1:15">
      <c r="A110" s="223" t="s">
        <v>308</v>
      </c>
      <c r="B110" s="1050"/>
      <c r="C110" s="234">
        <f>B110*4.333</f>
        <v>0</v>
      </c>
      <c r="D110" s="225">
        <v>293.77</v>
      </c>
      <c r="E110" s="226">
        <f t="shared" si="15"/>
        <v>0</v>
      </c>
      <c r="F110" s="227">
        <f t="shared" si="16"/>
        <v>0</v>
      </c>
      <c r="G110" s="2095">
        <f t="shared" si="11"/>
        <v>310.31755976083832</v>
      </c>
      <c r="H110" s="229">
        <f t="shared" si="12"/>
        <v>0</v>
      </c>
      <c r="I110" s="227">
        <f t="shared" si="12"/>
        <v>0</v>
      </c>
      <c r="J110" s="231">
        <v>4</v>
      </c>
      <c r="K110" s="232">
        <f t="shared" si="13"/>
        <v>0</v>
      </c>
      <c r="L110" s="720">
        <f t="shared" si="14"/>
        <v>5.6328283217613517E-2</v>
      </c>
      <c r="M110" s="2101">
        <v>310.81857036541783</v>
      </c>
      <c r="N110" s="2144"/>
      <c r="O110" s="2145"/>
    </row>
    <row r="111" spans="1:15">
      <c r="A111" s="223" t="s">
        <v>658</v>
      </c>
      <c r="B111" s="1050"/>
      <c r="C111" s="234">
        <f>B111*4.333</f>
        <v>0</v>
      </c>
      <c r="D111" s="231"/>
      <c r="E111" s="226">
        <f>D111*C111</f>
        <v>0</v>
      </c>
      <c r="F111" s="227">
        <f>C111*G111</f>
        <v>0</v>
      </c>
      <c r="G111" s="2095">
        <f t="shared" si="11"/>
        <v>0</v>
      </c>
      <c r="H111" s="229">
        <f>E111*12</f>
        <v>0</v>
      </c>
      <c r="I111" s="227">
        <f>F111*12</f>
        <v>0</v>
      </c>
      <c r="J111" s="231">
        <v>4</v>
      </c>
      <c r="K111" s="232">
        <f>+J111*C111*12</f>
        <v>0</v>
      </c>
      <c r="L111" s="720" t="e">
        <f>+G111/D111-1</f>
        <v>#DIV/0!</v>
      </c>
      <c r="M111" s="2101">
        <v>0</v>
      </c>
      <c r="N111" s="2144"/>
      <c r="O111" s="2145"/>
    </row>
    <row r="112" spans="1:15">
      <c r="A112" s="223" t="s">
        <v>81</v>
      </c>
      <c r="B112" s="1050"/>
      <c r="C112" s="234">
        <f>+B112*1</f>
        <v>0</v>
      </c>
      <c r="D112" s="225">
        <v>70.7</v>
      </c>
      <c r="E112" s="226">
        <f t="shared" si="15"/>
        <v>0</v>
      </c>
      <c r="F112" s="227">
        <f t="shared" si="16"/>
        <v>0</v>
      </c>
      <c r="G112" s="2095">
        <f t="shared" si="11"/>
        <v>74.682409623485285</v>
      </c>
      <c r="H112" s="229">
        <f t="shared" si="12"/>
        <v>0</v>
      </c>
      <c r="I112" s="227">
        <f t="shared" si="12"/>
        <v>0</v>
      </c>
      <c r="J112" s="231">
        <v>4</v>
      </c>
      <c r="K112" s="232">
        <f t="shared" si="13"/>
        <v>0</v>
      </c>
      <c r="L112" s="720">
        <f t="shared" si="14"/>
        <v>5.6328283217613517E-2</v>
      </c>
      <c r="M112" s="2101">
        <v>74.802985072795195</v>
      </c>
      <c r="N112" s="2144"/>
      <c r="O112" s="2145"/>
    </row>
    <row r="113" spans="1:15">
      <c r="A113" s="223" t="s">
        <v>82</v>
      </c>
      <c r="B113" s="1050">
        <f>SUM('[16]PT - MF'!$H$12:$I$12)</f>
        <v>16</v>
      </c>
      <c r="C113" s="234">
        <f>B113*4.3333</f>
        <v>69.332800000000006</v>
      </c>
      <c r="D113" s="225">
        <v>64.930000000000007</v>
      </c>
      <c r="E113" s="226">
        <f t="shared" si="15"/>
        <v>4501.7787040000012</v>
      </c>
      <c r="F113" s="227">
        <f t="shared" si="16"/>
        <v>4755.3561698219346</v>
      </c>
      <c r="G113" s="2095">
        <f t="shared" si="11"/>
        <v>68.587395429319656</v>
      </c>
      <c r="H113" s="229">
        <f t="shared" si="12"/>
        <v>54021.344448000018</v>
      </c>
      <c r="I113" s="227">
        <f t="shared" si="12"/>
        <v>57064.274037863215</v>
      </c>
      <c r="J113" s="231">
        <v>4</v>
      </c>
      <c r="K113" s="232">
        <f t="shared" si="13"/>
        <v>3327.9744000000001</v>
      </c>
      <c r="L113" s="720">
        <f t="shared" si="14"/>
        <v>5.6328283217613517E-2</v>
      </c>
      <c r="M113" s="2101">
        <v>68.698130421168216</v>
      </c>
      <c r="N113" s="2144"/>
      <c r="O113" s="2145"/>
    </row>
    <row r="114" spans="1:15">
      <c r="A114" s="223" t="s">
        <v>83</v>
      </c>
      <c r="B114" s="1050">
        <f>SUM('[16]PT - MF'!$G$19)</f>
        <v>9</v>
      </c>
      <c r="C114" s="234">
        <f>B114*4.3333*2</f>
        <v>77.999400000000009</v>
      </c>
      <c r="D114" s="225">
        <v>64.930000000000007</v>
      </c>
      <c r="E114" s="226">
        <f t="shared" si="15"/>
        <v>5064.5010420000008</v>
      </c>
      <c r="F114" s="227">
        <f t="shared" si="16"/>
        <v>5349.7756910496764</v>
      </c>
      <c r="G114" s="2095">
        <f t="shared" si="11"/>
        <v>68.587395429319656</v>
      </c>
      <c r="H114" s="229">
        <f t="shared" si="12"/>
        <v>60774.012504000013</v>
      </c>
      <c r="I114" s="227">
        <f t="shared" si="12"/>
        <v>64197.308292596121</v>
      </c>
      <c r="J114" s="231">
        <v>4</v>
      </c>
      <c r="K114" s="232">
        <f t="shared" si="13"/>
        <v>3743.9712000000004</v>
      </c>
      <c r="L114" s="720">
        <f t="shared" si="14"/>
        <v>5.6328283217613517E-2</v>
      </c>
      <c r="M114" s="2101">
        <v>68.698130421168216</v>
      </c>
      <c r="N114" s="2144"/>
      <c r="O114" s="2145"/>
    </row>
    <row r="115" spans="1:15">
      <c r="A115" s="223" t="s">
        <v>84</v>
      </c>
      <c r="B115" s="1050">
        <f>SUM('[16]PT - MF'!$G$23)</f>
        <v>2</v>
      </c>
      <c r="C115" s="234">
        <f>B115*4.3333*3</f>
        <v>25.9998</v>
      </c>
      <c r="D115" s="225">
        <v>64.930000000000007</v>
      </c>
      <c r="E115" s="226">
        <f t="shared" si="15"/>
        <v>1688.1670140000001</v>
      </c>
      <c r="F115" s="227">
        <f t="shared" si="16"/>
        <v>1783.2585636832252</v>
      </c>
      <c r="G115" s="2095">
        <f t="shared" si="11"/>
        <v>68.587395429319656</v>
      </c>
      <c r="H115" s="229">
        <f t="shared" si="12"/>
        <v>20258.004167999999</v>
      </c>
      <c r="I115" s="227">
        <f t="shared" si="12"/>
        <v>21399.102764198702</v>
      </c>
      <c r="J115" s="231">
        <v>4</v>
      </c>
      <c r="K115" s="232">
        <f t="shared" si="13"/>
        <v>1247.9904000000001</v>
      </c>
      <c r="L115" s="720">
        <f t="shared" si="14"/>
        <v>5.6328283217613517E-2</v>
      </c>
      <c r="M115" s="2101">
        <v>68.698130421168216</v>
      </c>
      <c r="N115" s="2144"/>
      <c r="O115" s="2145"/>
    </row>
    <row r="116" spans="1:15">
      <c r="A116" s="223" t="s">
        <v>569</v>
      </c>
      <c r="B116" s="1050"/>
      <c r="C116" s="234">
        <f>(B116*4.3333)*4</f>
        <v>0</v>
      </c>
      <c r="D116" s="225">
        <v>64.930000000000007</v>
      </c>
      <c r="E116" s="226">
        <f>D116*C116</f>
        <v>0</v>
      </c>
      <c r="F116" s="227">
        <f>C116*G116</f>
        <v>0</v>
      </c>
      <c r="G116" s="2095">
        <f t="shared" si="11"/>
        <v>68.587395429319656</v>
      </c>
      <c r="H116" s="229">
        <f>E116*12</f>
        <v>0</v>
      </c>
      <c r="I116" s="227">
        <f>F116*12</f>
        <v>0</v>
      </c>
      <c r="J116" s="231">
        <v>4</v>
      </c>
      <c r="K116" s="232">
        <f>+J116*C116*12</f>
        <v>0</v>
      </c>
      <c r="L116" s="720">
        <f>+G116/D116-1</f>
        <v>5.6328283217613517E-2</v>
      </c>
      <c r="M116" s="2101">
        <v>68.698130421168216</v>
      </c>
      <c r="N116" s="2144"/>
      <c r="O116" s="2145"/>
    </row>
    <row r="117" spans="1:15">
      <c r="A117" s="223" t="s">
        <v>636</v>
      </c>
      <c r="B117" s="1050"/>
      <c r="C117" s="234">
        <f>(B117*4.3333)*5</f>
        <v>0</v>
      </c>
      <c r="D117" s="225">
        <v>64.930000000000007</v>
      </c>
      <c r="E117" s="226">
        <f>D117*C117</f>
        <v>0</v>
      </c>
      <c r="F117" s="227">
        <f>C117*G117</f>
        <v>0</v>
      </c>
      <c r="G117" s="2095">
        <f t="shared" si="11"/>
        <v>68.587395429319656</v>
      </c>
      <c r="H117" s="229">
        <f>E117*12</f>
        <v>0</v>
      </c>
      <c r="I117" s="227">
        <f>F117*12</f>
        <v>0</v>
      </c>
      <c r="J117" s="231">
        <v>4</v>
      </c>
      <c r="K117" s="232">
        <f>+J117*C117*12</f>
        <v>0</v>
      </c>
      <c r="L117" s="720">
        <f>+G117/D117-1</f>
        <v>5.6328283217613517E-2</v>
      </c>
      <c r="M117" s="2101">
        <v>68.698130421168216</v>
      </c>
      <c r="N117" s="2144"/>
      <c r="O117" s="2145"/>
    </row>
    <row r="118" spans="1:15">
      <c r="A118" s="223" t="s">
        <v>714</v>
      </c>
      <c r="B118" s="1050"/>
      <c r="C118" s="234">
        <f>(B118*4.3333)*6</f>
        <v>0</v>
      </c>
      <c r="D118" s="225">
        <v>64.930000000000007</v>
      </c>
      <c r="E118" s="226">
        <f t="shared" si="15"/>
        <v>0</v>
      </c>
      <c r="F118" s="227">
        <f>C118*G118</f>
        <v>0</v>
      </c>
      <c r="G118" s="2095">
        <f t="shared" si="11"/>
        <v>68.587395429319656</v>
      </c>
      <c r="H118" s="229">
        <f t="shared" si="12"/>
        <v>0</v>
      </c>
      <c r="I118" s="227">
        <f t="shared" si="12"/>
        <v>0</v>
      </c>
      <c r="J118" s="231">
        <v>4</v>
      </c>
      <c r="K118" s="232">
        <f t="shared" si="13"/>
        <v>0</v>
      </c>
      <c r="L118" s="720">
        <f t="shared" si="14"/>
        <v>5.6328283217613517E-2</v>
      </c>
      <c r="M118" s="2101">
        <v>68.698130421168216</v>
      </c>
      <c r="N118" s="2144"/>
      <c r="O118" s="2145"/>
    </row>
    <row r="119" spans="1:15">
      <c r="A119" s="223" t="s">
        <v>660</v>
      </c>
      <c r="B119" s="1050"/>
      <c r="C119" s="234">
        <f>B119*4.333</f>
        <v>0</v>
      </c>
      <c r="D119" s="225">
        <v>0</v>
      </c>
      <c r="E119" s="226">
        <f t="shared" si="15"/>
        <v>0</v>
      </c>
      <c r="F119" s="227">
        <f t="shared" si="16"/>
        <v>0</v>
      </c>
      <c r="G119" s="2095">
        <f t="shared" si="11"/>
        <v>0</v>
      </c>
      <c r="H119" s="229">
        <f t="shared" si="12"/>
        <v>0</v>
      </c>
      <c r="I119" s="227">
        <f t="shared" si="12"/>
        <v>0</v>
      </c>
      <c r="J119" s="231">
        <v>5</v>
      </c>
      <c r="K119" s="232">
        <f t="shared" si="13"/>
        <v>0</v>
      </c>
      <c r="L119" s="720" t="e">
        <f>+G119/D119-1</f>
        <v>#DIV/0!</v>
      </c>
      <c r="M119" s="2101">
        <v>0</v>
      </c>
      <c r="N119" s="2144"/>
      <c r="O119" s="2145"/>
    </row>
    <row r="120" spans="1:15">
      <c r="A120" s="223" t="s">
        <v>659</v>
      </c>
      <c r="B120" s="1050"/>
      <c r="C120" s="234">
        <f>B120*4.333</f>
        <v>0</v>
      </c>
      <c r="D120" s="231"/>
      <c r="E120" s="226">
        <f>D120*C120</f>
        <v>0</v>
      </c>
      <c r="F120" s="227">
        <f>C120*G120</f>
        <v>0</v>
      </c>
      <c r="G120" s="2095">
        <f t="shared" si="11"/>
        <v>0</v>
      </c>
      <c r="H120" s="229">
        <f>E120*12</f>
        <v>0</v>
      </c>
      <c r="I120" s="227">
        <f>F120*12</f>
        <v>0</v>
      </c>
      <c r="J120" s="231">
        <v>5</v>
      </c>
      <c r="K120" s="232">
        <f>+J120*C120*12</f>
        <v>0</v>
      </c>
      <c r="L120" s="720" t="e">
        <f>+G120/D120-1</f>
        <v>#DIV/0!</v>
      </c>
      <c r="M120" s="2101">
        <v>0</v>
      </c>
      <c r="N120" s="2144"/>
      <c r="O120" s="2145"/>
    </row>
    <row r="121" spans="1:15">
      <c r="A121" s="223" t="s">
        <v>309</v>
      </c>
      <c r="B121" s="1050"/>
      <c r="C121" s="234">
        <f>B121*4.333</f>
        <v>0</v>
      </c>
      <c r="D121" s="225">
        <v>383.55</v>
      </c>
      <c r="E121" s="226">
        <f t="shared" si="15"/>
        <v>0</v>
      </c>
      <c r="F121" s="227">
        <f t="shared" si="16"/>
        <v>0</v>
      </c>
      <c r="G121" s="2095">
        <f t="shared" si="11"/>
        <v>405.15471302811568</v>
      </c>
      <c r="H121" s="229">
        <f t="shared" si="12"/>
        <v>0</v>
      </c>
      <c r="I121" s="227">
        <f t="shared" si="12"/>
        <v>0</v>
      </c>
      <c r="J121" s="231">
        <v>6</v>
      </c>
      <c r="K121" s="232">
        <f t="shared" si="13"/>
        <v>0</v>
      </c>
      <c r="L121" s="720">
        <f t="shared" si="14"/>
        <v>5.6328283217613517E-2</v>
      </c>
      <c r="M121" s="2101">
        <v>405.80883910425172</v>
      </c>
      <c r="N121" s="2144"/>
      <c r="O121" s="2145"/>
    </row>
    <row r="122" spans="1:15">
      <c r="A122" s="223" t="s">
        <v>661</v>
      </c>
      <c r="B122" s="1050"/>
      <c r="C122" s="234">
        <f>B122*4.333</f>
        <v>0</v>
      </c>
      <c r="D122" s="231"/>
      <c r="E122" s="226">
        <f>D122*C122</f>
        <v>0</v>
      </c>
      <c r="F122" s="227">
        <f>C122*G122</f>
        <v>0</v>
      </c>
      <c r="G122" s="2095">
        <f t="shared" si="11"/>
        <v>0</v>
      </c>
      <c r="H122" s="229">
        <f>E122*12</f>
        <v>0</v>
      </c>
      <c r="I122" s="227">
        <f>F122*12</f>
        <v>0</v>
      </c>
      <c r="J122" s="231">
        <v>6</v>
      </c>
      <c r="K122" s="232">
        <f>+J122*C122*12</f>
        <v>0</v>
      </c>
      <c r="L122" s="720" t="e">
        <f>+G122/D122-1</f>
        <v>#DIV/0!</v>
      </c>
      <c r="M122" s="2101">
        <v>0</v>
      </c>
      <c r="N122" s="2144"/>
      <c r="O122" s="2145"/>
    </row>
    <row r="123" spans="1:15">
      <c r="A123" s="223" t="s">
        <v>85</v>
      </c>
      <c r="B123" s="1050"/>
      <c r="C123" s="234">
        <f>+B123*1</f>
        <v>0</v>
      </c>
      <c r="D123" s="225">
        <v>105.47</v>
      </c>
      <c r="E123" s="226">
        <f t="shared" si="15"/>
        <v>0</v>
      </c>
      <c r="F123" s="227">
        <f t="shared" si="16"/>
        <v>0</v>
      </c>
      <c r="G123" s="2095">
        <f t="shared" si="11"/>
        <v>111.4109440309617</v>
      </c>
      <c r="H123" s="229">
        <f t="shared" si="12"/>
        <v>0</v>
      </c>
      <c r="I123" s="227">
        <f t="shared" si="12"/>
        <v>0</v>
      </c>
      <c r="J123" s="231">
        <v>6</v>
      </c>
      <c r="K123" s="232">
        <f t="shared" si="13"/>
        <v>0</v>
      </c>
      <c r="L123" s="720">
        <f t="shared" si="14"/>
        <v>5.6328283217613517E-2</v>
      </c>
      <c r="M123" s="2101">
        <v>111.59081804282474</v>
      </c>
      <c r="N123" s="2144"/>
      <c r="O123" s="2145"/>
    </row>
    <row r="124" spans="1:15">
      <c r="A124" s="223" t="s">
        <v>86</v>
      </c>
      <c r="B124" s="1050">
        <f>SUM('[16]PT - MF'!$G$13)</f>
        <v>12</v>
      </c>
      <c r="C124" s="234">
        <f>B124*4.3333</f>
        <v>51.999600000000001</v>
      </c>
      <c r="D124" s="225">
        <v>97.4</v>
      </c>
      <c r="E124" s="226">
        <f t="shared" si="15"/>
        <v>5064.7610400000003</v>
      </c>
      <c r="F124" s="227">
        <f t="shared" si="16"/>
        <v>5350.050334290655</v>
      </c>
      <c r="G124" s="2095">
        <f t="shared" si="11"/>
        <v>102.88637478539556</v>
      </c>
      <c r="H124" s="229">
        <f t="shared" si="12"/>
        <v>60777.13248</v>
      </c>
      <c r="I124" s="227">
        <f t="shared" si="12"/>
        <v>64200.604011487856</v>
      </c>
      <c r="J124" s="231">
        <v>6</v>
      </c>
      <c r="K124" s="232">
        <f t="shared" si="13"/>
        <v>3743.9712000000004</v>
      </c>
      <c r="L124" s="720">
        <f t="shared" si="14"/>
        <v>5.6328283217613517E-2</v>
      </c>
      <c r="M124" s="2101">
        <v>103.05248580042789</v>
      </c>
      <c r="N124" s="2144"/>
      <c r="O124" s="2145"/>
    </row>
    <row r="125" spans="1:15">
      <c r="A125" s="223" t="s">
        <v>87</v>
      </c>
      <c r="B125" s="1050">
        <f>SUM('[16]PT - MF'!$G$20)</f>
        <v>2</v>
      </c>
      <c r="C125" s="234">
        <f>B125*4.3333*2</f>
        <v>17.333200000000001</v>
      </c>
      <c r="D125" s="225">
        <v>97.4</v>
      </c>
      <c r="E125" s="226">
        <f t="shared" si="15"/>
        <v>1688.2536800000003</v>
      </c>
      <c r="F125" s="227">
        <f t="shared" si="16"/>
        <v>1783.3501114302185</v>
      </c>
      <c r="G125" s="2095">
        <f t="shared" si="11"/>
        <v>102.88637478539556</v>
      </c>
      <c r="H125" s="229">
        <f t="shared" si="12"/>
        <v>20259.044160000005</v>
      </c>
      <c r="I125" s="227">
        <f t="shared" si="12"/>
        <v>21400.201337162624</v>
      </c>
      <c r="J125" s="231">
        <v>6</v>
      </c>
      <c r="K125" s="232">
        <f t="shared" si="13"/>
        <v>1247.9904000000001</v>
      </c>
      <c r="L125" s="720">
        <f t="shared" si="14"/>
        <v>5.6328283217613517E-2</v>
      </c>
      <c r="M125" s="2101">
        <v>103.05248580042789</v>
      </c>
      <c r="N125" s="2144"/>
      <c r="O125" s="2145"/>
    </row>
    <row r="126" spans="1:15">
      <c r="A126" s="223" t="s">
        <v>88</v>
      </c>
      <c r="B126" s="1050"/>
      <c r="C126" s="234">
        <f>B126*4.3333*3</f>
        <v>0</v>
      </c>
      <c r="D126" s="225">
        <v>97.4</v>
      </c>
      <c r="E126" s="226">
        <f t="shared" si="15"/>
        <v>0</v>
      </c>
      <c r="F126" s="227">
        <f t="shared" si="16"/>
        <v>0</v>
      </c>
      <c r="G126" s="2095">
        <f t="shared" si="11"/>
        <v>102.88637478539556</v>
      </c>
      <c r="H126" s="229">
        <f t="shared" si="12"/>
        <v>0</v>
      </c>
      <c r="I126" s="227">
        <f t="shared" si="12"/>
        <v>0</v>
      </c>
      <c r="J126" s="231">
        <v>6</v>
      </c>
      <c r="K126" s="232">
        <f t="shared" si="13"/>
        <v>0</v>
      </c>
      <c r="L126" s="720">
        <f t="shared" si="14"/>
        <v>5.6328283217613517E-2</v>
      </c>
      <c r="M126" s="2101">
        <v>103.05248580042789</v>
      </c>
      <c r="N126" s="2144"/>
      <c r="O126" s="2145"/>
    </row>
    <row r="127" spans="1:15">
      <c r="A127" s="223" t="s">
        <v>89</v>
      </c>
      <c r="B127" s="1050">
        <f>SUM('[16]PT - MF'!$G$27:$H$27)</f>
        <v>1</v>
      </c>
      <c r="C127" s="234">
        <f>+B127*1</f>
        <v>1</v>
      </c>
      <c r="D127" s="225">
        <v>129.88</v>
      </c>
      <c r="E127" s="226">
        <f t="shared" si="15"/>
        <v>129.88</v>
      </c>
      <c r="F127" s="227">
        <f t="shared" si="16"/>
        <v>137.19591742430364</v>
      </c>
      <c r="G127" s="2095">
        <f t="shared" si="11"/>
        <v>137.19591742430364</v>
      </c>
      <c r="H127" s="229">
        <f t="shared" si="12"/>
        <v>1558.56</v>
      </c>
      <c r="I127" s="227">
        <f t="shared" si="12"/>
        <v>1646.3510090916438</v>
      </c>
      <c r="J127" s="231">
        <v>8</v>
      </c>
      <c r="K127" s="232">
        <f t="shared" si="13"/>
        <v>96</v>
      </c>
      <c r="L127" s="720">
        <f t="shared" si="14"/>
        <v>5.6328283217613517E-2</v>
      </c>
      <c r="M127" s="2101">
        <v>137.41742151703875</v>
      </c>
      <c r="N127" s="2144"/>
      <c r="O127" s="2145"/>
    </row>
    <row r="128" spans="1:15">
      <c r="A128" s="223" t="s">
        <v>90</v>
      </c>
      <c r="B128" s="1050">
        <f>SUM('[16]PT - MF'!$H$14:$I$14)</f>
        <v>2</v>
      </c>
      <c r="C128" s="234">
        <f>B128*4.3333</f>
        <v>8.6666000000000007</v>
      </c>
      <c r="D128" s="225">
        <v>127.57</v>
      </c>
      <c r="E128" s="226">
        <f t="shared" si="15"/>
        <v>1105.598162</v>
      </c>
      <c r="F128" s="227">
        <f t="shared" si="16"/>
        <v>1167.8746083940091</v>
      </c>
      <c r="G128" s="2095">
        <f t="shared" si="11"/>
        <v>134.75579909007095</v>
      </c>
      <c r="H128" s="229">
        <f t="shared" si="12"/>
        <v>13267.177943999999</v>
      </c>
      <c r="I128" s="227">
        <f t="shared" si="12"/>
        <v>14014.495300728109</v>
      </c>
      <c r="J128" s="231">
        <v>8</v>
      </c>
      <c r="K128" s="232">
        <f t="shared" si="13"/>
        <v>831.99360000000001</v>
      </c>
      <c r="L128" s="720">
        <f t="shared" si="14"/>
        <v>5.6328283217613517E-2</v>
      </c>
      <c r="M128" s="2101">
        <v>134.97336358891772</v>
      </c>
      <c r="N128" s="2144"/>
      <c r="O128" s="2145"/>
    </row>
    <row r="129" spans="1:15">
      <c r="A129" s="223" t="s">
        <v>91</v>
      </c>
      <c r="B129" s="1050">
        <f>SUM('[16]PT - MF'!$G$21)</f>
        <v>5</v>
      </c>
      <c r="C129" s="234">
        <f>B129*4.3333*2</f>
        <v>43.333000000000006</v>
      </c>
      <c r="D129" s="225">
        <v>127.57</v>
      </c>
      <c r="E129" s="226">
        <f t="shared" si="15"/>
        <v>5527.9908100000002</v>
      </c>
      <c r="F129" s="227">
        <f t="shared" si="16"/>
        <v>5839.3730419700451</v>
      </c>
      <c r="G129" s="2095">
        <f t="shared" si="11"/>
        <v>134.75579909007095</v>
      </c>
      <c r="H129" s="229">
        <f t="shared" si="12"/>
        <v>66335.889720000006</v>
      </c>
      <c r="I129" s="227">
        <f t="shared" si="12"/>
        <v>70072.476503640544</v>
      </c>
      <c r="J129" s="231">
        <v>8</v>
      </c>
      <c r="K129" s="232">
        <f t="shared" si="13"/>
        <v>4159.9680000000008</v>
      </c>
      <c r="L129" s="720">
        <f t="shared" si="14"/>
        <v>5.6328283217613517E-2</v>
      </c>
      <c r="M129" s="2101">
        <v>134.97336358891772</v>
      </c>
      <c r="N129" s="2144"/>
      <c r="O129" s="2145"/>
    </row>
    <row r="130" spans="1:15">
      <c r="A130" s="223" t="s">
        <v>92</v>
      </c>
      <c r="B130" s="1050"/>
      <c r="C130" s="234">
        <f>B130*4.3333*3</f>
        <v>0</v>
      </c>
      <c r="D130" s="225">
        <v>127.57</v>
      </c>
      <c r="E130" s="226">
        <f>D130*C130</f>
        <v>0</v>
      </c>
      <c r="F130" s="227">
        <f>C130*G130</f>
        <v>0</v>
      </c>
      <c r="G130" s="2095">
        <f t="shared" si="11"/>
        <v>134.75579909007095</v>
      </c>
      <c r="H130" s="229">
        <f>E130*12</f>
        <v>0</v>
      </c>
      <c r="I130" s="227">
        <f>F130*12</f>
        <v>0</v>
      </c>
      <c r="J130" s="231">
        <v>8</v>
      </c>
      <c r="K130" s="232">
        <f>+J130*C130*12</f>
        <v>0</v>
      </c>
      <c r="L130" s="720">
        <f>+G130/D130-1</f>
        <v>5.6328283217613517E-2</v>
      </c>
      <c r="M130" s="2101">
        <v>134.97336358891772</v>
      </c>
      <c r="N130" s="2144"/>
      <c r="O130" s="2145"/>
    </row>
    <row r="131" spans="1:15">
      <c r="A131" s="223" t="s">
        <v>568</v>
      </c>
      <c r="B131" s="1050"/>
      <c r="C131" s="234">
        <f>B131*4.3333*4</f>
        <v>0</v>
      </c>
      <c r="D131" s="225">
        <v>127.57</v>
      </c>
      <c r="E131" s="226">
        <f t="shared" si="15"/>
        <v>0</v>
      </c>
      <c r="F131" s="227">
        <f t="shared" si="16"/>
        <v>0</v>
      </c>
      <c r="G131" s="2095">
        <f t="shared" si="11"/>
        <v>134.75579909007095</v>
      </c>
      <c r="H131" s="229">
        <f t="shared" si="12"/>
        <v>0</v>
      </c>
      <c r="I131" s="227">
        <f t="shared" si="12"/>
        <v>0</v>
      </c>
      <c r="J131" s="231">
        <v>8</v>
      </c>
      <c r="K131" s="232">
        <f t="shared" si="13"/>
        <v>0</v>
      </c>
      <c r="L131" s="720">
        <f t="shared" si="14"/>
        <v>5.6328283217613517E-2</v>
      </c>
      <c r="M131" s="2101">
        <v>134.97336358891772</v>
      </c>
      <c r="N131" s="2144"/>
      <c r="O131" s="2145"/>
    </row>
    <row r="132" spans="1:15">
      <c r="A132" s="223" t="s">
        <v>93</v>
      </c>
      <c r="B132" s="1261">
        <f>SUM('[13]wutc MF rental'!$B$6:$D$6)/D132/12</f>
        <v>74.000000000000014</v>
      </c>
      <c r="C132" s="234" t="s">
        <v>295</v>
      </c>
      <c r="D132" s="235">
        <v>1.1399999999999999</v>
      </c>
      <c r="E132" s="226">
        <f>+D132*B132</f>
        <v>84.360000000000014</v>
      </c>
      <c r="F132" s="227">
        <f t="shared" ref="F132:F141" si="20">+G132*B132</f>
        <v>89.111853972237881</v>
      </c>
      <c r="G132" s="2095">
        <f t="shared" si="11"/>
        <v>1.2042142428680793</v>
      </c>
      <c r="H132" s="229">
        <f t="shared" si="12"/>
        <v>1012.3200000000002</v>
      </c>
      <c r="I132" s="227">
        <f t="shared" si="12"/>
        <v>1069.3422476668545</v>
      </c>
      <c r="L132" s="720">
        <f t="shared" si="14"/>
        <v>5.6328283217613517E-2</v>
      </c>
      <c r="M132" s="2102">
        <v>1.2061584580337554</v>
      </c>
      <c r="N132" s="2144"/>
      <c r="O132" s="2145"/>
    </row>
    <row r="133" spans="1:15">
      <c r="A133" s="223" t="s">
        <v>94</v>
      </c>
      <c r="B133" s="1261">
        <v>0</v>
      </c>
      <c r="C133" s="234" t="s">
        <v>295</v>
      </c>
      <c r="D133" s="235">
        <v>1.76</v>
      </c>
      <c r="E133" s="226">
        <f>+D133*B133</f>
        <v>0</v>
      </c>
      <c r="F133" s="227">
        <f t="shared" si="20"/>
        <v>0</v>
      </c>
      <c r="G133" s="2095">
        <f t="shared" si="11"/>
        <v>1.8591377784629999</v>
      </c>
      <c r="H133" s="229">
        <f t="shared" si="12"/>
        <v>0</v>
      </c>
      <c r="I133" s="227">
        <f t="shared" si="12"/>
        <v>0</v>
      </c>
      <c r="L133" s="720">
        <f t="shared" si="14"/>
        <v>5.6328283217613517E-2</v>
      </c>
      <c r="M133" s="2102">
        <v>1.8621393738064997</v>
      </c>
      <c r="N133" s="2144"/>
      <c r="O133" s="2145"/>
    </row>
    <row r="134" spans="1:15">
      <c r="A134" s="223" t="s">
        <v>95</v>
      </c>
      <c r="B134" s="1261">
        <f>SUM('[13]wutc MF rental'!B7:D7)/D134/12</f>
        <v>44.25568181818182</v>
      </c>
      <c r="C134" s="234" t="s">
        <v>295</v>
      </c>
      <c r="D134" s="235">
        <v>1.76</v>
      </c>
      <c r="E134" s="226">
        <f t="shared" ref="E134:E141" si="21">+D134*B134</f>
        <v>77.89</v>
      </c>
      <c r="F134" s="227">
        <f t="shared" si="20"/>
        <v>82.277409979819922</v>
      </c>
      <c r="G134" s="2095">
        <f t="shared" si="11"/>
        <v>1.8591377784629999</v>
      </c>
      <c r="H134" s="229">
        <f t="shared" si="12"/>
        <v>934.68000000000006</v>
      </c>
      <c r="I134" s="227">
        <f t="shared" si="12"/>
        <v>987.328919757839</v>
      </c>
      <c r="L134" s="720">
        <f t="shared" si="14"/>
        <v>5.6328283217613517E-2</v>
      </c>
      <c r="M134" s="2102">
        <v>1.8621393738064997</v>
      </c>
      <c r="N134" s="2144"/>
      <c r="O134" s="2145"/>
    </row>
    <row r="135" spans="1:15">
      <c r="A135" s="223" t="s">
        <v>96</v>
      </c>
      <c r="B135" s="1261">
        <f>SUM('[13]wutc MF rental'!B8:D8)/D135/12</f>
        <v>3.6271733730750118</v>
      </c>
      <c r="C135" s="234" t="s">
        <v>295</v>
      </c>
      <c r="D135" s="235">
        <v>6.71</v>
      </c>
      <c r="E135" s="226">
        <f t="shared" si="21"/>
        <v>24.338333333333328</v>
      </c>
      <c r="F135" s="227">
        <f t="shared" si="20"/>
        <v>25.709269866378012</v>
      </c>
      <c r="G135" s="2095">
        <f t="shared" si="11"/>
        <v>7.0879627803901863</v>
      </c>
      <c r="H135" s="229">
        <f t="shared" si="12"/>
        <v>292.05999999999995</v>
      </c>
      <c r="I135" s="227">
        <f t="shared" si="12"/>
        <v>308.51123839653616</v>
      </c>
      <c r="L135" s="720">
        <f t="shared" si="14"/>
        <v>5.6328283217613517E-2</v>
      </c>
      <c r="M135" s="2100">
        <v>7.0994063626372803</v>
      </c>
      <c r="N135" s="2144"/>
      <c r="O135" s="2145"/>
    </row>
    <row r="136" spans="1:15">
      <c r="A136" s="223" t="s">
        <v>1024</v>
      </c>
      <c r="B136" s="1261">
        <f>SUM('[13]wutc MF rental'!B9:D9)/D136/12</f>
        <v>5</v>
      </c>
      <c r="C136" s="234" t="s">
        <v>295</v>
      </c>
      <c r="D136" s="235">
        <v>7.75</v>
      </c>
      <c r="E136" s="226">
        <f t="shared" si="21"/>
        <v>38.75</v>
      </c>
      <c r="F136" s="227">
        <f t="shared" si="20"/>
        <v>40.932720974682525</v>
      </c>
      <c r="G136" s="2095">
        <f t="shared" si="11"/>
        <v>8.1865441949365056</v>
      </c>
      <c r="H136" s="229">
        <f t="shared" si="12"/>
        <v>465</v>
      </c>
      <c r="I136" s="227">
        <f t="shared" si="12"/>
        <v>491.1926516961903</v>
      </c>
      <c r="L136" s="720">
        <f t="shared" si="14"/>
        <v>5.6328283217613739E-2</v>
      </c>
      <c r="M136" s="2100">
        <v>8.1997614471593039</v>
      </c>
      <c r="N136" s="2144"/>
      <c r="O136" s="2145"/>
    </row>
    <row r="137" spans="1:15">
      <c r="A137" s="223" t="s">
        <v>565</v>
      </c>
      <c r="B137" s="1261">
        <v>0</v>
      </c>
      <c r="C137" s="234" t="s">
        <v>295</v>
      </c>
      <c r="D137" s="235">
        <v>9</v>
      </c>
      <c r="E137" s="226">
        <f t="shared" si="21"/>
        <v>0</v>
      </c>
      <c r="F137" s="227">
        <f t="shared" si="20"/>
        <v>0</v>
      </c>
      <c r="G137" s="2095">
        <f t="shared" si="11"/>
        <v>9.5069545489585217</v>
      </c>
      <c r="H137" s="229">
        <f t="shared" si="12"/>
        <v>0</v>
      </c>
      <c r="I137" s="227">
        <f t="shared" si="12"/>
        <v>0</v>
      </c>
      <c r="L137" s="720">
        <f t="shared" si="14"/>
        <v>5.6328283217613517E-2</v>
      </c>
      <c r="M137" s="2100">
        <v>9.5223036160559644</v>
      </c>
      <c r="N137" s="2144"/>
      <c r="O137" s="2145"/>
    </row>
    <row r="138" spans="1:15">
      <c r="A138" s="223" t="s">
        <v>97</v>
      </c>
      <c r="B138" s="1261">
        <f>SUM('[13]wutc MF rental'!B10:D10)/D138/12</f>
        <v>12.508218125960063</v>
      </c>
      <c r="C138" s="234" t="s">
        <v>295</v>
      </c>
      <c r="D138" s="235">
        <v>10.85</v>
      </c>
      <c r="E138" s="226">
        <f t="shared" si="21"/>
        <v>135.71416666666667</v>
      </c>
      <c r="F138" s="227">
        <f t="shared" si="20"/>
        <v>143.35871268330908</v>
      </c>
      <c r="G138" s="2095">
        <f t="shared" si="11"/>
        <v>11.461161872911106</v>
      </c>
      <c r="H138" s="229">
        <f t="shared" si="12"/>
        <v>1628.5700000000002</v>
      </c>
      <c r="I138" s="227">
        <f t="shared" si="12"/>
        <v>1720.304552199709</v>
      </c>
      <c r="L138" s="720">
        <f t="shared" si="14"/>
        <v>5.6328283217613517E-2</v>
      </c>
      <c r="M138" s="2100">
        <v>11.479666026023024</v>
      </c>
      <c r="N138" s="2144"/>
      <c r="O138" s="2145"/>
    </row>
    <row r="139" spans="1:15">
      <c r="A139" s="223" t="s">
        <v>98</v>
      </c>
      <c r="B139" s="1261">
        <f>SUM('[13]wutc MF rental'!B11:D11)/D139/12</f>
        <v>13.000000000000002</v>
      </c>
      <c r="C139" s="234" t="s">
        <v>295</v>
      </c>
      <c r="D139" s="235">
        <v>13.43</v>
      </c>
      <c r="E139" s="226">
        <f t="shared" si="21"/>
        <v>174.59000000000003</v>
      </c>
      <c r="F139" s="227">
        <f t="shared" si="20"/>
        <v>184.42435496696316</v>
      </c>
      <c r="G139" s="2095">
        <f t="shared" si="11"/>
        <v>14.186488843612549</v>
      </c>
      <c r="H139" s="229">
        <f t="shared" si="12"/>
        <v>2095.0800000000004</v>
      </c>
      <c r="I139" s="227">
        <f t="shared" si="12"/>
        <v>2213.092259603558</v>
      </c>
      <c r="L139" s="720">
        <f t="shared" si="14"/>
        <v>5.6328283217613517E-2</v>
      </c>
      <c r="M139" s="2100">
        <v>14.209393062625734</v>
      </c>
      <c r="N139" s="2144"/>
      <c r="O139" s="2145"/>
    </row>
    <row r="140" spans="1:15">
      <c r="A140" s="223" t="s">
        <v>99</v>
      </c>
      <c r="B140" s="1261">
        <f>SUM('[13]wutc MF rental'!B12:D12)/D140/12</f>
        <v>27.16005030621173</v>
      </c>
      <c r="C140" s="234" t="s">
        <v>295</v>
      </c>
      <c r="D140" s="235">
        <v>15.24</v>
      </c>
      <c r="E140" s="226">
        <f t="shared" si="21"/>
        <v>413.91916666666674</v>
      </c>
      <c r="F140" s="227">
        <f t="shared" si="20"/>
        <v>437.2345227158653</v>
      </c>
      <c r="G140" s="2095">
        <f t="shared" si="11"/>
        <v>16.098443036236429</v>
      </c>
      <c r="H140" s="229">
        <f t="shared" si="12"/>
        <v>4967.0300000000007</v>
      </c>
      <c r="I140" s="227">
        <f t="shared" si="12"/>
        <v>5246.8142725903836</v>
      </c>
      <c r="L140" s="720">
        <f t="shared" si="14"/>
        <v>5.6328283217613517E-2</v>
      </c>
      <c r="M140" s="2100">
        <v>16.124434123188102</v>
      </c>
      <c r="N140" s="2144"/>
      <c r="O140" s="2145"/>
    </row>
    <row r="141" spans="1:15">
      <c r="A141" s="223" t="s">
        <v>100</v>
      </c>
      <c r="B141" s="1261">
        <f>SUM('[13]wutc MF rental'!B13:D13)/D141/12</f>
        <v>13.359583516644674</v>
      </c>
      <c r="C141" s="234" t="s">
        <v>295</v>
      </c>
      <c r="D141" s="235">
        <v>22.73</v>
      </c>
      <c r="E141" s="226">
        <f t="shared" si="21"/>
        <v>303.66333333333347</v>
      </c>
      <c r="F141" s="227">
        <f t="shared" si="20"/>
        <v>320.76816757613801</v>
      </c>
      <c r="G141" s="2095">
        <f t="shared" si="11"/>
        <v>24.010341877536355</v>
      </c>
      <c r="H141" s="229">
        <f t="shared" si="12"/>
        <v>3643.9600000000019</v>
      </c>
      <c r="I141" s="227">
        <f t="shared" si="12"/>
        <v>3849.2180109136561</v>
      </c>
      <c r="L141" s="720">
        <f t="shared" si="14"/>
        <v>5.6328283217613517E-2</v>
      </c>
      <c r="M141" s="2100">
        <v>24.049106799216897</v>
      </c>
      <c r="N141" s="2144"/>
      <c r="O141" s="2145"/>
    </row>
    <row r="142" spans="1:15">
      <c r="A142" s="223" t="s">
        <v>101</v>
      </c>
      <c r="B142" s="1261">
        <f>SUM('[13]wutc MF rental'!B14:D14)/D142/12</f>
        <v>8</v>
      </c>
      <c r="C142" s="234" t="s">
        <v>295</v>
      </c>
      <c r="D142" s="235">
        <v>25.83</v>
      </c>
      <c r="E142" s="226">
        <f>+D142*B142</f>
        <v>206.64</v>
      </c>
      <c r="F142" s="227">
        <f>+G142*B142</f>
        <v>218.27967644408764</v>
      </c>
      <c r="G142" s="2095">
        <f t="shared" si="11"/>
        <v>27.284959555510955</v>
      </c>
      <c r="H142" s="229">
        <f t="shared" ref="H142:I144" si="22">E142*12</f>
        <v>2479.6799999999998</v>
      </c>
      <c r="I142" s="227">
        <f t="shared" si="22"/>
        <v>2619.3561173290518</v>
      </c>
      <c r="L142" s="720">
        <f>+G142/D142-1</f>
        <v>5.6328283217613517E-2</v>
      </c>
      <c r="M142" s="2100">
        <v>27.329011378080619</v>
      </c>
      <c r="N142" s="2144"/>
      <c r="O142" s="2145"/>
    </row>
    <row r="143" spans="1:15">
      <c r="A143" s="223" t="s">
        <v>1598</v>
      </c>
      <c r="B143" s="1261"/>
      <c r="C143" s="234" t="s">
        <v>295</v>
      </c>
      <c r="D143" s="235">
        <v>27.5</v>
      </c>
      <c r="E143" s="226">
        <f>+D143*B143</f>
        <v>0</v>
      </c>
      <c r="F143" s="227">
        <f>+G143*B143</f>
        <v>0</v>
      </c>
      <c r="G143" s="2095">
        <f t="shared" si="11"/>
        <v>29.049027788484374</v>
      </c>
      <c r="H143" s="229">
        <f t="shared" si="22"/>
        <v>0</v>
      </c>
      <c r="I143" s="227">
        <f t="shared" si="22"/>
        <v>0</v>
      </c>
      <c r="L143" s="720">
        <f>+G143/D143-1</f>
        <v>5.6328283217613517E-2</v>
      </c>
      <c r="M143" s="2100">
        <v>29.09592771572656</v>
      </c>
      <c r="N143" s="2144"/>
      <c r="O143" s="2145"/>
    </row>
    <row r="144" spans="1:15">
      <c r="A144" s="240" t="s">
        <v>67</v>
      </c>
      <c r="B144" s="1052"/>
      <c r="C144" s="1037" t="s">
        <v>295</v>
      </c>
      <c r="D144" s="1040"/>
      <c r="E144" s="242">
        <f>+D144*B144</f>
        <v>0</v>
      </c>
      <c r="F144" s="243">
        <f>+G144*B144</f>
        <v>0</v>
      </c>
      <c r="G144" s="2095">
        <f t="shared" si="11"/>
        <v>0</v>
      </c>
      <c r="H144" s="244">
        <f t="shared" si="22"/>
        <v>0</v>
      </c>
      <c r="I144" s="243">
        <f t="shared" si="22"/>
        <v>0</v>
      </c>
      <c r="J144" s="1038"/>
      <c r="K144" s="1038"/>
      <c r="L144" s="2133" t="e">
        <f>+G144/D144-1</f>
        <v>#DIV/0!</v>
      </c>
      <c r="M144" s="2100">
        <v>0</v>
      </c>
      <c r="N144" s="2144"/>
      <c r="O144" s="2145"/>
    </row>
    <row r="145" spans="1:15">
      <c r="A145" s="192" t="s">
        <v>312</v>
      </c>
      <c r="B145" s="1051">
        <f>SUM(B82:B131)</f>
        <v>294</v>
      </c>
      <c r="C145" s="1064">
        <f>SUM(C82:C131)</f>
        <v>1396.3226000000004</v>
      </c>
      <c r="D145" s="235"/>
      <c r="E145" s="226">
        <f>SUM(E82:E142)</f>
        <v>37642.887665999995</v>
      </c>
      <c r="F145" s="227">
        <f>SUM(F82:F141)</f>
        <v>39544.967227135181</v>
      </c>
      <c r="G145" s="2096" t="s">
        <v>21</v>
      </c>
      <c r="H145" s="227">
        <f>SUM(H82:H142)</f>
        <v>451714.65199200012</v>
      </c>
      <c r="I145" s="227">
        <f>SUM(I82:I144)</f>
        <v>477158.96284295118</v>
      </c>
      <c r="N145" s="2142"/>
      <c r="O145" s="2145"/>
    </row>
    <row r="146" spans="1:15">
      <c r="B146" s="1051"/>
      <c r="C146" s="245"/>
      <c r="D146" s="246"/>
      <c r="E146" s="227"/>
      <c r="F146" s="227"/>
      <c r="G146" s="2097"/>
      <c r="H146" s="229">
        <f>E146*12</f>
        <v>0</v>
      </c>
      <c r="I146" s="227"/>
      <c r="N146" s="2142"/>
      <c r="O146" s="2142"/>
    </row>
    <row r="147" spans="1:15" ht="12.75" thickBot="1">
      <c r="A147" s="247" t="s">
        <v>313</v>
      </c>
      <c r="B147" s="248">
        <f>B145+B77</f>
        <v>796.22868946225367</v>
      </c>
      <c r="C147" s="248">
        <f>SUM(C9:C146)</f>
        <v>3904.6252000000013</v>
      </c>
      <c r="D147" s="249"/>
      <c r="E147" s="250">
        <f>E145+E77</f>
        <v>83562.358652666677</v>
      </c>
      <c r="F147" s="248">
        <f>F145+F77</f>
        <v>88051.003180741769</v>
      </c>
      <c r="G147" s="2098"/>
      <c r="H147" s="252">
        <f>SUM(H146:H146)</f>
        <v>0</v>
      </c>
      <c r="I147" s="248"/>
      <c r="N147" s="2142"/>
      <c r="O147" s="2142"/>
    </row>
    <row r="148" spans="1:15" ht="12.75" thickTop="1">
      <c r="A148" s="185" t="s">
        <v>26</v>
      </c>
      <c r="B148" s="253"/>
      <c r="C148" s="253"/>
      <c r="D148" s="254"/>
      <c r="E148" s="344">
        <f>E147*12</f>
        <v>1002748.3038320001</v>
      </c>
      <c r="F148" s="344">
        <f>F147*12</f>
        <v>1056612.0381689011</v>
      </c>
      <c r="G148" s="2099"/>
      <c r="H148" s="2136"/>
      <c r="I148" s="2139"/>
      <c r="N148" s="2142"/>
      <c r="O148" s="2145"/>
    </row>
    <row r="149" spans="1:15">
      <c r="A149" s="185" t="s">
        <v>343</v>
      </c>
      <c r="E149" s="227">
        <f>Proforma!L13</f>
        <v>1020481.5000000001</v>
      </c>
      <c r="F149" s="345"/>
      <c r="H149" s="2138"/>
      <c r="I149" s="2137"/>
      <c r="N149" s="2146"/>
      <c r="O149" s="2144"/>
    </row>
    <row r="150" spans="1:15">
      <c r="E150" s="1280">
        <f>+E149-E148</f>
        <v>17733.196167999995</v>
      </c>
      <c r="I150" s="2140"/>
      <c r="N150" s="2142"/>
      <c r="O150" s="2145"/>
    </row>
    <row r="151" spans="1:15">
      <c r="E151" s="345">
        <f>+E150/E149</f>
        <v>1.7377283339286398E-2</v>
      </c>
      <c r="I151" s="2138"/>
    </row>
    <row r="152" spans="1:15">
      <c r="E152" s="345"/>
      <c r="I152" s="2140"/>
    </row>
    <row r="153" spans="1:15">
      <c r="D153" s="1020" t="s">
        <v>842</v>
      </c>
      <c r="E153" s="1021">
        <v>0</v>
      </c>
      <c r="I153" s="2137"/>
    </row>
    <row r="154" spans="1:15">
      <c r="E154" s="345"/>
      <c r="I154" s="2140"/>
    </row>
    <row r="155" spans="1:15">
      <c r="D155" s="1020" t="s">
        <v>830</v>
      </c>
      <c r="E155" s="1021">
        <f>E150+E153</f>
        <v>17733.196167999995</v>
      </c>
      <c r="I155" s="720"/>
    </row>
    <row r="157" spans="1:15">
      <c r="D157" s="185"/>
      <c r="E157" s="521">
        <f>E155/E149</f>
        <v>1.7377283339286398E-2</v>
      </c>
      <c r="F157" s="185"/>
    </row>
    <row r="158" spans="1:15">
      <c r="D158" s="185"/>
      <c r="E158" s="185"/>
      <c r="F158" s="185"/>
    </row>
    <row r="159" spans="1:15">
      <c r="D159" s="257" t="s">
        <v>519</v>
      </c>
      <c r="E159" s="229">
        <f>+E148-'MF Recy Price Out'!L65</f>
        <v>937334.36702000012</v>
      </c>
      <c r="F159" s="229">
        <f>+F148-' MF Recy Price Out Staff'!M65</f>
        <v>956610.0104227555</v>
      </c>
    </row>
    <row r="160" spans="1:15">
      <c r="F160" s="345">
        <f>+F159/E159-1</f>
        <v>2.0564319501094497E-2</v>
      </c>
    </row>
    <row r="161" spans="5:5">
      <c r="E161" s="229">
        <f>E148-E159</f>
        <v>65413.936812</v>
      </c>
    </row>
  </sheetData>
  <mergeCells count="1">
    <mergeCell ref="A1:E1"/>
  </mergeCells>
  <pageMargins left="0.7" right="0.7" top="0.75" bottom="0.75" header="0.3" footer="0.3"/>
  <pageSetup orientation="portrait"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U78"/>
  <sheetViews>
    <sheetView showGridLines="0" zoomScaleNormal="100" workbookViewId="0">
      <pane xSplit="2" ySplit="12" topLeftCell="C53" activePane="bottomRight" state="frozen"/>
      <selection activeCell="B41" sqref="B41"/>
      <selection pane="topRight" activeCell="B41" sqref="B41"/>
      <selection pane="bottomLeft" activeCell="B41" sqref="B41"/>
      <selection pane="bottomRight" activeCell="K3" sqref="K3"/>
    </sheetView>
  </sheetViews>
  <sheetFormatPr defaultColWidth="16.33203125" defaultRowHeight="24.95" customHeight="1"/>
  <cols>
    <col min="1" max="1" width="5.83203125" style="185" bestFit="1" customWidth="1"/>
    <col min="2" max="2" width="29.5" style="185" bestFit="1" customWidth="1"/>
    <col min="3" max="3" width="16.6640625" style="183" customWidth="1"/>
    <col min="4" max="4" width="9" style="183" bestFit="1" customWidth="1"/>
    <col min="5" max="5" width="8.83203125" style="183" bestFit="1" customWidth="1"/>
    <col min="6" max="7" width="9" style="184" bestFit="1" customWidth="1"/>
    <col min="8" max="8" width="11.83203125" style="184" bestFit="1" customWidth="1"/>
    <col min="9" max="10" width="11.5" style="183" bestFit="1" customWidth="1"/>
    <col min="11" max="11" width="11.1640625" style="183" bestFit="1" customWidth="1"/>
    <col min="12" max="13" width="11.5" style="185" bestFit="1" customWidth="1"/>
    <col min="14" max="15" width="16.33203125" style="185"/>
    <col min="16" max="16" width="19.1640625" style="185" customWidth="1"/>
    <col min="17" max="16384" width="16.33203125" style="185"/>
  </cols>
  <sheetData>
    <row r="1" spans="1:21" ht="12" customHeight="1">
      <c r="A1" s="183"/>
      <c r="B1" s="183"/>
      <c r="J1" s="509" t="s">
        <v>498</v>
      </c>
      <c r="K1" s="230">
        <f>'LG MF Recycle'!E6</f>
        <v>42348.84676666226</v>
      </c>
    </row>
    <row r="2" spans="1:21" ht="12">
      <c r="A2" s="183"/>
      <c r="B2" s="183"/>
      <c r="J2" s="509" t="s">
        <v>501</v>
      </c>
      <c r="K2" s="230">
        <f>L65+'Drop Box Price Out'!H94</f>
        <v>117319.81681200003</v>
      </c>
      <c r="O2" s="1372">
        <v>3.5</v>
      </c>
      <c r="P2" s="1372" t="s">
        <v>829</v>
      </c>
    </row>
    <row r="3" spans="1:21" ht="12">
      <c r="A3" s="183"/>
      <c r="B3" s="183"/>
      <c r="J3" s="509" t="s">
        <v>500</v>
      </c>
      <c r="K3" s="345">
        <f>+K1/K2</f>
        <v>0.36096925410755171</v>
      </c>
      <c r="O3" s="1372">
        <v>5</v>
      </c>
      <c r="P3" s="1372" t="s">
        <v>829</v>
      </c>
    </row>
    <row r="4" spans="1:21" ht="12.75" thickBot="1"/>
    <row r="5" spans="1:21" ht="12.75" thickBot="1">
      <c r="J5" s="509" t="s">
        <v>506</v>
      </c>
      <c r="K5" s="522">
        <f>'LG MF Recycle'!$C$29</f>
        <v>3.6426517602269031</v>
      </c>
    </row>
    <row r="6" spans="1:21" ht="12"/>
    <row r="7" spans="1:21" ht="12"/>
    <row r="8" spans="1:21" ht="12" customHeight="1">
      <c r="C8" s="258" t="s">
        <v>314</v>
      </c>
    </row>
    <row r="9" spans="1:21" ht="12" customHeight="1">
      <c r="I9" s="258" t="s">
        <v>42</v>
      </c>
      <c r="J9" s="258" t="s">
        <v>42</v>
      </c>
      <c r="L9" s="258" t="s">
        <v>26</v>
      </c>
      <c r="M9" s="258" t="s">
        <v>26</v>
      </c>
    </row>
    <row r="10" spans="1:21" ht="12" customHeight="1">
      <c r="B10" s="182"/>
      <c r="H10" s="259" t="s">
        <v>315</v>
      </c>
      <c r="I10" s="258" t="s">
        <v>41</v>
      </c>
      <c r="J10" s="260" t="s">
        <v>39</v>
      </c>
      <c r="K10" s="258" t="s">
        <v>316</v>
      </c>
      <c r="L10" s="258" t="s">
        <v>41</v>
      </c>
      <c r="M10" s="260" t="s">
        <v>39</v>
      </c>
    </row>
    <row r="11" spans="1:21" ht="12" customHeight="1">
      <c r="B11" s="185" t="s">
        <v>292</v>
      </c>
      <c r="E11" s="183" t="s">
        <v>42</v>
      </c>
      <c r="F11" s="184" t="s">
        <v>317</v>
      </c>
      <c r="G11" s="184" t="s">
        <v>318</v>
      </c>
      <c r="H11" s="259" t="s">
        <v>148</v>
      </c>
      <c r="I11" s="261" t="s">
        <v>319</v>
      </c>
      <c r="J11" s="261" t="s">
        <v>319</v>
      </c>
      <c r="K11" s="260" t="s">
        <v>39</v>
      </c>
      <c r="L11" s="261" t="s">
        <v>319</v>
      </c>
      <c r="M11" s="261" t="s">
        <v>319</v>
      </c>
    </row>
    <row r="12" spans="1:21" ht="12" customHeight="1">
      <c r="B12" s="262"/>
      <c r="C12" s="189" t="s">
        <v>48</v>
      </c>
      <c r="D12" s="189" t="s">
        <v>56</v>
      </c>
      <c r="E12" s="189" t="s">
        <v>282</v>
      </c>
      <c r="F12" s="190" t="s">
        <v>55</v>
      </c>
      <c r="G12" s="190" t="s">
        <v>55</v>
      </c>
      <c r="H12" s="263" t="s">
        <v>55</v>
      </c>
      <c r="I12" s="264" t="s">
        <v>13</v>
      </c>
      <c r="J12" s="264" t="s">
        <v>13</v>
      </c>
      <c r="K12" s="265" t="s">
        <v>55</v>
      </c>
      <c r="L12" s="266" t="s">
        <v>13</v>
      </c>
      <c r="M12" s="266" t="s">
        <v>13</v>
      </c>
    </row>
    <row r="13" spans="1:21" ht="12" customHeight="1">
      <c r="B13" s="267" t="s">
        <v>320</v>
      </c>
      <c r="C13" s="222"/>
      <c r="D13" s="268"/>
      <c r="E13" s="268"/>
      <c r="F13" s="198"/>
      <c r="G13" s="198"/>
      <c r="H13" s="198"/>
      <c r="J13" s="199"/>
      <c r="K13" s="215"/>
    </row>
    <row r="14" spans="1:21" ht="12" customHeight="1">
      <c r="A14" s="183" t="s">
        <v>321</v>
      </c>
      <c r="B14" s="239"/>
      <c r="C14" s="222"/>
      <c r="D14" s="269"/>
      <c r="E14" s="269"/>
      <c r="F14" s="198"/>
      <c r="G14" s="198"/>
      <c r="H14" s="270"/>
      <c r="I14" s="217"/>
      <c r="K14" s="215"/>
    </row>
    <row r="15" spans="1:21" ht="12" customHeight="1">
      <c r="A15" s="183">
        <v>0.158</v>
      </c>
      <c r="B15" s="223" t="str">
        <f>+'Comm Price Out'!A82</f>
        <v xml:space="preserve">32 Gal Toter 1xweek </v>
      </c>
      <c r="C15" s="271">
        <f>VLOOKUP($B15,'Comm Price Out'!$A$82:$J$131,2,FALSE)</f>
        <v>184</v>
      </c>
      <c r="D15" s="269">
        <f t="shared" ref="D15:D21" si="0">C15*4.3333</f>
        <v>797.32720000000006</v>
      </c>
      <c r="E15" s="269">
        <f>+A15*D15</f>
        <v>125.97769760000001</v>
      </c>
      <c r="F15" s="272">
        <f>VLOOKUP($B15,'Comm Price Out'!$A$82:$J$131,4,FALSE)</f>
        <v>3.57</v>
      </c>
      <c r="G15" s="272">
        <f>VLOOKUP($B15,'Comm Price Out'!$A$9:$J$75,4,FALSE)</f>
        <v>3.19</v>
      </c>
      <c r="H15" s="270">
        <f>F15-G15</f>
        <v>0.37999999999999989</v>
      </c>
      <c r="I15" s="199">
        <f>H15*D15</f>
        <v>302.98433599999993</v>
      </c>
      <c r="J15" s="199">
        <f>D15*K15</f>
        <v>458.89288191197249</v>
      </c>
      <c r="K15" s="520">
        <f>$K$5*A15</f>
        <v>0.57553897811585064</v>
      </c>
      <c r="L15" s="200">
        <f t="shared" ref="L15:M32" si="1">I15*12</f>
        <v>3635.8120319999989</v>
      </c>
      <c r="M15" s="201">
        <f>J15*12</f>
        <v>5506.7145829436704</v>
      </c>
      <c r="N15" s="521">
        <f>IF(H15=0,0,K15/H15-1)</f>
        <v>0.51457625819960739</v>
      </c>
      <c r="Q15" s="201"/>
      <c r="R15" s="201"/>
      <c r="T15" s="273"/>
      <c r="U15" s="274"/>
    </row>
    <row r="16" spans="1:21" ht="12" customHeight="1">
      <c r="A16" s="183">
        <v>0.316</v>
      </c>
      <c r="B16" s="223" t="str">
        <f>+'Comm Price Out'!A83</f>
        <v xml:space="preserve">64 Gal Toter 1xweek  </v>
      </c>
      <c r="C16" s="271">
        <f>VLOOKUP($B16,'Comm Price Out'!$A$82:$J$131,2,FALSE)</f>
        <v>0</v>
      </c>
      <c r="D16" s="269">
        <f t="shared" si="0"/>
        <v>0</v>
      </c>
      <c r="E16" s="269">
        <f t="shared" ref="E16:E26" si="2">+A16*D16</f>
        <v>0</v>
      </c>
      <c r="F16" s="272">
        <f>VLOOKUP($B16,'Comm Price Out'!$A$82:$J$131,4,FALSE)</f>
        <v>6.97</v>
      </c>
      <c r="G16" s="272">
        <f>VLOOKUP($B16,'Comm Price Out'!$A$9:$J$75,4,FALSE)</f>
        <v>6.21</v>
      </c>
      <c r="H16" s="270">
        <f t="shared" ref="H16:H64" si="3">F16-G16</f>
        <v>0.75999999999999979</v>
      </c>
      <c r="I16" s="199">
        <f t="shared" ref="I16:I64" si="4">H16*D16</f>
        <v>0</v>
      </c>
      <c r="J16" s="199">
        <f t="shared" ref="J16:J64" si="5">D16*K16</f>
        <v>0</v>
      </c>
      <c r="K16" s="520">
        <f t="shared" ref="K16:K27" si="6">$K$5*A16</f>
        <v>1.1510779562317013</v>
      </c>
      <c r="L16" s="200">
        <f t="shared" si="1"/>
        <v>0</v>
      </c>
      <c r="M16" s="201">
        <f t="shared" ref="M16:M64" si="7">J16*12</f>
        <v>0</v>
      </c>
      <c r="N16" s="521">
        <f t="shared" ref="N16:N42" si="8">IF(H16=0,0,K16/H16-1)</f>
        <v>0.51457625819960739</v>
      </c>
      <c r="Q16" s="201"/>
      <c r="R16" s="201"/>
      <c r="T16" s="273"/>
      <c r="U16" s="274"/>
    </row>
    <row r="17" spans="1:21" ht="12" customHeight="1">
      <c r="A17" s="183">
        <v>0.47399999999999998</v>
      </c>
      <c r="B17" s="223" t="str">
        <f>+'Comm Price Out'!A84</f>
        <v>96 Gal Toter 1xweek</v>
      </c>
      <c r="C17" s="271">
        <f>VLOOKUP($B17,'Comm Price Out'!$A$82:$J$131,2,FALSE)</f>
        <v>24</v>
      </c>
      <c r="D17" s="269">
        <f t="shared" si="0"/>
        <v>103.9992</v>
      </c>
      <c r="E17" s="269">
        <f t="shared" si="2"/>
        <v>49.295620800000002</v>
      </c>
      <c r="F17" s="272">
        <f>VLOOKUP($B17,'Comm Price Out'!$A$82:$J$131,4,FALSE)</f>
        <v>8.94</v>
      </c>
      <c r="G17" s="272">
        <f>VLOOKUP($B17,'Comm Price Out'!$A$9:$J$75,4,FALSE)</f>
        <v>7.79</v>
      </c>
      <c r="H17" s="270">
        <f t="shared" si="3"/>
        <v>1.1499999999999995</v>
      </c>
      <c r="I17" s="199">
        <f t="shared" si="4"/>
        <v>119.59907999999994</v>
      </c>
      <c r="J17" s="199">
        <f t="shared" si="5"/>
        <v>179.56677987859791</v>
      </c>
      <c r="K17" s="520">
        <f t="shared" si="6"/>
        <v>1.7266169343475519</v>
      </c>
      <c r="L17" s="200">
        <f t="shared" si="1"/>
        <v>1435.1889599999993</v>
      </c>
      <c r="M17" s="201">
        <f t="shared" si="7"/>
        <v>2154.801358543175</v>
      </c>
      <c r="N17" s="521">
        <f t="shared" si="8"/>
        <v>0.50140602986743721</v>
      </c>
      <c r="Q17" s="201"/>
      <c r="R17" s="201"/>
      <c r="T17" s="273"/>
      <c r="U17" s="274"/>
    </row>
    <row r="18" spans="1:21" ht="12" customHeight="1">
      <c r="A18" s="183">
        <v>1</v>
      </c>
      <c r="B18" s="223" t="str">
        <f>+'Comm Price Out'!A85</f>
        <v>1 yd  On Call</v>
      </c>
      <c r="C18" s="271">
        <f>VLOOKUP($B18,'Comm Price Out'!$A$82:$J$131,2,FALSE)</f>
        <v>0</v>
      </c>
      <c r="D18" s="269">
        <f t="shared" si="0"/>
        <v>0</v>
      </c>
      <c r="E18" s="269">
        <f>+A18*D18</f>
        <v>0</v>
      </c>
      <c r="F18" s="272">
        <f>VLOOKUP($B18,'Comm Price Out'!$A$82:$J$131,4,FALSE)</f>
        <v>22</v>
      </c>
      <c r="G18" s="272">
        <f>VLOOKUP($B18,'Comm Price Out'!$A$9:$J$75,4,FALSE)</f>
        <v>19.62</v>
      </c>
      <c r="H18" s="270">
        <f>F18-G18</f>
        <v>2.379999999999999</v>
      </c>
      <c r="I18" s="199">
        <f>H18*D18</f>
        <v>0</v>
      </c>
      <c r="J18" s="199">
        <f>D18*K18</f>
        <v>0</v>
      </c>
      <c r="K18" s="520">
        <f t="shared" ref="K18:K23" si="9">$K$5*A18</f>
        <v>3.6426517602269031</v>
      </c>
      <c r="L18" s="200">
        <f>I18*12</f>
        <v>0</v>
      </c>
      <c r="M18" s="201">
        <f>J18*12</f>
        <v>0</v>
      </c>
      <c r="N18" s="521">
        <f>IF(H18=0,0,K18/H18-1)</f>
        <v>0.53052594967516997</v>
      </c>
      <c r="Q18" s="201"/>
      <c r="R18" s="201"/>
      <c r="T18" s="273"/>
      <c r="U18" s="274"/>
    </row>
    <row r="19" spans="1:21" ht="12" customHeight="1">
      <c r="A19" s="183">
        <v>1</v>
      </c>
      <c r="B19" s="223" t="str">
        <f>+'Comm Price Out'!A86</f>
        <v>1 yd  1xweek</v>
      </c>
      <c r="C19" s="271">
        <f>VLOOKUP($B19,'Comm Price Out'!$A$82:$J$131,2,FALSE)</f>
        <v>4</v>
      </c>
      <c r="D19" s="269">
        <f t="shared" si="0"/>
        <v>17.333200000000001</v>
      </c>
      <c r="E19" s="269">
        <f t="shared" si="2"/>
        <v>17.333200000000001</v>
      </c>
      <c r="F19" s="272">
        <f>VLOOKUP($B19,'Comm Price Out'!$A$82:$J$131,4,FALSE)</f>
        <v>18.54</v>
      </c>
      <c r="G19" s="272">
        <f>VLOOKUP($B19,'Comm Price Out'!$A$9:$J$75,4,FALSE)</f>
        <v>16.16</v>
      </c>
      <c r="H19" s="270">
        <f t="shared" si="3"/>
        <v>2.379999999999999</v>
      </c>
      <c r="I19" s="199">
        <f t="shared" si="4"/>
        <v>41.253015999999988</v>
      </c>
      <c r="J19" s="199">
        <f t="shared" si="5"/>
        <v>63.138811490364965</v>
      </c>
      <c r="K19" s="520">
        <f t="shared" si="9"/>
        <v>3.6426517602269031</v>
      </c>
      <c r="L19" s="200">
        <f t="shared" si="1"/>
        <v>495.03619199999986</v>
      </c>
      <c r="M19" s="201">
        <f t="shared" si="7"/>
        <v>757.66573788437961</v>
      </c>
      <c r="N19" s="521">
        <f t="shared" si="8"/>
        <v>0.53052594967516997</v>
      </c>
      <c r="Q19" s="201"/>
      <c r="R19" s="201"/>
      <c r="T19" s="273"/>
      <c r="U19" s="274"/>
    </row>
    <row r="20" spans="1:21" ht="12" customHeight="1">
      <c r="A20" s="183">
        <v>1.25</v>
      </c>
      <c r="B20" s="223" t="str">
        <f>+'Comm Price Out'!A87</f>
        <v>1.25 yd on call</v>
      </c>
      <c r="C20" s="271">
        <f>VLOOKUP($B20,'Comm Price Out'!$A$82:$J$131,2,FALSE)</f>
        <v>0</v>
      </c>
      <c r="D20" s="269">
        <f t="shared" si="0"/>
        <v>0</v>
      </c>
      <c r="E20" s="269">
        <f t="shared" si="2"/>
        <v>0</v>
      </c>
      <c r="F20" s="1041">
        <f>VLOOKUP($B20,'Comm Price Out'!$A$76:$J$120,4,FALSE)</f>
        <v>22.03</v>
      </c>
      <c r="G20" s="1041">
        <f>VLOOKUP($B20,'Comm Price Out'!$A$9:$J$69,4,FALSE)</f>
        <v>22.74</v>
      </c>
      <c r="H20" s="270">
        <f>F20-G20</f>
        <v>-0.7099999999999973</v>
      </c>
      <c r="I20" s="199">
        <f>H20*D20</f>
        <v>0</v>
      </c>
      <c r="J20" s="199">
        <f>D20*K20</f>
        <v>0</v>
      </c>
      <c r="K20" s="1042">
        <f t="shared" si="9"/>
        <v>4.5533147002836287</v>
      </c>
      <c r="L20" s="200">
        <f t="shared" si="1"/>
        <v>0</v>
      </c>
      <c r="M20" s="201">
        <f t="shared" si="1"/>
        <v>0</v>
      </c>
      <c r="N20" s="1043">
        <f>IF(H20=0,0,K20/H20-1)</f>
        <v>-7.4131192961741492</v>
      </c>
      <c r="Q20" s="201"/>
    </row>
    <row r="21" spans="1:21" ht="12" customHeight="1">
      <c r="A21" s="183">
        <v>1.25</v>
      </c>
      <c r="B21" s="223" t="str">
        <f>+'Comm Price Out'!A88</f>
        <v>1.25 yd 1xweek</v>
      </c>
      <c r="C21" s="271">
        <f>VLOOKUP($B21,'Comm Price Out'!$A$82:$J$131,2,FALSE)</f>
        <v>4</v>
      </c>
      <c r="D21" s="269">
        <f t="shared" si="0"/>
        <v>17.333200000000001</v>
      </c>
      <c r="E21" s="269">
        <f t="shared" si="2"/>
        <v>21.666500000000003</v>
      </c>
      <c r="F21" s="1041">
        <f>VLOOKUP($B21,'Comm Price Out'!$A$76:$J$120,4,FALSE)</f>
        <v>22.03</v>
      </c>
      <c r="G21" s="1041">
        <f>VLOOKUP($B21,'Comm Price Out'!$A$9:$J$69,4,FALSE)</f>
        <v>19.05</v>
      </c>
      <c r="H21" s="270">
        <f>F21-G21</f>
        <v>2.9800000000000004</v>
      </c>
      <c r="I21" s="199">
        <f>H21*D21</f>
        <v>51.652936000000011</v>
      </c>
      <c r="J21" s="199">
        <f>D21*K21</f>
        <v>78.923514362956197</v>
      </c>
      <c r="K21" s="1042">
        <f t="shared" si="9"/>
        <v>4.5533147002836287</v>
      </c>
      <c r="L21" s="200">
        <f t="shared" si="1"/>
        <v>619.83523200000013</v>
      </c>
      <c r="M21" s="201">
        <f t="shared" si="1"/>
        <v>947.08217235547431</v>
      </c>
      <c r="N21" s="1043">
        <f>IF(H21=0,0,K21/H21-1)</f>
        <v>0.52795795311531135</v>
      </c>
    </row>
    <row r="22" spans="1:21" ht="12" customHeight="1">
      <c r="A22" s="183">
        <v>1.25</v>
      </c>
      <c r="B22" s="223" t="str">
        <f>+'Comm Price Out'!A89</f>
        <v>1.25 yd 2xweek</v>
      </c>
      <c r="C22" s="271">
        <f>VLOOKUP($B22,'Comm Price Out'!$A$82:$J$131,2,FALSE)</f>
        <v>1</v>
      </c>
      <c r="D22" s="269">
        <f>C22*4.3333*2</f>
        <v>8.6666000000000007</v>
      </c>
      <c r="E22" s="269">
        <f t="shared" si="2"/>
        <v>10.833250000000001</v>
      </c>
      <c r="F22" s="1041">
        <f>VLOOKUP($B22,'Comm Price Out'!$A$76:$J$120,4,FALSE)</f>
        <v>22.03</v>
      </c>
      <c r="G22" s="1041">
        <f>VLOOKUP($B22,'Comm Price Out'!$A$9:$J$69,4,FALSE)</f>
        <v>19.05</v>
      </c>
      <c r="H22" s="270">
        <f>F22-G22</f>
        <v>2.9800000000000004</v>
      </c>
      <c r="I22" s="199">
        <f>H22*D22</f>
        <v>25.826468000000006</v>
      </c>
      <c r="J22" s="199">
        <f>D22*K22</f>
        <v>39.461757181478099</v>
      </c>
      <c r="K22" s="1042">
        <f t="shared" si="9"/>
        <v>4.5533147002836287</v>
      </c>
      <c r="L22" s="200">
        <f t="shared" si="1"/>
        <v>309.91761600000007</v>
      </c>
      <c r="M22" s="201">
        <f t="shared" si="1"/>
        <v>473.54108617773716</v>
      </c>
      <c r="N22" s="1043">
        <f>IF(H22=0,0,K22/H22-1)</f>
        <v>0.52795795311531135</v>
      </c>
    </row>
    <row r="23" spans="1:21" ht="12" customHeight="1">
      <c r="A23" s="183">
        <v>1.25</v>
      </c>
      <c r="B23" s="223" t="str">
        <f>+'Comm Price Out'!A90</f>
        <v>1.25 yd 3xweek</v>
      </c>
      <c r="C23" s="271">
        <f>VLOOKUP($B23,'Comm Price Out'!$A$82:$J$131,2,FALSE)</f>
        <v>0</v>
      </c>
      <c r="D23" s="269">
        <f>C23*4.3333*3</f>
        <v>0</v>
      </c>
      <c r="E23" s="269">
        <f t="shared" si="2"/>
        <v>0</v>
      </c>
      <c r="F23" s="1041">
        <f>VLOOKUP($B23,'Comm Price Out'!$A$76:$J$120,4,FALSE)</f>
        <v>22.03</v>
      </c>
      <c r="G23" s="1041">
        <f>VLOOKUP($B23,'Comm Price Out'!$A$9:$J$69,4,FALSE)</f>
        <v>19.05</v>
      </c>
      <c r="H23" s="270">
        <f>F23-G23</f>
        <v>2.9800000000000004</v>
      </c>
      <c r="I23" s="199">
        <f>H23*D23</f>
        <v>0</v>
      </c>
      <c r="J23" s="199">
        <f>D23*K23</f>
        <v>0</v>
      </c>
      <c r="K23" s="1042">
        <f t="shared" si="9"/>
        <v>4.5533147002836287</v>
      </c>
      <c r="L23" s="200">
        <f t="shared" si="1"/>
        <v>0</v>
      </c>
      <c r="M23" s="201">
        <f t="shared" si="1"/>
        <v>0</v>
      </c>
      <c r="N23" s="1043">
        <f>IF(H23=0,0,K23/H23-1)</f>
        <v>0.52795795311531135</v>
      </c>
    </row>
    <row r="24" spans="1:21" ht="12" customHeight="1">
      <c r="A24" s="183">
        <v>1.5</v>
      </c>
      <c r="B24" s="223" t="str">
        <f>+'Comm Price Out'!A91</f>
        <v>1.5 yd on call</v>
      </c>
      <c r="C24" s="271">
        <f>VLOOKUP($B24,'Comm Price Out'!$A$82:$J$131,2,FALSE)</f>
        <v>0</v>
      </c>
      <c r="D24" s="269">
        <f>C24*4.3333</f>
        <v>0</v>
      </c>
      <c r="E24" s="269">
        <f t="shared" si="2"/>
        <v>0</v>
      </c>
      <c r="F24" s="272">
        <f>VLOOKUP($B24,'Comm Price Out'!$A$82:$J$131,4,FALSE)</f>
        <v>0</v>
      </c>
      <c r="G24" s="272">
        <f>VLOOKUP($B24,'Comm Price Out'!$A$9:$J$75,4,FALSE)</f>
        <v>0</v>
      </c>
      <c r="H24" s="270">
        <f t="shared" si="3"/>
        <v>0</v>
      </c>
      <c r="I24" s="199">
        <f t="shared" si="4"/>
        <v>0</v>
      </c>
      <c r="J24" s="199">
        <f t="shared" si="5"/>
        <v>0</v>
      </c>
      <c r="K24" s="520">
        <f t="shared" si="6"/>
        <v>5.4639776403403548</v>
      </c>
      <c r="L24" s="200">
        <f t="shared" si="1"/>
        <v>0</v>
      </c>
      <c r="M24" s="201">
        <f t="shared" si="7"/>
        <v>0</v>
      </c>
      <c r="N24" s="521">
        <f t="shared" si="8"/>
        <v>0</v>
      </c>
      <c r="Q24" s="201"/>
    </row>
    <row r="25" spans="1:21" ht="12" customHeight="1">
      <c r="A25" s="183">
        <v>1.5</v>
      </c>
      <c r="B25" s="223" t="str">
        <f>+'Comm Price Out'!A92</f>
        <v>1.5 yd 1xweek</v>
      </c>
      <c r="C25" s="271">
        <f>VLOOKUP($B25,'Comm Price Out'!$A$82:$J$131,2,FALSE)</f>
        <v>0</v>
      </c>
      <c r="D25" s="269">
        <f>C25*4.3333</f>
        <v>0</v>
      </c>
      <c r="E25" s="269">
        <f t="shared" si="2"/>
        <v>0</v>
      </c>
      <c r="F25" s="272">
        <f>VLOOKUP($B25,'Comm Price Out'!$A$82:$J$131,4,FALSE)</f>
        <v>0</v>
      </c>
      <c r="G25" s="272">
        <f>VLOOKUP($B25,'Comm Price Out'!$A$9:$J$75,4,FALSE)</f>
        <v>0</v>
      </c>
      <c r="H25" s="270">
        <f t="shared" si="3"/>
        <v>0</v>
      </c>
      <c r="I25" s="199">
        <f t="shared" si="4"/>
        <v>0</v>
      </c>
      <c r="J25" s="199">
        <f t="shared" si="5"/>
        <v>0</v>
      </c>
      <c r="K25" s="520">
        <f t="shared" si="6"/>
        <v>5.4639776403403548</v>
      </c>
      <c r="L25" s="200">
        <f t="shared" si="1"/>
        <v>0</v>
      </c>
      <c r="M25" s="201">
        <f t="shared" si="7"/>
        <v>0</v>
      </c>
      <c r="N25" s="521">
        <f t="shared" si="8"/>
        <v>0</v>
      </c>
    </row>
    <row r="26" spans="1:21" ht="12" customHeight="1">
      <c r="A26" s="183">
        <v>1.5</v>
      </c>
      <c r="B26" s="223" t="str">
        <f>+'Comm Price Out'!A93</f>
        <v>1.5 yd 2xweek</v>
      </c>
      <c r="C26" s="271">
        <f>VLOOKUP($B26,'Comm Price Out'!$A$82:$J$131,2,FALSE)</f>
        <v>0</v>
      </c>
      <c r="D26" s="269">
        <f>C26*4.3333*2</f>
        <v>0</v>
      </c>
      <c r="E26" s="269">
        <f t="shared" si="2"/>
        <v>0</v>
      </c>
      <c r="F26" s="272">
        <f>VLOOKUP($B26,'Comm Price Out'!$A$82:$J$131,4,FALSE)</f>
        <v>0</v>
      </c>
      <c r="G26" s="272">
        <f>VLOOKUP($B26,'Comm Price Out'!$A$9:$J$75,4,FALSE)</f>
        <v>0</v>
      </c>
      <c r="H26" s="270">
        <f t="shared" si="3"/>
        <v>0</v>
      </c>
      <c r="I26" s="199">
        <f t="shared" si="4"/>
        <v>0</v>
      </c>
      <c r="J26" s="199">
        <f t="shared" si="5"/>
        <v>0</v>
      </c>
      <c r="K26" s="520">
        <f t="shared" si="6"/>
        <v>5.4639776403403548</v>
      </c>
      <c r="L26" s="200">
        <f t="shared" si="1"/>
        <v>0</v>
      </c>
      <c r="M26" s="201">
        <f t="shared" si="7"/>
        <v>0</v>
      </c>
      <c r="N26" s="521">
        <f t="shared" si="8"/>
        <v>0</v>
      </c>
    </row>
    <row r="27" spans="1:21" ht="12" customHeight="1">
      <c r="A27" s="183">
        <v>1.5</v>
      </c>
      <c r="B27" s="223" t="str">
        <f>+'Comm Price Out'!A94</f>
        <v>1.5 yd 3xweek</v>
      </c>
      <c r="C27" s="271">
        <f>VLOOKUP($B27,'Comm Price Out'!$A$82:$J$131,2,FALSE)</f>
        <v>0</v>
      </c>
      <c r="D27" s="269">
        <f>C27*4.3333*3</f>
        <v>0</v>
      </c>
      <c r="E27" s="269">
        <f t="shared" ref="E27:E64" si="10">+A27*D27</f>
        <v>0</v>
      </c>
      <c r="F27" s="272">
        <f>VLOOKUP($B27,'Comm Price Out'!$A$82:$J$131,4,FALSE)</f>
        <v>0</v>
      </c>
      <c r="G27" s="272">
        <f>VLOOKUP($B27,'Comm Price Out'!$A$9:$J$75,4,FALSE)</f>
        <v>0</v>
      </c>
      <c r="H27" s="270">
        <f t="shared" si="3"/>
        <v>0</v>
      </c>
      <c r="I27" s="199">
        <f t="shared" si="4"/>
        <v>0</v>
      </c>
      <c r="J27" s="199">
        <f t="shared" si="5"/>
        <v>0</v>
      </c>
      <c r="K27" s="520">
        <f t="shared" si="6"/>
        <v>5.4639776403403548</v>
      </c>
      <c r="L27" s="200">
        <f t="shared" si="1"/>
        <v>0</v>
      </c>
      <c r="M27" s="201">
        <f t="shared" si="7"/>
        <v>0</v>
      </c>
      <c r="N27" s="521">
        <f t="shared" si="8"/>
        <v>0</v>
      </c>
    </row>
    <row r="28" spans="1:21" ht="12" customHeight="1">
      <c r="A28" s="183">
        <v>2</v>
      </c>
      <c r="B28" s="223" t="str">
        <f>+'Comm Price Out'!A95</f>
        <v>2 yd Comp Week</v>
      </c>
      <c r="C28" s="271">
        <f>VLOOKUP($B28,'Comm Price Out'!$A$82:$J$131,2,FALSE)</f>
        <v>0</v>
      </c>
      <c r="D28" s="269">
        <f>C28*4.3333</f>
        <v>0</v>
      </c>
      <c r="E28" s="269">
        <f>+A28*D28*5</f>
        <v>0</v>
      </c>
      <c r="F28" s="272">
        <f>VLOOKUP($B28,'Comm Price Out'!$A$82:$J$131,4,FALSE)</f>
        <v>0</v>
      </c>
      <c r="G28" s="272">
        <f>VLOOKUP($B28,'Comm Price Out'!$A$9:$J$75,4,FALSE)</f>
        <v>0</v>
      </c>
      <c r="H28" s="270">
        <f>F28-G28</f>
        <v>0</v>
      </c>
      <c r="I28" s="199">
        <f>H28*D28</f>
        <v>0</v>
      </c>
      <c r="J28" s="199">
        <f>D28*K28</f>
        <v>0</v>
      </c>
      <c r="K28" s="520">
        <f>$K$5*A28*O2</f>
        <v>25.49856232158832</v>
      </c>
      <c r="L28" s="200">
        <f>I28*12</f>
        <v>0</v>
      </c>
      <c r="M28" s="201">
        <f>J28*12</f>
        <v>0</v>
      </c>
      <c r="N28" s="521">
        <f>IF(H28=0,0,K28/H28-1)</f>
        <v>0</v>
      </c>
    </row>
    <row r="29" spans="1:21" ht="12" customHeight="1">
      <c r="A29" s="183">
        <v>2</v>
      </c>
      <c r="B29" s="223" t="str">
        <f>+'Comm Price Out'!A96</f>
        <v>2 yd Comp Week (5x Comp)</v>
      </c>
      <c r="C29" s="271">
        <f>VLOOKUP($B29,'Comm Price Out'!$A$82:$J$131,2,FALSE)</f>
        <v>0</v>
      </c>
      <c r="D29" s="269">
        <f>C29*4.3333</f>
        <v>0</v>
      </c>
      <c r="E29" s="269">
        <f>+A29*D29*5</f>
        <v>0</v>
      </c>
      <c r="F29" s="272">
        <f>VLOOKUP($B29,'Comm Price Out'!$A$82:$J$131,4,FALSE)</f>
        <v>0</v>
      </c>
      <c r="G29" s="272">
        <f>VLOOKUP($B29,'Comm Price Out'!$A$9:$J$75,4,FALSE)</f>
        <v>0</v>
      </c>
      <c r="H29" s="270">
        <f>F29-G29</f>
        <v>0</v>
      </c>
      <c r="I29" s="199">
        <f t="shared" si="4"/>
        <v>0</v>
      </c>
      <c r="J29" s="199">
        <f t="shared" si="5"/>
        <v>0</v>
      </c>
      <c r="K29" s="520">
        <f>$K$5*A29*O3</f>
        <v>36.42651760226903</v>
      </c>
      <c r="L29" s="200">
        <f t="shared" si="1"/>
        <v>0</v>
      </c>
      <c r="M29" s="201">
        <f t="shared" si="7"/>
        <v>0</v>
      </c>
      <c r="N29" s="521">
        <f t="shared" si="8"/>
        <v>0</v>
      </c>
    </row>
    <row r="30" spans="1:21" ht="12" customHeight="1">
      <c r="A30" s="183">
        <v>2</v>
      </c>
      <c r="B30" s="223" t="str">
        <f>+'Comm Price Out'!A97</f>
        <v>2yd On Call</v>
      </c>
      <c r="C30" s="271">
        <f>VLOOKUP($B30,'Comm Price Out'!$A$82:$J$131,2,FALSE)</f>
        <v>0</v>
      </c>
      <c r="D30" s="269">
        <f>C30*4.3333</f>
        <v>0</v>
      </c>
      <c r="E30" s="269">
        <f t="shared" si="10"/>
        <v>0</v>
      </c>
      <c r="F30" s="272">
        <f>VLOOKUP($B30,'Comm Price Out'!$A$82:$J$131,4,FALSE)</f>
        <v>38.24</v>
      </c>
      <c r="G30" s="272">
        <f>VLOOKUP($B30,'Comm Price Out'!$A$9:$J$75,4,FALSE)</f>
        <v>33.47</v>
      </c>
      <c r="H30" s="270">
        <f t="shared" si="3"/>
        <v>4.7700000000000031</v>
      </c>
      <c r="I30" s="199">
        <f t="shared" si="4"/>
        <v>0</v>
      </c>
      <c r="J30" s="199">
        <f t="shared" si="5"/>
        <v>0</v>
      </c>
      <c r="K30" s="520">
        <f t="shared" ref="K30:K36" si="11">$K$5*A30</f>
        <v>7.2853035204538061</v>
      </c>
      <c r="L30" s="200">
        <f t="shared" si="1"/>
        <v>0</v>
      </c>
      <c r="M30" s="201">
        <f t="shared" si="7"/>
        <v>0</v>
      </c>
      <c r="N30" s="521">
        <f t="shared" si="8"/>
        <v>0.52731729988549292</v>
      </c>
    </row>
    <row r="31" spans="1:21" ht="12" customHeight="1">
      <c r="A31" s="183">
        <v>2</v>
      </c>
      <c r="B31" s="223" t="str">
        <f>+'Comm Price Out'!A98</f>
        <v>2 yd 1xweek</v>
      </c>
      <c r="C31" s="271">
        <f>VLOOKUP($B31,'Comm Price Out'!$A$82:$J$131,2,FALSE)</f>
        <v>14</v>
      </c>
      <c r="D31" s="269">
        <f>C31*4.3333</f>
        <v>60.666200000000003</v>
      </c>
      <c r="E31" s="269">
        <f t="shared" si="10"/>
        <v>121.33240000000001</v>
      </c>
      <c r="F31" s="272">
        <f>VLOOKUP($B31,'Comm Price Out'!$A$82:$J$131,4,FALSE)</f>
        <v>34.200000000000003</v>
      </c>
      <c r="G31" s="272">
        <f>VLOOKUP($B31,'Comm Price Out'!$A$9:$J$75,4,FALSE)</f>
        <v>29.44</v>
      </c>
      <c r="H31" s="270">
        <f t="shared" si="3"/>
        <v>4.7600000000000016</v>
      </c>
      <c r="I31" s="199">
        <f t="shared" si="4"/>
        <v>288.77111200000013</v>
      </c>
      <c r="J31" s="199">
        <f t="shared" si="5"/>
        <v>441.97168043255471</v>
      </c>
      <c r="K31" s="520">
        <f t="shared" si="11"/>
        <v>7.2853035204538061</v>
      </c>
      <c r="L31" s="200">
        <f t="shared" si="1"/>
        <v>3465.2533440000016</v>
      </c>
      <c r="M31" s="201">
        <f t="shared" si="7"/>
        <v>5303.6601651906567</v>
      </c>
      <c r="N31" s="521">
        <f t="shared" si="8"/>
        <v>0.53052594967516886</v>
      </c>
    </row>
    <row r="32" spans="1:21" ht="12" customHeight="1">
      <c r="A32" s="183">
        <v>2</v>
      </c>
      <c r="B32" s="223" t="str">
        <f>+'Comm Price Out'!A99</f>
        <v>2 yd 2xweek</v>
      </c>
      <c r="C32" s="271">
        <f>VLOOKUP($B32,'Comm Price Out'!$A$82:$J$131,2,FALSE)</f>
        <v>1</v>
      </c>
      <c r="D32" s="269">
        <f>C32*4.3333*2</f>
        <v>8.6666000000000007</v>
      </c>
      <c r="E32" s="269">
        <f t="shared" si="10"/>
        <v>17.333200000000001</v>
      </c>
      <c r="F32" s="272">
        <f>VLOOKUP($B32,'Comm Price Out'!$A$82:$J$131,4,FALSE)</f>
        <v>34.200000000000003</v>
      </c>
      <c r="G32" s="272">
        <f>VLOOKUP($B32,'Comm Price Out'!$A$9:$J$75,4,FALSE)</f>
        <v>29.44</v>
      </c>
      <c r="H32" s="270">
        <f t="shared" si="3"/>
        <v>4.7600000000000016</v>
      </c>
      <c r="I32" s="199">
        <f t="shared" si="4"/>
        <v>41.253016000000017</v>
      </c>
      <c r="J32" s="199">
        <f t="shared" si="5"/>
        <v>63.138811490364965</v>
      </c>
      <c r="K32" s="520">
        <f t="shared" si="11"/>
        <v>7.2853035204538061</v>
      </c>
      <c r="L32" s="200">
        <f t="shared" si="1"/>
        <v>495.0361920000002</v>
      </c>
      <c r="M32" s="201">
        <f t="shared" si="7"/>
        <v>757.66573788437961</v>
      </c>
      <c r="N32" s="521">
        <f t="shared" si="8"/>
        <v>0.53052594967516886</v>
      </c>
    </row>
    <row r="33" spans="1:14" ht="12" customHeight="1">
      <c r="A33" s="183">
        <v>2</v>
      </c>
      <c r="B33" s="223" t="str">
        <f>+'Comm Price Out'!A100</f>
        <v>2 yd 3xweek</v>
      </c>
      <c r="C33" s="271">
        <f>VLOOKUP($B33,'Comm Price Out'!$A$82:$J$131,2,FALSE)</f>
        <v>0</v>
      </c>
      <c r="D33" s="269">
        <f>C33*4.3333*3</f>
        <v>0</v>
      </c>
      <c r="E33" s="269">
        <f t="shared" si="10"/>
        <v>0</v>
      </c>
      <c r="F33" s="272">
        <f>VLOOKUP($B33,'Comm Price Out'!$A$82:$J$131,4,FALSE)</f>
        <v>34.200000000000003</v>
      </c>
      <c r="G33" s="272">
        <f>VLOOKUP($B33,'Comm Price Out'!$A$9:$J$75,4,FALSE)</f>
        <v>29.44</v>
      </c>
      <c r="H33" s="270">
        <f>F33-G33</f>
        <v>4.7600000000000016</v>
      </c>
      <c r="I33" s="199">
        <f t="shared" si="4"/>
        <v>0</v>
      </c>
      <c r="J33" s="199">
        <f t="shared" si="5"/>
        <v>0</v>
      </c>
      <c r="K33" s="520">
        <f t="shared" si="11"/>
        <v>7.2853035204538061</v>
      </c>
      <c r="L33" s="200">
        <f t="shared" ref="L33:L64" si="12">I33*12</f>
        <v>0</v>
      </c>
      <c r="M33" s="201">
        <f t="shared" si="7"/>
        <v>0</v>
      </c>
      <c r="N33" s="521">
        <f t="shared" si="8"/>
        <v>0.53052594967516886</v>
      </c>
    </row>
    <row r="34" spans="1:14" ht="12" customHeight="1">
      <c r="A34" s="183">
        <v>2</v>
      </c>
      <c r="B34" s="223" t="str">
        <f>+'Comm Price Out'!A101</f>
        <v>2 yd 4xweek</v>
      </c>
      <c r="C34" s="271">
        <f>VLOOKUP($B34,'Comm Price Out'!$A$82:$J$131,2,FALSE)</f>
        <v>0</v>
      </c>
      <c r="D34" s="269">
        <f>C34*4.3333*4</f>
        <v>0</v>
      </c>
      <c r="E34" s="269">
        <f>+A34*D34</f>
        <v>0</v>
      </c>
      <c r="F34" s="272">
        <f>VLOOKUP($B34,'Comm Price Out'!$A$82:$J$131,4,FALSE)</f>
        <v>34.200000000000003</v>
      </c>
      <c r="G34" s="272">
        <f>VLOOKUP($B34,'Comm Price Out'!$A$9:$J$75,4,FALSE)</f>
        <v>29.44</v>
      </c>
      <c r="H34" s="270">
        <f>F34-G34</f>
        <v>4.7600000000000016</v>
      </c>
      <c r="I34" s="199">
        <f>H34*D34</f>
        <v>0</v>
      </c>
      <c r="J34" s="199">
        <f>D34*K34</f>
        <v>0</v>
      </c>
      <c r="K34" s="520">
        <f t="shared" si="11"/>
        <v>7.2853035204538061</v>
      </c>
      <c r="L34" s="200">
        <f>I34*12</f>
        <v>0</v>
      </c>
      <c r="M34" s="201">
        <f>J34*12</f>
        <v>0</v>
      </c>
      <c r="N34" s="521">
        <f t="shared" si="8"/>
        <v>0.53052594967516886</v>
      </c>
    </row>
    <row r="35" spans="1:14" ht="12" customHeight="1">
      <c r="A35" s="183">
        <v>2</v>
      </c>
      <c r="B35" s="223" t="str">
        <f>+'Comm Price Out'!A102</f>
        <v>2 yd 5xweek</v>
      </c>
      <c r="C35" s="271">
        <f>VLOOKUP($B35,'Comm Price Out'!$A$82:$J$131,2,FALSE)</f>
        <v>0</v>
      </c>
      <c r="D35" s="269">
        <f>C35*4.3333*5</f>
        <v>0</v>
      </c>
      <c r="E35" s="269">
        <f>+A35*D35</f>
        <v>0</v>
      </c>
      <c r="F35" s="272">
        <f>VLOOKUP($B35,'Comm Price Out'!$A$82:$J$131,4,FALSE)</f>
        <v>34.200000000000003</v>
      </c>
      <c r="G35" s="272">
        <f>VLOOKUP($B35,'Comm Price Out'!$A$9:$J$75,4,FALSE)</f>
        <v>29.44</v>
      </c>
      <c r="H35" s="270">
        <f>F35-G35</f>
        <v>4.7600000000000016</v>
      </c>
      <c r="I35" s="199">
        <f>H35*D35</f>
        <v>0</v>
      </c>
      <c r="J35" s="199">
        <f>D35*K35</f>
        <v>0</v>
      </c>
      <c r="K35" s="520">
        <f t="shared" si="11"/>
        <v>7.2853035204538061</v>
      </c>
      <c r="L35" s="200">
        <f>I35*12</f>
        <v>0</v>
      </c>
      <c r="M35" s="201">
        <f>J35*12</f>
        <v>0</v>
      </c>
      <c r="N35" s="521">
        <f t="shared" si="8"/>
        <v>0.53052594967516886</v>
      </c>
    </row>
    <row r="36" spans="1:14" ht="12" customHeight="1">
      <c r="A36" s="183">
        <v>2</v>
      </c>
      <c r="B36" s="223" t="str">
        <f>+'Comm Price Out'!A103</f>
        <v>2 yd 6xweek</v>
      </c>
      <c r="C36" s="271">
        <f>VLOOKUP($B36,'Comm Price Out'!$A$82:$J$131,2,FALSE)</f>
        <v>0</v>
      </c>
      <c r="D36" s="269">
        <f>C36*4.3333*6</f>
        <v>0</v>
      </c>
      <c r="E36" s="269">
        <f t="shared" si="10"/>
        <v>0</v>
      </c>
      <c r="F36" s="272">
        <f>VLOOKUP($B36,'Comm Price Out'!$A$82:$J$131,4,FALSE)</f>
        <v>34.200000000000003</v>
      </c>
      <c r="G36" s="272">
        <f>VLOOKUP($B36,'Comm Price Out'!$A$9:$J$75,4,FALSE)</f>
        <v>29.44</v>
      </c>
      <c r="H36" s="270">
        <f t="shared" si="3"/>
        <v>4.7600000000000016</v>
      </c>
      <c r="I36" s="199">
        <f t="shared" si="4"/>
        <v>0</v>
      </c>
      <c r="J36" s="199">
        <f t="shared" si="5"/>
        <v>0</v>
      </c>
      <c r="K36" s="520">
        <f t="shared" si="11"/>
        <v>7.2853035204538061</v>
      </c>
      <c r="L36" s="200">
        <f t="shared" si="12"/>
        <v>0</v>
      </c>
      <c r="M36" s="201">
        <f t="shared" si="7"/>
        <v>0</v>
      </c>
      <c r="N36" s="521">
        <f t="shared" si="8"/>
        <v>0.53052594967516886</v>
      </c>
    </row>
    <row r="37" spans="1:14" ht="12" customHeight="1">
      <c r="A37" s="183">
        <v>3</v>
      </c>
      <c r="B37" s="223" t="str">
        <f>+'Comm Price Out'!A104</f>
        <v>3 yd Comp Week</v>
      </c>
      <c r="C37" s="271">
        <f>VLOOKUP($B37,'Comm Price Out'!$A$82:$J$131,2,FALSE)</f>
        <v>0</v>
      </c>
      <c r="D37" s="269">
        <f>C37*4.3333</f>
        <v>0</v>
      </c>
      <c r="E37" s="269">
        <f>+A37*D37*3.5</f>
        <v>0</v>
      </c>
      <c r="F37" s="272">
        <f>VLOOKUP($B37,'Comm Price Out'!$A$82:$J$131,4,FALSE)</f>
        <v>174.47</v>
      </c>
      <c r="G37" s="272">
        <f>VLOOKUP($B37,'Comm Price Out'!$A$9:$J$75,4,FALSE)</f>
        <v>149.47</v>
      </c>
      <c r="H37" s="270">
        <f t="shared" si="3"/>
        <v>25</v>
      </c>
      <c r="I37" s="199">
        <f t="shared" si="4"/>
        <v>0</v>
      </c>
      <c r="J37" s="199">
        <f t="shared" si="5"/>
        <v>0</v>
      </c>
      <c r="K37" s="520">
        <f>$K$5*A37*O2</f>
        <v>38.247843482382486</v>
      </c>
      <c r="L37" s="200">
        <f t="shared" si="12"/>
        <v>0</v>
      </c>
      <c r="M37" s="201">
        <f t="shared" si="7"/>
        <v>0</v>
      </c>
      <c r="N37" s="521">
        <f t="shared" si="8"/>
        <v>0.5299137392952995</v>
      </c>
    </row>
    <row r="38" spans="1:14" ht="12" customHeight="1">
      <c r="A38" s="183">
        <v>3</v>
      </c>
      <c r="B38" s="223" t="str">
        <f>+'Comm Price Out'!A105</f>
        <v>3 yd Comp Week (5x Comp)</v>
      </c>
      <c r="C38" s="271">
        <f>VLOOKUP($B38,'Comm Price Out'!$A$82:$J$131,2,FALSE)</f>
        <v>0</v>
      </c>
      <c r="D38" s="269">
        <f>C38*4.3333</f>
        <v>0</v>
      </c>
      <c r="E38" s="269">
        <f>+A38*D38*5</f>
        <v>0</v>
      </c>
      <c r="F38" s="272">
        <f>VLOOKUP($B38,'Comm Price Out'!$A$82:$J$131,4,FALSE)</f>
        <v>0</v>
      </c>
      <c r="G38" s="272">
        <f>VLOOKUP($B38,'Comm Price Out'!$A$9:$J$75,4,FALSE)</f>
        <v>156.4</v>
      </c>
      <c r="H38" s="270">
        <f>F38-G38</f>
        <v>-156.4</v>
      </c>
      <c r="I38" s="199">
        <f>H38*D38</f>
        <v>0</v>
      </c>
      <c r="J38" s="199">
        <f>D38*K38</f>
        <v>0</v>
      </c>
      <c r="K38" s="520">
        <f>$K$5*A38*O3</f>
        <v>54.639776403403545</v>
      </c>
      <c r="L38" s="200">
        <f>I38*12</f>
        <v>0</v>
      </c>
      <c r="M38" s="201">
        <f>J38*12</f>
        <v>0</v>
      </c>
      <c r="N38" s="521">
        <f t="shared" si="8"/>
        <v>-1.3493591841649843</v>
      </c>
    </row>
    <row r="39" spans="1:14" ht="12" customHeight="1">
      <c r="A39" s="183">
        <v>3</v>
      </c>
      <c r="B39" s="223" t="str">
        <f>+'Comm Price Out'!A106</f>
        <v>3 yd  On Call</v>
      </c>
      <c r="C39" s="271">
        <f>VLOOKUP($B39,'Comm Price Out'!$A$82:$J$131,2,FALSE)</f>
        <v>0</v>
      </c>
      <c r="D39" s="269">
        <f>C39*4.3333</f>
        <v>0</v>
      </c>
      <c r="E39" s="269">
        <f>+A39*D39</f>
        <v>0</v>
      </c>
      <c r="F39" s="272">
        <f>VLOOKUP($B39,'Comm Price Out'!$A$82:$J$131,4,FALSE)</f>
        <v>53.89</v>
      </c>
      <c r="G39" s="272">
        <f>VLOOKUP($B39,'Comm Price Out'!$A$9:$J$75,4,FALSE)</f>
        <v>46.75</v>
      </c>
      <c r="H39" s="270">
        <f t="shared" si="3"/>
        <v>7.1400000000000006</v>
      </c>
      <c r="I39" s="199">
        <f t="shared" si="4"/>
        <v>0</v>
      </c>
      <c r="J39" s="199">
        <f t="shared" si="5"/>
        <v>0</v>
      </c>
      <c r="K39" s="520">
        <f>$K$5*A39</f>
        <v>10.92795528068071</v>
      </c>
      <c r="L39" s="200">
        <f t="shared" si="12"/>
        <v>0</v>
      </c>
      <c r="M39" s="201">
        <f t="shared" si="7"/>
        <v>0</v>
      </c>
      <c r="N39" s="521">
        <f t="shared" si="8"/>
        <v>0.53052594967516931</v>
      </c>
    </row>
    <row r="40" spans="1:14" ht="12" customHeight="1">
      <c r="A40" s="183">
        <v>3</v>
      </c>
      <c r="B40" s="223" t="str">
        <f>+'Comm Price Out'!A107</f>
        <v>3 yd 1xweek</v>
      </c>
      <c r="C40" s="271">
        <f>VLOOKUP($B40,'Comm Price Out'!$A$82:$J$131,2,FALSE)</f>
        <v>6</v>
      </c>
      <c r="D40" s="269">
        <f>C40*4.3333</f>
        <v>25.9998</v>
      </c>
      <c r="E40" s="269">
        <f t="shared" si="10"/>
        <v>77.999400000000009</v>
      </c>
      <c r="F40" s="272">
        <f>VLOOKUP($B40,'Comm Price Out'!$A$82:$J$131,4,FALSE)</f>
        <v>50.43</v>
      </c>
      <c r="G40" s="272">
        <f>VLOOKUP($B40,'Comm Price Out'!$A$9:$J$75,4,FALSE)</f>
        <v>43.29</v>
      </c>
      <c r="H40" s="270">
        <f t="shared" si="3"/>
        <v>7.1400000000000006</v>
      </c>
      <c r="I40" s="199">
        <f>H40*D40</f>
        <v>185.63857200000001</v>
      </c>
      <c r="J40" s="199">
        <f>D40*K40</f>
        <v>284.12465170664234</v>
      </c>
      <c r="K40" s="520">
        <f>$K$5*A40</f>
        <v>10.92795528068071</v>
      </c>
      <c r="L40" s="200">
        <f>I40*12</f>
        <v>2227.6628639999999</v>
      </c>
      <c r="M40" s="201">
        <f t="shared" si="7"/>
        <v>3409.4958204797081</v>
      </c>
      <c r="N40" s="521">
        <f t="shared" si="8"/>
        <v>0.53052594967516931</v>
      </c>
    </row>
    <row r="41" spans="1:14" ht="12" customHeight="1">
      <c r="A41" s="183">
        <v>3</v>
      </c>
      <c r="B41" s="223" t="str">
        <f>+'Comm Price Out'!A108</f>
        <v>3 yd 2xweek</v>
      </c>
      <c r="C41" s="271">
        <f>VLOOKUP($B41,'Comm Price Out'!$A$82:$J$131,2,FALSE)</f>
        <v>7</v>
      </c>
      <c r="D41" s="269">
        <f>C41*4.3333*2</f>
        <v>60.666200000000003</v>
      </c>
      <c r="E41" s="269">
        <f t="shared" si="10"/>
        <v>181.99860000000001</v>
      </c>
      <c r="F41" s="272">
        <f>VLOOKUP($B41,'Comm Price Out'!$A$82:$J$131,4,FALSE)</f>
        <v>50.43</v>
      </c>
      <c r="G41" s="272">
        <f>VLOOKUP($B41,'Comm Price Out'!$A$9:$J$75,4,FALSE)</f>
        <v>43.29</v>
      </c>
      <c r="H41" s="270">
        <f t="shared" si="3"/>
        <v>7.1400000000000006</v>
      </c>
      <c r="I41" s="199">
        <f t="shared" si="4"/>
        <v>433.15666800000008</v>
      </c>
      <c r="J41" s="199">
        <f t="shared" si="5"/>
        <v>662.95752064883209</v>
      </c>
      <c r="K41" s="520">
        <f>$K$5*A41</f>
        <v>10.92795528068071</v>
      </c>
      <c r="L41" s="200">
        <f t="shared" si="12"/>
        <v>5197.880016000001</v>
      </c>
      <c r="M41" s="201">
        <f t="shared" si="7"/>
        <v>7955.490247785985</v>
      </c>
      <c r="N41" s="521">
        <f t="shared" si="8"/>
        <v>0.53052594967516931</v>
      </c>
    </row>
    <row r="42" spans="1:14" ht="12" customHeight="1">
      <c r="A42" s="183">
        <v>3</v>
      </c>
      <c r="B42" s="223" t="str">
        <f>+'Comm Price Out'!A109</f>
        <v>3 yd 3xweek</v>
      </c>
      <c r="C42" s="271">
        <f>VLOOKUP($B42,'Comm Price Out'!$A$82:$J$131,2,FALSE)</f>
        <v>0</v>
      </c>
      <c r="D42" s="269">
        <f>C42*4.3333*3</f>
        <v>0</v>
      </c>
      <c r="E42" s="269">
        <f t="shared" si="10"/>
        <v>0</v>
      </c>
      <c r="F42" s="272">
        <f>VLOOKUP($B42,'Comm Price Out'!$A$82:$J$131,4,FALSE)</f>
        <v>50.43</v>
      </c>
      <c r="G42" s="272">
        <f>VLOOKUP($B42,'Comm Price Out'!$A$9:$J$75,4,FALSE)</f>
        <v>43.29</v>
      </c>
      <c r="H42" s="270">
        <f t="shared" si="3"/>
        <v>7.1400000000000006</v>
      </c>
      <c r="I42" s="199">
        <f t="shared" si="4"/>
        <v>0</v>
      </c>
      <c r="J42" s="199">
        <f t="shared" si="5"/>
        <v>0</v>
      </c>
      <c r="K42" s="520">
        <f>$K$5*A42</f>
        <v>10.92795528068071</v>
      </c>
      <c r="L42" s="200">
        <f t="shared" si="12"/>
        <v>0</v>
      </c>
      <c r="M42" s="201">
        <f t="shared" si="7"/>
        <v>0</v>
      </c>
      <c r="N42" s="521">
        <f t="shared" si="8"/>
        <v>0.53052594967516931</v>
      </c>
    </row>
    <row r="43" spans="1:14" ht="12" customHeight="1">
      <c r="A43" s="183">
        <v>4</v>
      </c>
      <c r="B43" s="223" t="str">
        <f>+'Comm Price Out'!A110</f>
        <v>4 yd Comp Week</v>
      </c>
      <c r="C43" s="271">
        <f>VLOOKUP($B43,'Comm Price Out'!$A$82:$J$131,2,FALSE)</f>
        <v>0</v>
      </c>
      <c r="D43" s="269">
        <f>C43*4.3333</f>
        <v>0</v>
      </c>
      <c r="E43" s="269">
        <f>+A43*D43*3.5</f>
        <v>0</v>
      </c>
      <c r="F43" s="272">
        <f>VLOOKUP($B43,'Comm Price Out'!$A$82:$J$131,4,FALSE)</f>
        <v>293.77</v>
      </c>
      <c r="G43" s="272">
        <f>VLOOKUP($B43,'Comm Price Out'!$A$9:$J$75,4,FALSE)</f>
        <v>260.44</v>
      </c>
      <c r="H43" s="270">
        <f t="shared" si="3"/>
        <v>33.329999999999984</v>
      </c>
      <c r="I43" s="199">
        <f t="shared" si="4"/>
        <v>0</v>
      </c>
      <c r="J43" s="199">
        <f t="shared" si="5"/>
        <v>0</v>
      </c>
      <c r="K43" s="520">
        <f>$K$5*A43*O2</f>
        <v>50.99712464317664</v>
      </c>
      <c r="L43" s="200">
        <f t="shared" si="12"/>
        <v>0</v>
      </c>
      <c r="M43" s="201">
        <f t="shared" si="7"/>
        <v>0</v>
      </c>
      <c r="N43" s="521">
        <f t="shared" ref="N43:N64" si="13">IF(H43=0,0,K43/H43-1)</f>
        <v>0.53006674596989689</v>
      </c>
    </row>
    <row r="44" spans="1:14" ht="12" customHeight="1">
      <c r="A44" s="183">
        <v>4</v>
      </c>
      <c r="B44" s="223" t="str">
        <f>+'Comm Price Out'!A111</f>
        <v>4 yd Comp Week (5x Comp)</v>
      </c>
      <c r="C44" s="271">
        <f>VLOOKUP($B44,'Comm Price Out'!$A$82:$J$131,2,FALSE)</f>
        <v>0</v>
      </c>
      <c r="D44" s="269">
        <f>C44*4.3333</f>
        <v>0</v>
      </c>
      <c r="E44" s="269">
        <f>+A44*D44*5</f>
        <v>0</v>
      </c>
      <c r="F44" s="272">
        <f>VLOOKUP($B44,'Comm Price Out'!$A$82:$J$131,4,FALSE)</f>
        <v>0</v>
      </c>
      <c r="G44" s="272">
        <f>VLOOKUP($B44,'Comm Price Out'!$A$9:$J$75,4,FALSE)</f>
        <v>208.77</v>
      </c>
      <c r="H44" s="270">
        <f>F44-G44</f>
        <v>-208.77</v>
      </c>
      <c r="I44" s="199">
        <f>H44*D44</f>
        <v>0</v>
      </c>
      <c r="J44" s="199">
        <f>D44*K44</f>
        <v>0</v>
      </c>
      <c r="K44" s="520">
        <f>$K$5*A44*O3</f>
        <v>72.85303520453806</v>
      </c>
      <c r="L44" s="200">
        <f>I44*12</f>
        <v>0</v>
      </c>
      <c r="M44" s="201">
        <f>J44*12</f>
        <v>0</v>
      </c>
      <c r="N44" s="521">
        <f>IF(H44=0,0,K44/H44-1)</f>
        <v>-1.3489631422356567</v>
      </c>
    </row>
    <row r="45" spans="1:14" ht="12" customHeight="1">
      <c r="A45" s="183">
        <v>4</v>
      </c>
      <c r="B45" s="223" t="str">
        <f>+'Comm Price Out'!A112</f>
        <v>4 yd On Call</v>
      </c>
      <c r="C45" s="271">
        <f>VLOOKUP($B45,'Comm Price Out'!$A$82:$J$131,2,FALSE)</f>
        <v>0</v>
      </c>
      <c r="D45" s="269">
        <f>C45*4.3333</f>
        <v>0</v>
      </c>
      <c r="E45" s="269">
        <f t="shared" si="10"/>
        <v>0</v>
      </c>
      <c r="F45" s="272">
        <f>VLOOKUP($B45,'Comm Price Out'!$A$82:$J$131,4,FALSE)</f>
        <v>70.7</v>
      </c>
      <c r="G45" s="272">
        <f>VLOOKUP($B45,'Comm Price Out'!$A$9:$J$75,4,FALSE)</f>
        <v>61.18</v>
      </c>
      <c r="H45" s="270">
        <f t="shared" si="3"/>
        <v>9.5200000000000031</v>
      </c>
      <c r="I45" s="199">
        <f t="shared" si="4"/>
        <v>0</v>
      </c>
      <c r="J45" s="199">
        <f t="shared" si="5"/>
        <v>0</v>
      </c>
      <c r="K45" s="520">
        <f t="shared" ref="K45:K50" si="14">$K$5*A45</f>
        <v>14.570607040907612</v>
      </c>
      <c r="L45" s="200">
        <f t="shared" si="12"/>
        <v>0</v>
      </c>
      <c r="M45" s="201">
        <f t="shared" si="7"/>
        <v>0</v>
      </c>
      <c r="N45" s="521">
        <f t="shared" si="13"/>
        <v>0.53052594967516886</v>
      </c>
    </row>
    <row r="46" spans="1:14" ht="12" customHeight="1">
      <c r="A46" s="183">
        <v>4</v>
      </c>
      <c r="B46" s="223" t="str">
        <f>+'Comm Price Out'!A113</f>
        <v>4 yd 1xweek</v>
      </c>
      <c r="C46" s="271">
        <f>VLOOKUP($B46,'Comm Price Out'!$A$82:$J$131,2,FALSE)</f>
        <v>16</v>
      </c>
      <c r="D46" s="269">
        <f>C46*4.3333</f>
        <v>69.332800000000006</v>
      </c>
      <c r="E46" s="269">
        <f t="shared" si="10"/>
        <v>277.33120000000002</v>
      </c>
      <c r="F46" s="272">
        <f>VLOOKUP($B46,'Comm Price Out'!$A$82:$J$131,4,FALSE)</f>
        <v>64.930000000000007</v>
      </c>
      <c r="G46" s="272">
        <f>VLOOKUP($B46,'Comm Price Out'!$A$9:$J$75,4,FALSE)</f>
        <v>55.41</v>
      </c>
      <c r="H46" s="270">
        <f t="shared" si="3"/>
        <v>9.5200000000000102</v>
      </c>
      <c r="I46" s="199">
        <f t="shared" si="4"/>
        <v>660.04825600000072</v>
      </c>
      <c r="J46" s="199">
        <f t="shared" si="5"/>
        <v>1010.2209838458394</v>
      </c>
      <c r="K46" s="520">
        <f t="shared" si="14"/>
        <v>14.570607040907612</v>
      </c>
      <c r="L46" s="200">
        <f t="shared" si="12"/>
        <v>7920.5790720000086</v>
      </c>
      <c r="M46" s="201">
        <f t="shared" si="7"/>
        <v>12122.651806150074</v>
      </c>
      <c r="N46" s="521">
        <f t="shared" si="13"/>
        <v>0.53052594967516775</v>
      </c>
    </row>
    <row r="47" spans="1:14" ht="12" customHeight="1">
      <c r="A47" s="183">
        <v>4</v>
      </c>
      <c r="B47" s="223" t="str">
        <f>+'Comm Price Out'!A114</f>
        <v>4 yd 2xweek</v>
      </c>
      <c r="C47" s="271">
        <f>VLOOKUP($B47,'Comm Price Out'!$A$82:$J$131,2,FALSE)</f>
        <v>9</v>
      </c>
      <c r="D47" s="269">
        <f>C47*4.3333*2</f>
        <v>77.999400000000009</v>
      </c>
      <c r="E47" s="269">
        <f t="shared" si="10"/>
        <v>311.99760000000003</v>
      </c>
      <c r="F47" s="272">
        <f>VLOOKUP($B47,'Comm Price Out'!$A$82:$J$131,4,FALSE)</f>
        <v>64.930000000000007</v>
      </c>
      <c r="G47" s="272">
        <f>VLOOKUP($B47,'Comm Price Out'!$A$9:$J$75,4,FALSE)</f>
        <v>55.41</v>
      </c>
      <c r="H47" s="270">
        <f t="shared" si="3"/>
        <v>9.5200000000000102</v>
      </c>
      <c r="I47" s="199">
        <f t="shared" ref="I47:I53" si="15">H47*D47</f>
        <v>742.55428800000084</v>
      </c>
      <c r="J47" s="199">
        <f t="shared" si="5"/>
        <v>1136.4986068265694</v>
      </c>
      <c r="K47" s="520">
        <f t="shared" si="14"/>
        <v>14.570607040907612</v>
      </c>
      <c r="L47" s="200">
        <f t="shared" si="12"/>
        <v>8910.6514560000105</v>
      </c>
      <c r="M47" s="201">
        <f t="shared" si="7"/>
        <v>13637.983281918832</v>
      </c>
      <c r="N47" s="521">
        <f t="shared" si="13"/>
        <v>0.53052594967516775</v>
      </c>
    </row>
    <row r="48" spans="1:14" ht="13.5" customHeight="1">
      <c r="A48" s="183">
        <v>4</v>
      </c>
      <c r="B48" s="223" t="str">
        <f>+'Comm Price Out'!A115</f>
        <v>4 yd 3xweek</v>
      </c>
      <c r="C48" s="271">
        <f>VLOOKUP($B48,'Comm Price Out'!$A$82:$J$131,2,FALSE)</f>
        <v>2</v>
      </c>
      <c r="D48" s="269">
        <f>C48*4.3333*2*3</f>
        <v>51.999600000000001</v>
      </c>
      <c r="E48" s="269">
        <f t="shared" si="10"/>
        <v>207.9984</v>
      </c>
      <c r="F48" s="272">
        <f>VLOOKUP($B48,'Comm Price Out'!$A$82:$J$131,4,FALSE)</f>
        <v>64.930000000000007</v>
      </c>
      <c r="G48" s="272">
        <f>VLOOKUP($B48,'Comm Price Out'!$A$9:$J$75,4,FALSE)</f>
        <v>55.41</v>
      </c>
      <c r="H48" s="270">
        <f t="shared" si="3"/>
        <v>9.5200000000000102</v>
      </c>
      <c r="I48" s="199">
        <f t="shared" si="15"/>
        <v>495.03619200000054</v>
      </c>
      <c r="J48" s="199">
        <f t="shared" si="5"/>
        <v>757.6657378843795</v>
      </c>
      <c r="K48" s="520">
        <f t="shared" si="14"/>
        <v>14.570607040907612</v>
      </c>
      <c r="L48" s="200">
        <f t="shared" si="12"/>
        <v>5940.4343040000067</v>
      </c>
      <c r="M48" s="201">
        <f t="shared" si="7"/>
        <v>9091.9888546125549</v>
      </c>
      <c r="N48" s="521">
        <f t="shared" si="13"/>
        <v>0.53052594967516775</v>
      </c>
    </row>
    <row r="49" spans="1:14" ht="12" customHeight="1">
      <c r="A49" s="183">
        <v>4</v>
      </c>
      <c r="B49" s="223" t="str">
        <f>+'Comm Price Out'!A116</f>
        <v>4 yd 4xweek</v>
      </c>
      <c r="C49" s="271">
        <f>VLOOKUP($B49,'Comm Price Out'!$A$82:$J$131,2,FALSE)</f>
        <v>0</v>
      </c>
      <c r="D49" s="269">
        <f>C49*4.3333*4</f>
        <v>0</v>
      </c>
      <c r="E49" s="269">
        <f>+A49*D49</f>
        <v>0</v>
      </c>
      <c r="F49" s="272">
        <f>VLOOKUP($B49,'Comm Price Out'!$A$82:$J$131,4,FALSE)</f>
        <v>64.930000000000007</v>
      </c>
      <c r="G49" s="272">
        <f>VLOOKUP($B49,'Comm Price Out'!$A$9:$J$75,4,FALSE)</f>
        <v>55.41</v>
      </c>
      <c r="H49" s="270">
        <f>F49-G49</f>
        <v>9.5200000000000102</v>
      </c>
      <c r="I49" s="199">
        <f t="shared" si="15"/>
        <v>0</v>
      </c>
      <c r="J49" s="199">
        <f>D49*K49</f>
        <v>0</v>
      </c>
      <c r="K49" s="520">
        <f t="shared" si="14"/>
        <v>14.570607040907612</v>
      </c>
      <c r="L49" s="200">
        <f>I49*12</f>
        <v>0</v>
      </c>
      <c r="M49" s="201">
        <f>J49*12</f>
        <v>0</v>
      </c>
      <c r="N49" s="521">
        <f>IF(H49=0,0,K49/H49-1)</f>
        <v>0.53052594967516775</v>
      </c>
    </row>
    <row r="50" spans="1:14" ht="12" customHeight="1">
      <c r="A50" s="183">
        <v>4</v>
      </c>
      <c r="B50" s="223" t="str">
        <f>+'Comm Price Out'!A117</f>
        <v>4 yd 5xweek</v>
      </c>
      <c r="C50" s="271">
        <f>VLOOKUP($B50,'Comm Price Out'!$A$82:$J$131,2,FALSE)</f>
        <v>0</v>
      </c>
      <c r="D50" s="269">
        <f>C50*4.3333*5</f>
        <v>0</v>
      </c>
      <c r="E50" s="269">
        <f>+A50*D50</f>
        <v>0</v>
      </c>
      <c r="F50" s="272">
        <f>VLOOKUP($B50,'Comm Price Out'!$A$82:$J$131,4,FALSE)</f>
        <v>64.930000000000007</v>
      </c>
      <c r="G50" s="272">
        <f>VLOOKUP($B50,'Comm Price Out'!$A$9:$J$75,4,FALSE)</f>
        <v>55.41</v>
      </c>
      <c r="H50" s="270">
        <f>F50-G50</f>
        <v>9.5200000000000102</v>
      </c>
      <c r="I50" s="199">
        <f t="shared" si="15"/>
        <v>0</v>
      </c>
      <c r="J50" s="199">
        <f>D50*K50</f>
        <v>0</v>
      </c>
      <c r="K50" s="520">
        <f t="shared" si="14"/>
        <v>14.570607040907612</v>
      </c>
      <c r="L50" s="200">
        <f>I50*12</f>
        <v>0</v>
      </c>
      <c r="M50" s="201">
        <f>J50*12</f>
        <v>0</v>
      </c>
      <c r="N50" s="521">
        <f>IF(H50=0,0,K50/H50-1)</f>
        <v>0.53052594967516775</v>
      </c>
    </row>
    <row r="51" spans="1:14" ht="12" customHeight="1">
      <c r="A51" s="183">
        <v>4</v>
      </c>
      <c r="B51" s="223" t="str">
        <f>+'Comm Price Out'!A118</f>
        <v>4 yd 6xweek</v>
      </c>
      <c r="C51" s="271">
        <f>VLOOKUP($B51,'Comm Price Out'!$A$82:$J$131,2,FALSE)</f>
        <v>0</v>
      </c>
      <c r="D51" s="269">
        <f>C51*4.3333*6</f>
        <v>0</v>
      </c>
      <c r="E51" s="269">
        <f t="shared" si="10"/>
        <v>0</v>
      </c>
      <c r="F51" s="272">
        <f>VLOOKUP($B51,'Comm Price Out'!$A$82:$J$131,4,FALSE)</f>
        <v>64.930000000000007</v>
      </c>
      <c r="G51" s="272">
        <f>VLOOKUP($B51,'Comm Price Out'!$A$9:$J$75,4,FALSE)</f>
        <v>55.41</v>
      </c>
      <c r="H51" s="270">
        <f>F51-G51</f>
        <v>9.5200000000000102</v>
      </c>
      <c r="I51" s="199">
        <f>H51*D51</f>
        <v>0</v>
      </c>
      <c r="J51" s="199">
        <f t="shared" si="5"/>
        <v>0</v>
      </c>
      <c r="K51" s="520">
        <f>$K$5*A51</f>
        <v>14.570607040907612</v>
      </c>
      <c r="L51" s="200">
        <f>I51*12</f>
        <v>0</v>
      </c>
      <c r="M51" s="201">
        <f t="shared" si="7"/>
        <v>0</v>
      </c>
      <c r="N51" s="521">
        <f t="shared" si="13"/>
        <v>0.53052594967516775</v>
      </c>
    </row>
    <row r="52" spans="1:14" ht="12" customHeight="1">
      <c r="A52" s="183">
        <v>5</v>
      </c>
      <c r="B52" s="223" t="str">
        <f>+'Comm Price Out'!A119</f>
        <v>5 yd Comp Week</v>
      </c>
      <c r="C52" s="271">
        <f>VLOOKUP($B52,'Comm Price Out'!$A$82:$J$131,2,FALSE)</f>
        <v>0</v>
      </c>
      <c r="D52" s="269">
        <f t="shared" ref="D52:D57" si="16">C52*4.3333</f>
        <v>0</v>
      </c>
      <c r="E52" s="269">
        <f>+A52*D52*3.5</f>
        <v>0</v>
      </c>
      <c r="F52" s="272">
        <f>VLOOKUP($B52,'Comm Price Out'!$A$82:$J$131,4,FALSE)</f>
        <v>0</v>
      </c>
      <c r="G52" s="272">
        <f>VLOOKUP($B52,'Comm Price Out'!$A$9:$J$75,4,FALSE)</f>
        <v>0</v>
      </c>
      <c r="H52" s="270">
        <f t="shared" si="3"/>
        <v>0</v>
      </c>
      <c r="I52" s="199">
        <f t="shared" si="15"/>
        <v>0</v>
      </c>
      <c r="J52" s="199">
        <f t="shared" si="5"/>
        <v>0</v>
      </c>
      <c r="K52" s="520">
        <f>$K$5*A52*3.5</f>
        <v>63.746405803970802</v>
      </c>
      <c r="L52" s="200">
        <f t="shared" si="12"/>
        <v>0</v>
      </c>
      <c r="M52" s="201">
        <f t="shared" si="7"/>
        <v>0</v>
      </c>
      <c r="N52" s="521">
        <f t="shared" si="13"/>
        <v>0</v>
      </c>
    </row>
    <row r="53" spans="1:14" ht="12" customHeight="1">
      <c r="A53" s="183">
        <v>5</v>
      </c>
      <c r="B53" s="223" t="str">
        <f>+'Comm Price Out'!A120</f>
        <v>5 yd Comp Week (5x Comp)</v>
      </c>
      <c r="C53" s="271">
        <f>VLOOKUP($B53,'Comm Price Out'!$A$82:$J$131,2,FALSE)</f>
        <v>0</v>
      </c>
      <c r="D53" s="269">
        <f t="shared" si="16"/>
        <v>0</v>
      </c>
      <c r="E53" s="269">
        <f>+A53*D53*5</f>
        <v>0</v>
      </c>
      <c r="F53" s="272">
        <f>VLOOKUP($B53,'Comm Price Out'!$A$82:$J$131,4,FALSE)</f>
        <v>0</v>
      </c>
      <c r="G53" s="272">
        <f>VLOOKUP($B53,'Comm Price Out'!$A$9:$J$75,4,FALSE)</f>
        <v>0</v>
      </c>
      <c r="H53" s="270">
        <f>F53-G53</f>
        <v>0</v>
      </c>
      <c r="I53" s="199">
        <f t="shared" si="15"/>
        <v>0</v>
      </c>
      <c r="J53" s="199">
        <f>D53*K53</f>
        <v>0</v>
      </c>
      <c r="K53" s="520">
        <f>$K$5*A53*5</f>
        <v>91.066294005672574</v>
      </c>
      <c r="L53" s="200">
        <f>I53*12</f>
        <v>0</v>
      </c>
      <c r="M53" s="201">
        <f>J53*12</f>
        <v>0</v>
      </c>
      <c r="N53" s="521">
        <f>IF(H53=0,0,K53/H53-1)</f>
        <v>0</v>
      </c>
    </row>
    <row r="54" spans="1:14" ht="12" customHeight="1">
      <c r="A54" s="183">
        <v>6</v>
      </c>
      <c r="B54" s="223" t="str">
        <f>+'Comm Price Out'!A121</f>
        <v>6 yd Comp Week</v>
      </c>
      <c r="C54" s="271">
        <f>VLOOKUP($B54,'Comm Price Out'!$A$82:$J$131,2,FALSE)</f>
        <v>0</v>
      </c>
      <c r="D54" s="269">
        <f t="shared" si="16"/>
        <v>0</v>
      </c>
      <c r="E54" s="269">
        <f>+A54*D54*3.5</f>
        <v>0</v>
      </c>
      <c r="F54" s="272">
        <f>VLOOKUP($B54,'Comm Price Out'!$A$82:$J$131,4,FALSE)</f>
        <v>383.55</v>
      </c>
      <c r="G54" s="272">
        <f>VLOOKUP($B54,'Comm Price Out'!$A$9:$J$75,4,FALSE)</f>
        <v>333.55</v>
      </c>
      <c r="H54" s="270">
        <f t="shared" si="3"/>
        <v>50</v>
      </c>
      <c r="I54" s="199">
        <f t="shared" si="4"/>
        <v>0</v>
      </c>
      <c r="J54" s="199">
        <f t="shared" si="5"/>
        <v>0</v>
      </c>
      <c r="K54" s="520">
        <f>$K$5*A54*3.5</f>
        <v>76.495686964764971</v>
      </c>
      <c r="L54" s="200">
        <f t="shared" si="12"/>
        <v>0</v>
      </c>
      <c r="M54" s="201">
        <f t="shared" si="7"/>
        <v>0</v>
      </c>
      <c r="N54" s="521">
        <f t="shared" si="13"/>
        <v>0.5299137392952995</v>
      </c>
    </row>
    <row r="55" spans="1:14" ht="12" customHeight="1">
      <c r="A55" s="183">
        <v>6</v>
      </c>
      <c r="B55" s="223" t="str">
        <f>+'Comm Price Out'!A122</f>
        <v>6 yd Comp Week (5x Comp)</v>
      </c>
      <c r="C55" s="271">
        <f>VLOOKUP($B55,'Comm Price Out'!$A$82:$J$131,2,FALSE)</f>
        <v>0</v>
      </c>
      <c r="D55" s="269">
        <f t="shared" si="16"/>
        <v>0</v>
      </c>
      <c r="E55" s="269">
        <f>+A55*D55*5</f>
        <v>0</v>
      </c>
      <c r="F55" s="272">
        <f>VLOOKUP($B55,'Comm Price Out'!$A$82:$J$131,4,FALSE)</f>
        <v>0</v>
      </c>
      <c r="G55" s="272">
        <f>VLOOKUP($B55,'Comm Price Out'!$A$9:$J$75,4,FALSE)</f>
        <v>309.02999999999997</v>
      </c>
      <c r="H55" s="270">
        <f>F55-G55</f>
        <v>-309.02999999999997</v>
      </c>
      <c r="I55" s="199">
        <f>H55*D55</f>
        <v>0</v>
      </c>
      <c r="J55" s="199">
        <f>D55*K55</f>
        <v>0</v>
      </c>
      <c r="K55" s="520">
        <f>$K$5*A55*5</f>
        <v>109.27955280680709</v>
      </c>
      <c r="L55" s="200">
        <f>I55*12</f>
        <v>0</v>
      </c>
      <c r="M55" s="201">
        <f>J55*12</f>
        <v>0</v>
      </c>
      <c r="N55" s="521">
        <f>IF(H55=0,0,K55/H55-1)</f>
        <v>-1.353621178548384</v>
      </c>
    </row>
    <row r="56" spans="1:14" ht="12" customHeight="1">
      <c r="A56" s="183">
        <v>6</v>
      </c>
      <c r="B56" s="223" t="str">
        <f>+'Comm Price Out'!A123</f>
        <v>6 yd  On Call</v>
      </c>
      <c r="C56" s="271">
        <f>VLOOKUP($B56,'Comm Price Out'!$A$82:$J$131,2,FALSE)</f>
        <v>0</v>
      </c>
      <c r="D56" s="269">
        <f t="shared" si="16"/>
        <v>0</v>
      </c>
      <c r="E56" s="269">
        <f t="shared" si="10"/>
        <v>0</v>
      </c>
      <c r="F56" s="272">
        <f>VLOOKUP($B56,'Comm Price Out'!$A$82:$J$131,4,FALSE)</f>
        <v>105.47</v>
      </c>
      <c r="G56" s="272">
        <f>VLOOKUP($B56,'Comm Price Out'!$A$9:$J$75,4,FALSE)</f>
        <v>91.19</v>
      </c>
      <c r="H56" s="270">
        <f t="shared" si="3"/>
        <v>14.280000000000001</v>
      </c>
      <c r="I56" s="199">
        <f t="shared" si="4"/>
        <v>0</v>
      </c>
      <c r="J56" s="199">
        <f t="shared" si="5"/>
        <v>0</v>
      </c>
      <c r="K56" s="520">
        <f t="shared" ref="K56:K64" si="17">$K$5*A56</f>
        <v>21.855910561361419</v>
      </c>
      <c r="L56" s="200">
        <f t="shared" si="12"/>
        <v>0</v>
      </c>
      <c r="M56" s="201">
        <f t="shared" si="7"/>
        <v>0</v>
      </c>
      <c r="N56" s="521">
        <f t="shared" si="13"/>
        <v>0.53052594967516931</v>
      </c>
    </row>
    <row r="57" spans="1:14" ht="12" customHeight="1">
      <c r="A57" s="183">
        <v>6</v>
      </c>
      <c r="B57" s="223" t="str">
        <f>+'Comm Price Out'!A124</f>
        <v>6 yd 1xweek</v>
      </c>
      <c r="C57" s="271">
        <f>VLOOKUP($B57,'Comm Price Out'!$A$82:$J$131,2,FALSE)</f>
        <v>12</v>
      </c>
      <c r="D57" s="269">
        <f t="shared" si="16"/>
        <v>51.999600000000001</v>
      </c>
      <c r="E57" s="269">
        <f t="shared" si="10"/>
        <v>311.99760000000003</v>
      </c>
      <c r="F57" s="272">
        <f>VLOOKUP($B57,'Comm Price Out'!$A$82:$J$131,4,FALSE)</f>
        <v>97.4</v>
      </c>
      <c r="G57" s="272">
        <f>VLOOKUP($B57,'Comm Price Out'!$A$9:$J$75,4,FALSE)</f>
        <v>83.11</v>
      </c>
      <c r="H57" s="270">
        <f t="shared" si="3"/>
        <v>14.290000000000006</v>
      </c>
      <c r="I57" s="199">
        <f t="shared" si="4"/>
        <v>743.07428400000038</v>
      </c>
      <c r="J57" s="199">
        <f t="shared" si="5"/>
        <v>1136.4986068265694</v>
      </c>
      <c r="K57" s="520">
        <f t="shared" si="17"/>
        <v>21.855910561361419</v>
      </c>
      <c r="L57" s="200">
        <f t="shared" si="12"/>
        <v>8916.891408000005</v>
      </c>
      <c r="M57" s="201">
        <f t="shared" si="7"/>
        <v>13637.983281918832</v>
      </c>
      <c r="N57" s="521">
        <f t="shared" si="13"/>
        <v>0.52945490282445129</v>
      </c>
    </row>
    <row r="58" spans="1:14" ht="12" customHeight="1">
      <c r="A58" s="183">
        <v>6</v>
      </c>
      <c r="B58" s="223" t="str">
        <f>+'Comm Price Out'!A125</f>
        <v>6 yd 2xweek</v>
      </c>
      <c r="C58" s="271">
        <f>VLOOKUP($B58,'Comm Price Out'!$A$82:$J$131,2,FALSE)</f>
        <v>2</v>
      </c>
      <c r="D58" s="269">
        <f>C58*4.3333*2</f>
        <v>17.333200000000001</v>
      </c>
      <c r="E58" s="269">
        <f t="shared" si="10"/>
        <v>103.9992</v>
      </c>
      <c r="F58" s="272">
        <f>VLOOKUP($B58,'Comm Price Out'!$A$82:$J$131,4,FALSE)</f>
        <v>97.4</v>
      </c>
      <c r="G58" s="272">
        <f>VLOOKUP($B58,'Comm Price Out'!$A$9:$J$75,4,FALSE)</f>
        <v>83.11</v>
      </c>
      <c r="H58" s="270">
        <f t="shared" si="3"/>
        <v>14.290000000000006</v>
      </c>
      <c r="I58" s="199">
        <f t="shared" si="4"/>
        <v>247.69142800000012</v>
      </c>
      <c r="J58" s="199">
        <f t="shared" si="5"/>
        <v>378.8328689421898</v>
      </c>
      <c r="K58" s="520">
        <f t="shared" si="17"/>
        <v>21.855910561361419</v>
      </c>
      <c r="L58" s="200">
        <f t="shared" si="12"/>
        <v>2972.2971360000015</v>
      </c>
      <c r="M58" s="201">
        <f t="shared" si="7"/>
        <v>4545.9944273062774</v>
      </c>
      <c r="N58" s="521">
        <f t="shared" si="13"/>
        <v>0.52945490282445129</v>
      </c>
    </row>
    <row r="59" spans="1:14" ht="12" customHeight="1">
      <c r="A59" s="183">
        <v>6</v>
      </c>
      <c r="B59" s="223" t="str">
        <f>+'Comm Price Out'!A126</f>
        <v>6 yd 3xweek</v>
      </c>
      <c r="C59" s="271">
        <f>VLOOKUP($B59,'Comm Price Out'!$A$82:$J$131,2,FALSE)</f>
        <v>0</v>
      </c>
      <c r="D59" s="269">
        <f>C59*4.3333*3</f>
        <v>0</v>
      </c>
      <c r="E59" s="269">
        <f t="shared" si="10"/>
        <v>0</v>
      </c>
      <c r="F59" s="272">
        <f>VLOOKUP($B59,'Comm Price Out'!$A$82:$J$131,4,FALSE)</f>
        <v>97.4</v>
      </c>
      <c r="G59" s="272">
        <f>VLOOKUP($B59,'Comm Price Out'!$A$9:$J$75,4,FALSE)</f>
        <v>83.11</v>
      </c>
      <c r="H59" s="270">
        <f t="shared" si="3"/>
        <v>14.290000000000006</v>
      </c>
      <c r="I59" s="199">
        <f t="shared" si="4"/>
        <v>0</v>
      </c>
      <c r="J59" s="199">
        <f t="shared" si="5"/>
        <v>0</v>
      </c>
      <c r="K59" s="520">
        <f t="shared" si="17"/>
        <v>21.855910561361419</v>
      </c>
      <c r="L59" s="200">
        <f t="shared" si="12"/>
        <v>0</v>
      </c>
      <c r="M59" s="201">
        <f t="shared" si="7"/>
        <v>0</v>
      </c>
      <c r="N59" s="521">
        <f t="shared" si="13"/>
        <v>0.52945490282445129</v>
      </c>
    </row>
    <row r="60" spans="1:14" ht="12" customHeight="1">
      <c r="A60" s="183">
        <v>8</v>
      </c>
      <c r="B60" s="223" t="str">
        <f>+'Comm Price Out'!A127</f>
        <v>8 yd   On Call</v>
      </c>
      <c r="C60" s="271">
        <f>VLOOKUP($B60,'Comm Price Out'!$A$82:$J$131,2,FALSE)</f>
        <v>1</v>
      </c>
      <c r="D60" s="269">
        <f>C60*4.3333</f>
        <v>4.3333000000000004</v>
      </c>
      <c r="E60" s="269">
        <f t="shared" si="10"/>
        <v>34.666400000000003</v>
      </c>
      <c r="F60" s="272">
        <f>VLOOKUP($B60,'Comm Price Out'!$A$82:$J$131,4,FALSE)</f>
        <v>129.88</v>
      </c>
      <c r="G60" s="272">
        <f>VLOOKUP($B60,'Comm Price Out'!$A$9:$J$75,4,FALSE)</f>
        <v>110.83</v>
      </c>
      <c r="H60" s="270">
        <f t="shared" si="3"/>
        <v>19.049999999999997</v>
      </c>
      <c r="I60" s="199">
        <f t="shared" si="4"/>
        <v>82.549364999999995</v>
      </c>
      <c r="J60" s="199">
        <f t="shared" si="5"/>
        <v>126.27762298072993</v>
      </c>
      <c r="K60" s="520">
        <f t="shared" si="17"/>
        <v>29.141214081815225</v>
      </c>
      <c r="L60" s="200">
        <f t="shared" si="12"/>
        <v>990.59237999999993</v>
      </c>
      <c r="M60" s="201">
        <f t="shared" si="7"/>
        <v>1515.3314757687592</v>
      </c>
      <c r="N60" s="521">
        <f t="shared" si="13"/>
        <v>0.52972252397980202</v>
      </c>
    </row>
    <row r="61" spans="1:14" ht="12" customHeight="1">
      <c r="A61" s="183">
        <v>8</v>
      </c>
      <c r="B61" s="223" t="str">
        <f>+'Comm Price Out'!A128</f>
        <v>8 yd  1xweek</v>
      </c>
      <c r="C61" s="271">
        <f>VLOOKUP($B61,'Comm Price Out'!$A$82:$J$131,2,FALSE)</f>
        <v>2</v>
      </c>
      <c r="D61" s="269">
        <f>C61*4.3333</f>
        <v>8.6666000000000007</v>
      </c>
      <c r="E61" s="269">
        <f>+A61*D61</f>
        <v>69.332800000000006</v>
      </c>
      <c r="F61" s="272">
        <f>VLOOKUP($B61,'Comm Price Out'!$A$82:$J$131,4,FALSE)</f>
        <v>127.57</v>
      </c>
      <c r="G61" s="272">
        <f>VLOOKUP($B61,'Comm Price Out'!$A$9:$J$75,4,FALSE)</f>
        <v>108.53</v>
      </c>
      <c r="H61" s="270">
        <f t="shared" si="3"/>
        <v>19.039999999999992</v>
      </c>
      <c r="I61" s="199">
        <f t="shared" si="4"/>
        <v>165.01206399999995</v>
      </c>
      <c r="J61" s="199">
        <f t="shared" si="5"/>
        <v>252.55524596145986</v>
      </c>
      <c r="K61" s="520">
        <f t="shared" si="17"/>
        <v>29.141214081815225</v>
      </c>
      <c r="L61" s="200">
        <f t="shared" si="12"/>
        <v>1980.1447679999994</v>
      </c>
      <c r="M61" s="201">
        <f t="shared" si="7"/>
        <v>3030.6629515375184</v>
      </c>
      <c r="N61" s="521">
        <f t="shared" si="13"/>
        <v>0.53052594967516997</v>
      </c>
    </row>
    <row r="62" spans="1:14" ht="12" customHeight="1">
      <c r="A62" s="183">
        <v>8</v>
      </c>
      <c r="B62" s="223" t="str">
        <f>+'Comm Price Out'!A129</f>
        <v>8 yd  2xweek</v>
      </c>
      <c r="C62" s="271">
        <f>VLOOKUP($B62,'Comm Price Out'!$A$82:$J$131,2,FALSE)</f>
        <v>5</v>
      </c>
      <c r="D62" s="269">
        <f>C62*4.3333*2</f>
        <v>43.333000000000006</v>
      </c>
      <c r="E62" s="269">
        <f t="shared" si="10"/>
        <v>346.66400000000004</v>
      </c>
      <c r="F62" s="272">
        <f>VLOOKUP($B62,'Comm Price Out'!$A$82:$J$131,4,FALSE)</f>
        <v>127.57</v>
      </c>
      <c r="G62" s="272">
        <f>VLOOKUP($B62,'Comm Price Out'!$A$9:$J$75,4,FALSE)</f>
        <v>108.53</v>
      </c>
      <c r="H62" s="270">
        <f t="shared" si="3"/>
        <v>19.039999999999992</v>
      </c>
      <c r="I62" s="199">
        <f t="shared" si="4"/>
        <v>825.06031999999971</v>
      </c>
      <c r="J62" s="199">
        <f t="shared" si="5"/>
        <v>1262.7762298072994</v>
      </c>
      <c r="K62" s="520">
        <f t="shared" si="17"/>
        <v>29.141214081815225</v>
      </c>
      <c r="L62" s="200">
        <f t="shared" si="12"/>
        <v>9900.7238399999969</v>
      </c>
      <c r="M62" s="201">
        <f t="shared" si="7"/>
        <v>15153.314757687593</v>
      </c>
      <c r="N62" s="521">
        <f t="shared" si="13"/>
        <v>0.53052594967516997</v>
      </c>
    </row>
    <row r="63" spans="1:14" ht="12" customHeight="1">
      <c r="A63" s="183">
        <v>8</v>
      </c>
      <c r="B63" s="223" t="str">
        <f>+'Comm Price Out'!A130</f>
        <v>8 yd  3xweek</v>
      </c>
      <c r="C63" s="271">
        <f>VLOOKUP($B63,'Comm Price Out'!$A$82:$J$131,2,FALSE)</f>
        <v>0</v>
      </c>
      <c r="D63" s="614">
        <f>C63*4.3333*3</f>
        <v>0</v>
      </c>
      <c r="E63" s="269">
        <f t="shared" si="10"/>
        <v>0</v>
      </c>
      <c r="F63" s="272">
        <f>VLOOKUP($B63,'Comm Price Out'!$A$82:$J$131,4,FALSE)</f>
        <v>127.57</v>
      </c>
      <c r="G63" s="272">
        <f>VLOOKUP($B63,'Comm Price Out'!$A$9:$J$75,4,FALSE)</f>
        <v>108.53</v>
      </c>
      <c r="H63" s="270">
        <f>F63-G63</f>
        <v>19.039999999999992</v>
      </c>
      <c r="I63" s="615">
        <f t="shared" si="4"/>
        <v>0</v>
      </c>
      <c r="J63" s="199">
        <f t="shared" si="5"/>
        <v>0</v>
      </c>
      <c r="K63" s="520">
        <f t="shared" si="17"/>
        <v>29.141214081815225</v>
      </c>
      <c r="L63" s="616">
        <f t="shared" si="12"/>
        <v>0</v>
      </c>
      <c r="M63" s="201">
        <f t="shared" si="7"/>
        <v>0</v>
      </c>
      <c r="N63" s="521">
        <f>IF(H63=0,0,K63/H63-1)</f>
        <v>0.53052594967516997</v>
      </c>
    </row>
    <row r="64" spans="1:14" ht="12" customHeight="1">
      <c r="A64" s="183">
        <v>8</v>
      </c>
      <c r="B64" s="223" t="str">
        <f>+'Comm Price Out'!A131</f>
        <v>8 yd  4xweek</v>
      </c>
      <c r="C64" s="617">
        <f>VLOOKUP($B64,'Comm Price Out'!$A$82:$J$131,2,FALSE)</f>
        <v>0</v>
      </c>
      <c r="D64" s="275">
        <f>C64*4.3333*4</f>
        <v>0</v>
      </c>
      <c r="E64" s="275">
        <f t="shared" si="10"/>
        <v>0</v>
      </c>
      <c r="F64" s="618">
        <f>VLOOKUP($B64,'Comm Price Out'!$A$82:$J$131,4,FALSE)</f>
        <v>127.57</v>
      </c>
      <c r="G64" s="618">
        <f>VLOOKUP($B64,'Comm Price Out'!$A$9:$J$75,4,FALSE)</f>
        <v>108.53</v>
      </c>
      <c r="H64" s="619">
        <f t="shared" si="3"/>
        <v>19.039999999999992</v>
      </c>
      <c r="I64" s="206">
        <f t="shared" si="4"/>
        <v>0</v>
      </c>
      <c r="J64" s="206">
        <f t="shared" si="5"/>
        <v>0</v>
      </c>
      <c r="K64" s="520">
        <f t="shared" si="17"/>
        <v>29.141214081815225</v>
      </c>
      <c r="L64" s="208">
        <f t="shared" si="12"/>
        <v>0</v>
      </c>
      <c r="M64" s="209">
        <f t="shared" si="7"/>
        <v>0</v>
      </c>
      <c r="N64" s="521">
        <f t="shared" si="13"/>
        <v>0.53052594967516997</v>
      </c>
    </row>
    <row r="65" spans="3:13" ht="12" customHeight="1">
      <c r="C65" s="606">
        <f>SUM(C15:C64)</f>
        <v>294</v>
      </c>
      <c r="D65" s="276">
        <f>SUM(D15:D64)</f>
        <v>1425.6557000000005</v>
      </c>
      <c r="E65" s="276">
        <f>SUM(E15:E64)</f>
        <v>2287.7570684000002</v>
      </c>
      <c r="F65" s="277"/>
      <c r="G65" s="277"/>
      <c r="H65" s="277"/>
      <c r="I65" s="199">
        <f>SUM(I15:I64)</f>
        <v>5451.1614010000021</v>
      </c>
      <c r="J65" s="199">
        <f>SUM(J15:J64)</f>
        <v>8333.5023121787999</v>
      </c>
      <c r="K65" s="215"/>
      <c r="L65" s="200">
        <f>I65*12</f>
        <v>65413.936812000029</v>
      </c>
      <c r="M65" s="200">
        <f>J65*12</f>
        <v>100002.0277461456</v>
      </c>
    </row>
    <row r="66" spans="3:13" ht="12" customHeight="1">
      <c r="C66" s="271"/>
      <c r="D66" s="276"/>
      <c r="E66" s="276"/>
      <c r="F66" s="277"/>
      <c r="G66" s="277"/>
      <c r="H66" s="277"/>
      <c r="I66" s="199"/>
      <c r="J66" s="303">
        <f>J65/I65-1</f>
        <v>0.52875721321515812</v>
      </c>
      <c r="K66" s="215"/>
      <c r="L66" s="200"/>
      <c r="M66" s="303">
        <f>M65/L65-1</f>
        <v>0.5287572132151579</v>
      </c>
    </row>
    <row r="67" spans="3:13" ht="12" customHeight="1">
      <c r="M67" s="543"/>
    </row>
    <row r="68" spans="3:13" ht="12" customHeight="1"/>
    <row r="69" spans="3:13" ht="12" customHeight="1"/>
    <row r="70" spans="3:13" ht="12" customHeight="1"/>
    <row r="71" spans="3:13" ht="12" customHeight="1"/>
    <row r="72" spans="3:13" ht="12" customHeight="1"/>
    <row r="73" spans="3:13" ht="12" customHeight="1"/>
    <row r="74" spans="3:13" ht="12" customHeight="1"/>
    <row r="75" spans="3:13" ht="12" customHeight="1"/>
    <row r="76" spans="3:13" ht="12" customHeight="1"/>
    <row r="77" spans="3:13" ht="12" customHeight="1"/>
    <row r="78" spans="3:13" ht="12" customHeight="1"/>
  </sheetData>
  <customSheetViews>
    <customSheetView guid="{3B54C4DD-9207-4EC3-9D58-6DDE29113D77}" showGridLines="0" fitToPage="1" showRuler="0" topLeftCell="A13">
      <selection activeCell="F15" sqref="F15"/>
      <pageMargins left="0.75" right="0.75" top="1" bottom="1" header="0.5" footer="0.5"/>
      <pageSetup scale="65" orientation="portrait" horizontalDpi="1200" verticalDpi="1200" r:id="rId1"/>
      <headerFooter alignWithMargins="0">
        <oddHeader>&amp;L&amp;12&amp;A</oddHeader>
      </headerFooter>
    </customSheetView>
    <customSheetView guid="{F69ABAD1-EF76-489D-B027-1BD1F4CFE8A6}" showGridLines="0" fitToPage="1" topLeftCell="A13">
      <selection activeCell="F15" sqref="F15"/>
      <pageMargins left="0.75" right="0.75" top="1" bottom="1" header="0.5" footer="0.5"/>
      <pageSetup scale="65" orientation="portrait" horizontalDpi="1200" verticalDpi="1200" r:id="rId2"/>
      <headerFooter alignWithMargins="0">
        <oddHeader>&amp;L&amp;12&amp;A</oddHeader>
      </headerFooter>
    </customSheetView>
  </customSheetViews>
  <phoneticPr fontId="0" type="noConversion"/>
  <pageMargins left="0.75" right="0.75" top="1" bottom="1" header="0.5" footer="0.5"/>
  <pageSetup scale="65" orientation="portrait" r:id="rId3"/>
  <headerFooter alignWithMargins="0">
    <oddHeader>&amp;L&amp;12&amp;A</oddHeader>
  </headerFooter>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U78"/>
  <sheetViews>
    <sheetView topLeftCell="A31" workbookViewId="0">
      <selection activeCell="O69" sqref="O69"/>
    </sheetView>
  </sheetViews>
  <sheetFormatPr defaultColWidth="16.33203125" defaultRowHeight="24.95" customHeight="1"/>
  <cols>
    <col min="1" max="1" width="5.83203125" style="185" bestFit="1" customWidth="1"/>
    <col min="2" max="2" width="29.5" style="185" bestFit="1" customWidth="1"/>
    <col min="3" max="3" width="16.6640625" style="183" customWidth="1"/>
    <col min="4" max="4" width="9" style="183" bestFit="1" customWidth="1"/>
    <col min="5" max="5" width="8.83203125" style="183" bestFit="1" customWidth="1"/>
    <col min="6" max="7" width="9" style="184" bestFit="1" customWidth="1"/>
    <col min="8" max="8" width="11.83203125" style="184" bestFit="1" customWidth="1"/>
    <col min="9" max="10" width="11.5" style="183" bestFit="1" customWidth="1"/>
    <col min="11" max="11" width="11.1640625" style="183" bestFit="1" customWidth="1"/>
    <col min="12" max="13" width="11.5" style="185" bestFit="1" customWidth="1"/>
    <col min="14" max="15" width="16.33203125" style="185"/>
    <col min="16" max="16" width="19.1640625" style="185" customWidth="1"/>
    <col min="17" max="16384" width="16.33203125" style="185"/>
  </cols>
  <sheetData>
    <row r="1" spans="1:21" ht="12" customHeight="1">
      <c r="A1" s="183"/>
      <c r="B1" s="183"/>
      <c r="J1" s="509" t="s">
        <v>498</v>
      </c>
      <c r="K1" s="230">
        <f>'LG MF Recycle'!E6</f>
        <v>42348.84676666226</v>
      </c>
    </row>
    <row r="2" spans="1:21" ht="12">
      <c r="A2" s="183"/>
      <c r="B2" s="183"/>
      <c r="J2" s="509" t="s">
        <v>501</v>
      </c>
      <c r="K2" s="230">
        <f>L65+'Drop Box Price Out'!H94</f>
        <v>117319.81681200003</v>
      </c>
      <c r="O2" s="1372">
        <v>3.5</v>
      </c>
      <c r="P2" s="1372" t="s">
        <v>829</v>
      </c>
    </row>
    <row r="3" spans="1:21" ht="12">
      <c r="A3" s="183"/>
      <c r="B3" s="183"/>
      <c r="J3" s="509" t="s">
        <v>500</v>
      </c>
      <c r="K3" s="345">
        <f>+K1/K2</f>
        <v>0.36096925410755171</v>
      </c>
      <c r="O3" s="1372">
        <v>5</v>
      </c>
      <c r="P3" s="1372" t="s">
        <v>829</v>
      </c>
    </row>
    <row r="4" spans="1:21" ht="12.75" thickBot="1"/>
    <row r="5" spans="1:21" ht="12.75" thickBot="1">
      <c r="J5" s="509" t="s">
        <v>506</v>
      </c>
      <c r="K5" s="522">
        <f>'LG MF Recycle'!$C$29</f>
        <v>3.6426517602269031</v>
      </c>
    </row>
    <row r="6" spans="1:21" ht="12"/>
    <row r="7" spans="1:21" ht="12"/>
    <row r="8" spans="1:21" ht="12" customHeight="1">
      <c r="C8" s="258" t="s">
        <v>314</v>
      </c>
    </row>
    <row r="9" spans="1:21" ht="12" customHeight="1">
      <c r="I9" s="258" t="s">
        <v>42</v>
      </c>
      <c r="J9" s="258" t="s">
        <v>42</v>
      </c>
      <c r="K9" s="2111" t="s">
        <v>1741</v>
      </c>
      <c r="L9" s="258" t="s">
        <v>26</v>
      </c>
      <c r="M9" s="258" t="s">
        <v>26</v>
      </c>
    </row>
    <row r="10" spans="1:21" ht="12" customHeight="1">
      <c r="B10" s="182"/>
      <c r="H10" s="259" t="s">
        <v>315</v>
      </c>
      <c r="I10" s="258" t="s">
        <v>41</v>
      </c>
      <c r="J10" s="260" t="s">
        <v>39</v>
      </c>
      <c r="K10" s="2111" t="s">
        <v>316</v>
      </c>
      <c r="L10" s="258" t="s">
        <v>41</v>
      </c>
      <c r="M10" s="260" t="s">
        <v>39</v>
      </c>
      <c r="O10" s="2100" t="s">
        <v>316</v>
      </c>
    </row>
    <row r="11" spans="1:21" ht="12" customHeight="1">
      <c r="B11" s="185" t="s">
        <v>292</v>
      </c>
      <c r="E11" s="183" t="s">
        <v>42</v>
      </c>
      <c r="F11" s="184" t="s">
        <v>317</v>
      </c>
      <c r="G11" s="184" t="s">
        <v>318</v>
      </c>
      <c r="H11" s="259" t="s">
        <v>148</v>
      </c>
      <c r="I11" s="261" t="s">
        <v>319</v>
      </c>
      <c r="J11" s="261" t="s">
        <v>319</v>
      </c>
      <c r="K11" s="2112" t="s">
        <v>39</v>
      </c>
      <c r="L11" s="261" t="s">
        <v>319</v>
      </c>
      <c r="M11" s="261" t="s">
        <v>319</v>
      </c>
      <c r="O11" s="2100" t="s">
        <v>39</v>
      </c>
    </row>
    <row r="12" spans="1:21" ht="12" customHeight="1">
      <c r="B12" s="262"/>
      <c r="C12" s="189" t="s">
        <v>48</v>
      </c>
      <c r="D12" s="189" t="s">
        <v>56</v>
      </c>
      <c r="E12" s="189" t="s">
        <v>282</v>
      </c>
      <c r="F12" s="190" t="s">
        <v>55</v>
      </c>
      <c r="G12" s="190" t="s">
        <v>55</v>
      </c>
      <c r="H12" s="263" t="s">
        <v>55</v>
      </c>
      <c r="I12" s="264" t="s">
        <v>13</v>
      </c>
      <c r="J12" s="264" t="s">
        <v>13</v>
      </c>
      <c r="K12" s="2113" t="s">
        <v>55</v>
      </c>
      <c r="L12" s="266" t="s">
        <v>13</v>
      </c>
      <c r="M12" s="266" t="s">
        <v>13</v>
      </c>
      <c r="O12" s="2100" t="s">
        <v>55</v>
      </c>
    </row>
    <row r="13" spans="1:21" ht="12" customHeight="1">
      <c r="B13" s="267" t="s">
        <v>320</v>
      </c>
      <c r="C13" s="222"/>
      <c r="D13" s="268"/>
      <c r="E13" s="268"/>
      <c r="F13" s="198"/>
      <c r="G13" s="198"/>
      <c r="H13" s="198"/>
      <c r="J13" s="199"/>
      <c r="K13" s="2094"/>
      <c r="O13" s="2100"/>
    </row>
    <row r="14" spans="1:21" ht="12" customHeight="1">
      <c r="A14" s="183" t="s">
        <v>321</v>
      </c>
      <c r="B14" s="239"/>
      <c r="C14" s="222"/>
      <c r="D14" s="269"/>
      <c r="E14" s="269"/>
      <c r="F14" s="198"/>
      <c r="G14" s="198"/>
      <c r="H14" s="270"/>
      <c r="I14" s="217"/>
      <c r="K14" s="2094"/>
      <c r="O14" s="2100"/>
    </row>
    <row r="15" spans="1:21" ht="12" customHeight="1">
      <c r="A15" s="183">
        <v>0.158</v>
      </c>
      <c r="B15" s="223" t="str">
        <f>+'Comm Price Out'!A82</f>
        <v xml:space="preserve">32 Gal Toter 1xweek </v>
      </c>
      <c r="C15" s="271">
        <f>VLOOKUP($B15,'Comm Price Out'!$A$82:$J$131,2,FALSE)</f>
        <v>184</v>
      </c>
      <c r="D15" s="269">
        <f t="shared" ref="D15:D21" si="0">C15*4.3333</f>
        <v>797.32720000000006</v>
      </c>
      <c r="E15" s="269">
        <f>+A15*D15</f>
        <v>125.97769760000001</v>
      </c>
      <c r="F15" s="272">
        <f>VLOOKUP($B15,'Comm Price Out'!$A$82:$J$131,4,FALSE)</f>
        <v>3.57</v>
      </c>
      <c r="G15" s="272">
        <f>VLOOKUP($B15,'Comm Price Out'!$A$9:$J$75,4,FALSE)</f>
        <v>3.19</v>
      </c>
      <c r="H15" s="270">
        <f>F15-G15</f>
        <v>0.37999999999999989</v>
      </c>
      <c r="I15" s="199">
        <f>H15*D15</f>
        <v>302.98433599999993</v>
      </c>
      <c r="J15" s="199">
        <f>D15*K15</f>
        <v>458.89288191197249</v>
      </c>
      <c r="K15" s="2114">
        <f>$K$5*A15</f>
        <v>0.57553897811585064</v>
      </c>
      <c r="L15" s="200">
        <f t="shared" ref="L15:M32" si="1">I15*12</f>
        <v>3635.8120319999989</v>
      </c>
      <c r="M15" s="201">
        <f>J15*12</f>
        <v>5506.7145829436704</v>
      </c>
      <c r="N15" s="521">
        <f>IF(H15=0,0,K15/H15-1)</f>
        <v>0.51457625819960739</v>
      </c>
      <c r="O15" s="2100">
        <v>0.52717459645102571</v>
      </c>
      <c r="Q15" s="201"/>
      <c r="R15" s="201"/>
      <c r="T15" s="273"/>
      <c r="U15" s="274"/>
    </row>
    <row r="16" spans="1:21" ht="12" customHeight="1">
      <c r="A16" s="183">
        <v>0.316</v>
      </c>
      <c r="B16" s="223" t="str">
        <f>+'Comm Price Out'!A83</f>
        <v xml:space="preserve">64 Gal Toter 1xweek  </v>
      </c>
      <c r="C16" s="271">
        <f>VLOOKUP($B16,'Comm Price Out'!$A$82:$J$131,2,FALSE)</f>
        <v>0</v>
      </c>
      <c r="D16" s="269">
        <f t="shared" si="0"/>
        <v>0</v>
      </c>
      <c r="E16" s="269">
        <f t="shared" ref="E16:E64" si="2">+A16*D16</f>
        <v>0</v>
      </c>
      <c r="F16" s="272">
        <f>VLOOKUP($B16,'Comm Price Out'!$A$82:$J$131,4,FALSE)</f>
        <v>6.97</v>
      </c>
      <c r="G16" s="272">
        <f>VLOOKUP($B16,'Comm Price Out'!$A$9:$J$75,4,FALSE)</f>
        <v>6.21</v>
      </c>
      <c r="H16" s="270">
        <f t="shared" ref="H16:H64" si="3">F16-G16</f>
        <v>0.75999999999999979</v>
      </c>
      <c r="I16" s="199">
        <f t="shared" ref="I16:I64" si="4">H16*D16</f>
        <v>0</v>
      </c>
      <c r="J16" s="199">
        <f t="shared" ref="J16:J64" si="5">D16*K16</f>
        <v>0</v>
      </c>
      <c r="K16" s="2114">
        <f t="shared" ref="K16:K27" si="6">$K$5*A16</f>
        <v>1.1510779562317013</v>
      </c>
      <c r="L16" s="200">
        <f t="shared" si="1"/>
        <v>0</v>
      </c>
      <c r="M16" s="201">
        <f t="shared" si="1"/>
        <v>0</v>
      </c>
      <c r="N16" s="521">
        <f t="shared" ref="N16:N64" si="7">IF(H16=0,0,K16/H16-1)</f>
        <v>0.51457625819960739</v>
      </c>
      <c r="O16" s="2100">
        <v>1.0543491929020514</v>
      </c>
      <c r="Q16" s="201"/>
      <c r="R16" s="201"/>
      <c r="T16" s="273"/>
      <c r="U16" s="274"/>
    </row>
    <row r="17" spans="1:21" ht="12" customHeight="1">
      <c r="A17" s="183">
        <v>0.47399999999999998</v>
      </c>
      <c r="B17" s="223" t="str">
        <f>+'Comm Price Out'!A84</f>
        <v>96 Gal Toter 1xweek</v>
      </c>
      <c r="C17" s="271">
        <f>VLOOKUP($B17,'Comm Price Out'!$A$82:$J$131,2,FALSE)</f>
        <v>24</v>
      </c>
      <c r="D17" s="269">
        <f t="shared" si="0"/>
        <v>103.9992</v>
      </c>
      <c r="E17" s="269">
        <f t="shared" si="2"/>
        <v>49.295620800000002</v>
      </c>
      <c r="F17" s="272">
        <f>VLOOKUP($B17,'Comm Price Out'!$A$82:$J$131,4,FALSE)</f>
        <v>8.94</v>
      </c>
      <c r="G17" s="272">
        <f>VLOOKUP($B17,'Comm Price Out'!$A$9:$J$75,4,FALSE)</f>
        <v>7.79</v>
      </c>
      <c r="H17" s="270">
        <f t="shared" si="3"/>
        <v>1.1499999999999995</v>
      </c>
      <c r="I17" s="199">
        <f t="shared" si="4"/>
        <v>119.59907999999994</v>
      </c>
      <c r="J17" s="199">
        <f t="shared" si="5"/>
        <v>179.56677987859791</v>
      </c>
      <c r="K17" s="2114">
        <f t="shared" si="6"/>
        <v>1.7266169343475519</v>
      </c>
      <c r="L17" s="200">
        <f t="shared" si="1"/>
        <v>1435.1889599999993</v>
      </c>
      <c r="M17" s="201">
        <f t="shared" si="1"/>
        <v>2154.801358543175</v>
      </c>
      <c r="N17" s="521">
        <f t="shared" si="7"/>
        <v>0.50140602986743721</v>
      </c>
      <c r="O17" s="2100">
        <v>1.5815237893530769</v>
      </c>
      <c r="Q17" s="201"/>
      <c r="R17" s="201"/>
      <c r="T17" s="273"/>
      <c r="U17" s="274"/>
    </row>
    <row r="18" spans="1:21" ht="12" customHeight="1">
      <c r="A18" s="183">
        <v>1</v>
      </c>
      <c r="B18" s="223" t="str">
        <f>+'Comm Price Out'!A85</f>
        <v>1 yd  On Call</v>
      </c>
      <c r="C18" s="271">
        <f>VLOOKUP($B18,'Comm Price Out'!$A$82:$J$131,2,FALSE)</f>
        <v>0</v>
      </c>
      <c r="D18" s="269">
        <f t="shared" si="0"/>
        <v>0</v>
      </c>
      <c r="E18" s="269">
        <f>+A18*D18</f>
        <v>0</v>
      </c>
      <c r="F18" s="272">
        <f>VLOOKUP($B18,'Comm Price Out'!$A$82:$J$131,4,FALSE)</f>
        <v>22</v>
      </c>
      <c r="G18" s="272">
        <f>VLOOKUP($B18,'Comm Price Out'!$A$9:$J$75,4,FALSE)</f>
        <v>19.62</v>
      </c>
      <c r="H18" s="270">
        <f>F18-G18</f>
        <v>2.379999999999999</v>
      </c>
      <c r="I18" s="199">
        <f>H18*D18</f>
        <v>0</v>
      </c>
      <c r="J18" s="199">
        <f>D18*K18</f>
        <v>0</v>
      </c>
      <c r="K18" s="2114">
        <f t="shared" si="6"/>
        <v>3.6426517602269031</v>
      </c>
      <c r="L18" s="200">
        <f>I18*12</f>
        <v>0</v>
      </c>
      <c r="M18" s="201">
        <f>J18*12</f>
        <v>0</v>
      </c>
      <c r="N18" s="521">
        <f>IF(H18=0,0,K18/H18-1)</f>
        <v>0.53052594967516997</v>
      </c>
      <c r="O18" s="2100">
        <v>3.3365480788039599</v>
      </c>
      <c r="Q18" s="201"/>
      <c r="R18" s="201"/>
      <c r="T18" s="273"/>
      <c r="U18" s="274"/>
    </row>
    <row r="19" spans="1:21" ht="12" customHeight="1">
      <c r="A19" s="183">
        <v>1</v>
      </c>
      <c r="B19" s="223" t="str">
        <f>+'Comm Price Out'!A86</f>
        <v>1 yd  1xweek</v>
      </c>
      <c r="C19" s="271">
        <f>VLOOKUP($B19,'Comm Price Out'!$A$82:$J$131,2,FALSE)</f>
        <v>4</v>
      </c>
      <c r="D19" s="269">
        <f t="shared" si="0"/>
        <v>17.333200000000001</v>
      </c>
      <c r="E19" s="269">
        <f t="shared" si="2"/>
        <v>17.333200000000001</v>
      </c>
      <c r="F19" s="272">
        <f>VLOOKUP($B19,'Comm Price Out'!$A$82:$J$131,4,FALSE)</f>
        <v>18.54</v>
      </c>
      <c r="G19" s="272">
        <f>VLOOKUP($B19,'Comm Price Out'!$A$9:$J$75,4,FALSE)</f>
        <v>16.16</v>
      </c>
      <c r="H19" s="270">
        <f t="shared" si="3"/>
        <v>2.379999999999999</v>
      </c>
      <c r="I19" s="199">
        <f t="shared" si="4"/>
        <v>41.253015999999988</v>
      </c>
      <c r="J19" s="199">
        <f t="shared" si="5"/>
        <v>63.138811490364965</v>
      </c>
      <c r="K19" s="2114">
        <f t="shared" si="6"/>
        <v>3.6426517602269031</v>
      </c>
      <c r="L19" s="200">
        <f t="shared" si="1"/>
        <v>495.03619199999986</v>
      </c>
      <c r="M19" s="201">
        <f t="shared" si="1"/>
        <v>757.66573788437961</v>
      </c>
      <c r="N19" s="521">
        <f t="shared" si="7"/>
        <v>0.53052594967516997</v>
      </c>
      <c r="O19" s="2100">
        <v>3.3365480788039599</v>
      </c>
      <c r="Q19" s="201"/>
      <c r="R19" s="201"/>
      <c r="T19" s="273"/>
      <c r="U19" s="274"/>
    </row>
    <row r="20" spans="1:21" ht="12" customHeight="1">
      <c r="A20" s="183">
        <v>1.25</v>
      </c>
      <c r="B20" s="223" t="str">
        <f>+'Comm Price Out'!A87</f>
        <v>1.25 yd on call</v>
      </c>
      <c r="C20" s="271">
        <f>VLOOKUP($B20,'Comm Price Out'!$A$82:$J$131,2,FALSE)</f>
        <v>0</v>
      </c>
      <c r="D20" s="269">
        <f t="shared" si="0"/>
        <v>0</v>
      </c>
      <c r="E20" s="269">
        <f t="shared" si="2"/>
        <v>0</v>
      </c>
      <c r="F20" s="1041">
        <f>VLOOKUP($B20,'Comm Price Out'!$A$76:$J$120,4,FALSE)</f>
        <v>22.03</v>
      </c>
      <c r="G20" s="1041">
        <f>VLOOKUP($B20,'Comm Price Out'!$A$9:$J$69,4,FALSE)</f>
        <v>22.74</v>
      </c>
      <c r="H20" s="270">
        <f>F20-G20</f>
        <v>-0.7099999999999973</v>
      </c>
      <c r="I20" s="199">
        <f>H20*D20</f>
        <v>0</v>
      </c>
      <c r="J20" s="199">
        <f>D20*K20</f>
        <v>0</v>
      </c>
      <c r="K20" s="2115">
        <f t="shared" si="6"/>
        <v>4.5533147002836287</v>
      </c>
      <c r="L20" s="200">
        <f t="shared" si="1"/>
        <v>0</v>
      </c>
      <c r="M20" s="201">
        <f t="shared" si="1"/>
        <v>0</v>
      </c>
      <c r="N20" s="1043">
        <f>IF(H20=0,0,K20/H20-1)</f>
        <v>-7.4131192961741492</v>
      </c>
      <c r="O20" s="2100">
        <v>4.1706850985049497</v>
      </c>
      <c r="Q20" s="201"/>
    </row>
    <row r="21" spans="1:21" ht="12" customHeight="1">
      <c r="A21" s="183">
        <v>1.25</v>
      </c>
      <c r="B21" s="223" t="str">
        <f>+'Comm Price Out'!A88</f>
        <v>1.25 yd 1xweek</v>
      </c>
      <c r="C21" s="271">
        <f>VLOOKUP($B21,'Comm Price Out'!$A$82:$J$131,2,FALSE)</f>
        <v>4</v>
      </c>
      <c r="D21" s="269">
        <f t="shared" si="0"/>
        <v>17.333200000000001</v>
      </c>
      <c r="E21" s="269">
        <f t="shared" si="2"/>
        <v>21.666500000000003</v>
      </c>
      <c r="F21" s="1041">
        <f>VLOOKUP($B21,'Comm Price Out'!$A$76:$J$120,4,FALSE)</f>
        <v>22.03</v>
      </c>
      <c r="G21" s="1041">
        <f>VLOOKUP($B21,'Comm Price Out'!$A$9:$J$69,4,FALSE)</f>
        <v>19.05</v>
      </c>
      <c r="H21" s="270">
        <f>F21-G21</f>
        <v>2.9800000000000004</v>
      </c>
      <c r="I21" s="199">
        <f>H21*D21</f>
        <v>51.652936000000011</v>
      </c>
      <c r="J21" s="199">
        <f>D21*K21</f>
        <v>78.923514362956197</v>
      </c>
      <c r="K21" s="2115">
        <f t="shared" si="6"/>
        <v>4.5533147002836287</v>
      </c>
      <c r="L21" s="200">
        <f t="shared" si="1"/>
        <v>619.83523200000013</v>
      </c>
      <c r="M21" s="201">
        <f t="shared" si="1"/>
        <v>947.08217235547431</v>
      </c>
      <c r="N21" s="1043">
        <f>IF(H21=0,0,K21/H21-1)</f>
        <v>0.52795795311531135</v>
      </c>
      <c r="O21" s="2100">
        <v>4.1706850985049497</v>
      </c>
    </row>
    <row r="22" spans="1:21" ht="12" customHeight="1">
      <c r="A22" s="183">
        <v>1.25</v>
      </c>
      <c r="B22" s="223" t="str">
        <f>+'Comm Price Out'!A89</f>
        <v>1.25 yd 2xweek</v>
      </c>
      <c r="C22" s="271">
        <f>VLOOKUP($B22,'Comm Price Out'!$A$82:$J$131,2,FALSE)</f>
        <v>1</v>
      </c>
      <c r="D22" s="269">
        <f>C22*4.3333*2</f>
        <v>8.6666000000000007</v>
      </c>
      <c r="E22" s="269">
        <f t="shared" si="2"/>
        <v>10.833250000000001</v>
      </c>
      <c r="F22" s="1041">
        <f>VLOOKUP($B22,'Comm Price Out'!$A$76:$J$120,4,FALSE)</f>
        <v>22.03</v>
      </c>
      <c r="G22" s="1041">
        <f>VLOOKUP($B22,'Comm Price Out'!$A$9:$J$69,4,FALSE)</f>
        <v>19.05</v>
      </c>
      <c r="H22" s="270">
        <f>F22-G22</f>
        <v>2.9800000000000004</v>
      </c>
      <c r="I22" s="199">
        <f>H22*D22</f>
        <v>25.826468000000006</v>
      </c>
      <c r="J22" s="199">
        <f>D22*K22</f>
        <v>39.461757181478099</v>
      </c>
      <c r="K22" s="2115">
        <f t="shared" si="6"/>
        <v>4.5533147002836287</v>
      </c>
      <c r="L22" s="200">
        <f t="shared" si="1"/>
        <v>309.91761600000007</v>
      </c>
      <c r="M22" s="201">
        <f t="shared" si="1"/>
        <v>473.54108617773716</v>
      </c>
      <c r="N22" s="1043">
        <f>IF(H22=0,0,K22/H22-1)</f>
        <v>0.52795795311531135</v>
      </c>
      <c r="O22" s="2100">
        <v>4.1706850985049497</v>
      </c>
    </row>
    <row r="23" spans="1:21" ht="12" customHeight="1">
      <c r="A23" s="183">
        <v>1.25</v>
      </c>
      <c r="B23" s="223" t="str">
        <f>+'Comm Price Out'!A90</f>
        <v>1.25 yd 3xweek</v>
      </c>
      <c r="C23" s="271">
        <f>VLOOKUP($B23,'Comm Price Out'!$A$82:$J$131,2,FALSE)</f>
        <v>0</v>
      </c>
      <c r="D23" s="269">
        <f>C23*4.3333*3</f>
        <v>0</v>
      </c>
      <c r="E23" s="269">
        <f t="shared" si="2"/>
        <v>0</v>
      </c>
      <c r="F23" s="1041">
        <f>VLOOKUP($B23,'Comm Price Out'!$A$76:$J$120,4,FALSE)</f>
        <v>22.03</v>
      </c>
      <c r="G23" s="1041">
        <f>VLOOKUP($B23,'Comm Price Out'!$A$9:$J$69,4,FALSE)</f>
        <v>19.05</v>
      </c>
      <c r="H23" s="270">
        <f>F23-G23</f>
        <v>2.9800000000000004</v>
      </c>
      <c r="I23" s="199">
        <f>H23*D23</f>
        <v>0</v>
      </c>
      <c r="J23" s="199">
        <f>D23*K23</f>
        <v>0</v>
      </c>
      <c r="K23" s="2115">
        <f t="shared" si="6"/>
        <v>4.5533147002836287</v>
      </c>
      <c r="L23" s="200">
        <f t="shared" si="1"/>
        <v>0</v>
      </c>
      <c r="M23" s="201">
        <f t="shared" si="1"/>
        <v>0</v>
      </c>
      <c r="N23" s="1043">
        <f>IF(H23=0,0,K23/H23-1)</f>
        <v>0.52795795311531135</v>
      </c>
      <c r="O23" s="2100">
        <v>4.1706850985049497</v>
      </c>
    </row>
    <row r="24" spans="1:21" ht="12" customHeight="1">
      <c r="A24" s="183">
        <v>1.5</v>
      </c>
      <c r="B24" s="223" t="str">
        <f>+'Comm Price Out'!A91</f>
        <v>1.5 yd on call</v>
      </c>
      <c r="C24" s="271">
        <f>VLOOKUP($B24,'Comm Price Out'!$A$82:$J$131,2,FALSE)</f>
        <v>0</v>
      </c>
      <c r="D24" s="269">
        <f>C24*4.3333</f>
        <v>0</v>
      </c>
      <c r="E24" s="269">
        <f t="shared" si="2"/>
        <v>0</v>
      </c>
      <c r="F24" s="272">
        <f>VLOOKUP($B24,'Comm Price Out'!$A$82:$J$131,4,FALSE)</f>
        <v>0</v>
      </c>
      <c r="G24" s="272">
        <f>VLOOKUP($B24,'Comm Price Out'!$A$9:$J$75,4,FALSE)</f>
        <v>0</v>
      </c>
      <c r="H24" s="270">
        <f t="shared" si="3"/>
        <v>0</v>
      </c>
      <c r="I24" s="199">
        <f t="shared" si="4"/>
        <v>0</v>
      </c>
      <c r="J24" s="199">
        <f t="shared" si="5"/>
        <v>0</v>
      </c>
      <c r="K24" s="2114">
        <f t="shared" si="6"/>
        <v>5.4639776403403548</v>
      </c>
      <c r="L24" s="200">
        <f t="shared" si="1"/>
        <v>0</v>
      </c>
      <c r="M24" s="201">
        <f t="shared" si="1"/>
        <v>0</v>
      </c>
      <c r="N24" s="521">
        <f t="shared" si="7"/>
        <v>0</v>
      </c>
      <c r="O24" s="2100">
        <v>5.00482211820594</v>
      </c>
      <c r="Q24" s="201"/>
    </row>
    <row r="25" spans="1:21" ht="12" customHeight="1">
      <c r="A25" s="183">
        <v>1.5</v>
      </c>
      <c r="B25" s="223" t="str">
        <f>+'Comm Price Out'!A92</f>
        <v>1.5 yd 1xweek</v>
      </c>
      <c r="C25" s="271">
        <f>VLOOKUP($B25,'Comm Price Out'!$A$82:$J$131,2,FALSE)</f>
        <v>0</v>
      </c>
      <c r="D25" s="269">
        <f>C25*4.3333</f>
        <v>0</v>
      </c>
      <c r="E25" s="269">
        <f t="shared" si="2"/>
        <v>0</v>
      </c>
      <c r="F25" s="272">
        <f>VLOOKUP($B25,'Comm Price Out'!$A$82:$J$131,4,FALSE)</f>
        <v>0</v>
      </c>
      <c r="G25" s="272">
        <f>VLOOKUP($B25,'Comm Price Out'!$A$9:$J$75,4,FALSE)</f>
        <v>0</v>
      </c>
      <c r="H25" s="270">
        <f t="shared" si="3"/>
        <v>0</v>
      </c>
      <c r="I25" s="199">
        <f t="shared" si="4"/>
        <v>0</v>
      </c>
      <c r="J25" s="199">
        <f t="shared" si="5"/>
        <v>0</v>
      </c>
      <c r="K25" s="2114">
        <f t="shared" si="6"/>
        <v>5.4639776403403548</v>
      </c>
      <c r="L25" s="200">
        <f t="shared" si="1"/>
        <v>0</v>
      </c>
      <c r="M25" s="201">
        <f t="shared" si="1"/>
        <v>0</v>
      </c>
      <c r="N25" s="521">
        <f t="shared" si="7"/>
        <v>0</v>
      </c>
      <c r="O25" s="2100">
        <v>5.00482211820594</v>
      </c>
    </row>
    <row r="26" spans="1:21" ht="12" customHeight="1">
      <c r="A26" s="183">
        <v>1.5</v>
      </c>
      <c r="B26" s="223" t="str">
        <f>+'Comm Price Out'!A93</f>
        <v>1.5 yd 2xweek</v>
      </c>
      <c r="C26" s="271">
        <f>VLOOKUP($B26,'Comm Price Out'!$A$82:$J$131,2,FALSE)</f>
        <v>0</v>
      </c>
      <c r="D26" s="269">
        <f>C26*4.3333*2</f>
        <v>0</v>
      </c>
      <c r="E26" s="269">
        <f t="shared" si="2"/>
        <v>0</v>
      </c>
      <c r="F26" s="272">
        <f>VLOOKUP($B26,'Comm Price Out'!$A$82:$J$131,4,FALSE)</f>
        <v>0</v>
      </c>
      <c r="G26" s="272">
        <f>VLOOKUP($B26,'Comm Price Out'!$A$9:$J$75,4,FALSE)</f>
        <v>0</v>
      </c>
      <c r="H26" s="270">
        <f t="shared" si="3"/>
        <v>0</v>
      </c>
      <c r="I26" s="199">
        <f t="shared" si="4"/>
        <v>0</v>
      </c>
      <c r="J26" s="199">
        <f t="shared" si="5"/>
        <v>0</v>
      </c>
      <c r="K26" s="2114">
        <f t="shared" si="6"/>
        <v>5.4639776403403548</v>
      </c>
      <c r="L26" s="200">
        <f t="shared" si="1"/>
        <v>0</v>
      </c>
      <c r="M26" s="201">
        <f t="shared" si="1"/>
        <v>0</v>
      </c>
      <c r="N26" s="521">
        <f t="shared" si="7"/>
        <v>0</v>
      </c>
      <c r="O26" s="2100">
        <v>5.00482211820594</v>
      </c>
    </row>
    <row r="27" spans="1:21" ht="12" customHeight="1">
      <c r="A27" s="183">
        <v>1.5</v>
      </c>
      <c r="B27" s="223" t="str">
        <f>+'Comm Price Out'!A94</f>
        <v>1.5 yd 3xweek</v>
      </c>
      <c r="C27" s="271">
        <f>VLOOKUP($B27,'Comm Price Out'!$A$82:$J$131,2,FALSE)</f>
        <v>0</v>
      </c>
      <c r="D27" s="269">
        <f>C27*4.3333*3</f>
        <v>0</v>
      </c>
      <c r="E27" s="269">
        <f t="shared" si="2"/>
        <v>0</v>
      </c>
      <c r="F27" s="272">
        <f>VLOOKUP($B27,'Comm Price Out'!$A$82:$J$131,4,FALSE)</f>
        <v>0</v>
      </c>
      <c r="G27" s="272">
        <f>VLOOKUP($B27,'Comm Price Out'!$A$9:$J$75,4,FALSE)</f>
        <v>0</v>
      </c>
      <c r="H27" s="270">
        <f t="shared" si="3"/>
        <v>0</v>
      </c>
      <c r="I27" s="199">
        <f t="shared" si="4"/>
        <v>0</v>
      </c>
      <c r="J27" s="199">
        <f t="shared" si="5"/>
        <v>0</v>
      </c>
      <c r="K27" s="2114">
        <f t="shared" si="6"/>
        <v>5.4639776403403548</v>
      </c>
      <c r="L27" s="200">
        <f t="shared" si="1"/>
        <v>0</v>
      </c>
      <c r="M27" s="201">
        <f t="shared" si="1"/>
        <v>0</v>
      </c>
      <c r="N27" s="521">
        <f t="shared" si="7"/>
        <v>0</v>
      </c>
      <c r="O27" s="2100">
        <v>5.00482211820594</v>
      </c>
    </row>
    <row r="28" spans="1:21" ht="12" customHeight="1">
      <c r="A28" s="183">
        <v>2</v>
      </c>
      <c r="B28" s="223" t="str">
        <f>+'Comm Price Out'!A95</f>
        <v>2 yd Comp Week</v>
      </c>
      <c r="C28" s="271">
        <f>VLOOKUP($B28,'Comm Price Out'!$A$82:$J$131,2,FALSE)</f>
        <v>0</v>
      </c>
      <c r="D28" s="269">
        <f>C28*4.3333</f>
        <v>0</v>
      </c>
      <c r="E28" s="269">
        <f>+A28*D28*5</f>
        <v>0</v>
      </c>
      <c r="F28" s="272">
        <f>VLOOKUP($B28,'Comm Price Out'!$A$82:$J$131,4,FALSE)</f>
        <v>0</v>
      </c>
      <c r="G28" s="272">
        <f>VLOOKUP($B28,'Comm Price Out'!$A$9:$J$75,4,FALSE)</f>
        <v>0</v>
      </c>
      <c r="H28" s="270">
        <f>F28-G28</f>
        <v>0</v>
      </c>
      <c r="I28" s="199">
        <f>H28*D28</f>
        <v>0</v>
      </c>
      <c r="J28" s="199">
        <f>D28*K28</f>
        <v>0</v>
      </c>
      <c r="K28" s="2114">
        <f>$K$5*A28*O2</f>
        <v>25.49856232158832</v>
      </c>
      <c r="L28" s="200">
        <f>I28*12</f>
        <v>0</v>
      </c>
      <c r="M28" s="201">
        <f>J28*12</f>
        <v>0</v>
      </c>
      <c r="N28" s="521">
        <f>IF(H28=0,0,K28/H28-1)</f>
        <v>0</v>
      </c>
      <c r="O28" s="2100">
        <v>33.365480788039598</v>
      </c>
    </row>
    <row r="29" spans="1:21" ht="12" customHeight="1">
      <c r="A29" s="183">
        <v>2</v>
      </c>
      <c r="B29" s="223" t="str">
        <f>+'Comm Price Out'!A96</f>
        <v>2 yd Comp Week (5x Comp)</v>
      </c>
      <c r="C29" s="271">
        <f>VLOOKUP($B29,'Comm Price Out'!$A$82:$J$131,2,FALSE)</f>
        <v>0</v>
      </c>
      <c r="D29" s="269">
        <f>C29*4.3333</f>
        <v>0</v>
      </c>
      <c r="E29" s="269">
        <f>+A29*D29*5</f>
        <v>0</v>
      </c>
      <c r="F29" s="272">
        <f>VLOOKUP($B29,'Comm Price Out'!$A$82:$J$131,4,FALSE)</f>
        <v>0</v>
      </c>
      <c r="G29" s="272">
        <f>VLOOKUP($B29,'Comm Price Out'!$A$9:$J$75,4,FALSE)</f>
        <v>0</v>
      </c>
      <c r="H29" s="270">
        <f>F29-G29</f>
        <v>0</v>
      </c>
      <c r="I29" s="199">
        <f t="shared" si="4"/>
        <v>0</v>
      </c>
      <c r="J29" s="199">
        <f t="shared" si="5"/>
        <v>0</v>
      </c>
      <c r="K29" s="2114">
        <f>$K$5*A29*O3</f>
        <v>36.42651760226903</v>
      </c>
      <c r="L29" s="200">
        <f t="shared" si="1"/>
        <v>0</v>
      </c>
      <c r="M29" s="201">
        <f t="shared" si="1"/>
        <v>0</v>
      </c>
      <c r="N29" s="521">
        <f t="shared" si="7"/>
        <v>0</v>
      </c>
      <c r="O29" s="2100">
        <v>33.365480788039598</v>
      </c>
    </row>
    <row r="30" spans="1:21" ht="12" customHeight="1">
      <c r="A30" s="183">
        <v>2</v>
      </c>
      <c r="B30" s="223" t="str">
        <f>+'Comm Price Out'!A97</f>
        <v>2yd On Call</v>
      </c>
      <c r="C30" s="271">
        <f>VLOOKUP($B30,'Comm Price Out'!$A$82:$J$131,2,FALSE)</f>
        <v>0</v>
      </c>
      <c r="D30" s="269">
        <f>C30*4.3333</f>
        <v>0</v>
      </c>
      <c r="E30" s="269">
        <f t="shared" si="2"/>
        <v>0</v>
      </c>
      <c r="F30" s="272">
        <f>VLOOKUP($B30,'Comm Price Out'!$A$82:$J$131,4,FALSE)</f>
        <v>38.24</v>
      </c>
      <c r="G30" s="272">
        <f>VLOOKUP($B30,'Comm Price Out'!$A$9:$J$75,4,FALSE)</f>
        <v>33.47</v>
      </c>
      <c r="H30" s="270">
        <f t="shared" si="3"/>
        <v>4.7700000000000031</v>
      </c>
      <c r="I30" s="199">
        <f t="shared" si="4"/>
        <v>0</v>
      </c>
      <c r="J30" s="199">
        <f t="shared" si="5"/>
        <v>0</v>
      </c>
      <c r="K30" s="2114">
        <f t="shared" ref="K30:K36" si="8">$K$5*A30</f>
        <v>7.2853035204538061</v>
      </c>
      <c r="L30" s="200">
        <f t="shared" si="1"/>
        <v>0</v>
      </c>
      <c r="M30" s="201">
        <f t="shared" si="1"/>
        <v>0</v>
      </c>
      <c r="N30" s="521">
        <f t="shared" si="7"/>
        <v>0.52731729988549292</v>
      </c>
      <c r="O30" s="2100">
        <v>6.6730961576079197</v>
      </c>
    </row>
    <row r="31" spans="1:21" ht="12" customHeight="1">
      <c r="A31" s="183">
        <v>2</v>
      </c>
      <c r="B31" s="223" t="str">
        <f>+'Comm Price Out'!A98</f>
        <v>2 yd 1xweek</v>
      </c>
      <c r="C31" s="271">
        <f>VLOOKUP($B31,'Comm Price Out'!$A$82:$J$131,2,FALSE)</f>
        <v>14</v>
      </c>
      <c r="D31" s="269">
        <f>C31*4.3333</f>
        <v>60.666200000000003</v>
      </c>
      <c r="E31" s="269">
        <f t="shared" si="2"/>
        <v>121.33240000000001</v>
      </c>
      <c r="F31" s="272">
        <f>VLOOKUP($B31,'Comm Price Out'!$A$82:$J$131,4,FALSE)</f>
        <v>34.200000000000003</v>
      </c>
      <c r="G31" s="272">
        <f>VLOOKUP($B31,'Comm Price Out'!$A$9:$J$75,4,FALSE)</f>
        <v>29.44</v>
      </c>
      <c r="H31" s="270">
        <f t="shared" si="3"/>
        <v>4.7600000000000016</v>
      </c>
      <c r="I31" s="199">
        <f t="shared" si="4"/>
        <v>288.77111200000013</v>
      </c>
      <c r="J31" s="199">
        <f t="shared" si="5"/>
        <v>441.97168043255471</v>
      </c>
      <c r="K31" s="2114">
        <f t="shared" si="8"/>
        <v>7.2853035204538061</v>
      </c>
      <c r="L31" s="200">
        <f t="shared" si="1"/>
        <v>3465.2533440000016</v>
      </c>
      <c r="M31" s="201">
        <f t="shared" si="1"/>
        <v>5303.6601651906567</v>
      </c>
      <c r="N31" s="521">
        <f t="shared" si="7"/>
        <v>0.53052594967516886</v>
      </c>
      <c r="O31" s="2100">
        <v>6.6730961576079197</v>
      </c>
    </row>
    <row r="32" spans="1:21" ht="12" customHeight="1">
      <c r="A32" s="183">
        <v>2</v>
      </c>
      <c r="B32" s="223" t="str">
        <f>+'Comm Price Out'!A99</f>
        <v>2 yd 2xweek</v>
      </c>
      <c r="C32" s="271">
        <f>VLOOKUP($B32,'Comm Price Out'!$A$82:$J$131,2,FALSE)</f>
        <v>1</v>
      </c>
      <c r="D32" s="269">
        <f>C32*4.3333*2</f>
        <v>8.6666000000000007</v>
      </c>
      <c r="E32" s="269">
        <f t="shared" si="2"/>
        <v>17.333200000000001</v>
      </c>
      <c r="F32" s="272">
        <f>VLOOKUP($B32,'Comm Price Out'!$A$82:$J$131,4,FALSE)</f>
        <v>34.200000000000003</v>
      </c>
      <c r="G32" s="272">
        <f>VLOOKUP($B32,'Comm Price Out'!$A$9:$J$75,4,FALSE)</f>
        <v>29.44</v>
      </c>
      <c r="H32" s="270">
        <f t="shared" si="3"/>
        <v>4.7600000000000016</v>
      </c>
      <c r="I32" s="199">
        <f t="shared" si="4"/>
        <v>41.253016000000017</v>
      </c>
      <c r="J32" s="199">
        <f t="shared" si="5"/>
        <v>63.138811490364965</v>
      </c>
      <c r="K32" s="2114">
        <f t="shared" si="8"/>
        <v>7.2853035204538061</v>
      </c>
      <c r="L32" s="200">
        <f t="shared" si="1"/>
        <v>495.0361920000002</v>
      </c>
      <c r="M32" s="201">
        <f t="shared" si="1"/>
        <v>757.66573788437961</v>
      </c>
      <c r="N32" s="521">
        <f t="shared" si="7"/>
        <v>0.53052594967516886</v>
      </c>
      <c r="O32" s="2100">
        <v>6.6730961576079197</v>
      </c>
    </row>
    <row r="33" spans="1:15" ht="12" customHeight="1">
      <c r="A33" s="183">
        <v>2</v>
      </c>
      <c r="B33" s="223" t="str">
        <f>+'Comm Price Out'!A100</f>
        <v>2 yd 3xweek</v>
      </c>
      <c r="C33" s="271">
        <f>VLOOKUP($B33,'Comm Price Out'!$A$82:$J$131,2,FALSE)</f>
        <v>0</v>
      </c>
      <c r="D33" s="269">
        <f>C33*4.3333*3</f>
        <v>0</v>
      </c>
      <c r="E33" s="269">
        <f t="shared" si="2"/>
        <v>0</v>
      </c>
      <c r="F33" s="272">
        <f>VLOOKUP($B33,'Comm Price Out'!$A$82:$J$131,4,FALSE)</f>
        <v>34.200000000000003</v>
      </c>
      <c r="G33" s="272">
        <f>VLOOKUP($B33,'Comm Price Out'!$A$9:$J$75,4,FALSE)</f>
        <v>29.44</v>
      </c>
      <c r="H33" s="270">
        <f>F33-G33</f>
        <v>4.7600000000000016</v>
      </c>
      <c r="I33" s="199">
        <f t="shared" si="4"/>
        <v>0</v>
      </c>
      <c r="J33" s="199">
        <f t="shared" si="5"/>
        <v>0</v>
      </c>
      <c r="K33" s="2114">
        <f t="shared" si="8"/>
        <v>7.2853035204538061</v>
      </c>
      <c r="L33" s="200">
        <f t="shared" ref="L33:M64" si="9">I33*12</f>
        <v>0</v>
      </c>
      <c r="M33" s="201">
        <f t="shared" si="9"/>
        <v>0</v>
      </c>
      <c r="N33" s="521">
        <f t="shared" si="7"/>
        <v>0.53052594967516886</v>
      </c>
      <c r="O33" s="2100">
        <v>6.6730961576079197</v>
      </c>
    </row>
    <row r="34" spans="1:15" ht="12" customHeight="1">
      <c r="A34" s="183">
        <v>2</v>
      </c>
      <c r="B34" s="223" t="str">
        <f>+'Comm Price Out'!A101</f>
        <v>2 yd 4xweek</v>
      </c>
      <c r="C34" s="271">
        <f>VLOOKUP($B34,'Comm Price Out'!$A$82:$J$131,2,FALSE)</f>
        <v>0</v>
      </c>
      <c r="D34" s="269">
        <f>C34*4.3333*4</f>
        <v>0</v>
      </c>
      <c r="E34" s="269">
        <f>+A34*D34</f>
        <v>0</v>
      </c>
      <c r="F34" s="272">
        <f>VLOOKUP($B34,'Comm Price Out'!$A$82:$J$131,4,FALSE)</f>
        <v>34.200000000000003</v>
      </c>
      <c r="G34" s="272">
        <f>VLOOKUP($B34,'Comm Price Out'!$A$9:$J$75,4,FALSE)</f>
        <v>29.44</v>
      </c>
      <c r="H34" s="270">
        <f>F34-G34</f>
        <v>4.7600000000000016</v>
      </c>
      <c r="I34" s="199">
        <f>H34*D34</f>
        <v>0</v>
      </c>
      <c r="J34" s="199">
        <f>D34*K34</f>
        <v>0</v>
      </c>
      <c r="K34" s="2114">
        <f t="shared" si="8"/>
        <v>7.2853035204538061</v>
      </c>
      <c r="L34" s="200">
        <f>I34*12</f>
        <v>0</v>
      </c>
      <c r="M34" s="201">
        <f>J34*12</f>
        <v>0</v>
      </c>
      <c r="N34" s="521">
        <f t="shared" si="7"/>
        <v>0.53052594967516886</v>
      </c>
      <c r="O34" s="2100">
        <v>6.6730961576079197</v>
      </c>
    </row>
    <row r="35" spans="1:15" ht="12" customHeight="1">
      <c r="A35" s="183">
        <v>2</v>
      </c>
      <c r="B35" s="223" t="str">
        <f>+'Comm Price Out'!A102</f>
        <v>2 yd 5xweek</v>
      </c>
      <c r="C35" s="271">
        <f>VLOOKUP($B35,'Comm Price Out'!$A$82:$J$131,2,FALSE)</f>
        <v>0</v>
      </c>
      <c r="D35" s="269">
        <f>C35*4.3333*5</f>
        <v>0</v>
      </c>
      <c r="E35" s="269">
        <f>+A35*D35</f>
        <v>0</v>
      </c>
      <c r="F35" s="272">
        <f>VLOOKUP($B35,'Comm Price Out'!$A$82:$J$131,4,FALSE)</f>
        <v>34.200000000000003</v>
      </c>
      <c r="G35" s="272">
        <f>VLOOKUP($B35,'Comm Price Out'!$A$9:$J$75,4,FALSE)</f>
        <v>29.44</v>
      </c>
      <c r="H35" s="270">
        <f>F35-G35</f>
        <v>4.7600000000000016</v>
      </c>
      <c r="I35" s="199">
        <f>H35*D35</f>
        <v>0</v>
      </c>
      <c r="J35" s="199">
        <f>D35*K35</f>
        <v>0</v>
      </c>
      <c r="K35" s="2114">
        <f t="shared" si="8"/>
        <v>7.2853035204538061</v>
      </c>
      <c r="L35" s="200">
        <f>I35*12</f>
        <v>0</v>
      </c>
      <c r="M35" s="201">
        <f>J35*12</f>
        <v>0</v>
      </c>
      <c r="N35" s="521">
        <f t="shared" si="7"/>
        <v>0.53052594967516886</v>
      </c>
      <c r="O35" s="2100">
        <v>6.6730961576079197</v>
      </c>
    </row>
    <row r="36" spans="1:15" ht="12" customHeight="1">
      <c r="A36" s="183">
        <v>2</v>
      </c>
      <c r="B36" s="223" t="str">
        <f>+'Comm Price Out'!A103</f>
        <v>2 yd 6xweek</v>
      </c>
      <c r="C36" s="271">
        <f>VLOOKUP($B36,'Comm Price Out'!$A$82:$J$131,2,FALSE)</f>
        <v>0</v>
      </c>
      <c r="D36" s="269">
        <f>C36*4.3333*6</f>
        <v>0</v>
      </c>
      <c r="E36" s="269">
        <f t="shared" si="2"/>
        <v>0</v>
      </c>
      <c r="F36" s="272">
        <f>VLOOKUP($B36,'Comm Price Out'!$A$82:$J$131,4,FALSE)</f>
        <v>34.200000000000003</v>
      </c>
      <c r="G36" s="272">
        <f>VLOOKUP($B36,'Comm Price Out'!$A$9:$J$75,4,FALSE)</f>
        <v>29.44</v>
      </c>
      <c r="H36" s="270">
        <f t="shared" si="3"/>
        <v>4.7600000000000016</v>
      </c>
      <c r="I36" s="199">
        <f t="shared" si="4"/>
        <v>0</v>
      </c>
      <c r="J36" s="199">
        <f t="shared" si="5"/>
        <v>0</v>
      </c>
      <c r="K36" s="2114">
        <f t="shared" si="8"/>
        <v>7.2853035204538061</v>
      </c>
      <c r="L36" s="200">
        <f t="shared" si="9"/>
        <v>0</v>
      </c>
      <c r="M36" s="201">
        <f t="shared" si="9"/>
        <v>0</v>
      </c>
      <c r="N36" s="521">
        <f t="shared" si="7"/>
        <v>0.53052594967516886</v>
      </c>
      <c r="O36" s="2100">
        <v>6.6730961576079197</v>
      </c>
    </row>
    <row r="37" spans="1:15" ht="12" customHeight="1">
      <c r="A37" s="183">
        <v>3</v>
      </c>
      <c r="B37" s="223" t="str">
        <f>+'Comm Price Out'!A104</f>
        <v>3 yd Comp Week</v>
      </c>
      <c r="C37" s="271">
        <f>VLOOKUP($B37,'Comm Price Out'!$A$82:$J$131,2,FALSE)</f>
        <v>0</v>
      </c>
      <c r="D37" s="269">
        <f>C37*4.3333</f>
        <v>0</v>
      </c>
      <c r="E37" s="269">
        <f>+A37*D37*3.5</f>
        <v>0</v>
      </c>
      <c r="F37" s="272">
        <f>VLOOKUP($B37,'Comm Price Out'!$A$82:$J$131,4,FALSE)</f>
        <v>174.47</v>
      </c>
      <c r="G37" s="272">
        <f>VLOOKUP($B37,'Comm Price Out'!$A$9:$J$75,4,FALSE)</f>
        <v>149.47</v>
      </c>
      <c r="H37" s="270">
        <f t="shared" si="3"/>
        <v>25</v>
      </c>
      <c r="I37" s="199">
        <f t="shared" si="4"/>
        <v>0</v>
      </c>
      <c r="J37" s="199">
        <f t="shared" si="5"/>
        <v>0</v>
      </c>
      <c r="K37" s="2114">
        <f>$K$5*A37*O2</f>
        <v>38.247843482382486</v>
      </c>
      <c r="L37" s="200">
        <f t="shared" si="9"/>
        <v>0</v>
      </c>
      <c r="M37" s="201">
        <f t="shared" si="9"/>
        <v>0</v>
      </c>
      <c r="N37" s="521">
        <f t="shared" si="7"/>
        <v>0.5299137392952995</v>
      </c>
      <c r="O37" s="2100">
        <v>35.033754827441584</v>
      </c>
    </row>
    <row r="38" spans="1:15" ht="12" customHeight="1">
      <c r="A38" s="183">
        <v>3</v>
      </c>
      <c r="B38" s="223" t="str">
        <f>+'Comm Price Out'!A105</f>
        <v>3 yd Comp Week (5x Comp)</v>
      </c>
      <c r="C38" s="271">
        <f>VLOOKUP($B38,'Comm Price Out'!$A$82:$J$131,2,FALSE)</f>
        <v>0</v>
      </c>
      <c r="D38" s="269">
        <f>C38*4.3333</f>
        <v>0</v>
      </c>
      <c r="E38" s="269">
        <f>+A38*D38*5</f>
        <v>0</v>
      </c>
      <c r="F38" s="272">
        <f>VLOOKUP($B38,'Comm Price Out'!$A$82:$J$131,4,FALSE)</f>
        <v>0</v>
      </c>
      <c r="G38" s="272">
        <f>VLOOKUP($B38,'Comm Price Out'!$A$9:$J$75,4,FALSE)</f>
        <v>156.4</v>
      </c>
      <c r="H38" s="270">
        <f>F38-G38</f>
        <v>-156.4</v>
      </c>
      <c r="I38" s="199">
        <f>H38*D38</f>
        <v>0</v>
      </c>
      <c r="J38" s="199">
        <f>D38*K38</f>
        <v>0</v>
      </c>
      <c r="K38" s="2114">
        <f>$K$5*A38*O3</f>
        <v>54.639776403403545</v>
      </c>
      <c r="L38" s="200">
        <f>I38*12</f>
        <v>0</v>
      </c>
      <c r="M38" s="201">
        <f>J38*12</f>
        <v>0</v>
      </c>
      <c r="N38" s="521">
        <f t="shared" si="7"/>
        <v>-1.3493591841649843</v>
      </c>
      <c r="O38" s="2100">
        <v>50.0482211820594</v>
      </c>
    </row>
    <row r="39" spans="1:15" ht="12" customHeight="1">
      <c r="A39" s="183">
        <v>3</v>
      </c>
      <c r="B39" s="223" t="str">
        <f>+'Comm Price Out'!A106</f>
        <v>3 yd  On Call</v>
      </c>
      <c r="C39" s="271">
        <f>VLOOKUP($B39,'Comm Price Out'!$A$82:$J$131,2,FALSE)</f>
        <v>0</v>
      </c>
      <c r="D39" s="269">
        <f>C39*4.3333</f>
        <v>0</v>
      </c>
      <c r="E39" s="269">
        <f>+A39*D39</f>
        <v>0</v>
      </c>
      <c r="F39" s="272">
        <f>VLOOKUP($B39,'Comm Price Out'!$A$82:$J$131,4,FALSE)</f>
        <v>53.89</v>
      </c>
      <c r="G39" s="272">
        <f>VLOOKUP($B39,'Comm Price Out'!$A$9:$J$75,4,FALSE)</f>
        <v>46.75</v>
      </c>
      <c r="H39" s="270">
        <f t="shared" si="3"/>
        <v>7.1400000000000006</v>
      </c>
      <c r="I39" s="199">
        <f t="shared" si="4"/>
        <v>0</v>
      </c>
      <c r="J39" s="199">
        <f t="shared" si="5"/>
        <v>0</v>
      </c>
      <c r="K39" s="2114">
        <f>$K$5*A39</f>
        <v>10.92795528068071</v>
      </c>
      <c r="L39" s="200">
        <f t="shared" si="9"/>
        <v>0</v>
      </c>
      <c r="M39" s="201">
        <f t="shared" si="9"/>
        <v>0</v>
      </c>
      <c r="N39" s="521">
        <f t="shared" si="7"/>
        <v>0.53052594967516931</v>
      </c>
      <c r="O39" s="2100">
        <v>10.00964423641188</v>
      </c>
    </row>
    <row r="40" spans="1:15" ht="12" customHeight="1">
      <c r="A40" s="183">
        <v>3</v>
      </c>
      <c r="B40" s="223" t="str">
        <f>+'Comm Price Out'!A107</f>
        <v>3 yd 1xweek</v>
      </c>
      <c r="C40" s="271">
        <f>VLOOKUP($B40,'Comm Price Out'!$A$82:$J$131,2,FALSE)</f>
        <v>6</v>
      </c>
      <c r="D40" s="269">
        <f>C40*4.3333</f>
        <v>25.9998</v>
      </c>
      <c r="E40" s="269">
        <f t="shared" si="2"/>
        <v>77.999400000000009</v>
      </c>
      <c r="F40" s="272">
        <f>VLOOKUP($B40,'Comm Price Out'!$A$82:$J$131,4,FALSE)</f>
        <v>50.43</v>
      </c>
      <c r="G40" s="272">
        <f>VLOOKUP($B40,'Comm Price Out'!$A$9:$J$75,4,FALSE)</f>
        <v>43.29</v>
      </c>
      <c r="H40" s="270">
        <f t="shared" si="3"/>
        <v>7.1400000000000006</v>
      </c>
      <c r="I40" s="199">
        <f>H40*D40</f>
        <v>185.63857200000001</v>
      </c>
      <c r="J40" s="199">
        <f>D40*K40</f>
        <v>284.12465170664234</v>
      </c>
      <c r="K40" s="2114">
        <f>$K$5*A40</f>
        <v>10.92795528068071</v>
      </c>
      <c r="L40" s="200">
        <f>I40*12</f>
        <v>2227.6628639999999</v>
      </c>
      <c r="M40" s="201">
        <f t="shared" si="9"/>
        <v>3409.4958204797081</v>
      </c>
      <c r="N40" s="521">
        <f t="shared" si="7"/>
        <v>0.53052594967516931</v>
      </c>
      <c r="O40" s="2100">
        <v>10.00964423641188</v>
      </c>
    </row>
    <row r="41" spans="1:15" ht="12" customHeight="1">
      <c r="A41" s="183">
        <v>3</v>
      </c>
      <c r="B41" s="223" t="str">
        <f>+'Comm Price Out'!A108</f>
        <v>3 yd 2xweek</v>
      </c>
      <c r="C41" s="271">
        <f>VLOOKUP($B41,'Comm Price Out'!$A$82:$J$131,2,FALSE)</f>
        <v>7</v>
      </c>
      <c r="D41" s="269">
        <f>C41*4.3333*2</f>
        <v>60.666200000000003</v>
      </c>
      <c r="E41" s="269">
        <f t="shared" si="2"/>
        <v>181.99860000000001</v>
      </c>
      <c r="F41" s="272">
        <f>VLOOKUP($B41,'Comm Price Out'!$A$82:$J$131,4,FALSE)</f>
        <v>50.43</v>
      </c>
      <c r="G41" s="272">
        <f>VLOOKUP($B41,'Comm Price Out'!$A$9:$J$75,4,FALSE)</f>
        <v>43.29</v>
      </c>
      <c r="H41" s="270">
        <f t="shared" si="3"/>
        <v>7.1400000000000006</v>
      </c>
      <c r="I41" s="199">
        <f t="shared" si="4"/>
        <v>433.15666800000008</v>
      </c>
      <c r="J41" s="199">
        <f t="shared" si="5"/>
        <v>662.95752064883209</v>
      </c>
      <c r="K41" s="2114">
        <f>$K$5*A41</f>
        <v>10.92795528068071</v>
      </c>
      <c r="L41" s="200">
        <f t="shared" si="9"/>
        <v>5197.880016000001</v>
      </c>
      <c r="M41" s="201">
        <f t="shared" si="9"/>
        <v>7955.490247785985</v>
      </c>
      <c r="N41" s="521">
        <f t="shared" si="7"/>
        <v>0.53052594967516931</v>
      </c>
      <c r="O41" s="2100">
        <v>10.00964423641188</v>
      </c>
    </row>
    <row r="42" spans="1:15" ht="12" customHeight="1">
      <c r="A42" s="183">
        <v>3</v>
      </c>
      <c r="B42" s="223" t="str">
        <f>+'Comm Price Out'!A109</f>
        <v>3 yd 3xweek</v>
      </c>
      <c r="C42" s="271">
        <f>VLOOKUP($B42,'Comm Price Out'!$A$82:$J$131,2,FALSE)</f>
        <v>0</v>
      </c>
      <c r="D42" s="269">
        <f>C42*4.3333*3</f>
        <v>0</v>
      </c>
      <c r="E42" s="269">
        <f t="shared" si="2"/>
        <v>0</v>
      </c>
      <c r="F42" s="272">
        <f>VLOOKUP($B42,'Comm Price Out'!$A$82:$J$131,4,FALSE)</f>
        <v>50.43</v>
      </c>
      <c r="G42" s="272">
        <f>VLOOKUP($B42,'Comm Price Out'!$A$9:$J$75,4,FALSE)</f>
        <v>43.29</v>
      </c>
      <c r="H42" s="270">
        <f t="shared" si="3"/>
        <v>7.1400000000000006</v>
      </c>
      <c r="I42" s="199">
        <f t="shared" si="4"/>
        <v>0</v>
      </c>
      <c r="J42" s="199">
        <f t="shared" si="5"/>
        <v>0</v>
      </c>
      <c r="K42" s="2114">
        <f>$K$5*A42</f>
        <v>10.92795528068071</v>
      </c>
      <c r="L42" s="200">
        <f t="shared" si="9"/>
        <v>0</v>
      </c>
      <c r="M42" s="201">
        <f t="shared" si="9"/>
        <v>0</v>
      </c>
      <c r="N42" s="521">
        <f t="shared" si="7"/>
        <v>0.53052594967516931</v>
      </c>
      <c r="O42" s="2100">
        <v>10.00964423641188</v>
      </c>
    </row>
    <row r="43" spans="1:15" ht="12" customHeight="1">
      <c r="A43" s="183">
        <v>4</v>
      </c>
      <c r="B43" s="223" t="str">
        <f>+'Comm Price Out'!A110</f>
        <v>4 yd Comp Week</v>
      </c>
      <c r="C43" s="271">
        <f>VLOOKUP($B43,'Comm Price Out'!$A$82:$J$131,2,FALSE)</f>
        <v>0</v>
      </c>
      <c r="D43" s="269">
        <f>C43*4.3333</f>
        <v>0</v>
      </c>
      <c r="E43" s="269">
        <f>+A43*D43*3.5</f>
        <v>0</v>
      </c>
      <c r="F43" s="272">
        <f>VLOOKUP($B43,'Comm Price Out'!$A$82:$J$131,4,FALSE)</f>
        <v>293.77</v>
      </c>
      <c r="G43" s="272">
        <f>VLOOKUP($B43,'Comm Price Out'!$A$9:$J$75,4,FALSE)</f>
        <v>260.44</v>
      </c>
      <c r="H43" s="270">
        <f t="shared" si="3"/>
        <v>33.329999999999984</v>
      </c>
      <c r="I43" s="199">
        <f t="shared" si="4"/>
        <v>0</v>
      </c>
      <c r="J43" s="199">
        <f t="shared" si="5"/>
        <v>0</v>
      </c>
      <c r="K43" s="2114">
        <f>$K$5*A43*O2</f>
        <v>50.99712464317664</v>
      </c>
      <c r="L43" s="200">
        <f t="shared" si="9"/>
        <v>0</v>
      </c>
      <c r="M43" s="201">
        <f t="shared" si="9"/>
        <v>0</v>
      </c>
      <c r="N43" s="521">
        <f t="shared" si="7"/>
        <v>0.53006674596989689</v>
      </c>
      <c r="O43" s="2100">
        <v>46.711673103255436</v>
      </c>
    </row>
    <row r="44" spans="1:15" ht="12" customHeight="1">
      <c r="A44" s="183">
        <v>4</v>
      </c>
      <c r="B44" s="223" t="str">
        <f>+'Comm Price Out'!A111</f>
        <v>4 yd Comp Week (5x Comp)</v>
      </c>
      <c r="C44" s="271">
        <f>VLOOKUP($B44,'Comm Price Out'!$A$82:$J$131,2,FALSE)</f>
        <v>0</v>
      </c>
      <c r="D44" s="269">
        <f>C44*4.3333</f>
        <v>0</v>
      </c>
      <c r="E44" s="269">
        <f>+A44*D44*5</f>
        <v>0</v>
      </c>
      <c r="F44" s="272">
        <f>VLOOKUP($B44,'Comm Price Out'!$A$82:$J$131,4,FALSE)</f>
        <v>0</v>
      </c>
      <c r="G44" s="272">
        <f>VLOOKUP($B44,'Comm Price Out'!$A$9:$J$75,4,FALSE)</f>
        <v>208.77</v>
      </c>
      <c r="H44" s="270">
        <f>F44-G44</f>
        <v>-208.77</v>
      </c>
      <c r="I44" s="199">
        <f>H44*D44</f>
        <v>0</v>
      </c>
      <c r="J44" s="199">
        <f>D44*K44</f>
        <v>0</v>
      </c>
      <c r="K44" s="2114">
        <f>$K$5*A44*O3</f>
        <v>72.85303520453806</v>
      </c>
      <c r="L44" s="200">
        <f>I44*12</f>
        <v>0</v>
      </c>
      <c r="M44" s="201">
        <f>J44*12</f>
        <v>0</v>
      </c>
      <c r="N44" s="521">
        <f>IF(H44=0,0,K44/H44-1)</f>
        <v>-1.3489631422356567</v>
      </c>
      <c r="O44" s="2100">
        <v>66.730961576079196</v>
      </c>
    </row>
    <row r="45" spans="1:15" ht="12" customHeight="1">
      <c r="A45" s="183">
        <v>4</v>
      </c>
      <c r="B45" s="223" t="str">
        <f>+'Comm Price Out'!A112</f>
        <v>4 yd On Call</v>
      </c>
      <c r="C45" s="271">
        <f>VLOOKUP($B45,'Comm Price Out'!$A$82:$J$131,2,FALSE)</f>
        <v>0</v>
      </c>
      <c r="D45" s="269">
        <f>C45*4.3333</f>
        <v>0</v>
      </c>
      <c r="E45" s="269">
        <f t="shared" si="2"/>
        <v>0</v>
      </c>
      <c r="F45" s="272">
        <f>VLOOKUP($B45,'Comm Price Out'!$A$82:$J$131,4,FALSE)</f>
        <v>70.7</v>
      </c>
      <c r="G45" s="272">
        <f>VLOOKUP($B45,'Comm Price Out'!$A$9:$J$75,4,FALSE)</f>
        <v>61.18</v>
      </c>
      <c r="H45" s="270">
        <f t="shared" si="3"/>
        <v>9.5200000000000031</v>
      </c>
      <c r="I45" s="199">
        <f t="shared" si="4"/>
        <v>0</v>
      </c>
      <c r="J45" s="199">
        <f t="shared" si="5"/>
        <v>0</v>
      </c>
      <c r="K45" s="2114">
        <f t="shared" ref="K45:K50" si="10">$K$5*A45</f>
        <v>14.570607040907612</v>
      </c>
      <c r="L45" s="200">
        <f t="shared" si="9"/>
        <v>0</v>
      </c>
      <c r="M45" s="201">
        <f t="shared" si="9"/>
        <v>0</v>
      </c>
      <c r="N45" s="521">
        <f t="shared" si="7"/>
        <v>0.53052594967516886</v>
      </c>
      <c r="O45" s="2100">
        <v>13.346192315215839</v>
      </c>
    </row>
    <row r="46" spans="1:15" ht="12" customHeight="1">
      <c r="A46" s="183">
        <v>4</v>
      </c>
      <c r="B46" s="223" t="str">
        <f>+'Comm Price Out'!A113</f>
        <v>4 yd 1xweek</v>
      </c>
      <c r="C46" s="271">
        <f>VLOOKUP($B46,'Comm Price Out'!$A$82:$J$131,2,FALSE)</f>
        <v>16</v>
      </c>
      <c r="D46" s="269">
        <f>C46*4.3333</f>
        <v>69.332800000000006</v>
      </c>
      <c r="E46" s="269">
        <f t="shared" si="2"/>
        <v>277.33120000000002</v>
      </c>
      <c r="F46" s="272">
        <f>VLOOKUP($B46,'Comm Price Out'!$A$82:$J$131,4,FALSE)</f>
        <v>64.930000000000007</v>
      </c>
      <c r="G46" s="272">
        <f>VLOOKUP($B46,'Comm Price Out'!$A$9:$J$75,4,FALSE)</f>
        <v>55.41</v>
      </c>
      <c r="H46" s="270">
        <f t="shared" si="3"/>
        <v>9.5200000000000102</v>
      </c>
      <c r="I46" s="199">
        <f t="shared" si="4"/>
        <v>660.04825600000072</v>
      </c>
      <c r="J46" s="199">
        <f t="shared" si="5"/>
        <v>1010.2209838458394</v>
      </c>
      <c r="K46" s="2114">
        <f t="shared" si="10"/>
        <v>14.570607040907612</v>
      </c>
      <c r="L46" s="200">
        <f t="shared" si="9"/>
        <v>7920.5790720000086</v>
      </c>
      <c r="M46" s="201">
        <f t="shared" si="9"/>
        <v>12122.651806150074</v>
      </c>
      <c r="N46" s="521">
        <f t="shared" si="7"/>
        <v>0.53052594967516775</v>
      </c>
      <c r="O46" s="2100">
        <v>13.346192315215839</v>
      </c>
    </row>
    <row r="47" spans="1:15" ht="12" customHeight="1">
      <c r="A47" s="183">
        <v>4</v>
      </c>
      <c r="B47" s="223" t="str">
        <f>+'Comm Price Out'!A114</f>
        <v>4 yd 2xweek</v>
      </c>
      <c r="C47" s="271">
        <f>VLOOKUP($B47,'Comm Price Out'!$A$82:$J$131,2,FALSE)</f>
        <v>9</v>
      </c>
      <c r="D47" s="269">
        <f>C47*4.3333*2</f>
        <v>77.999400000000009</v>
      </c>
      <c r="E47" s="269">
        <f t="shared" si="2"/>
        <v>311.99760000000003</v>
      </c>
      <c r="F47" s="272">
        <f>VLOOKUP($B47,'Comm Price Out'!$A$82:$J$131,4,FALSE)</f>
        <v>64.930000000000007</v>
      </c>
      <c r="G47" s="272">
        <f>VLOOKUP($B47,'Comm Price Out'!$A$9:$J$75,4,FALSE)</f>
        <v>55.41</v>
      </c>
      <c r="H47" s="270">
        <f t="shared" si="3"/>
        <v>9.5200000000000102</v>
      </c>
      <c r="I47" s="199">
        <f t="shared" si="4"/>
        <v>742.55428800000084</v>
      </c>
      <c r="J47" s="199">
        <f t="shared" si="5"/>
        <v>1136.4986068265694</v>
      </c>
      <c r="K47" s="2114">
        <f t="shared" si="10"/>
        <v>14.570607040907612</v>
      </c>
      <c r="L47" s="200">
        <f t="shared" si="9"/>
        <v>8910.6514560000105</v>
      </c>
      <c r="M47" s="201">
        <f t="shared" si="9"/>
        <v>13637.983281918832</v>
      </c>
      <c r="N47" s="521">
        <f t="shared" si="7"/>
        <v>0.53052594967516775</v>
      </c>
      <c r="O47" s="2100">
        <v>13.346192315215839</v>
      </c>
    </row>
    <row r="48" spans="1:15" ht="13.5" customHeight="1">
      <c r="A48" s="183">
        <v>4</v>
      </c>
      <c r="B48" s="223" t="str">
        <f>+'Comm Price Out'!A115</f>
        <v>4 yd 3xweek</v>
      </c>
      <c r="C48" s="271">
        <f>VLOOKUP($B48,'Comm Price Out'!$A$82:$J$131,2,FALSE)</f>
        <v>2</v>
      </c>
      <c r="D48" s="269">
        <f>C48*4.3333*2*3</f>
        <v>51.999600000000001</v>
      </c>
      <c r="E48" s="269">
        <f t="shared" si="2"/>
        <v>207.9984</v>
      </c>
      <c r="F48" s="272">
        <f>VLOOKUP($B48,'Comm Price Out'!$A$82:$J$131,4,FALSE)</f>
        <v>64.930000000000007</v>
      </c>
      <c r="G48" s="272">
        <f>VLOOKUP($B48,'Comm Price Out'!$A$9:$J$75,4,FALSE)</f>
        <v>55.41</v>
      </c>
      <c r="H48" s="270">
        <f t="shared" si="3"/>
        <v>9.5200000000000102</v>
      </c>
      <c r="I48" s="199">
        <f t="shared" si="4"/>
        <v>495.03619200000054</v>
      </c>
      <c r="J48" s="199">
        <f t="shared" si="5"/>
        <v>757.6657378843795</v>
      </c>
      <c r="K48" s="2114">
        <f t="shared" si="10"/>
        <v>14.570607040907612</v>
      </c>
      <c r="L48" s="200">
        <f t="shared" si="9"/>
        <v>5940.4343040000067</v>
      </c>
      <c r="M48" s="201">
        <f t="shared" si="9"/>
        <v>9091.9888546125549</v>
      </c>
      <c r="N48" s="521">
        <f t="shared" si="7"/>
        <v>0.53052594967516775</v>
      </c>
      <c r="O48" s="2100">
        <v>13.346192315215839</v>
      </c>
    </row>
    <row r="49" spans="1:15" ht="12" customHeight="1">
      <c r="A49" s="183">
        <v>4</v>
      </c>
      <c r="B49" s="223" t="str">
        <f>+'Comm Price Out'!A116</f>
        <v>4 yd 4xweek</v>
      </c>
      <c r="C49" s="271">
        <f>VLOOKUP($B49,'Comm Price Out'!$A$82:$J$131,2,FALSE)</f>
        <v>0</v>
      </c>
      <c r="D49" s="269">
        <f>C49*4.3333*4</f>
        <v>0</v>
      </c>
      <c r="E49" s="269">
        <f>+A49*D49</f>
        <v>0</v>
      </c>
      <c r="F49" s="272">
        <f>VLOOKUP($B49,'Comm Price Out'!$A$82:$J$131,4,FALSE)</f>
        <v>64.930000000000007</v>
      </c>
      <c r="G49" s="272">
        <f>VLOOKUP($B49,'Comm Price Out'!$A$9:$J$75,4,FALSE)</f>
        <v>55.41</v>
      </c>
      <c r="H49" s="270">
        <f>F49-G49</f>
        <v>9.5200000000000102</v>
      </c>
      <c r="I49" s="199">
        <f t="shared" si="4"/>
        <v>0</v>
      </c>
      <c r="J49" s="199">
        <f>D49*K49</f>
        <v>0</v>
      </c>
      <c r="K49" s="2114">
        <f t="shared" si="10"/>
        <v>14.570607040907612</v>
      </c>
      <c r="L49" s="200">
        <f>I49*12</f>
        <v>0</v>
      </c>
      <c r="M49" s="201">
        <f>J49*12</f>
        <v>0</v>
      </c>
      <c r="N49" s="521">
        <f>IF(H49=0,0,K49/H49-1)</f>
        <v>0.53052594967516775</v>
      </c>
      <c r="O49" s="2100">
        <v>13.346192315215839</v>
      </c>
    </row>
    <row r="50" spans="1:15" ht="12" customHeight="1">
      <c r="A50" s="183">
        <v>4</v>
      </c>
      <c r="B50" s="223" t="str">
        <f>+'Comm Price Out'!A117</f>
        <v>4 yd 5xweek</v>
      </c>
      <c r="C50" s="271">
        <f>VLOOKUP($B50,'Comm Price Out'!$A$82:$J$131,2,FALSE)</f>
        <v>0</v>
      </c>
      <c r="D50" s="269">
        <f>C50*4.3333*5</f>
        <v>0</v>
      </c>
      <c r="E50" s="269">
        <f>+A50*D50</f>
        <v>0</v>
      </c>
      <c r="F50" s="272">
        <f>VLOOKUP($B50,'Comm Price Out'!$A$82:$J$131,4,FALSE)</f>
        <v>64.930000000000007</v>
      </c>
      <c r="G50" s="272">
        <f>VLOOKUP($B50,'Comm Price Out'!$A$9:$J$75,4,FALSE)</f>
        <v>55.41</v>
      </c>
      <c r="H50" s="270">
        <f>F50-G50</f>
        <v>9.5200000000000102</v>
      </c>
      <c r="I50" s="199">
        <f t="shared" si="4"/>
        <v>0</v>
      </c>
      <c r="J50" s="199">
        <f>D50*K50</f>
        <v>0</v>
      </c>
      <c r="K50" s="2114">
        <f t="shared" si="10"/>
        <v>14.570607040907612</v>
      </c>
      <c r="L50" s="200">
        <f>I50*12</f>
        <v>0</v>
      </c>
      <c r="M50" s="201">
        <f>J50*12</f>
        <v>0</v>
      </c>
      <c r="N50" s="521">
        <f>IF(H50=0,0,K50/H50-1)</f>
        <v>0.53052594967516775</v>
      </c>
      <c r="O50" s="2100">
        <v>13.346192315215839</v>
      </c>
    </row>
    <row r="51" spans="1:15" ht="12" customHeight="1">
      <c r="A51" s="183">
        <v>4</v>
      </c>
      <c r="B51" s="223" t="str">
        <f>+'Comm Price Out'!A118</f>
        <v>4 yd 6xweek</v>
      </c>
      <c r="C51" s="271">
        <f>VLOOKUP($B51,'Comm Price Out'!$A$82:$J$131,2,FALSE)</f>
        <v>0</v>
      </c>
      <c r="D51" s="269">
        <f>C51*4.3333*6</f>
        <v>0</v>
      </c>
      <c r="E51" s="269">
        <f t="shared" si="2"/>
        <v>0</v>
      </c>
      <c r="F51" s="272">
        <f>VLOOKUP($B51,'Comm Price Out'!$A$82:$J$131,4,FALSE)</f>
        <v>64.930000000000007</v>
      </c>
      <c r="G51" s="272">
        <f>VLOOKUP($B51,'Comm Price Out'!$A$9:$J$75,4,FALSE)</f>
        <v>55.41</v>
      </c>
      <c r="H51" s="270">
        <f>F51-G51</f>
        <v>9.5200000000000102</v>
      </c>
      <c r="I51" s="199">
        <f>H51*D51</f>
        <v>0</v>
      </c>
      <c r="J51" s="199">
        <f t="shared" si="5"/>
        <v>0</v>
      </c>
      <c r="K51" s="2114">
        <f>$K$5*A51</f>
        <v>14.570607040907612</v>
      </c>
      <c r="L51" s="200">
        <f>I51*12</f>
        <v>0</v>
      </c>
      <c r="M51" s="201">
        <f t="shared" si="9"/>
        <v>0</v>
      </c>
      <c r="N51" s="521">
        <f t="shared" si="7"/>
        <v>0.53052594967516775</v>
      </c>
      <c r="O51" s="2100">
        <v>13.346192315215839</v>
      </c>
    </row>
    <row r="52" spans="1:15" ht="12" customHeight="1">
      <c r="A52" s="183">
        <v>5</v>
      </c>
      <c r="B52" s="223" t="str">
        <f>+'Comm Price Out'!A119</f>
        <v>5 yd Comp Week</v>
      </c>
      <c r="C52" s="271">
        <f>VLOOKUP($B52,'Comm Price Out'!$A$82:$J$131,2,FALSE)</f>
        <v>0</v>
      </c>
      <c r="D52" s="269">
        <f t="shared" ref="D52:D57" si="11">C52*4.3333</f>
        <v>0</v>
      </c>
      <c r="E52" s="269">
        <f>+A52*D52*3.5</f>
        <v>0</v>
      </c>
      <c r="F52" s="272">
        <f>VLOOKUP($B52,'Comm Price Out'!$A$82:$J$131,4,FALSE)</f>
        <v>0</v>
      </c>
      <c r="G52" s="272">
        <f>VLOOKUP($B52,'Comm Price Out'!$A$9:$J$75,4,FALSE)</f>
        <v>0</v>
      </c>
      <c r="H52" s="270">
        <f t="shared" si="3"/>
        <v>0</v>
      </c>
      <c r="I52" s="199">
        <f t="shared" si="4"/>
        <v>0</v>
      </c>
      <c r="J52" s="199">
        <f t="shared" si="5"/>
        <v>0</v>
      </c>
      <c r="K52" s="2114">
        <f>$K$5*A52*3.5</f>
        <v>63.746405803970802</v>
      </c>
      <c r="L52" s="200">
        <f t="shared" si="9"/>
        <v>0</v>
      </c>
      <c r="M52" s="201">
        <f t="shared" si="9"/>
        <v>0</v>
      </c>
      <c r="N52" s="521">
        <f t="shared" si="7"/>
        <v>0</v>
      </c>
      <c r="O52" s="2100">
        <v>58.389591379069294</v>
      </c>
    </row>
    <row r="53" spans="1:15" ht="12" customHeight="1">
      <c r="A53" s="183">
        <v>5</v>
      </c>
      <c r="B53" s="223" t="str">
        <f>+'Comm Price Out'!A120</f>
        <v>5 yd Comp Week (5x Comp)</v>
      </c>
      <c r="C53" s="271">
        <f>VLOOKUP($B53,'Comm Price Out'!$A$82:$J$131,2,FALSE)</f>
        <v>0</v>
      </c>
      <c r="D53" s="269">
        <f t="shared" si="11"/>
        <v>0</v>
      </c>
      <c r="E53" s="269">
        <f>+A53*D53*5</f>
        <v>0</v>
      </c>
      <c r="F53" s="272">
        <f>VLOOKUP($B53,'Comm Price Out'!$A$82:$J$131,4,FALSE)</f>
        <v>0</v>
      </c>
      <c r="G53" s="272">
        <f>VLOOKUP($B53,'Comm Price Out'!$A$9:$J$75,4,FALSE)</f>
        <v>0</v>
      </c>
      <c r="H53" s="270">
        <f>F53-G53</f>
        <v>0</v>
      </c>
      <c r="I53" s="199">
        <f t="shared" si="4"/>
        <v>0</v>
      </c>
      <c r="J53" s="199">
        <f>D53*K53</f>
        <v>0</v>
      </c>
      <c r="K53" s="2114">
        <f>$K$5*A53*5</f>
        <v>91.066294005672574</v>
      </c>
      <c r="L53" s="200">
        <f>I53*12</f>
        <v>0</v>
      </c>
      <c r="M53" s="201">
        <f>J53*12</f>
        <v>0</v>
      </c>
      <c r="N53" s="521">
        <f>IF(H53=0,0,K53/H53-1)</f>
        <v>0</v>
      </c>
      <c r="O53" s="2100">
        <v>83.413701970098998</v>
      </c>
    </row>
    <row r="54" spans="1:15" ht="12" customHeight="1">
      <c r="A54" s="183">
        <v>6</v>
      </c>
      <c r="B54" s="223" t="str">
        <f>+'Comm Price Out'!A121</f>
        <v>6 yd Comp Week</v>
      </c>
      <c r="C54" s="271">
        <f>VLOOKUP($B54,'Comm Price Out'!$A$82:$J$131,2,FALSE)</f>
        <v>0</v>
      </c>
      <c r="D54" s="269">
        <f t="shared" si="11"/>
        <v>0</v>
      </c>
      <c r="E54" s="269">
        <f>+A54*D54*3.5</f>
        <v>0</v>
      </c>
      <c r="F54" s="272">
        <f>VLOOKUP($B54,'Comm Price Out'!$A$82:$J$131,4,FALSE)</f>
        <v>383.55</v>
      </c>
      <c r="G54" s="272">
        <f>VLOOKUP($B54,'Comm Price Out'!$A$9:$J$75,4,FALSE)</f>
        <v>333.55</v>
      </c>
      <c r="H54" s="270">
        <f t="shared" si="3"/>
        <v>50</v>
      </c>
      <c r="I54" s="199">
        <f t="shared" si="4"/>
        <v>0</v>
      </c>
      <c r="J54" s="199">
        <f t="shared" si="5"/>
        <v>0</v>
      </c>
      <c r="K54" s="2114">
        <f>$K$5*A54*3.5</f>
        <v>76.495686964764971</v>
      </c>
      <c r="L54" s="200">
        <f t="shared" si="9"/>
        <v>0</v>
      </c>
      <c r="M54" s="201">
        <f t="shared" si="9"/>
        <v>0</v>
      </c>
      <c r="N54" s="521">
        <f t="shared" si="7"/>
        <v>0.5299137392952995</v>
      </c>
      <c r="O54" s="2100">
        <v>70.067509654883168</v>
      </c>
    </row>
    <row r="55" spans="1:15" ht="12" customHeight="1">
      <c r="A55" s="183">
        <v>6</v>
      </c>
      <c r="B55" s="223" t="str">
        <f>+'Comm Price Out'!A122</f>
        <v>6 yd Comp Week (5x Comp)</v>
      </c>
      <c r="C55" s="271">
        <f>VLOOKUP($B55,'Comm Price Out'!$A$82:$J$131,2,FALSE)</f>
        <v>0</v>
      </c>
      <c r="D55" s="269">
        <f t="shared" si="11"/>
        <v>0</v>
      </c>
      <c r="E55" s="269">
        <f>+A55*D55*5</f>
        <v>0</v>
      </c>
      <c r="F55" s="272">
        <f>VLOOKUP($B55,'Comm Price Out'!$A$82:$J$131,4,FALSE)</f>
        <v>0</v>
      </c>
      <c r="G55" s="272">
        <f>VLOOKUP($B55,'Comm Price Out'!$A$9:$J$75,4,FALSE)</f>
        <v>309.02999999999997</v>
      </c>
      <c r="H55" s="270">
        <f>F55-G55</f>
        <v>-309.02999999999997</v>
      </c>
      <c r="I55" s="199">
        <f>H55*D55</f>
        <v>0</v>
      </c>
      <c r="J55" s="199">
        <f>D55*K55</f>
        <v>0</v>
      </c>
      <c r="K55" s="2114">
        <f>$K$5*A55*5</f>
        <v>109.27955280680709</v>
      </c>
      <c r="L55" s="200">
        <f>I55*12</f>
        <v>0</v>
      </c>
      <c r="M55" s="201">
        <f>J55*12</f>
        <v>0</v>
      </c>
      <c r="N55" s="521">
        <f>IF(H55=0,0,K55/H55-1)</f>
        <v>-1.353621178548384</v>
      </c>
      <c r="O55" s="2100">
        <v>100.0964423641188</v>
      </c>
    </row>
    <row r="56" spans="1:15" ht="12" customHeight="1">
      <c r="A56" s="183">
        <v>6</v>
      </c>
      <c r="B56" s="223" t="str">
        <f>+'Comm Price Out'!A123</f>
        <v>6 yd  On Call</v>
      </c>
      <c r="C56" s="271">
        <f>VLOOKUP($B56,'Comm Price Out'!$A$82:$J$131,2,FALSE)</f>
        <v>0</v>
      </c>
      <c r="D56" s="269">
        <f t="shared" si="11"/>
        <v>0</v>
      </c>
      <c r="E56" s="269">
        <f t="shared" si="2"/>
        <v>0</v>
      </c>
      <c r="F56" s="272">
        <f>VLOOKUP($B56,'Comm Price Out'!$A$82:$J$131,4,FALSE)</f>
        <v>105.47</v>
      </c>
      <c r="G56" s="272">
        <f>VLOOKUP($B56,'Comm Price Out'!$A$9:$J$75,4,FALSE)</f>
        <v>91.19</v>
      </c>
      <c r="H56" s="270">
        <f t="shared" si="3"/>
        <v>14.280000000000001</v>
      </c>
      <c r="I56" s="199">
        <f t="shared" si="4"/>
        <v>0</v>
      </c>
      <c r="J56" s="199">
        <f t="shared" si="5"/>
        <v>0</v>
      </c>
      <c r="K56" s="2114">
        <f t="shared" ref="K56:K64" si="12">$K$5*A56</f>
        <v>21.855910561361419</v>
      </c>
      <c r="L56" s="200">
        <f t="shared" si="9"/>
        <v>0</v>
      </c>
      <c r="M56" s="201">
        <f t="shared" si="9"/>
        <v>0</v>
      </c>
      <c r="N56" s="521">
        <f t="shared" si="7"/>
        <v>0.53052594967516931</v>
      </c>
      <c r="O56" s="2100">
        <v>20.01928847282376</v>
      </c>
    </row>
    <row r="57" spans="1:15" ht="12" customHeight="1">
      <c r="A57" s="183">
        <v>6</v>
      </c>
      <c r="B57" s="223" t="str">
        <f>+'Comm Price Out'!A124</f>
        <v>6 yd 1xweek</v>
      </c>
      <c r="C57" s="271">
        <f>VLOOKUP($B57,'Comm Price Out'!$A$82:$J$131,2,FALSE)</f>
        <v>12</v>
      </c>
      <c r="D57" s="269">
        <f t="shared" si="11"/>
        <v>51.999600000000001</v>
      </c>
      <c r="E57" s="269">
        <f t="shared" si="2"/>
        <v>311.99760000000003</v>
      </c>
      <c r="F57" s="272">
        <f>VLOOKUP($B57,'Comm Price Out'!$A$82:$J$131,4,FALSE)</f>
        <v>97.4</v>
      </c>
      <c r="G57" s="272">
        <f>VLOOKUP($B57,'Comm Price Out'!$A$9:$J$75,4,FALSE)</f>
        <v>83.11</v>
      </c>
      <c r="H57" s="270">
        <f t="shared" si="3"/>
        <v>14.290000000000006</v>
      </c>
      <c r="I57" s="199">
        <f t="shared" si="4"/>
        <v>743.07428400000038</v>
      </c>
      <c r="J57" s="199">
        <f t="shared" si="5"/>
        <v>1136.4986068265694</v>
      </c>
      <c r="K57" s="2114">
        <f t="shared" si="12"/>
        <v>21.855910561361419</v>
      </c>
      <c r="L57" s="200">
        <f t="shared" si="9"/>
        <v>8916.891408000005</v>
      </c>
      <c r="M57" s="201">
        <f t="shared" si="9"/>
        <v>13637.983281918832</v>
      </c>
      <c r="N57" s="521">
        <f t="shared" si="7"/>
        <v>0.52945490282445129</v>
      </c>
      <c r="O57" s="2100">
        <v>20.01928847282376</v>
      </c>
    </row>
    <row r="58" spans="1:15" ht="12" customHeight="1">
      <c r="A58" s="183">
        <v>6</v>
      </c>
      <c r="B58" s="223" t="str">
        <f>+'Comm Price Out'!A125</f>
        <v>6 yd 2xweek</v>
      </c>
      <c r="C58" s="271">
        <f>VLOOKUP($B58,'Comm Price Out'!$A$82:$J$131,2,FALSE)</f>
        <v>2</v>
      </c>
      <c r="D58" s="269">
        <f>C58*4.3333*2</f>
        <v>17.333200000000001</v>
      </c>
      <c r="E58" s="269">
        <f t="shared" si="2"/>
        <v>103.9992</v>
      </c>
      <c r="F58" s="272">
        <f>VLOOKUP($B58,'Comm Price Out'!$A$82:$J$131,4,FALSE)</f>
        <v>97.4</v>
      </c>
      <c r="G58" s="272">
        <f>VLOOKUP($B58,'Comm Price Out'!$A$9:$J$75,4,FALSE)</f>
        <v>83.11</v>
      </c>
      <c r="H58" s="270">
        <f t="shared" si="3"/>
        <v>14.290000000000006</v>
      </c>
      <c r="I58" s="199">
        <f t="shared" si="4"/>
        <v>247.69142800000012</v>
      </c>
      <c r="J58" s="199">
        <f t="shared" si="5"/>
        <v>378.8328689421898</v>
      </c>
      <c r="K58" s="2114">
        <f t="shared" si="12"/>
        <v>21.855910561361419</v>
      </c>
      <c r="L58" s="200">
        <f t="shared" si="9"/>
        <v>2972.2971360000015</v>
      </c>
      <c r="M58" s="201">
        <f t="shared" si="9"/>
        <v>4545.9944273062774</v>
      </c>
      <c r="N58" s="521">
        <f t="shared" si="7"/>
        <v>0.52945490282445129</v>
      </c>
      <c r="O58" s="2100">
        <v>20.01928847282376</v>
      </c>
    </row>
    <row r="59" spans="1:15" ht="12" customHeight="1">
      <c r="A59" s="183">
        <v>6</v>
      </c>
      <c r="B59" s="223" t="str">
        <f>+'Comm Price Out'!A126</f>
        <v>6 yd 3xweek</v>
      </c>
      <c r="C59" s="271">
        <f>VLOOKUP($B59,'Comm Price Out'!$A$82:$J$131,2,FALSE)</f>
        <v>0</v>
      </c>
      <c r="D59" s="269">
        <f>C59*4.3333*3</f>
        <v>0</v>
      </c>
      <c r="E59" s="269">
        <f t="shared" si="2"/>
        <v>0</v>
      </c>
      <c r="F59" s="272">
        <f>VLOOKUP($B59,'Comm Price Out'!$A$82:$J$131,4,FALSE)</f>
        <v>97.4</v>
      </c>
      <c r="G59" s="272">
        <f>VLOOKUP($B59,'Comm Price Out'!$A$9:$J$75,4,FALSE)</f>
        <v>83.11</v>
      </c>
      <c r="H59" s="270">
        <f t="shared" si="3"/>
        <v>14.290000000000006</v>
      </c>
      <c r="I59" s="199">
        <f t="shared" si="4"/>
        <v>0</v>
      </c>
      <c r="J59" s="199">
        <f t="shared" si="5"/>
        <v>0</v>
      </c>
      <c r="K59" s="2114">
        <f t="shared" si="12"/>
        <v>21.855910561361419</v>
      </c>
      <c r="L59" s="200">
        <f t="shared" si="9"/>
        <v>0</v>
      </c>
      <c r="M59" s="201">
        <f t="shared" si="9"/>
        <v>0</v>
      </c>
      <c r="N59" s="521">
        <f t="shared" si="7"/>
        <v>0.52945490282445129</v>
      </c>
      <c r="O59" s="2100">
        <v>20.01928847282376</v>
      </c>
    </row>
    <row r="60" spans="1:15" ht="12" customHeight="1">
      <c r="A60" s="183">
        <v>8</v>
      </c>
      <c r="B60" s="223" t="str">
        <f>+'Comm Price Out'!A127</f>
        <v>8 yd   On Call</v>
      </c>
      <c r="C60" s="271">
        <f>VLOOKUP($B60,'Comm Price Out'!$A$82:$J$131,2,FALSE)</f>
        <v>1</v>
      </c>
      <c r="D60" s="269">
        <f>C60*4.3333</f>
        <v>4.3333000000000004</v>
      </c>
      <c r="E60" s="269">
        <f t="shared" si="2"/>
        <v>34.666400000000003</v>
      </c>
      <c r="F60" s="272">
        <f>VLOOKUP($B60,'Comm Price Out'!$A$82:$J$131,4,FALSE)</f>
        <v>129.88</v>
      </c>
      <c r="G60" s="272">
        <f>VLOOKUP($B60,'Comm Price Out'!$A$9:$J$75,4,FALSE)</f>
        <v>110.83</v>
      </c>
      <c r="H60" s="270">
        <f t="shared" si="3"/>
        <v>19.049999999999997</v>
      </c>
      <c r="I60" s="199">
        <f t="shared" si="4"/>
        <v>82.549364999999995</v>
      </c>
      <c r="J60" s="199">
        <f t="shared" si="5"/>
        <v>126.27762298072993</v>
      </c>
      <c r="K60" s="2114">
        <f t="shared" si="12"/>
        <v>29.141214081815225</v>
      </c>
      <c r="L60" s="200">
        <f t="shared" si="9"/>
        <v>990.59237999999993</v>
      </c>
      <c r="M60" s="201">
        <f t="shared" si="9"/>
        <v>1515.3314757687592</v>
      </c>
      <c r="N60" s="521">
        <f t="shared" si="7"/>
        <v>0.52972252397980202</v>
      </c>
      <c r="O60" s="2100">
        <v>26.692384630431679</v>
      </c>
    </row>
    <row r="61" spans="1:15" ht="12" customHeight="1">
      <c r="A61" s="183">
        <v>8</v>
      </c>
      <c r="B61" s="223" t="str">
        <f>+'Comm Price Out'!A128</f>
        <v>8 yd  1xweek</v>
      </c>
      <c r="C61" s="271">
        <f>VLOOKUP($B61,'Comm Price Out'!$A$82:$J$131,2,FALSE)</f>
        <v>2</v>
      </c>
      <c r="D61" s="269">
        <f>C61*4.3333</f>
        <v>8.6666000000000007</v>
      </c>
      <c r="E61" s="269">
        <f>+A61*D61</f>
        <v>69.332800000000006</v>
      </c>
      <c r="F61" s="272">
        <f>VLOOKUP($B61,'Comm Price Out'!$A$82:$J$131,4,FALSE)</f>
        <v>127.57</v>
      </c>
      <c r="G61" s="272">
        <f>VLOOKUP($B61,'Comm Price Out'!$A$9:$J$75,4,FALSE)</f>
        <v>108.53</v>
      </c>
      <c r="H61" s="270">
        <f t="shared" si="3"/>
        <v>19.039999999999992</v>
      </c>
      <c r="I61" s="199">
        <f t="shared" si="4"/>
        <v>165.01206399999995</v>
      </c>
      <c r="J61" s="199">
        <f t="shared" si="5"/>
        <v>252.55524596145986</v>
      </c>
      <c r="K61" s="2114">
        <f t="shared" si="12"/>
        <v>29.141214081815225</v>
      </c>
      <c r="L61" s="200">
        <f t="shared" si="9"/>
        <v>1980.1447679999994</v>
      </c>
      <c r="M61" s="201">
        <f t="shared" si="9"/>
        <v>3030.6629515375184</v>
      </c>
      <c r="N61" s="521">
        <f t="shared" si="7"/>
        <v>0.53052594967516997</v>
      </c>
      <c r="O61" s="2100">
        <v>26.692384630431679</v>
      </c>
    </row>
    <row r="62" spans="1:15" ht="12" customHeight="1">
      <c r="A62" s="183">
        <v>8</v>
      </c>
      <c r="B62" s="223" t="str">
        <f>+'Comm Price Out'!A129</f>
        <v>8 yd  2xweek</v>
      </c>
      <c r="C62" s="271">
        <f>VLOOKUP($B62,'Comm Price Out'!$A$82:$J$131,2,FALSE)</f>
        <v>5</v>
      </c>
      <c r="D62" s="269">
        <f>C62*4.3333*2</f>
        <v>43.333000000000006</v>
      </c>
      <c r="E62" s="269">
        <f t="shared" si="2"/>
        <v>346.66400000000004</v>
      </c>
      <c r="F62" s="272">
        <f>VLOOKUP($B62,'Comm Price Out'!$A$82:$J$131,4,FALSE)</f>
        <v>127.57</v>
      </c>
      <c r="G62" s="272">
        <f>VLOOKUP($B62,'Comm Price Out'!$A$9:$J$75,4,FALSE)</f>
        <v>108.53</v>
      </c>
      <c r="H62" s="270">
        <f t="shared" si="3"/>
        <v>19.039999999999992</v>
      </c>
      <c r="I62" s="199">
        <f t="shared" si="4"/>
        <v>825.06031999999971</v>
      </c>
      <c r="J62" s="199">
        <f t="shared" si="5"/>
        <v>1262.7762298072994</v>
      </c>
      <c r="K62" s="2114">
        <f t="shared" si="12"/>
        <v>29.141214081815225</v>
      </c>
      <c r="L62" s="200">
        <f t="shared" si="9"/>
        <v>9900.7238399999969</v>
      </c>
      <c r="M62" s="201">
        <f t="shared" si="9"/>
        <v>15153.314757687593</v>
      </c>
      <c r="N62" s="521">
        <f t="shared" si="7"/>
        <v>0.53052594967516997</v>
      </c>
      <c r="O62" s="2100">
        <v>26.692384630431679</v>
      </c>
    </row>
    <row r="63" spans="1:15" ht="12" customHeight="1">
      <c r="A63" s="183">
        <v>8</v>
      </c>
      <c r="B63" s="223" t="str">
        <f>+'Comm Price Out'!A130</f>
        <v>8 yd  3xweek</v>
      </c>
      <c r="C63" s="271">
        <f>VLOOKUP($B63,'Comm Price Out'!$A$82:$J$131,2,FALSE)</f>
        <v>0</v>
      </c>
      <c r="D63" s="614">
        <f>C63*4.3333*3</f>
        <v>0</v>
      </c>
      <c r="E63" s="269">
        <f t="shared" si="2"/>
        <v>0</v>
      </c>
      <c r="F63" s="272">
        <f>VLOOKUP($B63,'Comm Price Out'!$A$82:$J$131,4,FALSE)</f>
        <v>127.57</v>
      </c>
      <c r="G63" s="272">
        <f>VLOOKUP($B63,'Comm Price Out'!$A$9:$J$75,4,FALSE)</f>
        <v>108.53</v>
      </c>
      <c r="H63" s="270">
        <f>F63-G63</f>
        <v>19.039999999999992</v>
      </c>
      <c r="I63" s="615">
        <f t="shared" si="4"/>
        <v>0</v>
      </c>
      <c r="J63" s="199">
        <f t="shared" si="5"/>
        <v>0</v>
      </c>
      <c r="K63" s="2114">
        <f t="shared" si="12"/>
        <v>29.141214081815225</v>
      </c>
      <c r="L63" s="616">
        <f t="shared" si="9"/>
        <v>0</v>
      </c>
      <c r="M63" s="201">
        <f t="shared" si="9"/>
        <v>0</v>
      </c>
      <c r="N63" s="521">
        <f>IF(H63=0,0,K63/H63-1)</f>
        <v>0.53052594967516997</v>
      </c>
      <c r="O63" s="2100">
        <v>26.692384630431679</v>
      </c>
    </row>
    <row r="64" spans="1:15" ht="12" customHeight="1">
      <c r="A64" s="183">
        <v>8</v>
      </c>
      <c r="B64" s="223" t="str">
        <f>+'Comm Price Out'!A131</f>
        <v>8 yd  4xweek</v>
      </c>
      <c r="C64" s="617">
        <f>VLOOKUP($B64,'Comm Price Out'!$A$82:$J$131,2,FALSE)</f>
        <v>0</v>
      </c>
      <c r="D64" s="275">
        <f>C64*4.3333*4</f>
        <v>0</v>
      </c>
      <c r="E64" s="275">
        <f t="shared" si="2"/>
        <v>0</v>
      </c>
      <c r="F64" s="618">
        <f>VLOOKUP($B64,'Comm Price Out'!$A$82:$J$131,4,FALSE)</f>
        <v>127.57</v>
      </c>
      <c r="G64" s="618">
        <f>VLOOKUP($B64,'Comm Price Out'!$A$9:$J$75,4,FALSE)</f>
        <v>108.53</v>
      </c>
      <c r="H64" s="619">
        <f t="shared" si="3"/>
        <v>19.039999999999992</v>
      </c>
      <c r="I64" s="206">
        <f t="shared" si="4"/>
        <v>0</v>
      </c>
      <c r="J64" s="206">
        <f t="shared" si="5"/>
        <v>0</v>
      </c>
      <c r="K64" s="2114">
        <f t="shared" si="12"/>
        <v>29.141214081815225</v>
      </c>
      <c r="L64" s="208">
        <f t="shared" si="9"/>
        <v>0</v>
      </c>
      <c r="M64" s="209">
        <f t="shared" si="9"/>
        <v>0</v>
      </c>
      <c r="N64" s="521">
        <f t="shared" si="7"/>
        <v>0.53052594967516997</v>
      </c>
      <c r="O64" s="2100">
        <v>26.692384630431679</v>
      </c>
    </row>
    <row r="65" spans="3:13" ht="12" customHeight="1">
      <c r="C65" s="606">
        <f>SUM(C15:C64)</f>
        <v>294</v>
      </c>
      <c r="D65" s="276">
        <f>SUM(D15:D64)</f>
        <v>1425.6557000000005</v>
      </c>
      <c r="E65" s="276">
        <f>SUM(E15:E64)</f>
        <v>2287.7570684000002</v>
      </c>
      <c r="F65" s="277"/>
      <c r="G65" s="277"/>
      <c r="H65" s="277"/>
      <c r="I65" s="199">
        <f>SUM(I15:I64)</f>
        <v>5451.1614010000021</v>
      </c>
      <c r="J65" s="199">
        <f>SUM(J15:J64)</f>
        <v>8333.5023121787999</v>
      </c>
      <c r="K65" s="215"/>
      <c r="L65" s="200">
        <f>I65*12</f>
        <v>65413.936812000029</v>
      </c>
      <c r="M65" s="2129">
        <f>J65*12</f>
        <v>100002.0277461456</v>
      </c>
    </row>
    <row r="66" spans="3:13" ht="12" customHeight="1">
      <c r="C66" s="271"/>
      <c r="D66" s="276"/>
      <c r="E66" s="276"/>
      <c r="F66" s="277"/>
      <c r="G66" s="277"/>
      <c r="H66" s="277"/>
      <c r="I66" s="199"/>
      <c r="J66" s="303">
        <f>J65/I65-1</f>
        <v>0.52875721321515812</v>
      </c>
      <c r="K66" s="215"/>
      <c r="L66" s="200"/>
      <c r="M66" s="303">
        <f>M65/L65-1</f>
        <v>0.5287572132151579</v>
      </c>
    </row>
    <row r="67" spans="3:13" ht="12" customHeight="1">
      <c r="M67" s="543"/>
    </row>
    <row r="68" spans="3:13" ht="12" customHeight="1"/>
    <row r="69" spans="3:13" ht="12" customHeight="1"/>
    <row r="70" spans="3:13" ht="12" customHeight="1"/>
    <row r="71" spans="3:13" ht="12" customHeight="1"/>
    <row r="72" spans="3:13" ht="12" customHeight="1"/>
    <row r="73" spans="3:13" ht="12" customHeight="1"/>
    <row r="74" spans="3:13" ht="12" customHeight="1"/>
    <row r="75" spans="3:13" ht="12" customHeight="1"/>
    <row r="76" spans="3:13" ht="12" customHeight="1"/>
    <row r="77" spans="3:13" ht="12" customHeight="1"/>
    <row r="78" spans="3:13" ht="12" customHeight="1"/>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fitToPage="1"/>
  </sheetPr>
  <dimension ref="A4:O115"/>
  <sheetViews>
    <sheetView topLeftCell="A4" zoomScaleNormal="100" workbookViewId="0">
      <pane xSplit="1" ySplit="9" topLeftCell="D64" activePane="bottomRight" state="frozen"/>
      <selection activeCell="B41" sqref="B41"/>
      <selection pane="topRight" activeCell="B41" sqref="B41"/>
      <selection pane="bottomLeft" activeCell="B41" sqref="B41"/>
      <selection pane="bottomRight" activeCell="L94" sqref="L94"/>
    </sheetView>
  </sheetViews>
  <sheetFormatPr defaultColWidth="12" defaultRowHeight="12"/>
  <cols>
    <col min="1" max="1" width="31.33203125" style="185" customWidth="1"/>
    <col min="2" max="2" width="19.1640625" style="183" customWidth="1"/>
    <col min="3" max="3" width="14.83203125" style="183" customWidth="1"/>
    <col min="4" max="4" width="12.33203125" style="184" bestFit="1" customWidth="1"/>
    <col min="5" max="5" width="23.6640625" style="183" bestFit="1" customWidth="1"/>
    <col min="6" max="6" width="20.6640625" style="183" customWidth="1"/>
    <col min="7" max="7" width="13.5" style="183" customWidth="1"/>
    <col min="8" max="8" width="14.1640625" style="185" customWidth="1"/>
    <col min="9" max="9" width="15.33203125" style="185" customWidth="1"/>
    <col min="10" max="10" width="12" style="185" customWidth="1"/>
    <col min="11" max="11" width="13.33203125" style="185" bestFit="1" customWidth="1"/>
    <col min="12" max="12" width="14.6640625" style="185" bestFit="1" customWidth="1"/>
    <col min="13" max="13" width="12" style="185" customWidth="1"/>
    <col min="14" max="14" width="14.1640625" style="185" bestFit="1" customWidth="1"/>
    <col min="15" max="15" width="14.83203125" style="185" bestFit="1" customWidth="1"/>
    <col min="16" max="16384" width="12" style="185"/>
  </cols>
  <sheetData>
    <row r="4" spans="1:15" ht="12" customHeight="1">
      <c r="A4" s="2210" t="s">
        <v>1127</v>
      </c>
      <c r="B4" s="2210"/>
      <c r="C4" s="2210"/>
      <c r="D4" s="2210"/>
      <c r="H4" s="1372">
        <f>+'MF Recy Price Out'!O2</f>
        <v>3.5</v>
      </c>
      <c r="I4" s="1372" t="str">
        <f>+'MF Recy Price Out'!P2</f>
        <v>Compaction Rate</v>
      </c>
    </row>
    <row r="5" spans="1:15">
      <c r="A5" s="184"/>
      <c r="B5" s="184"/>
      <c r="C5" s="184"/>
      <c r="H5" s="1372">
        <f>+'MF Recy Price Out'!O3</f>
        <v>5</v>
      </c>
      <c r="I5" s="1372" t="str">
        <f>+'MF Recy Price Out'!P3</f>
        <v>Compaction Rate</v>
      </c>
    </row>
    <row r="6" spans="1:15">
      <c r="A6" s="184"/>
      <c r="B6" s="184"/>
      <c r="C6" s="184"/>
    </row>
    <row r="8" spans="1:15">
      <c r="A8" s="182"/>
      <c r="E8" s="183" t="s">
        <v>26</v>
      </c>
      <c r="F8" s="183" t="s">
        <v>26</v>
      </c>
      <c r="H8" s="185" t="s">
        <v>41</v>
      </c>
      <c r="I8" s="185" t="s">
        <v>41</v>
      </c>
      <c r="K8" s="185" t="s">
        <v>39</v>
      </c>
      <c r="L8" s="185" t="s">
        <v>39</v>
      </c>
      <c r="O8" s="185" t="s">
        <v>39</v>
      </c>
    </row>
    <row r="9" spans="1:15">
      <c r="A9" s="185" t="s">
        <v>292</v>
      </c>
      <c r="D9" s="184" t="s">
        <v>41</v>
      </c>
      <c r="E9" s="183" t="s">
        <v>41</v>
      </c>
      <c r="F9" s="187" t="s">
        <v>39</v>
      </c>
      <c r="G9" s="187" t="s">
        <v>39</v>
      </c>
      <c r="H9" s="185" t="s">
        <v>322</v>
      </c>
      <c r="I9" s="185" t="s">
        <v>323</v>
      </c>
      <c r="K9" s="185" t="s">
        <v>322</v>
      </c>
      <c r="L9" s="185" t="s">
        <v>322</v>
      </c>
      <c r="N9" s="185" t="s">
        <v>39</v>
      </c>
      <c r="O9" s="185" t="s">
        <v>595</v>
      </c>
    </row>
    <row r="10" spans="1:15">
      <c r="A10" s="212"/>
      <c r="B10" s="189" t="s">
        <v>48</v>
      </c>
      <c r="C10" s="189" t="s">
        <v>56</v>
      </c>
      <c r="D10" s="190" t="s">
        <v>55</v>
      </c>
      <c r="E10" s="191" t="s">
        <v>13</v>
      </c>
      <c r="F10" s="191" t="s">
        <v>13</v>
      </c>
      <c r="G10" s="189" t="s">
        <v>55</v>
      </c>
      <c r="H10" s="185" t="s">
        <v>13</v>
      </c>
      <c r="I10" s="185" t="s">
        <v>282</v>
      </c>
      <c r="K10" s="185" t="s">
        <v>55</v>
      </c>
      <c r="L10" s="185" t="s">
        <v>13</v>
      </c>
      <c r="N10" s="185" t="s">
        <v>516</v>
      </c>
      <c r="O10" s="185" t="s">
        <v>596</v>
      </c>
    </row>
    <row r="11" spans="1:15">
      <c r="A11" s="188"/>
      <c r="B11" s="192"/>
      <c r="C11" s="192"/>
      <c r="D11" s="193"/>
      <c r="E11" s="186"/>
      <c r="F11" s="186"/>
      <c r="G11" s="192"/>
    </row>
    <row r="12" spans="1:15">
      <c r="A12" s="194" t="s">
        <v>30</v>
      </c>
      <c r="B12" s="222" t="s">
        <v>324</v>
      </c>
      <c r="C12" s="187"/>
      <c r="D12" s="198"/>
      <c r="E12" s="278"/>
      <c r="F12" s="279"/>
      <c r="G12" s="215" t="s">
        <v>325</v>
      </c>
      <c r="H12" s="273"/>
      <c r="I12" s="273"/>
    </row>
    <row r="13" spans="1:15">
      <c r="A13" s="281" t="s">
        <v>570</v>
      </c>
      <c r="B13" s="1065"/>
      <c r="C13" s="620">
        <f t="shared" ref="C13:C66" si="0">+B13*1</f>
        <v>0</v>
      </c>
      <c r="D13" s="1059">
        <v>141.88</v>
      </c>
      <c r="E13" s="278">
        <f>D13*B13</f>
        <v>0</v>
      </c>
      <c r="F13" s="199">
        <f>G13*C13</f>
        <v>0</v>
      </c>
      <c r="G13" s="215">
        <f>MROUND(D13*(1+'Resi Price Out'!$G$5),0.05)</f>
        <v>149.15</v>
      </c>
      <c r="H13" s="273"/>
      <c r="I13" s="273"/>
      <c r="M13" s="607"/>
      <c r="N13" s="345">
        <f t="shared" ref="N13:N54" si="1">+G13/D13-1</f>
        <v>5.1240484916831308E-2</v>
      </c>
    </row>
    <row r="14" spans="1:15">
      <c r="A14" s="281" t="s">
        <v>1054</v>
      </c>
      <c r="B14" s="1065"/>
      <c r="C14" s="620">
        <f t="shared" si="0"/>
        <v>0</v>
      </c>
      <c r="D14" s="1059">
        <v>194.85</v>
      </c>
      <c r="E14" s="278">
        <f t="shared" ref="E14:E93" si="2">D14*B14</f>
        <v>0</v>
      </c>
      <c r="F14" s="199">
        <f t="shared" ref="F14:F54" si="3">G14*C14</f>
        <v>0</v>
      </c>
      <c r="G14" s="215">
        <f>MROUND(D14*(1+'Resi Price Out'!$G$5),0.05)</f>
        <v>204.85000000000002</v>
      </c>
      <c r="H14" s="273">
        <f>IF(RIGHT(A14,2)="MF",B14*(D14),0)</f>
        <v>0</v>
      </c>
      <c r="I14" s="273">
        <f>IF(RIGHT(A14,2)="MF",C14*LEFT(A14,2)*3.5,0)</f>
        <v>0</v>
      </c>
      <c r="K14" s="523">
        <f>LEFT(A14,2)*$H$4*'MF Recy Price Out'!$K$5</f>
        <v>127.4928116079416</v>
      </c>
      <c r="L14" s="273">
        <f>K14*B14</f>
        <v>0</v>
      </c>
      <c r="M14" s="607">
        <f>IF(I14=0,0,H14/I14)</f>
        <v>0</v>
      </c>
      <c r="N14" s="345">
        <f t="shared" si="1"/>
        <v>5.1321529381575637E-2</v>
      </c>
      <c r="O14" s="523">
        <f>G14+K14</f>
        <v>332.3428116079416</v>
      </c>
    </row>
    <row r="15" spans="1:15">
      <c r="A15" s="223" t="s">
        <v>106</v>
      </c>
      <c r="B15" s="1065"/>
      <c r="C15" s="620">
        <f t="shared" si="0"/>
        <v>0</v>
      </c>
      <c r="D15" s="1059">
        <v>128.04</v>
      </c>
      <c r="E15" s="278">
        <f t="shared" si="2"/>
        <v>0</v>
      </c>
      <c r="F15" s="199">
        <f t="shared" si="3"/>
        <v>0</v>
      </c>
      <c r="G15" s="215">
        <f>MROUND(D15*(1+'Resi Price Out'!$G$5),0.05)</f>
        <v>134.6</v>
      </c>
      <c r="H15" s="273">
        <f t="shared" ref="H15:H78" si="4">IF(RIGHT(A15,2)="MF",B15*(D15),0)</f>
        <v>0</v>
      </c>
      <c r="I15" s="273">
        <f t="shared" ref="I15:I77" si="5">IF(RIGHT(A15,2)="MF",C15*LEFT(A15,2)*3.5,0)</f>
        <v>0</v>
      </c>
      <c r="M15" s="607"/>
      <c r="N15" s="345">
        <f t="shared" si="1"/>
        <v>5.1233989378319356E-2</v>
      </c>
      <c r="O15" s="543">
        <f>G15+('LG MF Recycle'!$C$29*LEFT('Drop Box Price Out'!A15,2))</f>
        <v>171.02651760226902</v>
      </c>
    </row>
    <row r="16" spans="1:15">
      <c r="A16" s="223" t="s">
        <v>647</v>
      </c>
      <c r="B16" s="1065"/>
      <c r="C16" s="620">
        <f t="shared" si="0"/>
        <v>0</v>
      </c>
      <c r="D16" s="1059">
        <v>133.21</v>
      </c>
      <c r="E16" s="278">
        <f t="shared" si="2"/>
        <v>0</v>
      </c>
      <c r="F16" s="199">
        <f t="shared" si="3"/>
        <v>0</v>
      </c>
      <c r="G16" s="215">
        <f>MROUND(D16*(1+'Resi Price Out'!$G$5),0.05)</f>
        <v>140.05000000000001</v>
      </c>
      <c r="H16" s="273">
        <f t="shared" si="4"/>
        <v>0</v>
      </c>
      <c r="I16" s="273">
        <f t="shared" si="5"/>
        <v>0</v>
      </c>
      <c r="M16" s="607"/>
      <c r="N16" s="345">
        <f t="shared" si="1"/>
        <v>5.1347496434201556E-2</v>
      </c>
      <c r="O16" s="543">
        <f>G16+('LG MF Recycle'!$C$29*LEFT('Drop Box Price Out'!A16,2))</f>
        <v>176.47651760226904</v>
      </c>
    </row>
    <row r="17" spans="1:15">
      <c r="A17" s="223" t="s">
        <v>637</v>
      </c>
      <c r="B17" s="1065"/>
      <c r="C17" s="620">
        <f t="shared" si="0"/>
        <v>0</v>
      </c>
      <c r="D17" s="1059">
        <v>169</v>
      </c>
      <c r="E17" s="278">
        <f t="shared" si="2"/>
        <v>0</v>
      </c>
      <c r="F17" s="199">
        <f t="shared" si="3"/>
        <v>0</v>
      </c>
      <c r="G17" s="215">
        <f>MROUND(D17*(1+'Resi Price Out'!$G$5),0.05)</f>
        <v>177.65</v>
      </c>
      <c r="H17" s="273">
        <f t="shared" si="4"/>
        <v>0</v>
      </c>
      <c r="I17" s="273">
        <f t="shared" si="5"/>
        <v>0</v>
      </c>
      <c r="K17" s="523">
        <f>LEFT(A17,2)*'MF Recy Price Out'!$K$5</f>
        <v>36.42651760226903</v>
      </c>
      <c r="M17" s="607"/>
      <c r="N17" s="345">
        <f t="shared" si="1"/>
        <v>5.1183431952662728E-2</v>
      </c>
      <c r="O17" s="543">
        <f>G17+('LG MF Recycle'!$C$29*LEFT('Drop Box Price Out'!A17,2))</f>
        <v>214.07651760226904</v>
      </c>
    </row>
    <row r="18" spans="1:15">
      <c r="A18" s="223" t="s">
        <v>648</v>
      </c>
      <c r="B18" s="1065"/>
      <c r="C18" s="620">
        <f t="shared" si="0"/>
        <v>0</v>
      </c>
      <c r="D18" s="1059">
        <v>174.2</v>
      </c>
      <c r="E18" s="278">
        <f t="shared" si="2"/>
        <v>0</v>
      </c>
      <c r="F18" s="199">
        <f t="shared" si="3"/>
        <v>0</v>
      </c>
      <c r="G18" s="215">
        <f>MROUND(D18*(1+'Resi Price Out'!$G$5),0.05)</f>
        <v>183.15</v>
      </c>
      <c r="H18" s="273">
        <f t="shared" si="4"/>
        <v>0</v>
      </c>
      <c r="I18" s="273">
        <f t="shared" si="5"/>
        <v>0</v>
      </c>
      <c r="K18" s="523">
        <f>LEFT(A18,2)*'MF Recy Price Out'!$K$5</f>
        <v>36.42651760226903</v>
      </c>
      <c r="M18" s="607"/>
      <c r="N18" s="345">
        <f t="shared" si="1"/>
        <v>5.1377726750861274E-2</v>
      </c>
      <c r="O18" s="543">
        <f>G18+('LG MF Recycle'!$C$29*LEFT('Drop Box Price Out'!A18,2))</f>
        <v>219.57651760226904</v>
      </c>
    </row>
    <row r="19" spans="1:15">
      <c r="A19" s="281" t="s">
        <v>1025</v>
      </c>
      <c r="B19" s="1065"/>
      <c r="C19" s="620">
        <f t="shared" ref="C19:C24" si="6">+B19*1</f>
        <v>0</v>
      </c>
      <c r="D19" s="1059">
        <v>141.88</v>
      </c>
      <c r="E19" s="278">
        <f t="shared" ref="E19:E24" si="7">D19*B19</f>
        <v>0</v>
      </c>
      <c r="F19" s="199">
        <f t="shared" ref="F19:F24" si="8">G19*C19</f>
        <v>0</v>
      </c>
      <c r="G19" s="215">
        <f>MROUND(D19*(1+'Resi Price Out'!$G$5),0.05)</f>
        <v>149.15</v>
      </c>
      <c r="H19" s="273">
        <f t="shared" si="4"/>
        <v>0</v>
      </c>
      <c r="I19" s="273">
        <f t="shared" si="5"/>
        <v>0</v>
      </c>
      <c r="M19" s="607"/>
      <c r="N19" s="345">
        <f t="shared" ref="N19:N24" si="9">+G19/D19-1</f>
        <v>5.1240484916831308E-2</v>
      </c>
    </row>
    <row r="20" spans="1:15">
      <c r="A20" s="281" t="s">
        <v>1055</v>
      </c>
      <c r="B20" s="1065"/>
      <c r="C20" s="620">
        <f t="shared" si="6"/>
        <v>0</v>
      </c>
      <c r="D20" s="1059">
        <v>0</v>
      </c>
      <c r="E20" s="278">
        <f t="shared" si="7"/>
        <v>0</v>
      </c>
      <c r="F20" s="199">
        <f t="shared" si="8"/>
        <v>0</v>
      </c>
      <c r="G20" s="215">
        <f>MROUND(D20*(1+'Resi Price Out'!$G$5),0.05)</f>
        <v>0</v>
      </c>
      <c r="H20" s="273">
        <f t="shared" si="4"/>
        <v>0</v>
      </c>
      <c r="I20" s="273">
        <f t="shared" si="5"/>
        <v>0</v>
      </c>
      <c r="K20" s="523">
        <f>LEFT(A20,2)*$H$4*'MF Recy Price Out'!$K$5</f>
        <v>152.99137392952994</v>
      </c>
      <c r="L20" s="273">
        <f>K20*B20</f>
        <v>0</v>
      </c>
      <c r="M20" s="607">
        <f>IF(I20=0,0,H20/I20)</f>
        <v>0</v>
      </c>
      <c r="N20" s="345" t="e">
        <f t="shared" si="9"/>
        <v>#DIV/0!</v>
      </c>
      <c r="O20" s="523">
        <f>G20+K20</f>
        <v>152.99137392952994</v>
      </c>
    </row>
    <row r="21" spans="1:15">
      <c r="A21" s="223" t="s">
        <v>1026</v>
      </c>
      <c r="B21" s="1065"/>
      <c r="C21" s="620">
        <f t="shared" si="6"/>
        <v>0</v>
      </c>
      <c r="D21" s="1059">
        <v>128.04</v>
      </c>
      <c r="E21" s="278">
        <f t="shared" si="7"/>
        <v>0</v>
      </c>
      <c r="F21" s="199">
        <f t="shared" si="8"/>
        <v>0</v>
      </c>
      <c r="G21" s="215">
        <f>MROUND(D21*(1+'Resi Price Out'!$G$5),0.05)</f>
        <v>134.6</v>
      </c>
      <c r="H21" s="273">
        <f t="shared" si="4"/>
        <v>0</v>
      </c>
      <c r="I21" s="273">
        <f t="shared" si="5"/>
        <v>0</v>
      </c>
      <c r="M21" s="607"/>
      <c r="N21" s="345">
        <f t="shared" si="9"/>
        <v>5.1233989378319356E-2</v>
      </c>
      <c r="O21" s="543">
        <f>G21+('LG MF Recycle'!$C$29*LEFT('Drop Box Price Out'!A21,2))</f>
        <v>178.31182112272285</v>
      </c>
    </row>
    <row r="22" spans="1:15">
      <c r="A22" s="223" t="s">
        <v>1027</v>
      </c>
      <c r="B22" s="1065"/>
      <c r="C22" s="620">
        <f t="shared" si="6"/>
        <v>0</v>
      </c>
      <c r="D22" s="1059">
        <v>133.21</v>
      </c>
      <c r="E22" s="278">
        <f t="shared" si="7"/>
        <v>0</v>
      </c>
      <c r="F22" s="199">
        <f t="shared" si="8"/>
        <v>0</v>
      </c>
      <c r="G22" s="215">
        <f>MROUND(D22*(1+'Resi Price Out'!$G$5),0.05)</f>
        <v>140.05000000000001</v>
      </c>
      <c r="H22" s="273">
        <f t="shared" si="4"/>
        <v>0</v>
      </c>
      <c r="I22" s="273">
        <f t="shared" si="5"/>
        <v>0</v>
      </c>
      <c r="M22" s="607"/>
      <c r="N22" s="345">
        <f t="shared" si="9"/>
        <v>5.1347496434201556E-2</v>
      </c>
      <c r="O22" s="543">
        <f>G22+('LG MF Recycle'!$C$29*LEFT('Drop Box Price Out'!A22,2))</f>
        <v>183.76182112272284</v>
      </c>
    </row>
    <row r="23" spans="1:15">
      <c r="A23" s="223" t="s">
        <v>1028</v>
      </c>
      <c r="B23" s="1065"/>
      <c r="C23" s="620">
        <f t="shared" si="6"/>
        <v>0</v>
      </c>
      <c r="D23" s="1059">
        <v>0</v>
      </c>
      <c r="E23" s="278">
        <f t="shared" si="7"/>
        <v>0</v>
      </c>
      <c r="F23" s="199">
        <f t="shared" si="8"/>
        <v>0</v>
      </c>
      <c r="G23" s="215">
        <f>MROUND(D23*(1+'Resi Price Out'!$G$5),0.05)</f>
        <v>0</v>
      </c>
      <c r="H23" s="273">
        <f t="shared" si="4"/>
        <v>0</v>
      </c>
      <c r="I23" s="273">
        <f t="shared" si="5"/>
        <v>0</v>
      </c>
      <c r="K23" s="523">
        <f>LEFT(A23,2)*'MF Recy Price Out'!$K$5</f>
        <v>43.711821122722839</v>
      </c>
      <c r="M23" s="607"/>
      <c r="N23" s="345" t="e">
        <f t="shared" si="9"/>
        <v>#DIV/0!</v>
      </c>
      <c r="O23" s="543">
        <f>G23+('LG MF Recycle'!$C$29*LEFT('Drop Box Price Out'!A23,2))</f>
        <v>43.711821122722839</v>
      </c>
    </row>
    <row r="24" spans="1:15">
      <c r="A24" s="223" t="s">
        <v>1029</v>
      </c>
      <c r="B24" s="1065"/>
      <c r="C24" s="620">
        <f t="shared" si="6"/>
        <v>0</v>
      </c>
      <c r="D24" s="1059">
        <v>0</v>
      </c>
      <c r="E24" s="278">
        <f t="shared" si="7"/>
        <v>0</v>
      </c>
      <c r="F24" s="199">
        <f t="shared" si="8"/>
        <v>0</v>
      </c>
      <c r="G24" s="215">
        <f>MROUND(D24*(1+'Resi Price Out'!$G$5),0.05)</f>
        <v>0</v>
      </c>
      <c r="H24" s="273">
        <f t="shared" si="4"/>
        <v>0</v>
      </c>
      <c r="I24" s="273">
        <f t="shared" si="5"/>
        <v>0</v>
      </c>
      <c r="K24" s="523">
        <f>LEFT(A24,2)*'MF Recy Price Out'!$K$5</f>
        <v>43.711821122722839</v>
      </c>
      <c r="M24" s="607"/>
      <c r="N24" s="345" t="e">
        <f t="shared" si="9"/>
        <v>#DIV/0!</v>
      </c>
      <c r="O24" s="543">
        <f>G24+('LG MF Recycle'!$C$29*LEFT('Drop Box Price Out'!A24,2))</f>
        <v>43.711821122722839</v>
      </c>
    </row>
    <row r="25" spans="1:15">
      <c r="A25" s="281" t="s">
        <v>574</v>
      </c>
      <c r="B25" s="1065"/>
      <c r="C25" s="620">
        <f t="shared" si="0"/>
        <v>0</v>
      </c>
      <c r="D25" s="1059">
        <v>141.88</v>
      </c>
      <c r="E25" s="278">
        <f t="shared" si="2"/>
        <v>0</v>
      </c>
      <c r="F25" s="199">
        <f t="shared" si="3"/>
        <v>0</v>
      </c>
      <c r="G25" s="215">
        <f>MROUND(D25*(1+'Resi Price Out'!$G$5),0.05)</f>
        <v>149.15</v>
      </c>
      <c r="H25" s="273">
        <f t="shared" si="4"/>
        <v>0</v>
      </c>
      <c r="I25" s="273">
        <f t="shared" si="5"/>
        <v>0</v>
      </c>
      <c r="M25" s="607"/>
      <c r="N25" s="345">
        <f t="shared" si="1"/>
        <v>5.1240484916831308E-2</v>
      </c>
    </row>
    <row r="26" spans="1:15">
      <c r="A26" s="281" t="s">
        <v>1056</v>
      </c>
      <c r="B26" s="1065"/>
      <c r="C26" s="620">
        <f t="shared" si="0"/>
        <v>0</v>
      </c>
      <c r="D26" s="1059">
        <v>223.59</v>
      </c>
      <c r="E26" s="278">
        <f t="shared" si="2"/>
        <v>0</v>
      </c>
      <c r="F26" s="199">
        <f t="shared" si="3"/>
        <v>0</v>
      </c>
      <c r="G26" s="215">
        <f>MROUND(D26*(1+'Resi Price Out'!$G$5),0.05)</f>
        <v>235.05</v>
      </c>
      <c r="H26" s="273">
        <f t="shared" si="4"/>
        <v>0</v>
      </c>
      <c r="I26" s="273">
        <f t="shared" si="5"/>
        <v>0</v>
      </c>
      <c r="K26" s="523">
        <f>LEFT(A26,2)*$H$4*'MF Recy Price Out'!$K$5</f>
        <v>191.23921741191242</v>
      </c>
      <c r="L26" s="273">
        <f>K26*B26</f>
        <v>0</v>
      </c>
      <c r="M26" s="607">
        <f>IF(I26=0,0,H26/I26)</f>
        <v>0</v>
      </c>
      <c r="N26" s="345">
        <f t="shared" si="1"/>
        <v>5.1254528377834507E-2</v>
      </c>
      <c r="O26" s="523">
        <f>G26+K26</f>
        <v>426.28921741191243</v>
      </c>
    </row>
    <row r="27" spans="1:15">
      <c r="A27" s="223" t="s">
        <v>107</v>
      </c>
      <c r="B27" s="1065"/>
      <c r="C27" s="620">
        <f t="shared" si="0"/>
        <v>0</v>
      </c>
      <c r="D27" s="1059">
        <v>128.04</v>
      </c>
      <c r="E27" s="278">
        <f t="shared" si="2"/>
        <v>0</v>
      </c>
      <c r="F27" s="199">
        <f t="shared" si="3"/>
        <v>0</v>
      </c>
      <c r="G27" s="215">
        <f>MROUND(D27*(1+'Resi Price Out'!$G$5),0.05)</f>
        <v>134.6</v>
      </c>
      <c r="H27" s="273">
        <f t="shared" si="4"/>
        <v>0</v>
      </c>
      <c r="I27" s="273">
        <f t="shared" si="5"/>
        <v>0</v>
      </c>
      <c r="M27" s="607"/>
      <c r="N27" s="345">
        <f t="shared" si="1"/>
        <v>5.1233989378319356E-2</v>
      </c>
      <c r="O27" s="543">
        <f>G27+('LG MF Recycle'!$C$29*LEFT('Drop Box Price Out'!A27,2))</f>
        <v>189.23977640340354</v>
      </c>
    </row>
    <row r="28" spans="1:15">
      <c r="A28" s="223" t="s">
        <v>649</v>
      </c>
      <c r="B28" s="1065">
        <f>SUM([17]PT!C5:E5)</f>
        <v>3</v>
      </c>
      <c r="C28" s="620">
        <f t="shared" si="0"/>
        <v>3</v>
      </c>
      <c r="D28" s="1059">
        <v>133.21</v>
      </c>
      <c r="E28" s="278">
        <f t="shared" si="2"/>
        <v>399.63</v>
      </c>
      <c r="F28" s="199">
        <f t="shared" si="3"/>
        <v>420.15000000000003</v>
      </c>
      <c r="G28" s="215">
        <f>MROUND(D28*(1+'Resi Price Out'!$G$5),0.05)</f>
        <v>140.05000000000001</v>
      </c>
      <c r="H28" s="273">
        <f t="shared" si="4"/>
        <v>0</v>
      </c>
      <c r="I28" s="273">
        <f t="shared" si="5"/>
        <v>0</v>
      </c>
      <c r="M28" s="607"/>
      <c r="N28" s="345">
        <f t="shared" si="1"/>
        <v>5.1347496434201556E-2</v>
      </c>
      <c r="O28" s="543">
        <f>G28+('LG MF Recycle'!$C$29*LEFT('Drop Box Price Out'!A28,2))</f>
        <v>194.68977640340356</v>
      </c>
    </row>
    <row r="29" spans="1:15">
      <c r="A29" s="223" t="s">
        <v>638</v>
      </c>
      <c r="B29" s="1065"/>
      <c r="C29" s="620">
        <f t="shared" si="0"/>
        <v>0</v>
      </c>
      <c r="D29" s="1059">
        <v>163.97</v>
      </c>
      <c r="E29" s="278">
        <f t="shared" si="2"/>
        <v>0</v>
      </c>
      <c r="F29" s="199">
        <f t="shared" si="3"/>
        <v>0</v>
      </c>
      <c r="G29" s="215">
        <f>MROUND(D29*(1+'Resi Price Out'!$G$5),0.05)</f>
        <v>172.4</v>
      </c>
      <c r="H29" s="273">
        <f t="shared" si="4"/>
        <v>0</v>
      </c>
      <c r="I29" s="273">
        <f t="shared" si="5"/>
        <v>0</v>
      </c>
      <c r="K29" s="523">
        <f>LEFT(A29,2)*'MF Recy Price Out'!$K$5</f>
        <v>54.639776403403545</v>
      </c>
      <c r="M29" s="607"/>
      <c r="N29" s="345">
        <f t="shared" si="1"/>
        <v>5.1411843629932452E-2</v>
      </c>
      <c r="O29" s="543">
        <f>G29+('LG MF Recycle'!$C$29*LEFT('Drop Box Price Out'!A29,2))</f>
        <v>227.03977640340355</v>
      </c>
    </row>
    <row r="30" spans="1:15">
      <c r="A30" s="223" t="s">
        <v>650</v>
      </c>
      <c r="B30" s="1065"/>
      <c r="C30" s="620">
        <f t="shared" si="0"/>
        <v>0</v>
      </c>
      <c r="D30" s="1059">
        <v>169.12</v>
      </c>
      <c r="E30" s="278">
        <f t="shared" si="2"/>
        <v>0</v>
      </c>
      <c r="F30" s="199">
        <f t="shared" si="3"/>
        <v>0</v>
      </c>
      <c r="G30" s="215">
        <f>MROUND(D30*(1+'Resi Price Out'!$G$5),0.05)</f>
        <v>177.8</v>
      </c>
      <c r="H30" s="273">
        <f t="shared" si="4"/>
        <v>0</v>
      </c>
      <c r="I30" s="273">
        <f t="shared" si="5"/>
        <v>0</v>
      </c>
      <c r="K30" s="523">
        <f>LEFT(A30,2)*'MF Recy Price Out'!$K$5</f>
        <v>54.639776403403545</v>
      </c>
      <c r="M30" s="607"/>
      <c r="N30" s="345">
        <f t="shared" si="1"/>
        <v>5.1324503311258374E-2</v>
      </c>
      <c r="O30" s="543">
        <f>G30+('LG MF Recycle'!$C$29*LEFT('Drop Box Price Out'!A30,2))</f>
        <v>232.43977640340356</v>
      </c>
    </row>
    <row r="31" spans="1:15">
      <c r="A31" s="281" t="s">
        <v>1030</v>
      </c>
      <c r="B31" s="1065"/>
      <c r="C31" s="620">
        <f t="shared" ref="C31:C38" si="10">+B31*1</f>
        <v>0</v>
      </c>
      <c r="D31" s="1059">
        <v>141.88</v>
      </c>
      <c r="E31" s="278">
        <f t="shared" ref="E31:E36" si="11">D31*B31</f>
        <v>0</v>
      </c>
      <c r="F31" s="199">
        <f t="shared" ref="F31:F36" si="12">G31*C31</f>
        <v>0</v>
      </c>
      <c r="G31" s="215">
        <f>MROUND(D31*(1+'Resi Price Out'!$G$5),0.05)</f>
        <v>149.15</v>
      </c>
      <c r="H31" s="273">
        <f t="shared" si="4"/>
        <v>0</v>
      </c>
      <c r="I31" s="273">
        <f t="shared" si="5"/>
        <v>0</v>
      </c>
      <c r="M31" s="607"/>
      <c r="N31" s="345">
        <f t="shared" ref="N31:N36" si="13">+G31/D31-1</f>
        <v>5.1240484916831308E-2</v>
      </c>
    </row>
    <row r="32" spans="1:15">
      <c r="A32" s="281" t="s">
        <v>1057</v>
      </c>
      <c r="B32" s="1065"/>
      <c r="C32" s="620">
        <f t="shared" si="10"/>
        <v>0</v>
      </c>
      <c r="D32" s="1059">
        <v>0</v>
      </c>
      <c r="E32" s="278">
        <f t="shared" si="11"/>
        <v>0</v>
      </c>
      <c r="F32" s="199">
        <f t="shared" si="12"/>
        <v>0</v>
      </c>
      <c r="G32" s="215">
        <f>MROUND(D32*(1+'Resi Price Out'!$G$5),0.05)</f>
        <v>0</v>
      </c>
      <c r="H32" s="273">
        <f t="shared" si="4"/>
        <v>0</v>
      </c>
      <c r="I32" s="273">
        <f t="shared" si="5"/>
        <v>0</v>
      </c>
      <c r="K32" s="523">
        <f>LEFT(A32,2)*$H$4*'MF Recy Price Out'!$K$5</f>
        <v>229.4870608942949</v>
      </c>
      <c r="L32" s="273">
        <f>K32*B32</f>
        <v>0</v>
      </c>
      <c r="M32" s="607">
        <f>IF(I32=0,0,H32/I32)</f>
        <v>0</v>
      </c>
      <c r="N32" s="345" t="e">
        <f t="shared" si="13"/>
        <v>#DIV/0!</v>
      </c>
      <c r="O32" s="523">
        <f>G32+K32</f>
        <v>229.4870608942949</v>
      </c>
    </row>
    <row r="33" spans="1:15">
      <c r="A33" s="223" t="s">
        <v>1031</v>
      </c>
      <c r="B33" s="1065"/>
      <c r="C33" s="620">
        <f t="shared" si="10"/>
        <v>0</v>
      </c>
      <c r="D33" s="1059">
        <v>128.04</v>
      </c>
      <c r="E33" s="278">
        <f t="shared" si="11"/>
        <v>0</v>
      </c>
      <c r="F33" s="199">
        <f t="shared" si="12"/>
        <v>0</v>
      </c>
      <c r="G33" s="215">
        <f>MROUND(D33*(1+'Resi Price Out'!$G$5),0.05)</f>
        <v>134.6</v>
      </c>
      <c r="H33" s="273">
        <f t="shared" si="4"/>
        <v>0</v>
      </c>
      <c r="I33" s="273">
        <f t="shared" si="5"/>
        <v>0</v>
      </c>
      <c r="M33" s="607"/>
      <c r="N33" s="345">
        <f t="shared" si="13"/>
        <v>5.1233989378319356E-2</v>
      </c>
      <c r="O33" s="543">
        <f>G33+('LG MF Recycle'!$C$29*LEFT('Drop Box Price Out'!A33,2))</f>
        <v>200.16773168408423</v>
      </c>
    </row>
    <row r="34" spans="1:15">
      <c r="A34" s="223" t="s">
        <v>1032</v>
      </c>
      <c r="B34" s="1065"/>
      <c r="C34" s="620">
        <f t="shared" si="10"/>
        <v>0</v>
      </c>
      <c r="D34" s="1059">
        <v>133.21</v>
      </c>
      <c r="E34" s="278">
        <f t="shared" si="11"/>
        <v>0</v>
      </c>
      <c r="F34" s="199">
        <f t="shared" si="12"/>
        <v>0</v>
      </c>
      <c r="G34" s="215">
        <f>MROUND(D34*(1+'Resi Price Out'!$G$5),0.05)</f>
        <v>140.05000000000001</v>
      </c>
      <c r="H34" s="273">
        <f t="shared" si="4"/>
        <v>0</v>
      </c>
      <c r="I34" s="273">
        <f t="shared" si="5"/>
        <v>0</v>
      </c>
      <c r="M34" s="607"/>
      <c r="N34" s="345">
        <f t="shared" si="13"/>
        <v>5.1347496434201556E-2</v>
      </c>
      <c r="O34" s="543">
        <f>G34+('LG MF Recycle'!$C$29*LEFT('Drop Box Price Out'!A34,2))</f>
        <v>205.61773168408428</v>
      </c>
    </row>
    <row r="35" spans="1:15">
      <c r="A35" s="223" t="s">
        <v>1033</v>
      </c>
      <c r="B35" s="1065"/>
      <c r="C35" s="620">
        <f t="shared" si="10"/>
        <v>0</v>
      </c>
      <c r="D35" s="1059">
        <v>0</v>
      </c>
      <c r="E35" s="278">
        <f t="shared" si="11"/>
        <v>0</v>
      </c>
      <c r="F35" s="199">
        <f t="shared" si="12"/>
        <v>0</v>
      </c>
      <c r="G35" s="215">
        <f>MROUND(D35*(1+'Resi Price Out'!$G$5),0.05)</f>
        <v>0</v>
      </c>
      <c r="H35" s="273">
        <f t="shared" si="4"/>
        <v>0</v>
      </c>
      <c r="I35" s="273">
        <f t="shared" si="5"/>
        <v>0</v>
      </c>
      <c r="K35" s="523">
        <f>LEFT(A35,2)*'MF Recy Price Out'!$K$5</f>
        <v>65.567731684084251</v>
      </c>
      <c r="M35" s="607"/>
      <c r="N35" s="345" t="e">
        <f t="shared" si="13"/>
        <v>#DIV/0!</v>
      </c>
      <c r="O35" s="543">
        <f>G35+('LG MF Recycle'!$C$29*LEFT('Drop Box Price Out'!A35,2))</f>
        <v>65.567731684084251</v>
      </c>
    </row>
    <row r="36" spans="1:15">
      <c r="A36" s="223" t="s">
        <v>1034</v>
      </c>
      <c r="B36" s="1065"/>
      <c r="C36" s="620">
        <f t="shared" si="10"/>
        <v>0</v>
      </c>
      <c r="D36" s="1059">
        <v>0</v>
      </c>
      <c r="E36" s="278">
        <f t="shared" si="11"/>
        <v>0</v>
      </c>
      <c r="F36" s="199">
        <f t="shared" si="12"/>
        <v>0</v>
      </c>
      <c r="G36" s="215">
        <f>MROUND(D36*(1+'Resi Price Out'!$G$5),0.05)</f>
        <v>0</v>
      </c>
      <c r="H36" s="273">
        <f t="shared" si="4"/>
        <v>0</v>
      </c>
      <c r="I36" s="273">
        <f t="shared" si="5"/>
        <v>0</v>
      </c>
      <c r="K36" s="523">
        <f>LEFT(A36,2)*'MF Recy Price Out'!$K$5</f>
        <v>65.567731684084251</v>
      </c>
      <c r="M36" s="607"/>
      <c r="N36" s="345" t="e">
        <f t="shared" si="13"/>
        <v>#DIV/0!</v>
      </c>
      <c r="O36" s="543">
        <f>G36+('LG MF Recycle'!$C$29*LEFT('Drop Box Price Out'!A36,2))</f>
        <v>65.567731684084251</v>
      </c>
    </row>
    <row r="37" spans="1:15">
      <c r="A37" s="281" t="s">
        <v>285</v>
      </c>
      <c r="B37" s="1065">
        <f>SUM([18]PT!$B$7:$E$7)</f>
        <v>67</v>
      </c>
      <c r="C37" s="620">
        <f t="shared" si="10"/>
        <v>67</v>
      </c>
      <c r="D37" s="1059">
        <v>141.88</v>
      </c>
      <c r="E37" s="278">
        <f t="shared" si="2"/>
        <v>9505.9599999999991</v>
      </c>
      <c r="F37" s="199">
        <f t="shared" si="3"/>
        <v>9993.0500000000011</v>
      </c>
      <c r="G37" s="215">
        <f>MROUND(D37*(1+'Resi Price Out'!$G$5),0.05)</f>
        <v>149.15</v>
      </c>
      <c r="H37" s="273">
        <f t="shared" si="4"/>
        <v>0</v>
      </c>
      <c r="I37" s="273">
        <f t="shared" si="5"/>
        <v>0</v>
      </c>
      <c r="M37" s="607"/>
      <c r="N37" s="345">
        <f t="shared" si="1"/>
        <v>5.1240484916831308E-2</v>
      </c>
    </row>
    <row r="38" spans="1:15">
      <c r="A38" s="281" t="s">
        <v>1058</v>
      </c>
      <c r="B38" s="1065">
        <f>SUM([18]PT!$B$16:$E$16)</f>
        <v>78</v>
      </c>
      <c r="C38" s="620">
        <f t="shared" si="10"/>
        <v>78</v>
      </c>
      <c r="D38" s="1059">
        <v>252.34</v>
      </c>
      <c r="E38" s="278">
        <f t="shared" si="2"/>
        <v>19682.52</v>
      </c>
      <c r="F38" s="199">
        <f t="shared" si="3"/>
        <v>20693.400000000001</v>
      </c>
      <c r="G38" s="215">
        <f>MROUND(D38*(1+'Resi Price Out'!$G$5),0.05)</f>
        <v>265.3</v>
      </c>
      <c r="H38" s="273">
        <f t="shared" si="4"/>
        <v>19682.52</v>
      </c>
      <c r="I38" s="273">
        <f>IF(RIGHT(A38,2)="MF",C38*LEFT(A38,2)*3.5,0)</f>
        <v>5460</v>
      </c>
      <c r="K38" s="523">
        <f>LEFT(A38,2)*$H$4*'MF Recy Price Out'!$K$5</f>
        <v>254.98562321588321</v>
      </c>
      <c r="L38" s="273">
        <f>K38*B38</f>
        <v>19888.878610838889</v>
      </c>
      <c r="M38" s="607">
        <f>IF(I38=0,0,H38/I38)</f>
        <v>3.604857142857143</v>
      </c>
      <c r="N38" s="345">
        <f t="shared" si="1"/>
        <v>5.1359277165728745E-2</v>
      </c>
      <c r="O38" s="523">
        <f>G38+K38</f>
        <v>520.28562321588322</v>
      </c>
    </row>
    <row r="39" spans="1:15">
      <c r="A39" s="223" t="s">
        <v>108</v>
      </c>
      <c r="B39" s="1065"/>
      <c r="C39" s="620">
        <f t="shared" si="0"/>
        <v>0</v>
      </c>
      <c r="D39" s="1059">
        <v>128.04</v>
      </c>
      <c r="E39" s="278">
        <f t="shared" si="2"/>
        <v>0</v>
      </c>
      <c r="F39" s="199">
        <f t="shared" si="3"/>
        <v>0</v>
      </c>
      <c r="G39" s="215">
        <f>MROUND(D39*(1+'Resi Price Out'!$G$5),0.05)</f>
        <v>134.6</v>
      </c>
      <c r="H39" s="273">
        <f t="shared" si="4"/>
        <v>0</v>
      </c>
      <c r="I39" s="273">
        <f t="shared" si="5"/>
        <v>0</v>
      </c>
      <c r="M39" s="607"/>
      <c r="N39" s="345">
        <f t="shared" si="1"/>
        <v>5.1233989378319356E-2</v>
      </c>
      <c r="O39" s="543">
        <f>G39+('LG MF Recycle'!$C$29*LEFT('Drop Box Price Out'!A39,2))</f>
        <v>207.45303520453805</v>
      </c>
    </row>
    <row r="40" spans="1:15">
      <c r="A40" s="223" t="s">
        <v>284</v>
      </c>
      <c r="B40" s="1065">
        <f>SUM([17]PT!C6:E6)</f>
        <v>11</v>
      </c>
      <c r="C40" s="620">
        <f t="shared" si="0"/>
        <v>11</v>
      </c>
      <c r="D40" s="1059">
        <v>133.21</v>
      </c>
      <c r="E40" s="278">
        <f>D40*B40</f>
        <v>1465.3100000000002</v>
      </c>
      <c r="F40" s="199">
        <f t="shared" si="3"/>
        <v>1540.5500000000002</v>
      </c>
      <c r="G40" s="215">
        <f>MROUND(D40*(1+'Resi Price Out'!$G$5),0.05)</f>
        <v>140.05000000000001</v>
      </c>
      <c r="H40" s="273">
        <f t="shared" si="4"/>
        <v>0</v>
      </c>
      <c r="I40" s="273">
        <f t="shared" si="5"/>
        <v>0</v>
      </c>
      <c r="M40" s="607"/>
      <c r="N40" s="345">
        <f t="shared" si="1"/>
        <v>5.1347496434201556E-2</v>
      </c>
      <c r="O40" s="543">
        <f>G40+('LG MF Recycle'!$C$29*LEFT('Drop Box Price Out'!A40,2))</f>
        <v>212.90303520453807</v>
      </c>
    </row>
    <row r="41" spans="1:15">
      <c r="A41" s="223" t="s">
        <v>639</v>
      </c>
      <c r="B41" s="1065"/>
      <c r="C41" s="620">
        <f t="shared" si="0"/>
        <v>0</v>
      </c>
      <c r="D41" s="1059">
        <v>175.9</v>
      </c>
      <c r="E41" s="278">
        <f t="shared" si="2"/>
        <v>0</v>
      </c>
      <c r="F41" s="199">
        <f t="shared" si="3"/>
        <v>0</v>
      </c>
      <c r="G41" s="215">
        <f>MROUND(D41*(1+'Resi Price Out'!$G$5),0.05)</f>
        <v>184.95000000000002</v>
      </c>
      <c r="H41" s="273">
        <f t="shared" si="4"/>
        <v>0</v>
      </c>
      <c r="I41" s="273">
        <f t="shared" si="5"/>
        <v>0</v>
      </c>
      <c r="K41" s="523">
        <f>LEFT(A41,2)*'MF Recy Price Out'!$K$5</f>
        <v>72.85303520453806</v>
      </c>
      <c r="M41" s="607"/>
      <c r="N41" s="345">
        <f t="shared" si="1"/>
        <v>5.144968732234223E-2</v>
      </c>
      <c r="O41" s="543">
        <f>G41+('LG MF Recycle'!$C$29*LEFT('Drop Box Price Out'!A41,2))</f>
        <v>257.80303520453811</v>
      </c>
    </row>
    <row r="42" spans="1:15">
      <c r="A42" s="223" t="s">
        <v>640</v>
      </c>
      <c r="B42" s="1065"/>
      <c r="C42" s="620">
        <f t="shared" si="0"/>
        <v>0</v>
      </c>
      <c r="D42" s="1059">
        <v>181.05</v>
      </c>
      <c r="E42" s="278">
        <f t="shared" si="2"/>
        <v>0</v>
      </c>
      <c r="F42" s="199">
        <f t="shared" si="3"/>
        <v>0</v>
      </c>
      <c r="G42" s="215">
        <f>MROUND(D42*(1+'Resi Price Out'!$G$5),0.05)</f>
        <v>190.35000000000002</v>
      </c>
      <c r="H42" s="273">
        <f t="shared" si="4"/>
        <v>0</v>
      </c>
      <c r="I42" s="273">
        <f t="shared" si="5"/>
        <v>0</v>
      </c>
      <c r="K42" s="523">
        <f>LEFT(A42,2)*'MF Recy Price Out'!$K$5</f>
        <v>72.85303520453806</v>
      </c>
      <c r="M42" s="607"/>
      <c r="N42" s="345">
        <f t="shared" si="1"/>
        <v>5.1367025683512813E-2</v>
      </c>
      <c r="O42" s="543">
        <f>G42+('LG MF Recycle'!$C$29*LEFT('Drop Box Price Out'!A42,2))</f>
        <v>263.20303520453808</v>
      </c>
    </row>
    <row r="43" spans="1:15">
      <c r="A43" s="281" t="s">
        <v>287</v>
      </c>
      <c r="B43" s="1065">
        <f>SUM([18]PT!$B$8:$E$8)</f>
        <v>4</v>
      </c>
      <c r="C43" s="620">
        <f>+B43*1</f>
        <v>4</v>
      </c>
      <c r="D43" s="1059">
        <v>141.88</v>
      </c>
      <c r="E43" s="278">
        <f t="shared" si="2"/>
        <v>567.52</v>
      </c>
      <c r="F43" s="199">
        <f t="shared" si="3"/>
        <v>596.6</v>
      </c>
      <c r="G43" s="215">
        <f>MROUND(D43*(1+'Resi Price Out'!$G$5),0.05)</f>
        <v>149.15</v>
      </c>
      <c r="H43" s="273">
        <f t="shared" si="4"/>
        <v>0</v>
      </c>
      <c r="I43" s="273">
        <f t="shared" si="5"/>
        <v>0</v>
      </c>
      <c r="M43" s="607"/>
      <c r="N43" s="345">
        <f t="shared" si="1"/>
        <v>5.1240484916831308E-2</v>
      </c>
    </row>
    <row r="44" spans="1:15">
      <c r="A44" s="281" t="s">
        <v>1059</v>
      </c>
      <c r="B44" s="1065"/>
      <c r="C44" s="620">
        <f>+B44*1</f>
        <v>0</v>
      </c>
      <c r="D44" s="1059">
        <v>281.08999999999997</v>
      </c>
      <c r="E44" s="278">
        <f t="shared" si="2"/>
        <v>0</v>
      </c>
      <c r="F44" s="199">
        <f t="shared" si="3"/>
        <v>0</v>
      </c>
      <c r="G44" s="215">
        <f>MROUND(D44*(1+'Resi Price Out'!$G$5),0.05)</f>
        <v>295.5</v>
      </c>
      <c r="H44" s="273">
        <f t="shared" si="4"/>
        <v>0</v>
      </c>
      <c r="I44" s="273">
        <f>IF(RIGHT(A44,2)="MF",C44*LEFT(A44,2)*3.5,0)</f>
        <v>0</v>
      </c>
      <c r="K44" s="523">
        <f>LEFT(A44,2)*$H$4*'MF Recy Price Out'!$K$5</f>
        <v>318.732029019854</v>
      </c>
      <c r="L44" s="273">
        <f>K44*B44</f>
        <v>0</v>
      </c>
      <c r="M44" s="607">
        <f>IF(I44=0,0,H44/I44)</f>
        <v>0</v>
      </c>
      <c r="N44" s="345">
        <f t="shared" si="1"/>
        <v>5.1264719484862553E-2</v>
      </c>
      <c r="O44" s="523">
        <f>G44+K44</f>
        <v>614.23202901985405</v>
      </c>
    </row>
    <row r="45" spans="1:15">
      <c r="A45" s="223" t="s">
        <v>109</v>
      </c>
      <c r="B45" s="1065">
        <f>SUM([18]PT!$B$11:$E$11)</f>
        <v>7</v>
      </c>
      <c r="C45" s="620">
        <f t="shared" si="0"/>
        <v>7</v>
      </c>
      <c r="D45" s="1059">
        <v>128.04</v>
      </c>
      <c r="E45" s="278">
        <f t="shared" si="2"/>
        <v>896.28</v>
      </c>
      <c r="F45" s="199">
        <f t="shared" si="3"/>
        <v>942.19999999999993</v>
      </c>
      <c r="G45" s="215">
        <f>MROUND(D45*(1+'Resi Price Out'!$G$5),0.05)</f>
        <v>134.6</v>
      </c>
      <c r="H45" s="273">
        <f t="shared" si="4"/>
        <v>0</v>
      </c>
      <c r="I45" s="273">
        <f t="shared" si="5"/>
        <v>0</v>
      </c>
      <c r="K45" s="524"/>
      <c r="M45" s="607"/>
      <c r="N45" s="345">
        <f t="shared" si="1"/>
        <v>5.1233989378319356E-2</v>
      </c>
      <c r="O45" s="543">
        <f>G45+('LG MF Recycle'!$C$29*LEFT('Drop Box Price Out'!A45,2))</f>
        <v>225.66629400567257</v>
      </c>
    </row>
    <row r="46" spans="1:15">
      <c r="A46" s="223" t="s">
        <v>286</v>
      </c>
      <c r="B46" s="1065">
        <f>SUM([17]PT!C7:E7)</f>
        <v>5</v>
      </c>
      <c r="C46" s="620">
        <f t="shared" si="0"/>
        <v>5</v>
      </c>
      <c r="D46" s="1059">
        <v>133.21</v>
      </c>
      <c r="E46" s="278">
        <f t="shared" si="2"/>
        <v>666.05000000000007</v>
      </c>
      <c r="F46" s="199">
        <f t="shared" si="3"/>
        <v>700.25</v>
      </c>
      <c r="G46" s="215">
        <f>MROUND(D46*(1+'Resi Price Out'!$G$5),0.05)</f>
        <v>140.05000000000001</v>
      </c>
      <c r="H46" s="273">
        <f t="shared" si="4"/>
        <v>0</v>
      </c>
      <c r="I46" s="273">
        <f t="shared" si="5"/>
        <v>0</v>
      </c>
      <c r="M46" s="607"/>
      <c r="N46" s="345">
        <f t="shared" si="1"/>
        <v>5.1347496434201556E-2</v>
      </c>
      <c r="O46" s="543">
        <f>G46+('LG MF Recycle'!$C$29*LEFT('Drop Box Price Out'!A46,2))</f>
        <v>231.11629400567259</v>
      </c>
    </row>
    <row r="47" spans="1:15">
      <c r="A47" s="223" t="s">
        <v>641</v>
      </c>
      <c r="B47" s="1065"/>
      <c r="C47" s="620">
        <f t="shared" si="0"/>
        <v>0</v>
      </c>
      <c r="D47" s="1059">
        <v>187.82</v>
      </c>
      <c r="E47" s="278">
        <f t="shared" si="2"/>
        <v>0</v>
      </c>
      <c r="F47" s="199">
        <f t="shared" si="3"/>
        <v>0</v>
      </c>
      <c r="G47" s="215">
        <f>MROUND(D47*(1+'Resi Price Out'!$G$5),0.05)</f>
        <v>197.45000000000002</v>
      </c>
      <c r="H47" s="273">
        <f t="shared" si="4"/>
        <v>0</v>
      </c>
      <c r="I47" s="273">
        <f t="shared" si="5"/>
        <v>0</v>
      </c>
      <c r="K47" s="523">
        <f>LEFT(A47,2)*'MF Recy Price Out'!$K$5</f>
        <v>91.066294005672574</v>
      </c>
      <c r="M47" s="607"/>
      <c r="N47" s="345">
        <f t="shared" si="1"/>
        <v>5.127249494196584E-2</v>
      </c>
      <c r="O47" s="543">
        <f>G47+('LG MF Recycle'!$C$29*LEFT('Drop Box Price Out'!A47,2))</f>
        <v>288.51629400567259</v>
      </c>
    </row>
    <row r="48" spans="1:15">
      <c r="A48" s="223" t="s">
        <v>642</v>
      </c>
      <c r="B48" s="1065"/>
      <c r="C48" s="620">
        <f t="shared" si="0"/>
        <v>0</v>
      </c>
      <c r="D48" s="1059">
        <v>192.97</v>
      </c>
      <c r="E48" s="278">
        <f t="shared" si="2"/>
        <v>0</v>
      </c>
      <c r="F48" s="199">
        <f t="shared" si="3"/>
        <v>0</v>
      </c>
      <c r="G48" s="215">
        <f>MROUND(D48*(1+'Resi Price Out'!$G$5),0.05)</f>
        <v>202.85000000000002</v>
      </c>
      <c r="H48" s="273">
        <f t="shared" si="4"/>
        <v>0</v>
      </c>
      <c r="I48" s="273">
        <f t="shared" si="5"/>
        <v>0</v>
      </c>
      <c r="K48" s="523">
        <f>LEFT(A48,2)*'MF Recy Price Out'!$K$5</f>
        <v>91.066294005672574</v>
      </c>
      <c r="M48" s="607"/>
      <c r="N48" s="345">
        <f t="shared" si="1"/>
        <v>5.1199668342229554E-2</v>
      </c>
      <c r="O48" s="543">
        <f>G48+('LG MF Recycle'!$C$29*LEFT('Drop Box Price Out'!A48,2))</f>
        <v>293.91629400567263</v>
      </c>
    </row>
    <row r="49" spans="1:15">
      <c r="A49" s="281" t="s">
        <v>289</v>
      </c>
      <c r="B49" s="1065">
        <f>SUM([18]PT!$B$9:$E$9)</f>
        <v>16</v>
      </c>
      <c r="C49" s="620">
        <f>+B49*1</f>
        <v>16</v>
      </c>
      <c r="D49" s="1059">
        <v>141.88</v>
      </c>
      <c r="E49" s="278">
        <f t="shared" si="2"/>
        <v>2270.08</v>
      </c>
      <c r="F49" s="199">
        <f t="shared" si="3"/>
        <v>2386.4</v>
      </c>
      <c r="G49" s="215">
        <f>MROUND(D49*(1+'Resi Price Out'!$G$5),0.05)</f>
        <v>149.15</v>
      </c>
      <c r="H49" s="273">
        <f t="shared" si="4"/>
        <v>0</v>
      </c>
      <c r="I49" s="273">
        <f t="shared" si="5"/>
        <v>0</v>
      </c>
      <c r="M49" s="607"/>
      <c r="N49" s="345">
        <f t="shared" si="1"/>
        <v>5.1240484916831308E-2</v>
      </c>
    </row>
    <row r="50" spans="1:15">
      <c r="A50" s="281" t="s">
        <v>1060</v>
      </c>
      <c r="B50" s="1065">
        <f>SUM([18]PT!$B$17:$E$17)</f>
        <v>104</v>
      </c>
      <c r="C50" s="620">
        <f>+B50*1</f>
        <v>104</v>
      </c>
      <c r="D50" s="1059">
        <v>309.83999999999997</v>
      </c>
      <c r="E50" s="278">
        <f t="shared" si="2"/>
        <v>32223.359999999997</v>
      </c>
      <c r="F50" s="199">
        <f t="shared" si="3"/>
        <v>33878</v>
      </c>
      <c r="G50" s="215">
        <f>MROUND(D50*(1+'Resi Price Out'!$G$5),0.05)</f>
        <v>325.75</v>
      </c>
      <c r="H50" s="273">
        <f>IF(RIGHT(A50,2)="MF",B50*(D50),0)</f>
        <v>32223.359999999997</v>
      </c>
      <c r="I50" s="273">
        <f t="shared" si="5"/>
        <v>10920</v>
      </c>
      <c r="K50" s="523">
        <f>LEFT(A50,2)*$H$4*'MF Recy Price Out'!$K$5</f>
        <v>382.47843482382484</v>
      </c>
      <c r="L50" s="273">
        <f>K50*B50</f>
        <v>39777.757221677784</v>
      </c>
      <c r="M50" s="607">
        <f>IF(I50=0,0,H50/I50)</f>
        <v>2.9508571428571426</v>
      </c>
      <c r="N50" s="345">
        <f t="shared" si="1"/>
        <v>5.1349083397882911E-2</v>
      </c>
      <c r="O50" s="523">
        <f>G50+K50</f>
        <v>708.22843482382484</v>
      </c>
    </row>
    <row r="51" spans="1:15">
      <c r="A51" s="223" t="s">
        <v>110</v>
      </c>
      <c r="B51" s="1065">
        <f>SUM([18]PT!$B$12:$E$12)</f>
        <v>35</v>
      </c>
      <c r="C51" s="620">
        <f t="shared" si="0"/>
        <v>35</v>
      </c>
      <c r="D51" s="1059">
        <v>128.04</v>
      </c>
      <c r="E51" s="278">
        <f t="shared" si="2"/>
        <v>4481.3999999999996</v>
      </c>
      <c r="F51" s="199">
        <f t="shared" si="3"/>
        <v>4711</v>
      </c>
      <c r="G51" s="722">
        <f>MROUND(D51*(1+'Resi Price Out'!$G$5),0.05)</f>
        <v>134.6</v>
      </c>
      <c r="H51" s="273">
        <f t="shared" si="4"/>
        <v>0</v>
      </c>
      <c r="I51" s="273">
        <f t="shared" si="5"/>
        <v>0</v>
      </c>
      <c r="M51" s="607"/>
      <c r="N51" s="345">
        <f t="shared" si="1"/>
        <v>5.1233989378319356E-2</v>
      </c>
      <c r="O51" s="543">
        <f>G51+('LG MF Recycle'!$C$29*LEFT('Drop Box Price Out'!A51,2))</f>
        <v>243.87955280680708</v>
      </c>
    </row>
    <row r="52" spans="1:15">
      <c r="A52" s="223" t="s">
        <v>288</v>
      </c>
      <c r="B52" s="1065">
        <f>SUM([17]PT!C8:E8)</f>
        <v>13</v>
      </c>
      <c r="C52" s="620">
        <f t="shared" si="0"/>
        <v>13</v>
      </c>
      <c r="D52" s="1059">
        <v>133.21</v>
      </c>
      <c r="E52" s="278">
        <f t="shared" si="2"/>
        <v>1731.73</v>
      </c>
      <c r="F52" s="199">
        <f t="shared" si="3"/>
        <v>1820.65</v>
      </c>
      <c r="G52" s="722">
        <f>MROUND(D52*(1+'Resi Price Out'!$G$5),0.05)</f>
        <v>140.05000000000001</v>
      </c>
      <c r="H52" s="273">
        <f t="shared" si="4"/>
        <v>0</v>
      </c>
      <c r="I52" s="273">
        <f t="shared" si="5"/>
        <v>0</v>
      </c>
      <c r="M52" s="607"/>
      <c r="N52" s="345">
        <f t="shared" si="1"/>
        <v>5.1347496434201556E-2</v>
      </c>
      <c r="O52" s="543">
        <f>G52+('LG MF Recycle'!$C$29*LEFT('Drop Box Price Out'!A52,2))</f>
        <v>249.3295528068071</v>
      </c>
    </row>
    <row r="53" spans="1:15">
      <c r="A53" s="223" t="s">
        <v>643</v>
      </c>
      <c r="B53" s="1065"/>
      <c r="C53" s="620">
        <f t="shared" si="0"/>
        <v>0</v>
      </c>
      <c r="D53" s="1059">
        <v>199.75</v>
      </c>
      <c r="E53" s="278">
        <f t="shared" si="2"/>
        <v>0</v>
      </c>
      <c r="F53" s="199">
        <f t="shared" si="3"/>
        <v>0</v>
      </c>
      <c r="G53" s="722">
        <f>MROUND(D53*(1+'Resi Price Out'!$G$5),0.05)</f>
        <v>210</v>
      </c>
      <c r="H53" s="273">
        <f t="shared" si="4"/>
        <v>0</v>
      </c>
      <c r="I53" s="273">
        <f t="shared" si="5"/>
        <v>0</v>
      </c>
      <c r="K53" s="523">
        <f>LEFT(A53,2)*'MF Recy Price Out'!$K$5</f>
        <v>109.27955280680709</v>
      </c>
      <c r="M53" s="607"/>
      <c r="N53" s="345">
        <f t="shared" si="1"/>
        <v>5.1314142678347885E-2</v>
      </c>
      <c r="O53" s="543">
        <f>G53+('LG MF Recycle'!$C$29*LEFT('Drop Box Price Out'!A53,2))</f>
        <v>319.27955280680709</v>
      </c>
    </row>
    <row r="54" spans="1:15">
      <c r="A54" s="223" t="s">
        <v>644</v>
      </c>
      <c r="B54" s="1065"/>
      <c r="C54" s="620">
        <f t="shared" si="0"/>
        <v>0</v>
      </c>
      <c r="D54" s="1059">
        <v>204.9</v>
      </c>
      <c r="E54" s="278">
        <f t="shared" si="2"/>
        <v>0</v>
      </c>
      <c r="F54" s="199">
        <f t="shared" si="3"/>
        <v>0</v>
      </c>
      <c r="G54" s="722">
        <f>MROUND(D54*(1+'Resi Price Out'!$G$5),0.05)</f>
        <v>215.4</v>
      </c>
      <c r="H54" s="273">
        <f t="shared" si="4"/>
        <v>0</v>
      </c>
      <c r="I54" s="273">
        <f t="shared" si="5"/>
        <v>0</v>
      </c>
      <c r="K54" s="523">
        <f>LEFT(A54,2)*'MF Recy Price Out'!$K$5</f>
        <v>109.27955280680709</v>
      </c>
      <c r="M54" s="607"/>
      <c r="N54" s="345">
        <f t="shared" si="1"/>
        <v>5.1244509516837455E-2</v>
      </c>
      <c r="O54" s="543">
        <f>G54+('LG MF Recycle'!$C$29*LEFT('Drop Box Price Out'!A54,2))</f>
        <v>324.67955280680712</v>
      </c>
    </row>
    <row r="55" spans="1:15">
      <c r="A55" s="281" t="s">
        <v>571</v>
      </c>
      <c r="B55" s="1065"/>
      <c r="C55" s="620">
        <f t="shared" si="0"/>
        <v>0</v>
      </c>
      <c r="D55" s="1059">
        <v>141.88</v>
      </c>
      <c r="E55" s="278">
        <f t="shared" si="2"/>
        <v>0</v>
      </c>
      <c r="F55" s="199">
        <f t="shared" ref="F55:F66" si="14">G55*C55</f>
        <v>0</v>
      </c>
      <c r="G55" s="722">
        <f>MROUND(D55*(1+'Resi Price Out'!$G$5),0.05)</f>
        <v>149.15</v>
      </c>
      <c r="H55" s="273">
        <f t="shared" si="4"/>
        <v>0</v>
      </c>
      <c r="I55" s="273">
        <f t="shared" si="5"/>
        <v>0</v>
      </c>
      <c r="M55" s="607"/>
      <c r="N55" s="345">
        <f t="shared" ref="N55:N64" si="15">+G55/D55-1</f>
        <v>5.1240484916831308E-2</v>
      </c>
    </row>
    <row r="56" spans="1:15">
      <c r="A56" s="281" t="s">
        <v>1061</v>
      </c>
      <c r="B56" s="1065"/>
      <c r="C56" s="620">
        <f t="shared" si="0"/>
        <v>0</v>
      </c>
      <c r="D56" s="1059">
        <v>338.58</v>
      </c>
      <c r="E56" s="278">
        <f>D56*B56</f>
        <v>0</v>
      </c>
      <c r="F56" s="199">
        <f t="shared" si="14"/>
        <v>0</v>
      </c>
      <c r="G56" s="722">
        <f>MROUND(D56*(1+'Resi Price Out'!$G$5),0.05)</f>
        <v>355.95000000000005</v>
      </c>
      <c r="H56" s="273">
        <f t="shared" si="4"/>
        <v>0</v>
      </c>
      <c r="I56" s="273">
        <f t="shared" si="5"/>
        <v>0</v>
      </c>
      <c r="K56" s="523">
        <f>LEFT(A56,2)*$H$4*'MF Recy Price Out'!$K$5</f>
        <v>446.22484062779563</v>
      </c>
      <c r="L56" s="273">
        <f>K56*B56</f>
        <v>0</v>
      </c>
      <c r="M56" s="607">
        <f>IF(I56=0,0,H56/I56)</f>
        <v>0</v>
      </c>
      <c r="N56" s="345">
        <f t="shared" si="15"/>
        <v>5.1302498670919849E-2</v>
      </c>
      <c r="O56" s="523">
        <f>G56+K56</f>
        <v>802.17484062779567</v>
      </c>
    </row>
    <row r="57" spans="1:15">
      <c r="A57" s="223" t="s">
        <v>662</v>
      </c>
      <c r="B57" s="1065"/>
      <c r="C57" s="620">
        <f t="shared" si="0"/>
        <v>0</v>
      </c>
      <c r="D57" s="1059">
        <v>128.04</v>
      </c>
      <c r="E57" s="278">
        <f>D57*B57</f>
        <v>0</v>
      </c>
      <c r="F57" s="199">
        <f t="shared" si="14"/>
        <v>0</v>
      </c>
      <c r="G57" s="722">
        <f>MROUND(D57*(1+'Resi Price Out'!$G$5),0.05)</f>
        <v>134.6</v>
      </c>
      <c r="H57" s="273">
        <f t="shared" si="4"/>
        <v>0</v>
      </c>
      <c r="I57" s="273">
        <f t="shared" si="5"/>
        <v>0</v>
      </c>
      <c r="M57" s="607"/>
      <c r="N57" s="345">
        <f>+G57/D57-1</f>
        <v>5.1233989378319356E-2</v>
      </c>
      <c r="O57" s="543">
        <f>G57+('LG MF Recycle'!$C$29*LEFT('Drop Box Price Out'!A57,2))</f>
        <v>262.0928116079416</v>
      </c>
    </row>
    <row r="58" spans="1:15">
      <c r="A58" s="223" t="s">
        <v>663</v>
      </c>
      <c r="B58" s="1065"/>
      <c r="C58" s="620">
        <f t="shared" si="0"/>
        <v>0</v>
      </c>
      <c r="D58" s="1059">
        <v>133.21</v>
      </c>
      <c r="E58" s="278">
        <f>D58*B58</f>
        <v>0</v>
      </c>
      <c r="F58" s="199">
        <f t="shared" si="14"/>
        <v>0</v>
      </c>
      <c r="G58" s="722">
        <f>MROUND(D58*(1+'Resi Price Out'!$G$5),0.05)</f>
        <v>140.05000000000001</v>
      </c>
      <c r="H58" s="273">
        <f t="shared" si="4"/>
        <v>0</v>
      </c>
      <c r="I58" s="273">
        <f t="shared" si="5"/>
        <v>0</v>
      </c>
      <c r="M58" s="607"/>
      <c r="N58" s="345">
        <f>+G58/D58-1</f>
        <v>5.1347496434201556E-2</v>
      </c>
      <c r="O58" s="543">
        <f>G58+('LG MF Recycle'!$C$29*LEFT('Drop Box Price Out'!A58,2))</f>
        <v>267.54281160794164</v>
      </c>
    </row>
    <row r="59" spans="1:15">
      <c r="A59" s="223" t="s">
        <v>664</v>
      </c>
      <c r="B59" s="1065"/>
      <c r="C59" s="620">
        <f t="shared" si="0"/>
        <v>0</v>
      </c>
      <c r="D59" s="1059">
        <v>0</v>
      </c>
      <c r="E59" s="278">
        <f>D59*B59</f>
        <v>0</v>
      </c>
      <c r="F59" s="199">
        <f t="shared" si="14"/>
        <v>0</v>
      </c>
      <c r="G59" s="722">
        <f>MROUND(D59*(1+'Resi Price Out'!$G$5),0.05)</f>
        <v>0</v>
      </c>
      <c r="H59" s="273">
        <f t="shared" si="4"/>
        <v>0</v>
      </c>
      <c r="I59" s="273">
        <f t="shared" si="5"/>
        <v>0</v>
      </c>
      <c r="K59" s="523">
        <f>LEFT(A59,2)*'MF Recy Price Out'!$K$5</f>
        <v>127.4928116079416</v>
      </c>
      <c r="M59" s="607"/>
      <c r="N59" s="345" t="e">
        <f>+G59/D59-1</f>
        <v>#DIV/0!</v>
      </c>
      <c r="O59" s="543">
        <f>G59+('LG MF Recycle'!$C$29*LEFT('Drop Box Price Out'!A59,2))</f>
        <v>127.4928116079416</v>
      </c>
    </row>
    <row r="60" spans="1:15">
      <c r="A60" s="223" t="s">
        <v>665</v>
      </c>
      <c r="B60" s="1065"/>
      <c r="C60" s="620">
        <f t="shared" si="0"/>
        <v>0</v>
      </c>
      <c r="D60" s="1059">
        <v>0</v>
      </c>
      <c r="E60" s="278">
        <f>D60*B60</f>
        <v>0</v>
      </c>
      <c r="F60" s="199">
        <f t="shared" si="14"/>
        <v>0</v>
      </c>
      <c r="G60" s="722">
        <f>MROUND(D60*(1+'Resi Price Out'!$G$5),0.05)</f>
        <v>0</v>
      </c>
      <c r="H60" s="273">
        <f t="shared" si="4"/>
        <v>0</v>
      </c>
      <c r="I60" s="273">
        <f t="shared" si="5"/>
        <v>0</v>
      </c>
      <c r="K60" s="523">
        <f>LEFT(A60,2)*'MF Recy Price Out'!$K$5</f>
        <v>127.4928116079416</v>
      </c>
      <c r="M60" s="607"/>
      <c r="N60" s="345" t="e">
        <f>+G60/D60-1</f>
        <v>#DIV/0!</v>
      </c>
      <c r="O60" s="543">
        <f>G60+('LG MF Recycle'!$C$29*LEFT('Drop Box Price Out'!A60,2))</f>
        <v>127.4928116079416</v>
      </c>
    </row>
    <row r="61" spans="1:15">
      <c r="A61" s="281" t="s">
        <v>573</v>
      </c>
      <c r="B61" s="1065"/>
      <c r="C61" s="620">
        <f>+B61*1</f>
        <v>0</v>
      </c>
      <c r="D61" s="1059">
        <v>141.88</v>
      </c>
      <c r="E61" s="278">
        <f t="shared" si="2"/>
        <v>0</v>
      </c>
      <c r="F61" s="199">
        <f>G61*C61</f>
        <v>0</v>
      </c>
      <c r="G61" s="215">
        <f>MROUND(D61*(1+'Resi Price Out'!$G$5),0.05)</f>
        <v>149.15</v>
      </c>
      <c r="H61" s="273">
        <f t="shared" si="4"/>
        <v>0</v>
      </c>
      <c r="I61" s="273">
        <f t="shared" si="5"/>
        <v>0</v>
      </c>
      <c r="M61" s="607"/>
      <c r="N61" s="345">
        <f t="shared" si="15"/>
        <v>5.1240484916831308E-2</v>
      </c>
    </row>
    <row r="62" spans="1:15">
      <c r="A62" s="281" t="s">
        <v>1062</v>
      </c>
      <c r="B62" s="1065"/>
      <c r="C62" s="620">
        <f>+B62*1</f>
        <v>0</v>
      </c>
      <c r="D62" s="1059">
        <v>367.33</v>
      </c>
      <c r="E62" s="278">
        <f t="shared" si="2"/>
        <v>0</v>
      </c>
      <c r="F62" s="199">
        <f>G62*C62</f>
        <v>0</v>
      </c>
      <c r="G62" s="215">
        <f>MROUND(D62*(1+'Resi Price Out'!$G$5),0.05)</f>
        <v>386.20000000000005</v>
      </c>
      <c r="H62" s="273">
        <f t="shared" si="4"/>
        <v>0</v>
      </c>
      <c r="I62" s="273">
        <f t="shared" si="5"/>
        <v>0</v>
      </c>
      <c r="K62" s="523">
        <f>LEFT(A62,2)*$H$4*'MF Recy Price Out'!$K$5</f>
        <v>509.97124643176642</v>
      </c>
      <c r="L62" s="273">
        <f>K62*B62</f>
        <v>0</v>
      </c>
      <c r="M62" s="607">
        <f>IF(I62=0,0,H62/I62)</f>
        <v>0</v>
      </c>
      <c r="N62" s="345">
        <f t="shared" si="15"/>
        <v>5.1370702093485487E-2</v>
      </c>
      <c r="O62" s="523">
        <f>G62+K62</f>
        <v>896.17124643176646</v>
      </c>
    </row>
    <row r="63" spans="1:15">
      <c r="A63" s="223" t="s">
        <v>290</v>
      </c>
      <c r="B63" s="1065">
        <f>SUM([18]PT!$B$13:$E$13)</f>
        <v>1095</v>
      </c>
      <c r="C63" s="620">
        <f t="shared" si="0"/>
        <v>1095</v>
      </c>
      <c r="D63" s="1059">
        <v>128.04</v>
      </c>
      <c r="E63" s="278">
        <f t="shared" si="2"/>
        <v>140203.79999999999</v>
      </c>
      <c r="F63" s="199">
        <f>G63*C63</f>
        <v>147387</v>
      </c>
      <c r="G63" s="215">
        <f>MROUND(D63*(1+'Resi Price Out'!$G$5),0.05)</f>
        <v>134.6</v>
      </c>
      <c r="H63" s="273">
        <f t="shared" si="4"/>
        <v>0</v>
      </c>
      <c r="I63" s="273">
        <f t="shared" si="5"/>
        <v>0</v>
      </c>
      <c r="M63" s="607"/>
      <c r="N63" s="345">
        <f t="shared" si="15"/>
        <v>5.1233989378319356E-2</v>
      </c>
      <c r="O63" s="543">
        <f>G63+('LG MF Recycle'!$C$29*LEFT('Drop Box Price Out'!A63,2))</f>
        <v>280.30607040907614</v>
      </c>
    </row>
    <row r="64" spans="1:15">
      <c r="A64" s="223" t="s">
        <v>111</v>
      </c>
      <c r="B64" s="1065">
        <f>SUM([17]PT!C9:E9)</f>
        <v>6</v>
      </c>
      <c r="C64" s="620">
        <f t="shared" si="0"/>
        <v>6</v>
      </c>
      <c r="D64" s="1059">
        <v>133.21</v>
      </c>
      <c r="E64" s="278">
        <f t="shared" si="2"/>
        <v>799.26</v>
      </c>
      <c r="F64" s="199">
        <f>G64*C64</f>
        <v>840.30000000000007</v>
      </c>
      <c r="G64" s="215">
        <f>MROUND(D64*(1+'Resi Price Out'!$G$5),0.05)</f>
        <v>140.05000000000001</v>
      </c>
      <c r="H64" s="273">
        <f t="shared" si="4"/>
        <v>0</v>
      </c>
      <c r="I64" s="273">
        <f t="shared" si="5"/>
        <v>0</v>
      </c>
      <c r="M64" s="607"/>
      <c r="N64" s="345">
        <f t="shared" si="15"/>
        <v>5.1347496434201556E-2</v>
      </c>
      <c r="O64" s="543">
        <f>G64+('LG MF Recycle'!$C$29*LEFT('Drop Box Price Out'!A64,2))</f>
        <v>285.75607040907613</v>
      </c>
    </row>
    <row r="65" spans="1:15">
      <c r="A65" s="223" t="s">
        <v>645</v>
      </c>
      <c r="B65" s="1065"/>
      <c r="C65" s="620">
        <f t="shared" si="0"/>
        <v>0</v>
      </c>
      <c r="D65" s="1059">
        <v>223.6</v>
      </c>
      <c r="E65" s="278">
        <f t="shared" si="2"/>
        <v>0</v>
      </c>
      <c r="F65" s="199">
        <f t="shared" si="14"/>
        <v>0</v>
      </c>
      <c r="G65" s="215">
        <f>MROUND(D65*(1+'Resi Price Out'!$G$5),0.05)</f>
        <v>235.10000000000002</v>
      </c>
      <c r="H65" s="273">
        <f t="shared" si="4"/>
        <v>0</v>
      </c>
      <c r="I65" s="273">
        <f t="shared" si="5"/>
        <v>0</v>
      </c>
      <c r="K65" s="523">
        <f>LEFT(A65,2)*'MF Recy Price Out'!$K$5</f>
        <v>145.70607040907612</v>
      </c>
      <c r="M65" s="607"/>
      <c r="N65" s="345">
        <f t="shared" ref="N65:N93" si="16">+G65/D65-1</f>
        <v>5.1431127012522504E-2</v>
      </c>
      <c r="O65" s="543">
        <f>G65+('LG MF Recycle'!$C$29*LEFT('Drop Box Price Out'!A65,2))</f>
        <v>380.80607040907614</v>
      </c>
    </row>
    <row r="66" spans="1:15">
      <c r="A66" s="223" t="s">
        <v>646</v>
      </c>
      <c r="B66" s="1065"/>
      <c r="C66" s="620">
        <f t="shared" si="0"/>
        <v>0</v>
      </c>
      <c r="D66" s="1059">
        <v>228.75</v>
      </c>
      <c r="E66" s="278">
        <f t="shared" si="2"/>
        <v>0</v>
      </c>
      <c r="F66" s="199">
        <f t="shared" si="14"/>
        <v>0</v>
      </c>
      <c r="G66" s="215">
        <f>MROUND(D66*(1+'Resi Price Out'!$G$5),0.05)</f>
        <v>240.5</v>
      </c>
      <c r="H66" s="273">
        <f t="shared" si="4"/>
        <v>0</v>
      </c>
      <c r="I66" s="273">
        <f t="shared" si="5"/>
        <v>0</v>
      </c>
      <c r="K66" s="523">
        <f>LEFT(A66,2)*'MF Recy Price Out'!$K$5</f>
        <v>145.70607040907612</v>
      </c>
      <c r="M66" s="607"/>
      <c r="N66" s="345">
        <f t="shared" si="16"/>
        <v>5.1366120218579336E-2</v>
      </c>
      <c r="O66" s="543">
        <f>G66+('LG MF Recycle'!$C$29*LEFT('Drop Box Price Out'!A66,2))</f>
        <v>386.20607040907612</v>
      </c>
    </row>
    <row r="67" spans="1:15">
      <c r="A67" s="281" t="s">
        <v>1035</v>
      </c>
      <c r="B67" s="1065"/>
      <c r="C67" s="620">
        <f t="shared" ref="C67:C72" si="17">+B67*1</f>
        <v>0</v>
      </c>
      <c r="D67" s="1059">
        <v>141.88</v>
      </c>
      <c r="E67" s="278">
        <f t="shared" ref="E67:E72" si="18">D67*B67</f>
        <v>0</v>
      </c>
      <c r="F67" s="199">
        <f t="shared" ref="F67:F72" si="19">G67*C67</f>
        <v>0</v>
      </c>
      <c r="G67" s="722">
        <f>MROUND(D67*(1+'Resi Price Out'!$G$5),0.05)</f>
        <v>149.15</v>
      </c>
      <c r="H67" s="273">
        <f t="shared" si="4"/>
        <v>0</v>
      </c>
      <c r="I67" s="273">
        <f t="shared" si="5"/>
        <v>0</v>
      </c>
      <c r="M67" s="607"/>
      <c r="N67" s="345">
        <f t="shared" si="16"/>
        <v>5.1240484916831308E-2</v>
      </c>
    </row>
    <row r="68" spans="1:15">
      <c r="A68" s="281" t="s">
        <v>1063</v>
      </c>
      <c r="B68" s="1065"/>
      <c r="C68" s="620">
        <f t="shared" si="17"/>
        <v>0</v>
      </c>
      <c r="D68" s="1059">
        <v>0</v>
      </c>
      <c r="E68" s="278">
        <f t="shared" si="18"/>
        <v>0</v>
      </c>
      <c r="F68" s="199">
        <f t="shared" si="19"/>
        <v>0</v>
      </c>
      <c r="G68" s="722">
        <f>MROUND(D68*(1+'Resi Price Out'!$G$5),0.05)</f>
        <v>0</v>
      </c>
      <c r="H68" s="273">
        <f t="shared" si="4"/>
        <v>0</v>
      </c>
      <c r="I68" s="273">
        <f t="shared" si="5"/>
        <v>0</v>
      </c>
      <c r="K68" s="523">
        <f>LEFT(A68,2)*$H$4*'MF Recy Price Out'!$K$5</f>
        <v>573.71765223573721</v>
      </c>
      <c r="L68" s="273">
        <f>K68*B68</f>
        <v>0</v>
      </c>
      <c r="M68" s="607">
        <f>IF(I68=0,0,H68/I68)</f>
        <v>0</v>
      </c>
      <c r="N68" s="345" t="e">
        <f t="shared" si="16"/>
        <v>#DIV/0!</v>
      </c>
      <c r="O68" s="523">
        <f>G68+K68</f>
        <v>573.71765223573721</v>
      </c>
    </row>
    <row r="69" spans="1:15">
      <c r="A69" s="223" t="s">
        <v>1036</v>
      </c>
      <c r="B69" s="1065"/>
      <c r="C69" s="620">
        <f t="shared" si="17"/>
        <v>0</v>
      </c>
      <c r="D69" s="1059">
        <v>128.04</v>
      </c>
      <c r="E69" s="278">
        <f t="shared" si="18"/>
        <v>0</v>
      </c>
      <c r="F69" s="199">
        <f t="shared" si="19"/>
        <v>0</v>
      </c>
      <c r="G69" s="722">
        <f>MROUND(D69*(1+'Resi Price Out'!$G$5),0.05)</f>
        <v>134.6</v>
      </c>
      <c r="H69" s="273">
        <f t="shared" si="4"/>
        <v>0</v>
      </c>
      <c r="I69" s="273">
        <f t="shared" si="5"/>
        <v>0</v>
      </c>
      <c r="M69" s="607"/>
      <c r="N69" s="345">
        <f>+G69/D69-1</f>
        <v>5.1233989378319356E-2</v>
      </c>
      <c r="O69" s="543">
        <f>G69+('LG MF Recycle'!$C$29*LEFT('Drop Box Price Out'!A69,2))</f>
        <v>298.51932921021063</v>
      </c>
    </row>
    <row r="70" spans="1:15">
      <c r="A70" s="223" t="s">
        <v>1037</v>
      </c>
      <c r="B70" s="1065"/>
      <c r="C70" s="620">
        <f t="shared" si="17"/>
        <v>0</v>
      </c>
      <c r="D70" s="1059">
        <v>133.21</v>
      </c>
      <c r="E70" s="278">
        <f t="shared" si="18"/>
        <v>0</v>
      </c>
      <c r="F70" s="199">
        <f t="shared" si="19"/>
        <v>0</v>
      </c>
      <c r="G70" s="722">
        <f>MROUND(D70*(1+'Resi Price Out'!$G$5),0.05)</f>
        <v>140.05000000000001</v>
      </c>
      <c r="H70" s="273">
        <f t="shared" si="4"/>
        <v>0</v>
      </c>
      <c r="I70" s="273">
        <f t="shared" si="5"/>
        <v>0</v>
      </c>
      <c r="M70" s="607"/>
      <c r="N70" s="345">
        <f>+G70/D70-1</f>
        <v>5.1347496434201556E-2</v>
      </c>
      <c r="O70" s="543">
        <f>G70+('LG MF Recycle'!$C$29*LEFT('Drop Box Price Out'!A70,2))</f>
        <v>303.96932921021062</v>
      </c>
    </row>
    <row r="71" spans="1:15">
      <c r="A71" s="223" t="s">
        <v>1038</v>
      </c>
      <c r="B71" s="1065"/>
      <c r="C71" s="620">
        <f t="shared" si="17"/>
        <v>0</v>
      </c>
      <c r="D71" s="1059">
        <v>0</v>
      </c>
      <c r="E71" s="278">
        <f t="shared" si="18"/>
        <v>0</v>
      </c>
      <c r="F71" s="199">
        <f t="shared" si="19"/>
        <v>0</v>
      </c>
      <c r="G71" s="722">
        <f>MROUND(D71*(1+'Resi Price Out'!$G$5),0.05)</f>
        <v>0</v>
      </c>
      <c r="H71" s="273">
        <f t="shared" si="4"/>
        <v>0</v>
      </c>
      <c r="I71" s="273">
        <f t="shared" si="5"/>
        <v>0</v>
      </c>
      <c r="K71" s="523">
        <f>LEFT(A71,2)*'MF Recy Price Out'!$K$5</f>
        <v>163.91932921021063</v>
      </c>
      <c r="M71" s="607"/>
      <c r="N71" s="345" t="e">
        <f>+G71/D71-1</f>
        <v>#DIV/0!</v>
      </c>
      <c r="O71" s="543">
        <f>G71+('LG MF Recycle'!$C$29*LEFT('Drop Box Price Out'!A71,2))</f>
        <v>163.91932921021063</v>
      </c>
    </row>
    <row r="72" spans="1:15">
      <c r="A72" s="223" t="s">
        <v>1039</v>
      </c>
      <c r="B72" s="1065"/>
      <c r="C72" s="620">
        <f t="shared" si="17"/>
        <v>0</v>
      </c>
      <c r="D72" s="1059">
        <v>0</v>
      </c>
      <c r="E72" s="278">
        <f t="shared" si="18"/>
        <v>0</v>
      </c>
      <c r="F72" s="199">
        <f t="shared" si="19"/>
        <v>0</v>
      </c>
      <c r="G72" s="722">
        <f>MROUND(D72*(1+'Resi Price Out'!$G$5),0.05)</f>
        <v>0</v>
      </c>
      <c r="H72" s="273">
        <f t="shared" si="4"/>
        <v>0</v>
      </c>
      <c r="I72" s="273">
        <f t="shared" si="5"/>
        <v>0</v>
      </c>
      <c r="K72" s="523">
        <f>LEFT(A72,2)*'MF Recy Price Out'!$K$5</f>
        <v>163.91932921021063</v>
      </c>
      <c r="M72" s="607"/>
      <c r="N72" s="345" t="e">
        <f>+G72/D72-1</f>
        <v>#DIV/0!</v>
      </c>
      <c r="O72" s="543">
        <f>G72+('LG MF Recycle'!$C$29*LEFT('Drop Box Price Out'!A72,2))</f>
        <v>163.91932921021063</v>
      </c>
    </row>
    <row r="73" spans="1:15">
      <c r="A73" s="281" t="s">
        <v>1040</v>
      </c>
      <c r="B73" s="1065"/>
      <c r="C73" s="620">
        <f t="shared" ref="C73:C78" si="20">+B73*1</f>
        <v>0</v>
      </c>
      <c r="D73" s="1059">
        <v>141.88</v>
      </c>
      <c r="E73" s="278">
        <f t="shared" ref="E73:E78" si="21">D73*B73</f>
        <v>0</v>
      </c>
      <c r="F73" s="199">
        <f t="shared" ref="F73:F78" si="22">G73*C73</f>
        <v>0</v>
      </c>
      <c r="G73" s="215">
        <f>MROUND(D73*(1+'Resi Price Out'!$G$5),0.05)</f>
        <v>149.15</v>
      </c>
      <c r="H73" s="273">
        <f t="shared" si="4"/>
        <v>0</v>
      </c>
      <c r="I73" s="273">
        <f t="shared" si="5"/>
        <v>0</v>
      </c>
      <c r="M73" s="607"/>
      <c r="N73" s="345">
        <f t="shared" ref="N73:N78" si="23">+G73/D73-1</f>
        <v>5.1240484916831308E-2</v>
      </c>
    </row>
    <row r="74" spans="1:15">
      <c r="A74" s="281" t="s">
        <v>1064</v>
      </c>
      <c r="B74" s="1065"/>
      <c r="C74" s="620">
        <f t="shared" si="20"/>
        <v>0</v>
      </c>
      <c r="D74" s="1059">
        <v>0</v>
      </c>
      <c r="E74" s="278">
        <f t="shared" si="21"/>
        <v>0</v>
      </c>
      <c r="F74" s="199">
        <f t="shared" si="22"/>
        <v>0</v>
      </c>
      <c r="G74" s="215">
        <f>MROUND(D74*(1+'Resi Price Out'!$G$5),0.05)</f>
        <v>0</v>
      </c>
      <c r="H74" s="273">
        <f t="shared" si="4"/>
        <v>0</v>
      </c>
      <c r="I74" s="273">
        <f t="shared" si="5"/>
        <v>0</v>
      </c>
      <c r="K74" s="523">
        <f>LEFT(A74,2)*$H$4*'MF Recy Price Out'!$K$5</f>
        <v>637.46405803970799</v>
      </c>
      <c r="L74" s="273">
        <f>K74*B74</f>
        <v>0</v>
      </c>
      <c r="M74" s="607">
        <f>IF(I74=0,0,H74/I74)</f>
        <v>0</v>
      </c>
      <c r="N74" s="345" t="e">
        <f t="shared" si="23"/>
        <v>#DIV/0!</v>
      </c>
      <c r="O74" s="523">
        <f>G74+K74</f>
        <v>637.46405803970799</v>
      </c>
    </row>
    <row r="75" spans="1:15">
      <c r="A75" s="223" t="s">
        <v>1041</v>
      </c>
      <c r="B75" s="1065"/>
      <c r="C75" s="620">
        <f t="shared" si="20"/>
        <v>0</v>
      </c>
      <c r="D75" s="1059">
        <v>128.04</v>
      </c>
      <c r="E75" s="278">
        <f t="shared" si="21"/>
        <v>0</v>
      </c>
      <c r="F75" s="199">
        <f t="shared" si="22"/>
        <v>0</v>
      </c>
      <c r="G75" s="215">
        <f>MROUND(D75*(1+'Resi Price Out'!$G$5),0.05)</f>
        <v>134.6</v>
      </c>
      <c r="H75" s="273">
        <f t="shared" si="4"/>
        <v>0</v>
      </c>
      <c r="I75" s="273">
        <f t="shared" si="5"/>
        <v>0</v>
      </c>
      <c r="M75" s="607"/>
      <c r="N75" s="345">
        <f t="shared" si="23"/>
        <v>5.1233989378319356E-2</v>
      </c>
      <c r="O75" s="543">
        <f>G75+('LG MF Recycle'!$C$29*LEFT('Drop Box Price Out'!A75,2))</f>
        <v>316.73258801134511</v>
      </c>
    </row>
    <row r="76" spans="1:15">
      <c r="A76" s="223" t="s">
        <v>1042</v>
      </c>
      <c r="B76" s="1065"/>
      <c r="C76" s="620">
        <f t="shared" si="20"/>
        <v>0</v>
      </c>
      <c r="D76" s="1059">
        <v>133.21</v>
      </c>
      <c r="E76" s="278">
        <f t="shared" si="21"/>
        <v>0</v>
      </c>
      <c r="F76" s="199">
        <f t="shared" si="22"/>
        <v>0</v>
      </c>
      <c r="G76" s="215">
        <f>MROUND(D76*(1+'Resi Price Out'!$G$5),0.05)</f>
        <v>140.05000000000001</v>
      </c>
      <c r="H76" s="273">
        <f t="shared" si="4"/>
        <v>0</v>
      </c>
      <c r="I76" s="273">
        <f t="shared" si="5"/>
        <v>0</v>
      </c>
      <c r="M76" s="607"/>
      <c r="N76" s="345">
        <f t="shared" si="23"/>
        <v>5.1347496434201556E-2</v>
      </c>
      <c r="O76" s="543">
        <f>G76+('LG MF Recycle'!$C$29*LEFT('Drop Box Price Out'!A76,2))</f>
        <v>322.18258801134516</v>
      </c>
    </row>
    <row r="77" spans="1:15">
      <c r="A77" s="223" t="s">
        <v>1043</v>
      </c>
      <c r="B77" s="1065"/>
      <c r="C77" s="620">
        <f t="shared" si="20"/>
        <v>0</v>
      </c>
      <c r="D77" s="1059">
        <v>247.45</v>
      </c>
      <c r="E77" s="278">
        <f t="shared" si="21"/>
        <v>0</v>
      </c>
      <c r="F77" s="199">
        <f t="shared" si="22"/>
        <v>0</v>
      </c>
      <c r="G77" s="215">
        <f>MROUND(D77*(1+'Resi Price Out'!$G$5),0.05)</f>
        <v>260.15000000000003</v>
      </c>
      <c r="H77" s="273">
        <f t="shared" si="4"/>
        <v>0</v>
      </c>
      <c r="I77" s="273">
        <f t="shared" si="5"/>
        <v>0</v>
      </c>
      <c r="K77" s="523">
        <f>LEFT(A77,2)*'MF Recy Price Out'!$K$5</f>
        <v>182.13258801134515</v>
      </c>
      <c r="M77" s="607"/>
      <c r="N77" s="345">
        <f t="shared" si="23"/>
        <v>5.1323499696908748E-2</v>
      </c>
      <c r="O77" s="543">
        <f>G77+('LG MF Recycle'!$C$29*LEFT('Drop Box Price Out'!A77,2))</f>
        <v>442.28258801134518</v>
      </c>
    </row>
    <row r="78" spans="1:15">
      <c r="A78" s="223" t="s">
        <v>1044</v>
      </c>
      <c r="B78" s="1065"/>
      <c r="C78" s="620">
        <f t="shared" si="20"/>
        <v>0</v>
      </c>
      <c r="D78" s="1059">
        <v>252.6</v>
      </c>
      <c r="E78" s="278">
        <f t="shared" si="21"/>
        <v>0</v>
      </c>
      <c r="F78" s="199">
        <f t="shared" si="22"/>
        <v>0</v>
      </c>
      <c r="G78" s="1122">
        <f>MROUND(D78*(1+'Resi Price Out'!$G$5),0.05)</f>
        <v>265.55</v>
      </c>
      <c r="H78" s="273">
        <f t="shared" si="4"/>
        <v>0</v>
      </c>
      <c r="I78" s="273">
        <f t="shared" ref="I78:I93" si="24">IF(RIGHT(A78,2)="MF",C78*LEFT(A78,2)*3.5,0)</f>
        <v>0</v>
      </c>
      <c r="K78" s="523">
        <f>LEFT(A78,2)*'MF Recy Price Out'!$K$5</f>
        <v>182.13258801134515</v>
      </c>
      <c r="M78" s="607"/>
      <c r="N78" s="345">
        <f t="shared" si="23"/>
        <v>5.1266825019794293E-2</v>
      </c>
      <c r="O78" s="543">
        <f>G78+('LG MF Recycle'!$C$29*LEFT('Drop Box Price Out'!A78,2))</f>
        <v>447.68258801134516</v>
      </c>
    </row>
    <row r="79" spans="1:15">
      <c r="A79" s="223" t="s">
        <v>112</v>
      </c>
      <c r="B79" s="1065">
        <f>SUM('[13]wutc ind rental'!C6)/D79</f>
        <v>0</v>
      </c>
      <c r="C79" s="197" t="s">
        <v>295</v>
      </c>
      <c r="D79" s="1059">
        <v>30.99</v>
      </c>
      <c r="E79" s="278">
        <f>D79*B79</f>
        <v>0</v>
      </c>
      <c r="F79" s="199">
        <f t="shared" ref="F79:F92" si="25">G79*B79</f>
        <v>0</v>
      </c>
      <c r="G79" s="1122">
        <f>MROUND(D79*(1+'Resi Price Out'!$G$5),0.05)</f>
        <v>32.6</v>
      </c>
      <c r="H79" s="273">
        <f t="shared" ref="H79:H93" si="26">IF(RIGHT(A79,2)="MF",B79*(D79),0)</f>
        <v>0</v>
      </c>
      <c r="I79" s="273">
        <f t="shared" si="24"/>
        <v>0</v>
      </c>
      <c r="N79" s="345">
        <f t="shared" si="16"/>
        <v>5.1952242658922287E-2</v>
      </c>
    </row>
    <row r="80" spans="1:15">
      <c r="A80" s="223" t="s">
        <v>1046</v>
      </c>
      <c r="B80" s="1065"/>
      <c r="C80" s="197" t="s">
        <v>295</v>
      </c>
      <c r="D80" s="1059">
        <v>0</v>
      </c>
      <c r="E80" s="278">
        <f>D80*B80</f>
        <v>0</v>
      </c>
      <c r="F80" s="199">
        <f>G80*B80</f>
        <v>0</v>
      </c>
      <c r="G80" s="1122">
        <f>MROUND(D80*(1+'Resi Price Out'!$G$5),0.05)</f>
        <v>0</v>
      </c>
      <c r="H80" s="273">
        <f t="shared" si="26"/>
        <v>0</v>
      </c>
      <c r="I80" s="273">
        <f t="shared" si="24"/>
        <v>0</v>
      </c>
      <c r="N80" s="345" t="e">
        <f t="shared" si="16"/>
        <v>#DIV/0!</v>
      </c>
    </row>
    <row r="81" spans="1:14">
      <c r="A81" s="223" t="s">
        <v>113</v>
      </c>
      <c r="B81" s="1065">
        <f>SUM('[13]wutc ind rental'!C8)/D81</f>
        <v>0.66597831698502841</v>
      </c>
      <c r="C81" s="197" t="s">
        <v>295</v>
      </c>
      <c r="D81" s="1059">
        <v>38.74</v>
      </c>
      <c r="E81" s="278">
        <f t="shared" si="2"/>
        <v>25.8</v>
      </c>
      <c r="F81" s="199">
        <f t="shared" si="25"/>
        <v>27.138616417139907</v>
      </c>
      <c r="G81" s="1122">
        <f>MROUND(D81*(1+'Resi Price Out'!$G$5),0.05)</f>
        <v>40.75</v>
      </c>
      <c r="H81" s="273">
        <f t="shared" si="26"/>
        <v>0</v>
      </c>
      <c r="I81" s="273">
        <f t="shared" si="24"/>
        <v>0</v>
      </c>
      <c r="N81" s="345">
        <f t="shared" si="16"/>
        <v>5.1884357253484614E-2</v>
      </c>
    </row>
    <row r="82" spans="1:14">
      <c r="A82" s="223" t="s">
        <v>1130</v>
      </c>
      <c r="B82" s="1065"/>
      <c r="C82" s="197" t="s">
        <v>295</v>
      </c>
      <c r="D82" s="1059">
        <v>0</v>
      </c>
      <c r="E82" s="278">
        <f>D82*B82</f>
        <v>0</v>
      </c>
      <c r="F82" s="199">
        <f>G82*B82</f>
        <v>0</v>
      </c>
      <c r="G82" s="1122">
        <f>MROUND(D82*(1+'Resi Price Out'!$G$5),0.05)</f>
        <v>0</v>
      </c>
      <c r="H82" s="273">
        <f>IF(RIGHT(A82,2)="MF",B82*(D82),0)</f>
        <v>0</v>
      </c>
      <c r="I82" s="273">
        <f>IF(RIGHT(A82,2)="MF",C82*LEFT(A82,2)*3.5,0)</f>
        <v>0</v>
      </c>
      <c r="N82" s="345" t="e">
        <f t="shared" si="16"/>
        <v>#DIV/0!</v>
      </c>
    </row>
    <row r="83" spans="1:14">
      <c r="A83" s="223" t="s">
        <v>114</v>
      </c>
      <c r="B83" s="1065">
        <f>SUM('[13]wutc ind rental'!C9)/D83</f>
        <v>17.038952164009114</v>
      </c>
      <c r="C83" s="197" t="s">
        <v>295</v>
      </c>
      <c r="D83" s="1059">
        <v>43.9</v>
      </c>
      <c r="E83" s="278">
        <f t="shared" si="2"/>
        <v>748.0100000000001</v>
      </c>
      <c r="F83" s="199">
        <f t="shared" si="25"/>
        <v>786.34764236902072</v>
      </c>
      <c r="G83" s="1122">
        <f>MROUND(D83*(1+'Resi Price Out'!$G$5),0.05)</f>
        <v>46.150000000000006</v>
      </c>
      <c r="H83" s="273">
        <f t="shared" si="26"/>
        <v>0</v>
      </c>
      <c r="I83" s="273">
        <f t="shared" si="24"/>
        <v>0</v>
      </c>
      <c r="N83" s="345">
        <f t="shared" si="16"/>
        <v>5.1252847380410138E-2</v>
      </c>
    </row>
    <row r="84" spans="1:14">
      <c r="A84" s="223" t="s">
        <v>115</v>
      </c>
      <c r="B84" s="1065">
        <f>SUM('[13]wutc ind rental'!C10)/D84</f>
        <v>22.459547585082539</v>
      </c>
      <c r="C84" s="197" t="s">
        <v>295</v>
      </c>
      <c r="D84" s="1059">
        <v>49.07</v>
      </c>
      <c r="E84" s="278">
        <f t="shared" si="2"/>
        <v>1102.0900000000001</v>
      </c>
      <c r="F84" s="199">
        <f t="shared" si="25"/>
        <v>1158.912655390259</v>
      </c>
      <c r="G84" s="1122">
        <f>MROUND(D84*(1+'Resi Price Out'!$G$5),0.05)</f>
        <v>51.6</v>
      </c>
      <c r="H84" s="273">
        <f t="shared" si="26"/>
        <v>0</v>
      </c>
      <c r="I84" s="273">
        <f t="shared" si="24"/>
        <v>0</v>
      </c>
      <c r="N84" s="345">
        <f t="shared" si="16"/>
        <v>5.1558997350723557E-2</v>
      </c>
    </row>
    <row r="85" spans="1:14">
      <c r="A85" s="223" t="s">
        <v>116</v>
      </c>
      <c r="B85" s="1065">
        <f>SUM('[13]wutc ind rental'!C11)/D85</f>
        <v>18.746464646464645</v>
      </c>
      <c r="C85" s="197" t="s">
        <v>295</v>
      </c>
      <c r="D85" s="1059">
        <v>59.4</v>
      </c>
      <c r="E85" s="278">
        <f t="shared" si="2"/>
        <v>1113.54</v>
      </c>
      <c r="F85" s="199">
        <f>G85*B85</f>
        <v>1170.7167171717172</v>
      </c>
      <c r="G85" s="1122">
        <f>MROUND(D85*(1+'Resi Price Out'!$G$5),0.05)</f>
        <v>62.45</v>
      </c>
      <c r="H85" s="273">
        <f t="shared" si="26"/>
        <v>0</v>
      </c>
      <c r="I85" s="273">
        <f t="shared" si="24"/>
        <v>0</v>
      </c>
      <c r="N85" s="345">
        <f t="shared" si="16"/>
        <v>5.1346801346801474E-2</v>
      </c>
    </row>
    <row r="86" spans="1:14">
      <c r="A86" s="223" t="s">
        <v>572</v>
      </c>
      <c r="B86" s="1065"/>
      <c r="C86" s="197" t="s">
        <v>295</v>
      </c>
      <c r="D86" s="1059">
        <v>0</v>
      </c>
      <c r="E86" s="278">
        <f t="shared" si="2"/>
        <v>0</v>
      </c>
      <c r="F86" s="199">
        <f t="shared" si="25"/>
        <v>0</v>
      </c>
      <c r="G86" s="1122">
        <f>MROUND(D86*(1+'Resi Price Out'!$G$5),0.05)</f>
        <v>0</v>
      </c>
      <c r="H86" s="273">
        <f t="shared" si="26"/>
        <v>0</v>
      </c>
      <c r="I86" s="273">
        <f t="shared" si="24"/>
        <v>0</v>
      </c>
      <c r="N86" s="345" t="e">
        <f t="shared" si="16"/>
        <v>#DIV/0!</v>
      </c>
    </row>
    <row r="87" spans="1:14">
      <c r="A87" s="223" t="s">
        <v>117</v>
      </c>
      <c r="B87" s="1065">
        <f>SUM('[13]wutc ind rental'!C12)/D87</f>
        <v>90.264161766814851</v>
      </c>
      <c r="C87" s="197" t="s">
        <v>295</v>
      </c>
      <c r="D87" s="1059">
        <v>69.73</v>
      </c>
      <c r="E87" s="278">
        <f t="shared" si="2"/>
        <v>6294.12</v>
      </c>
      <c r="F87" s="199">
        <f t="shared" si="25"/>
        <v>6616.3630575075285</v>
      </c>
      <c r="G87" s="1122">
        <f>MROUND(D87*(1+'Resi Price Out'!$G$5),0.05)</f>
        <v>73.3</v>
      </c>
      <c r="H87" s="273">
        <f t="shared" si="26"/>
        <v>0</v>
      </c>
      <c r="I87" s="273">
        <f t="shared" si="24"/>
        <v>0</v>
      </c>
      <c r="N87" s="345">
        <f t="shared" si="16"/>
        <v>5.119747597877522E-2</v>
      </c>
    </row>
    <row r="88" spans="1:14">
      <c r="A88" s="223" t="s">
        <v>1045</v>
      </c>
      <c r="B88" s="1065"/>
      <c r="C88" s="197" t="s">
        <v>295</v>
      </c>
      <c r="D88" s="1059">
        <v>0</v>
      </c>
      <c r="E88" s="278">
        <f>D88*B88</f>
        <v>0</v>
      </c>
      <c r="F88" s="199">
        <f>G88*B88</f>
        <v>0</v>
      </c>
      <c r="G88" s="1122">
        <f>MROUND(D88*(1+'Resi Price Out'!$G$5),0.05)</f>
        <v>0</v>
      </c>
      <c r="H88" s="273">
        <f t="shared" si="26"/>
        <v>0</v>
      </c>
      <c r="I88" s="273">
        <f t="shared" si="24"/>
        <v>0</v>
      </c>
      <c r="N88" s="345" t="e">
        <f t="shared" si="16"/>
        <v>#DIV/0!</v>
      </c>
    </row>
    <row r="89" spans="1:14">
      <c r="A89" s="223" t="s">
        <v>340</v>
      </c>
      <c r="B89" s="1065"/>
      <c r="C89" s="197" t="s">
        <v>295</v>
      </c>
      <c r="D89" s="1059">
        <v>80.06</v>
      </c>
      <c r="E89" s="278">
        <f t="shared" si="2"/>
        <v>0</v>
      </c>
      <c r="F89" s="199">
        <f t="shared" si="25"/>
        <v>0</v>
      </c>
      <c r="G89" s="1122">
        <f>MROUND(D89*(1+'Resi Price Out'!$G$5),0.05)</f>
        <v>84.15</v>
      </c>
      <c r="H89" s="273">
        <f t="shared" si="26"/>
        <v>0</v>
      </c>
      <c r="I89" s="273">
        <f t="shared" si="24"/>
        <v>0</v>
      </c>
      <c r="N89" s="345">
        <f t="shared" si="16"/>
        <v>5.1086684986260344E-2</v>
      </c>
    </row>
    <row r="90" spans="1:14">
      <c r="A90" s="185" t="s">
        <v>482</v>
      </c>
      <c r="B90" s="1062"/>
      <c r="C90" s="197" t="s">
        <v>326</v>
      </c>
      <c r="D90" s="1059">
        <v>2.58</v>
      </c>
      <c r="E90" s="278">
        <f t="shared" si="2"/>
        <v>0</v>
      </c>
      <c r="F90" s="199">
        <f t="shared" si="25"/>
        <v>0</v>
      </c>
      <c r="G90" s="1122">
        <f>MROUND(D90*(1+'Resi Price Out'!$G$5),1)</f>
        <v>3</v>
      </c>
      <c r="H90" s="273">
        <f t="shared" si="26"/>
        <v>0</v>
      </c>
      <c r="I90" s="273">
        <f t="shared" si="24"/>
        <v>0</v>
      </c>
      <c r="N90" s="345">
        <f t="shared" si="16"/>
        <v>0.16279069767441867</v>
      </c>
    </row>
    <row r="91" spans="1:14">
      <c r="A91" s="196" t="s">
        <v>291</v>
      </c>
      <c r="B91" s="1062"/>
      <c r="C91" s="283" t="s">
        <v>327</v>
      </c>
      <c r="D91" s="1059">
        <v>1.7</v>
      </c>
      <c r="E91" s="278">
        <f t="shared" si="2"/>
        <v>0</v>
      </c>
      <c r="F91" s="199">
        <f>G91*B91</f>
        <v>0</v>
      </c>
      <c r="G91" s="1122">
        <f>MROUND(D91*(1+'Resi Price Out'!$G$5),1)</f>
        <v>2</v>
      </c>
      <c r="H91" s="273">
        <f t="shared" si="26"/>
        <v>0</v>
      </c>
      <c r="I91" s="273">
        <f t="shared" si="24"/>
        <v>0</v>
      </c>
      <c r="N91" s="345">
        <f t="shared" si="16"/>
        <v>0.17647058823529416</v>
      </c>
    </row>
    <row r="92" spans="1:14">
      <c r="A92" s="196" t="s">
        <v>652</v>
      </c>
      <c r="B92" s="185"/>
      <c r="C92" s="283" t="s">
        <v>654</v>
      </c>
      <c r="D92" s="1059"/>
      <c r="E92" s="278">
        <f t="shared" si="2"/>
        <v>0</v>
      </c>
      <c r="F92" s="199">
        <f t="shared" si="25"/>
        <v>0</v>
      </c>
      <c r="G92" s="1122">
        <f>MROUND(D92*(1+'Resi Price Out'!$G$5),0.05)</f>
        <v>0</v>
      </c>
      <c r="H92" s="273">
        <f t="shared" si="26"/>
        <v>0</v>
      </c>
      <c r="I92" s="273">
        <f t="shared" si="24"/>
        <v>0</v>
      </c>
      <c r="N92" s="345" t="e">
        <f t="shared" si="16"/>
        <v>#DIV/0!</v>
      </c>
    </row>
    <row r="93" spans="1:14">
      <c r="A93" s="282" t="s">
        <v>118</v>
      </c>
      <c r="B93" s="1066">
        <f>SUM([17]PT!$B$5:$B$9)</f>
        <v>33</v>
      </c>
      <c r="C93" s="285" t="s">
        <v>295</v>
      </c>
      <c r="D93" s="1067">
        <v>67.150000000000006</v>
      </c>
      <c r="E93" s="284">
        <f t="shared" si="2"/>
        <v>2215.9500000000003</v>
      </c>
      <c r="F93" s="206">
        <f>+G93*B93</f>
        <v>2329.8000000000002</v>
      </c>
      <c r="G93" s="286">
        <f>MROUND(D93*(1+'Resi Price Out'!$G$5),0.05)</f>
        <v>70.600000000000009</v>
      </c>
      <c r="H93" s="273">
        <f t="shared" si="26"/>
        <v>0</v>
      </c>
      <c r="I93" s="273">
        <f t="shared" si="24"/>
        <v>0</v>
      </c>
      <c r="N93" s="345">
        <f t="shared" si="16"/>
        <v>5.1377513030528732E-2</v>
      </c>
    </row>
    <row r="94" spans="1:14">
      <c r="A94" s="185" t="s">
        <v>328</v>
      </c>
      <c r="B94" s="280">
        <f>SUM(B13:B78,B93)</f>
        <v>1477</v>
      </c>
      <c r="C94" s="287"/>
      <c r="D94" s="288"/>
      <c r="E94" s="289">
        <f>SUM(E13:E93)</f>
        <v>226392.41</v>
      </c>
      <c r="F94" s="199">
        <f>SUM(F13:F93)</f>
        <v>237998.8286888556</v>
      </c>
      <c r="G94" s="215"/>
      <c r="H94" s="290">
        <f>SUM(H11:H93)</f>
        <v>51905.88</v>
      </c>
      <c r="I94" s="290">
        <f>SUM(I11:I93)</f>
        <v>16380</v>
      </c>
      <c r="J94" s="185" t="s">
        <v>329</v>
      </c>
      <c r="L94" s="2130">
        <f>SUM(L11:L93)</f>
        <v>59666.635832516673</v>
      </c>
    </row>
    <row r="95" spans="1:14" ht="12.75" thickBot="1">
      <c r="B95" s="291"/>
      <c r="E95" s="292">
        <f>E94</f>
        <v>226392.41</v>
      </c>
      <c r="F95" s="292">
        <f>F94</f>
        <v>237998.8286888556</v>
      </c>
      <c r="G95" s="215"/>
      <c r="J95" s="185" t="s">
        <v>330</v>
      </c>
    </row>
    <row r="96" spans="1:14" ht="12.75" thickTop="1">
      <c r="A96" s="185" t="s">
        <v>827</v>
      </c>
      <c r="B96" s="1019">
        <f>(LEFT(A15,2)*B15+LEFT(A16,2)*B16+LEFT(A27,2)*B27+LEFT(A28,2)*B28+LEFT(A39,2)*B39+LEFT(A40,2)*B40+LEFT(A45,2)*B45+LEFT(A46,2)*B46+LEFT(A57,2)*B57+LEFT(A58,2)*B58+LEFT(A63,2)*B63+LEFT(A64,2)*B64)/(B15+B16+B27+B28+B39+B40+B45+B57+B58+B63+B64)</f>
        <v>39.754901960784316</v>
      </c>
      <c r="E96" s="293"/>
      <c r="F96" s="303"/>
    </row>
    <row r="97" spans="1:10">
      <c r="A97" s="188" t="s">
        <v>828</v>
      </c>
      <c r="B97" s="1019">
        <f>(LEFT(A25,2)*B25+LEFT(A26,2)*B26+LEFT(A37,2)*B37+LEFT(A38,2)*B38+LEFT(A43,2)*B43+LEFT(A44,2)*B44+LEFT(A49,2)*B49+LEFT(A50,2)*B50+LEFT(A61,2)*B50+LEFT(A62,2)*B50)/(B25+B26+B37+B38+B43+B44+B49+B50)</f>
        <v>55.464684014869889</v>
      </c>
      <c r="C97" s="192"/>
      <c r="D97" s="192"/>
      <c r="E97" s="192"/>
      <c r="F97" s="192"/>
      <c r="G97" s="192"/>
      <c r="H97" s="294">
        <f>+E94+H94</f>
        <v>278298.28999999998</v>
      </c>
      <c r="J97" s="185" t="s">
        <v>331</v>
      </c>
    </row>
    <row r="98" spans="1:10">
      <c r="A98" s="185" t="s">
        <v>829</v>
      </c>
      <c r="B98" s="1019">
        <v>3.5</v>
      </c>
      <c r="D98" s="215"/>
      <c r="E98" s="215"/>
      <c r="F98" s="215"/>
      <c r="G98" s="215"/>
    </row>
    <row r="99" spans="1:10">
      <c r="B99" s="295" t="s">
        <v>332</v>
      </c>
      <c r="C99" s="296"/>
      <c r="D99" s="215"/>
      <c r="E99" s="215"/>
      <c r="F99" s="215"/>
      <c r="G99" s="215"/>
    </row>
    <row r="100" spans="1:10">
      <c r="B100" s="297" t="s">
        <v>333</v>
      </c>
      <c r="C100" s="298"/>
      <c r="G100" s="197"/>
    </row>
    <row r="101" spans="1:10">
      <c r="B101" s="297" t="s">
        <v>334</v>
      </c>
      <c r="C101" s="299" t="s">
        <v>21</v>
      </c>
      <c r="E101" s="258" t="s">
        <v>21</v>
      </c>
      <c r="G101" s="300"/>
    </row>
    <row r="102" spans="1:10">
      <c r="B102" s="301" t="s">
        <v>335</v>
      </c>
      <c r="C102" s="302" t="s">
        <v>21</v>
      </c>
      <c r="E102" s="279"/>
    </row>
    <row r="103" spans="1:10">
      <c r="E103" s="279"/>
    </row>
    <row r="104" spans="1:10">
      <c r="B104" s="183" t="s">
        <v>336</v>
      </c>
      <c r="E104" s="279">
        <f>+E95</f>
        <v>226392.41</v>
      </c>
      <c r="F104" s="196" t="s">
        <v>337</v>
      </c>
    </row>
    <row r="105" spans="1:10">
      <c r="B105" s="183" t="s">
        <v>338</v>
      </c>
      <c r="E105" s="206">
        <f>Proforma!Q11</f>
        <v>241025.64314789983</v>
      </c>
      <c r="F105" s="196" t="s">
        <v>339</v>
      </c>
    </row>
    <row r="106" spans="1:10">
      <c r="D106" s="184" t="s">
        <v>20</v>
      </c>
      <c r="E106" s="279">
        <f>+E105-E104</f>
        <v>14633.233147899824</v>
      </c>
      <c r="F106" s="303">
        <f>+E106/E105</f>
        <v>6.0712349759898691E-2</v>
      </c>
    </row>
    <row r="107" spans="1:10">
      <c r="A107" s="304"/>
    </row>
    <row r="108" spans="1:10">
      <c r="A108" s="304"/>
    </row>
    <row r="109" spans="1:10">
      <c r="A109" s="304"/>
    </row>
    <row r="110" spans="1:10" ht="12.75" thickBot="1"/>
    <row r="111" spans="1:10">
      <c r="A111" s="805" t="s">
        <v>773</v>
      </c>
      <c r="B111" s="806"/>
      <c r="C111" s="806"/>
      <c r="D111" s="806"/>
      <c r="E111" s="806"/>
      <c r="F111" s="806"/>
      <c r="G111" s="807"/>
    </row>
    <row r="112" spans="1:10">
      <c r="A112" s="808" t="s">
        <v>748</v>
      </c>
      <c r="B112" s="789"/>
      <c r="C112" s="789"/>
      <c r="D112" s="789"/>
      <c r="E112" s="789"/>
      <c r="F112" s="789"/>
      <c r="G112" s="809"/>
    </row>
    <row r="113" spans="1:7">
      <c r="A113" s="808" t="s">
        <v>749</v>
      </c>
      <c r="B113" s="789"/>
      <c r="C113" s="789"/>
      <c r="D113" s="789"/>
      <c r="E113" s="789"/>
      <c r="F113" s="789"/>
      <c r="G113" s="809"/>
    </row>
    <row r="114" spans="1:7">
      <c r="A114" s="808" t="s">
        <v>750</v>
      </c>
      <c r="B114" s="789"/>
      <c r="C114" s="789"/>
      <c r="D114" s="789"/>
      <c r="E114" s="789"/>
      <c r="F114" s="789"/>
      <c r="G114" s="809"/>
    </row>
    <row r="115" spans="1:7" ht="12.75" thickBot="1">
      <c r="A115" s="810"/>
      <c r="B115" s="811"/>
      <c r="C115" s="811"/>
      <c r="D115" s="811"/>
      <c r="E115" s="811"/>
      <c r="F115" s="811"/>
      <c r="G115" s="812"/>
    </row>
  </sheetData>
  <customSheetViews>
    <customSheetView guid="{3B54C4DD-9207-4EC3-9D58-6DDE29113D77}" fitToPage="1" showRuler="0" topLeftCell="A4">
      <pane xSplit="1" ySplit="9" topLeftCell="B13" activePane="bottomRight" state="frozen"/>
      <selection pane="bottomRight" activeCell="J34" sqref="J34"/>
      <pageMargins left="0.5" right="0.5" top="1" bottom="1" header="0.5" footer="0.5"/>
      <pageSetup scale="54" orientation="landscape" r:id="rId1"/>
      <headerFooter alignWithMargins="0">
        <oddHeader>&amp;L&amp;12&amp;A</oddHeader>
      </headerFooter>
    </customSheetView>
    <customSheetView guid="{F69ABAD1-EF76-489D-B027-1BD1F4CFE8A6}" fitToPage="1" topLeftCell="A4">
      <pane xSplit="1" ySplit="9" topLeftCell="B13" activePane="bottomRight" state="frozen"/>
      <selection pane="bottomRight" activeCell="J34" sqref="J34"/>
      <pageMargins left="0.5" right="0.5" top="1" bottom="1" header="0.5" footer="0.5"/>
      <pageSetup scale="54" orientation="landscape" r:id="rId2"/>
      <headerFooter alignWithMargins="0">
        <oddHeader>&amp;L&amp;12&amp;A</oddHeader>
      </headerFooter>
    </customSheetView>
  </customSheetViews>
  <mergeCells count="1">
    <mergeCell ref="A4:D4"/>
  </mergeCells>
  <phoneticPr fontId="0" type="noConversion"/>
  <pageMargins left="0.5" right="0.5" top="1" bottom="1" header="0.5" footer="0.5"/>
  <pageSetup scale="37" orientation="landscape" r:id="rId3"/>
  <headerFooter alignWithMargins="0">
    <oddHeader>&amp;L&amp;12&amp;A</oddHeader>
  </headerFooter>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4:P115"/>
  <sheetViews>
    <sheetView workbookViewId="0">
      <selection activeCell="A90" sqref="A90:IV90"/>
    </sheetView>
  </sheetViews>
  <sheetFormatPr defaultColWidth="12" defaultRowHeight="12"/>
  <cols>
    <col min="1" max="1" width="31.33203125" style="185" customWidth="1"/>
    <col min="2" max="2" width="19.1640625" style="183" customWidth="1"/>
    <col min="3" max="3" width="14.83203125" style="183" customWidth="1"/>
    <col min="4" max="4" width="12.33203125" style="184" bestFit="1" customWidth="1"/>
    <col min="5" max="5" width="23.6640625" style="183" bestFit="1" customWidth="1"/>
    <col min="6" max="6" width="20.6640625" style="183" customWidth="1"/>
    <col min="7" max="7" width="13.5" style="2090" customWidth="1"/>
    <col min="8" max="8" width="14.1640625" style="185" customWidth="1"/>
    <col min="9" max="9" width="15.33203125" style="185" customWidth="1"/>
    <col min="10" max="10" width="12" style="185" customWidth="1"/>
    <col min="11" max="11" width="13.33203125" style="185" bestFit="1" customWidth="1"/>
    <col min="12" max="12" width="14.6640625" style="185" bestFit="1" customWidth="1"/>
    <col min="13" max="13" width="12" style="185" customWidth="1"/>
    <col min="14" max="14" width="14.1640625" style="185" bestFit="1" customWidth="1"/>
    <col min="15" max="15" width="14.83203125" style="185" bestFit="1" customWidth="1"/>
    <col min="16" max="16" width="12" style="2103"/>
    <col min="17" max="16384" width="12" style="185"/>
  </cols>
  <sheetData>
    <row r="4" spans="1:16" ht="12" customHeight="1">
      <c r="A4" s="2210" t="s">
        <v>1127</v>
      </c>
      <c r="B4" s="2210"/>
      <c r="C4" s="2210"/>
      <c r="D4" s="2210"/>
      <c r="H4" s="1372">
        <f>+'MF Recy Price Out'!O2</f>
        <v>3.5</v>
      </c>
      <c r="I4" s="1372" t="str">
        <f>+'MF Recy Price Out'!P2</f>
        <v>Compaction Rate</v>
      </c>
    </row>
    <row r="5" spans="1:16">
      <c r="A5" s="184"/>
      <c r="B5" s="184"/>
      <c r="C5" s="184"/>
      <c r="H5" s="1372">
        <f>+'MF Recy Price Out'!O3</f>
        <v>5</v>
      </c>
      <c r="I5" s="1372" t="str">
        <f>+'MF Recy Price Out'!P3</f>
        <v>Compaction Rate</v>
      </c>
    </row>
    <row r="6" spans="1:16">
      <c r="A6" s="184"/>
      <c r="B6" s="184"/>
      <c r="C6" s="184"/>
    </row>
    <row r="8" spans="1:16">
      <c r="A8" s="182"/>
      <c r="E8" s="183" t="s">
        <v>26</v>
      </c>
      <c r="F8" s="183" t="s">
        <v>26</v>
      </c>
      <c r="G8" s="2090" t="s">
        <v>1741</v>
      </c>
      <c r="H8" s="185" t="s">
        <v>41</v>
      </c>
      <c r="I8" s="185" t="s">
        <v>41</v>
      </c>
      <c r="K8" s="185" t="s">
        <v>39</v>
      </c>
      <c r="L8" s="185" t="s">
        <v>39</v>
      </c>
      <c r="O8" s="185" t="s">
        <v>39</v>
      </c>
    </row>
    <row r="9" spans="1:16">
      <c r="A9" s="185" t="s">
        <v>292</v>
      </c>
      <c r="D9" s="184" t="s">
        <v>41</v>
      </c>
      <c r="E9" s="183" t="s">
        <v>41</v>
      </c>
      <c r="F9" s="187" t="s">
        <v>39</v>
      </c>
      <c r="G9" s="2091" t="s">
        <v>39</v>
      </c>
      <c r="H9" s="185" t="s">
        <v>322</v>
      </c>
      <c r="I9" s="185" t="s">
        <v>323</v>
      </c>
      <c r="K9" s="185" t="s">
        <v>322</v>
      </c>
      <c r="L9" s="185" t="s">
        <v>322</v>
      </c>
      <c r="N9" s="185" t="s">
        <v>39</v>
      </c>
      <c r="O9" s="185" t="s">
        <v>595</v>
      </c>
      <c r="P9" s="2103" t="s">
        <v>39</v>
      </c>
    </row>
    <row r="10" spans="1:16">
      <c r="A10" s="212"/>
      <c r="B10" s="189" t="s">
        <v>48</v>
      </c>
      <c r="C10" s="189" t="s">
        <v>56</v>
      </c>
      <c r="D10" s="190" t="s">
        <v>55</v>
      </c>
      <c r="E10" s="191" t="s">
        <v>13</v>
      </c>
      <c r="F10" s="191" t="s">
        <v>13</v>
      </c>
      <c r="G10" s="2092" t="s">
        <v>55</v>
      </c>
      <c r="H10" s="185" t="s">
        <v>13</v>
      </c>
      <c r="I10" s="185" t="s">
        <v>282</v>
      </c>
      <c r="K10" s="185" t="s">
        <v>55</v>
      </c>
      <c r="L10" s="185" t="s">
        <v>13</v>
      </c>
      <c r="N10" s="185" t="s">
        <v>516</v>
      </c>
      <c r="O10" s="185" t="s">
        <v>596</v>
      </c>
      <c r="P10" s="2103" t="s">
        <v>55</v>
      </c>
    </row>
    <row r="11" spans="1:16">
      <c r="A11" s="188"/>
      <c r="B11" s="192"/>
      <c r="C11" s="192"/>
      <c r="D11" s="193"/>
      <c r="E11" s="186"/>
      <c r="F11" s="186"/>
      <c r="G11" s="2093"/>
    </row>
    <row r="12" spans="1:16">
      <c r="A12" s="194" t="s">
        <v>30</v>
      </c>
      <c r="B12" s="222" t="s">
        <v>324</v>
      </c>
      <c r="C12" s="187"/>
      <c r="D12" s="198"/>
      <c r="E12" s="278"/>
      <c r="F12" s="279"/>
      <c r="G12" s="2094" t="s">
        <v>325</v>
      </c>
      <c r="H12" s="273"/>
      <c r="I12" s="273"/>
      <c r="P12" s="2103" t="s">
        <v>325</v>
      </c>
    </row>
    <row r="13" spans="1:16">
      <c r="A13" s="281" t="s">
        <v>570</v>
      </c>
      <c r="B13" s="1065"/>
      <c r="C13" s="620">
        <f t="shared" ref="C13:C76" si="0">+B13*1</f>
        <v>0</v>
      </c>
      <c r="D13" s="1059">
        <v>141.88</v>
      </c>
      <c r="E13" s="278">
        <f>D13*B13</f>
        <v>0</v>
      </c>
      <c r="F13" s="199">
        <f>G13*C13</f>
        <v>0</v>
      </c>
      <c r="G13" s="2094">
        <f>MROUND(D13*(1+'Resi Price Out'!$G$5),0.05)</f>
        <v>149.15</v>
      </c>
      <c r="H13" s="273"/>
      <c r="I13" s="273"/>
      <c r="M13" s="607"/>
      <c r="N13" s="345">
        <f t="shared" ref="N13:N68" si="1">+G13/D13-1</f>
        <v>5.1240484916831308E-2</v>
      </c>
      <c r="P13" s="2103">
        <v>150.1</v>
      </c>
    </row>
    <row r="14" spans="1:16">
      <c r="A14" s="281" t="s">
        <v>1054</v>
      </c>
      <c r="B14" s="1065"/>
      <c r="C14" s="620">
        <f t="shared" si="0"/>
        <v>0</v>
      </c>
      <c r="D14" s="1059">
        <v>194.85</v>
      </c>
      <c r="E14" s="278">
        <f t="shared" ref="E14:E93" si="2">D14*B14</f>
        <v>0</v>
      </c>
      <c r="F14" s="199">
        <f t="shared" ref="F14:F77" si="3">G14*C14</f>
        <v>0</v>
      </c>
      <c r="G14" s="2094">
        <f>MROUND(D14*(1+'Resi Price Out'!$G$5),0.05)</f>
        <v>204.85000000000002</v>
      </c>
      <c r="H14" s="273">
        <f>IF(RIGHT(A14,2)="MF",B14*(D14),0)</f>
        <v>0</v>
      </c>
      <c r="I14" s="273">
        <f>IF(RIGHT(A14,2)="MF",C14*LEFT(A14,2)*3.5,0)</f>
        <v>0</v>
      </c>
      <c r="K14" s="523">
        <f>LEFT(A14,2)*$H$4*'MF Recy Price Out'!$K$5</f>
        <v>127.4928116079416</v>
      </c>
      <c r="L14" s="273">
        <f>K14*B14</f>
        <v>0</v>
      </c>
      <c r="M14" s="607">
        <f>IF(I14=0,0,H14/I14)</f>
        <v>0</v>
      </c>
      <c r="N14" s="345">
        <f t="shared" si="1"/>
        <v>5.1321529381575637E-2</v>
      </c>
      <c r="O14" s="523">
        <f>G14+K14</f>
        <v>332.3428116079416</v>
      </c>
      <c r="P14" s="2103">
        <v>206.15</v>
      </c>
    </row>
    <row r="15" spans="1:16">
      <c r="A15" s="223" t="s">
        <v>106</v>
      </c>
      <c r="B15" s="1065"/>
      <c r="C15" s="620">
        <f t="shared" si="0"/>
        <v>0</v>
      </c>
      <c r="D15" s="1059">
        <v>128.04</v>
      </c>
      <c r="E15" s="278">
        <f t="shared" si="2"/>
        <v>0</v>
      </c>
      <c r="F15" s="199">
        <f t="shared" si="3"/>
        <v>0</v>
      </c>
      <c r="G15" s="2094">
        <f>MROUND(D15*(1+'Resi Price Out'!$G$5),0.05)</f>
        <v>134.6</v>
      </c>
      <c r="H15" s="273">
        <f t="shared" ref="H15:H78" si="4">IF(RIGHT(A15,2)="MF",B15*(D15),0)</f>
        <v>0</v>
      </c>
      <c r="I15" s="273">
        <f t="shared" ref="I15:I78" si="5">IF(RIGHT(A15,2)="MF",C15*LEFT(A15,2)*3.5,0)</f>
        <v>0</v>
      </c>
      <c r="M15" s="607"/>
      <c r="N15" s="345">
        <f t="shared" si="1"/>
        <v>5.1233989378319356E-2</v>
      </c>
      <c r="O15" s="543">
        <f>G15+('LG MF Recycle'!$C$29*LEFT('Drop Box Price Out'!A15,2))</f>
        <v>171.02651760226902</v>
      </c>
      <c r="P15" s="2103">
        <v>135.45000000000002</v>
      </c>
    </row>
    <row r="16" spans="1:16">
      <c r="A16" s="223" t="s">
        <v>647</v>
      </c>
      <c r="B16" s="1065"/>
      <c r="C16" s="620">
        <f t="shared" si="0"/>
        <v>0</v>
      </c>
      <c r="D16" s="1059">
        <v>133.21</v>
      </c>
      <c r="E16" s="278">
        <f t="shared" si="2"/>
        <v>0</v>
      </c>
      <c r="F16" s="199">
        <f t="shared" si="3"/>
        <v>0</v>
      </c>
      <c r="G16" s="2094">
        <f>MROUND(D16*(1+'Resi Price Out'!$G$5),0.05)</f>
        <v>140.05000000000001</v>
      </c>
      <c r="H16" s="273">
        <f t="shared" si="4"/>
        <v>0</v>
      </c>
      <c r="I16" s="273">
        <f t="shared" si="5"/>
        <v>0</v>
      </c>
      <c r="M16" s="607"/>
      <c r="N16" s="345">
        <f t="shared" si="1"/>
        <v>5.1347496434201556E-2</v>
      </c>
      <c r="O16" s="543">
        <f>G16+('LG MF Recycle'!$C$29*LEFT('Drop Box Price Out'!A16,2))</f>
        <v>176.47651760226904</v>
      </c>
      <c r="P16" s="2103">
        <v>140.95000000000002</v>
      </c>
    </row>
    <row r="17" spans="1:16">
      <c r="A17" s="223" t="s">
        <v>637</v>
      </c>
      <c r="B17" s="1065"/>
      <c r="C17" s="620">
        <f t="shared" si="0"/>
        <v>0</v>
      </c>
      <c r="D17" s="1059">
        <v>169</v>
      </c>
      <c r="E17" s="278">
        <f t="shared" si="2"/>
        <v>0</v>
      </c>
      <c r="F17" s="199">
        <f t="shared" si="3"/>
        <v>0</v>
      </c>
      <c r="G17" s="2094">
        <f>MROUND(D17*(1+'Resi Price Out'!$G$5),0.05)</f>
        <v>177.65</v>
      </c>
      <c r="H17" s="273">
        <f t="shared" si="4"/>
        <v>0</v>
      </c>
      <c r="I17" s="273">
        <f t="shared" si="5"/>
        <v>0</v>
      </c>
      <c r="K17" s="523">
        <f>LEFT(A17,2)*'MF Recy Price Out'!$K$5</f>
        <v>36.42651760226903</v>
      </c>
      <c r="M17" s="607"/>
      <c r="N17" s="345">
        <f t="shared" si="1"/>
        <v>5.1183431952662728E-2</v>
      </c>
      <c r="O17" s="543">
        <f>G17+('LG MF Recycle'!$C$29*LEFT('Drop Box Price Out'!A17,2))</f>
        <v>214.07651760226904</v>
      </c>
      <c r="P17" s="2103">
        <v>178.8</v>
      </c>
    </row>
    <row r="18" spans="1:16">
      <c r="A18" s="223" t="s">
        <v>648</v>
      </c>
      <c r="B18" s="1065"/>
      <c r="C18" s="620">
        <f t="shared" si="0"/>
        <v>0</v>
      </c>
      <c r="D18" s="1059">
        <v>174.2</v>
      </c>
      <c r="E18" s="278">
        <f t="shared" si="2"/>
        <v>0</v>
      </c>
      <c r="F18" s="199">
        <f t="shared" si="3"/>
        <v>0</v>
      </c>
      <c r="G18" s="2094">
        <f>MROUND(D18*(1+'Resi Price Out'!$G$5),0.05)</f>
        <v>183.15</v>
      </c>
      <c r="H18" s="273">
        <f t="shared" si="4"/>
        <v>0</v>
      </c>
      <c r="I18" s="273">
        <f t="shared" si="5"/>
        <v>0</v>
      </c>
      <c r="K18" s="523">
        <f>LEFT(A18,2)*'MF Recy Price Out'!$K$5</f>
        <v>36.42651760226903</v>
      </c>
      <c r="M18" s="607"/>
      <c r="N18" s="345">
        <f t="shared" si="1"/>
        <v>5.1377726750861274E-2</v>
      </c>
      <c r="O18" s="543">
        <f>G18+('LG MF Recycle'!$C$29*LEFT('Drop Box Price Out'!A18,2))</f>
        <v>219.57651760226904</v>
      </c>
      <c r="P18" s="2103">
        <v>184.3</v>
      </c>
    </row>
    <row r="19" spans="1:16">
      <c r="A19" s="281" t="s">
        <v>1025</v>
      </c>
      <c r="B19" s="1065"/>
      <c r="C19" s="620">
        <f t="shared" si="0"/>
        <v>0</v>
      </c>
      <c r="D19" s="1059">
        <v>141.88</v>
      </c>
      <c r="E19" s="278">
        <f t="shared" si="2"/>
        <v>0</v>
      </c>
      <c r="F19" s="199">
        <f t="shared" si="3"/>
        <v>0</v>
      </c>
      <c r="G19" s="2094">
        <f>MROUND(D19*(1+'Resi Price Out'!$G$5),0.05)</f>
        <v>149.15</v>
      </c>
      <c r="H19" s="273">
        <f t="shared" si="4"/>
        <v>0</v>
      </c>
      <c r="I19" s="273">
        <f t="shared" si="5"/>
        <v>0</v>
      </c>
      <c r="M19" s="607"/>
      <c r="N19" s="345">
        <f t="shared" si="1"/>
        <v>5.1240484916831308E-2</v>
      </c>
      <c r="P19" s="2103">
        <v>150.1</v>
      </c>
    </row>
    <row r="20" spans="1:16">
      <c r="A20" s="281" t="s">
        <v>1055</v>
      </c>
      <c r="B20" s="1065"/>
      <c r="C20" s="620">
        <f t="shared" si="0"/>
        <v>0</v>
      </c>
      <c r="D20" s="1059">
        <v>0</v>
      </c>
      <c r="E20" s="278">
        <f t="shared" si="2"/>
        <v>0</v>
      </c>
      <c r="F20" s="199">
        <f t="shared" si="3"/>
        <v>0</v>
      </c>
      <c r="G20" s="2094">
        <f>MROUND(D20*(1+'Resi Price Out'!$G$5),0.05)</f>
        <v>0</v>
      </c>
      <c r="H20" s="273">
        <f t="shared" si="4"/>
        <v>0</v>
      </c>
      <c r="I20" s="273">
        <f t="shared" si="5"/>
        <v>0</v>
      </c>
      <c r="K20" s="523">
        <f>LEFT(A20,2)*$H$4*'MF Recy Price Out'!$K$5</f>
        <v>152.99137392952994</v>
      </c>
      <c r="L20" s="273">
        <f>K20*B20</f>
        <v>0</v>
      </c>
      <c r="M20" s="607">
        <f>IF(I20=0,0,H20/I20)</f>
        <v>0</v>
      </c>
      <c r="N20" s="345" t="e">
        <f t="shared" si="1"/>
        <v>#DIV/0!</v>
      </c>
      <c r="O20" s="523">
        <f>G20+K20</f>
        <v>152.99137392952994</v>
      </c>
      <c r="P20" s="2103">
        <v>0</v>
      </c>
    </row>
    <row r="21" spans="1:16">
      <c r="A21" s="223" t="s">
        <v>1026</v>
      </c>
      <c r="B21" s="1065"/>
      <c r="C21" s="620">
        <f t="shared" si="0"/>
        <v>0</v>
      </c>
      <c r="D21" s="1059">
        <v>128.04</v>
      </c>
      <c r="E21" s="278">
        <f t="shared" si="2"/>
        <v>0</v>
      </c>
      <c r="F21" s="199">
        <f t="shared" si="3"/>
        <v>0</v>
      </c>
      <c r="G21" s="2094">
        <f>MROUND(D21*(1+'Resi Price Out'!$G$5),0.05)</f>
        <v>134.6</v>
      </c>
      <c r="H21" s="273">
        <f t="shared" si="4"/>
        <v>0</v>
      </c>
      <c r="I21" s="273">
        <f t="shared" si="5"/>
        <v>0</v>
      </c>
      <c r="M21" s="607"/>
      <c r="N21" s="345">
        <f t="shared" si="1"/>
        <v>5.1233989378319356E-2</v>
      </c>
      <c r="O21" s="543">
        <f>G21+('LG MF Recycle'!$C$29*LEFT('Drop Box Price Out'!A21,2))</f>
        <v>178.31182112272285</v>
      </c>
      <c r="P21" s="2103">
        <v>135.45000000000002</v>
      </c>
    </row>
    <row r="22" spans="1:16">
      <c r="A22" s="223" t="s">
        <v>1027</v>
      </c>
      <c r="B22" s="1065"/>
      <c r="C22" s="620">
        <f t="shared" si="0"/>
        <v>0</v>
      </c>
      <c r="D22" s="1059">
        <v>133.21</v>
      </c>
      <c r="E22" s="278">
        <f t="shared" si="2"/>
        <v>0</v>
      </c>
      <c r="F22" s="199">
        <f t="shared" si="3"/>
        <v>0</v>
      </c>
      <c r="G22" s="2094">
        <f>MROUND(D22*(1+'Resi Price Out'!$G$5),0.05)</f>
        <v>140.05000000000001</v>
      </c>
      <c r="H22" s="273">
        <f t="shared" si="4"/>
        <v>0</v>
      </c>
      <c r="I22" s="273">
        <f t="shared" si="5"/>
        <v>0</v>
      </c>
      <c r="M22" s="607"/>
      <c r="N22" s="345">
        <f t="shared" si="1"/>
        <v>5.1347496434201556E-2</v>
      </c>
      <c r="O22" s="543">
        <f>G22+('LG MF Recycle'!$C$29*LEFT('Drop Box Price Out'!A22,2))</f>
        <v>183.76182112272284</v>
      </c>
      <c r="P22" s="2103">
        <v>140.95000000000002</v>
      </c>
    </row>
    <row r="23" spans="1:16">
      <c r="A23" s="223" t="s">
        <v>1028</v>
      </c>
      <c r="B23" s="1065"/>
      <c r="C23" s="620">
        <f t="shared" si="0"/>
        <v>0</v>
      </c>
      <c r="D23" s="1059">
        <v>0</v>
      </c>
      <c r="E23" s="278">
        <f t="shared" si="2"/>
        <v>0</v>
      </c>
      <c r="F23" s="199">
        <f t="shared" si="3"/>
        <v>0</v>
      </c>
      <c r="G23" s="2094">
        <f>MROUND(D23*(1+'Resi Price Out'!$G$5),0.05)</f>
        <v>0</v>
      </c>
      <c r="H23" s="273">
        <f t="shared" si="4"/>
        <v>0</v>
      </c>
      <c r="I23" s="273">
        <f t="shared" si="5"/>
        <v>0</v>
      </c>
      <c r="K23" s="523">
        <f>LEFT(A23,2)*'MF Recy Price Out'!$K$5</f>
        <v>43.711821122722839</v>
      </c>
      <c r="M23" s="607"/>
      <c r="N23" s="345" t="e">
        <f t="shared" si="1"/>
        <v>#DIV/0!</v>
      </c>
      <c r="O23" s="543">
        <f>G23+('LG MF Recycle'!$C$29*LEFT('Drop Box Price Out'!A23,2))</f>
        <v>43.711821122722839</v>
      </c>
      <c r="P23" s="2103">
        <v>0</v>
      </c>
    </row>
    <row r="24" spans="1:16">
      <c r="A24" s="223" t="s">
        <v>1029</v>
      </c>
      <c r="B24" s="1065"/>
      <c r="C24" s="620">
        <f t="shared" si="0"/>
        <v>0</v>
      </c>
      <c r="D24" s="1059">
        <v>0</v>
      </c>
      <c r="E24" s="278">
        <f t="shared" si="2"/>
        <v>0</v>
      </c>
      <c r="F24" s="199">
        <f t="shared" si="3"/>
        <v>0</v>
      </c>
      <c r="G24" s="2094">
        <f>MROUND(D24*(1+'Resi Price Out'!$G$5),0.05)</f>
        <v>0</v>
      </c>
      <c r="H24" s="273">
        <f t="shared" si="4"/>
        <v>0</v>
      </c>
      <c r="I24" s="273">
        <f t="shared" si="5"/>
        <v>0</v>
      </c>
      <c r="K24" s="523">
        <f>LEFT(A24,2)*'MF Recy Price Out'!$K$5</f>
        <v>43.711821122722839</v>
      </c>
      <c r="M24" s="607"/>
      <c r="N24" s="345" t="e">
        <f t="shared" si="1"/>
        <v>#DIV/0!</v>
      </c>
      <c r="O24" s="543">
        <f>G24+('LG MF Recycle'!$C$29*LEFT('Drop Box Price Out'!A24,2))</f>
        <v>43.711821122722839</v>
      </c>
      <c r="P24" s="2103">
        <v>0</v>
      </c>
    </row>
    <row r="25" spans="1:16">
      <c r="A25" s="281" t="s">
        <v>574</v>
      </c>
      <c r="B25" s="1065"/>
      <c r="C25" s="620">
        <f t="shared" si="0"/>
        <v>0</v>
      </c>
      <c r="D25" s="1059">
        <v>141.88</v>
      </c>
      <c r="E25" s="278">
        <f t="shared" si="2"/>
        <v>0</v>
      </c>
      <c r="F25" s="199">
        <f t="shared" si="3"/>
        <v>0</v>
      </c>
      <c r="G25" s="2094">
        <f>MROUND(D25*(1+'Resi Price Out'!$G$5),0.05)</f>
        <v>149.15</v>
      </c>
      <c r="H25" s="273">
        <f t="shared" si="4"/>
        <v>0</v>
      </c>
      <c r="I25" s="273">
        <f t="shared" si="5"/>
        <v>0</v>
      </c>
      <c r="M25" s="607"/>
      <c r="N25" s="345">
        <f t="shared" si="1"/>
        <v>5.1240484916831308E-2</v>
      </c>
      <c r="P25" s="2103">
        <v>150.1</v>
      </c>
    </row>
    <row r="26" spans="1:16">
      <c r="A26" s="281" t="s">
        <v>1056</v>
      </c>
      <c r="B26" s="1065"/>
      <c r="C26" s="620">
        <f t="shared" si="0"/>
        <v>0</v>
      </c>
      <c r="D26" s="1059">
        <v>223.59</v>
      </c>
      <c r="E26" s="278">
        <f t="shared" si="2"/>
        <v>0</v>
      </c>
      <c r="F26" s="199">
        <f t="shared" si="3"/>
        <v>0</v>
      </c>
      <c r="G26" s="2094">
        <f>MROUND(D26*(1+'Resi Price Out'!$G$5),0.05)</f>
        <v>235.05</v>
      </c>
      <c r="H26" s="273">
        <f t="shared" si="4"/>
        <v>0</v>
      </c>
      <c r="I26" s="273">
        <f t="shared" si="5"/>
        <v>0</v>
      </c>
      <c r="K26" s="523">
        <f>LEFT(A26,2)*$H$4*'MF Recy Price Out'!$K$5</f>
        <v>191.23921741191242</v>
      </c>
      <c r="L26" s="273">
        <f>K26*B26</f>
        <v>0</v>
      </c>
      <c r="M26" s="607">
        <f>IF(I26=0,0,H26/I26)</f>
        <v>0</v>
      </c>
      <c r="N26" s="345">
        <f t="shared" si="1"/>
        <v>5.1254528377834507E-2</v>
      </c>
      <c r="O26" s="523">
        <f>G26+K26</f>
        <v>426.28921741191243</v>
      </c>
      <c r="P26" s="2103">
        <v>236.55</v>
      </c>
    </row>
    <row r="27" spans="1:16">
      <c r="A27" s="223" t="s">
        <v>107</v>
      </c>
      <c r="B27" s="1065"/>
      <c r="C27" s="620">
        <f t="shared" si="0"/>
        <v>0</v>
      </c>
      <c r="D27" s="1059">
        <v>128.04</v>
      </c>
      <c r="E27" s="278">
        <f t="shared" si="2"/>
        <v>0</v>
      </c>
      <c r="F27" s="199">
        <f t="shared" si="3"/>
        <v>0</v>
      </c>
      <c r="G27" s="2094">
        <f>MROUND(D27*(1+'Resi Price Out'!$G$5),0.05)</f>
        <v>134.6</v>
      </c>
      <c r="H27" s="273">
        <f t="shared" si="4"/>
        <v>0</v>
      </c>
      <c r="I27" s="273">
        <f t="shared" si="5"/>
        <v>0</v>
      </c>
      <c r="M27" s="607"/>
      <c r="N27" s="345">
        <f t="shared" si="1"/>
        <v>5.1233989378319356E-2</v>
      </c>
      <c r="O27" s="543">
        <f>G27+('LG MF Recycle'!$C$29*LEFT('Drop Box Price Out'!A27,2))</f>
        <v>189.23977640340354</v>
      </c>
      <c r="P27" s="2103">
        <v>135.45000000000002</v>
      </c>
    </row>
    <row r="28" spans="1:16">
      <c r="A28" s="223" t="s">
        <v>649</v>
      </c>
      <c r="B28" s="1065">
        <f>SUM([17]PT!C5:E5)</f>
        <v>3</v>
      </c>
      <c r="C28" s="620">
        <f t="shared" si="0"/>
        <v>3</v>
      </c>
      <c r="D28" s="1059">
        <v>133.21</v>
      </c>
      <c r="E28" s="278">
        <f t="shared" si="2"/>
        <v>399.63</v>
      </c>
      <c r="F28" s="199">
        <f t="shared" si="3"/>
        <v>420.15000000000003</v>
      </c>
      <c r="G28" s="2094">
        <f>MROUND(D28*(1+'Resi Price Out'!$G$5),0.05)</f>
        <v>140.05000000000001</v>
      </c>
      <c r="H28" s="273">
        <f t="shared" si="4"/>
        <v>0</v>
      </c>
      <c r="I28" s="273">
        <f t="shared" si="5"/>
        <v>0</v>
      </c>
      <c r="M28" s="607"/>
      <c r="N28" s="345">
        <f t="shared" si="1"/>
        <v>5.1347496434201556E-2</v>
      </c>
      <c r="O28" s="543">
        <f>G28+('LG MF Recycle'!$C$29*LEFT('Drop Box Price Out'!A28,2))</f>
        <v>194.68977640340356</v>
      </c>
      <c r="P28" s="2103">
        <v>140.95000000000002</v>
      </c>
    </row>
    <row r="29" spans="1:16">
      <c r="A29" s="223" t="s">
        <v>638</v>
      </c>
      <c r="B29" s="1065"/>
      <c r="C29" s="620">
        <f t="shared" si="0"/>
        <v>0</v>
      </c>
      <c r="D29" s="1059">
        <v>163.97</v>
      </c>
      <c r="E29" s="278">
        <f t="shared" si="2"/>
        <v>0</v>
      </c>
      <c r="F29" s="199">
        <f t="shared" si="3"/>
        <v>0</v>
      </c>
      <c r="G29" s="2094">
        <f>MROUND(D29*(1+'Resi Price Out'!$G$5),0.05)</f>
        <v>172.4</v>
      </c>
      <c r="H29" s="273">
        <f t="shared" si="4"/>
        <v>0</v>
      </c>
      <c r="I29" s="273">
        <f t="shared" si="5"/>
        <v>0</v>
      </c>
      <c r="K29" s="523">
        <f>LEFT(A29,2)*'MF Recy Price Out'!$K$5</f>
        <v>54.639776403403545</v>
      </c>
      <c r="M29" s="607"/>
      <c r="N29" s="345">
        <f t="shared" si="1"/>
        <v>5.1411843629932452E-2</v>
      </c>
      <c r="O29" s="543">
        <f>G29+('LG MF Recycle'!$C$29*LEFT('Drop Box Price Out'!A29,2))</f>
        <v>227.03977640340355</v>
      </c>
      <c r="P29" s="2103">
        <v>173.5</v>
      </c>
    </row>
    <row r="30" spans="1:16">
      <c r="A30" s="223" t="s">
        <v>650</v>
      </c>
      <c r="B30" s="1065"/>
      <c r="C30" s="620">
        <f t="shared" si="0"/>
        <v>0</v>
      </c>
      <c r="D30" s="1059">
        <v>169.12</v>
      </c>
      <c r="E30" s="278">
        <f t="shared" si="2"/>
        <v>0</v>
      </c>
      <c r="F30" s="199">
        <f t="shared" si="3"/>
        <v>0</v>
      </c>
      <c r="G30" s="2094">
        <f>MROUND(D30*(1+'Resi Price Out'!$G$5),0.05)</f>
        <v>177.8</v>
      </c>
      <c r="H30" s="273">
        <f t="shared" si="4"/>
        <v>0</v>
      </c>
      <c r="I30" s="273">
        <f t="shared" si="5"/>
        <v>0</v>
      </c>
      <c r="K30" s="523">
        <f>LEFT(A30,2)*'MF Recy Price Out'!$K$5</f>
        <v>54.639776403403545</v>
      </c>
      <c r="M30" s="607"/>
      <c r="N30" s="345">
        <f t="shared" si="1"/>
        <v>5.1324503311258374E-2</v>
      </c>
      <c r="O30" s="543">
        <f>G30+('LG MF Recycle'!$C$29*LEFT('Drop Box Price Out'!A30,2))</f>
        <v>232.43977640340356</v>
      </c>
      <c r="P30" s="2103">
        <v>178.95000000000002</v>
      </c>
    </row>
    <row r="31" spans="1:16">
      <c r="A31" s="281" t="s">
        <v>1030</v>
      </c>
      <c r="B31" s="1065"/>
      <c r="C31" s="620">
        <f t="shared" si="0"/>
        <v>0</v>
      </c>
      <c r="D31" s="1059">
        <v>141.88</v>
      </c>
      <c r="E31" s="278">
        <f t="shared" si="2"/>
        <v>0</v>
      </c>
      <c r="F31" s="199">
        <f t="shared" si="3"/>
        <v>0</v>
      </c>
      <c r="G31" s="2094">
        <f>MROUND(D31*(1+'Resi Price Out'!$G$5),0.05)</f>
        <v>149.15</v>
      </c>
      <c r="H31" s="273">
        <f t="shared" si="4"/>
        <v>0</v>
      </c>
      <c r="I31" s="273">
        <f t="shared" si="5"/>
        <v>0</v>
      </c>
      <c r="M31" s="607"/>
      <c r="N31" s="345">
        <f t="shared" si="1"/>
        <v>5.1240484916831308E-2</v>
      </c>
      <c r="P31" s="2103">
        <v>150.1</v>
      </c>
    </row>
    <row r="32" spans="1:16">
      <c r="A32" s="281" t="s">
        <v>1057</v>
      </c>
      <c r="B32" s="1065"/>
      <c r="C32" s="620">
        <f t="shared" si="0"/>
        <v>0</v>
      </c>
      <c r="D32" s="1059">
        <v>0</v>
      </c>
      <c r="E32" s="278">
        <f t="shared" si="2"/>
        <v>0</v>
      </c>
      <c r="F32" s="199">
        <f t="shared" si="3"/>
        <v>0</v>
      </c>
      <c r="G32" s="2094">
        <f>MROUND(D32*(1+'Resi Price Out'!$G$5),0.05)</f>
        <v>0</v>
      </c>
      <c r="H32" s="273">
        <f t="shared" si="4"/>
        <v>0</v>
      </c>
      <c r="I32" s="273">
        <f t="shared" si="5"/>
        <v>0</v>
      </c>
      <c r="K32" s="523">
        <f>LEFT(A32,2)*$H$4*'MF Recy Price Out'!$K$5</f>
        <v>229.4870608942949</v>
      </c>
      <c r="L32" s="273">
        <f>K32*B32</f>
        <v>0</v>
      </c>
      <c r="M32" s="607">
        <f>IF(I32=0,0,H32/I32)</f>
        <v>0</v>
      </c>
      <c r="N32" s="345" t="e">
        <f t="shared" si="1"/>
        <v>#DIV/0!</v>
      </c>
      <c r="O32" s="523">
        <f>G32+K32</f>
        <v>229.4870608942949</v>
      </c>
      <c r="P32" s="2103">
        <v>0</v>
      </c>
    </row>
    <row r="33" spans="1:16">
      <c r="A33" s="223" t="s">
        <v>1031</v>
      </c>
      <c r="B33" s="1065"/>
      <c r="C33" s="620">
        <f t="shared" si="0"/>
        <v>0</v>
      </c>
      <c r="D33" s="1059">
        <v>128.04</v>
      </c>
      <c r="E33" s="278">
        <f t="shared" si="2"/>
        <v>0</v>
      </c>
      <c r="F33" s="199">
        <f t="shared" si="3"/>
        <v>0</v>
      </c>
      <c r="G33" s="2094">
        <f>MROUND(D33*(1+'Resi Price Out'!$G$5),0.05)</f>
        <v>134.6</v>
      </c>
      <c r="H33" s="273">
        <f t="shared" si="4"/>
        <v>0</v>
      </c>
      <c r="I33" s="273">
        <f t="shared" si="5"/>
        <v>0</v>
      </c>
      <c r="M33" s="607"/>
      <c r="N33" s="345">
        <f t="shared" si="1"/>
        <v>5.1233989378319356E-2</v>
      </c>
      <c r="O33" s="543">
        <f>G33+('LG MF Recycle'!$C$29*LEFT('Drop Box Price Out'!A33,2))</f>
        <v>200.16773168408423</v>
      </c>
      <c r="P33" s="2103">
        <v>135.45000000000002</v>
      </c>
    </row>
    <row r="34" spans="1:16">
      <c r="A34" s="223" t="s">
        <v>1032</v>
      </c>
      <c r="B34" s="1065"/>
      <c r="C34" s="620">
        <f t="shared" si="0"/>
        <v>0</v>
      </c>
      <c r="D34" s="1059">
        <v>133.21</v>
      </c>
      <c r="E34" s="278">
        <f t="shared" si="2"/>
        <v>0</v>
      </c>
      <c r="F34" s="199">
        <f t="shared" si="3"/>
        <v>0</v>
      </c>
      <c r="G34" s="2094">
        <f>MROUND(D34*(1+'Resi Price Out'!$G$5),0.05)</f>
        <v>140.05000000000001</v>
      </c>
      <c r="H34" s="273">
        <f t="shared" si="4"/>
        <v>0</v>
      </c>
      <c r="I34" s="273">
        <f t="shared" si="5"/>
        <v>0</v>
      </c>
      <c r="M34" s="607"/>
      <c r="N34" s="345">
        <f t="shared" si="1"/>
        <v>5.1347496434201556E-2</v>
      </c>
      <c r="O34" s="543">
        <f>G34+('LG MF Recycle'!$C$29*LEFT('Drop Box Price Out'!A34,2))</f>
        <v>205.61773168408428</v>
      </c>
      <c r="P34" s="2103">
        <v>140.95000000000002</v>
      </c>
    </row>
    <row r="35" spans="1:16">
      <c r="A35" s="223" t="s">
        <v>1033</v>
      </c>
      <c r="B35" s="1065"/>
      <c r="C35" s="620">
        <f t="shared" si="0"/>
        <v>0</v>
      </c>
      <c r="D35" s="1059">
        <v>0</v>
      </c>
      <c r="E35" s="278">
        <f t="shared" si="2"/>
        <v>0</v>
      </c>
      <c r="F35" s="199">
        <f t="shared" si="3"/>
        <v>0</v>
      </c>
      <c r="G35" s="2094">
        <f>MROUND(D35*(1+'Resi Price Out'!$G$5),0.05)</f>
        <v>0</v>
      </c>
      <c r="H35" s="273">
        <f t="shared" si="4"/>
        <v>0</v>
      </c>
      <c r="I35" s="273">
        <f t="shared" si="5"/>
        <v>0</v>
      </c>
      <c r="K35" s="523">
        <f>LEFT(A35,2)*'MF Recy Price Out'!$K$5</f>
        <v>65.567731684084251</v>
      </c>
      <c r="M35" s="607"/>
      <c r="N35" s="345" t="e">
        <f t="shared" si="1"/>
        <v>#DIV/0!</v>
      </c>
      <c r="O35" s="543">
        <f>G35+('LG MF Recycle'!$C$29*LEFT('Drop Box Price Out'!A35,2))</f>
        <v>65.567731684084251</v>
      </c>
      <c r="P35" s="2103">
        <v>0</v>
      </c>
    </row>
    <row r="36" spans="1:16">
      <c r="A36" s="223" t="s">
        <v>1034</v>
      </c>
      <c r="B36" s="1065"/>
      <c r="C36" s="620">
        <f t="shared" si="0"/>
        <v>0</v>
      </c>
      <c r="D36" s="1059">
        <v>0</v>
      </c>
      <c r="E36" s="278">
        <f t="shared" si="2"/>
        <v>0</v>
      </c>
      <c r="F36" s="199">
        <f t="shared" si="3"/>
        <v>0</v>
      </c>
      <c r="G36" s="2094">
        <f>MROUND(D36*(1+'Resi Price Out'!$G$5),0.05)</f>
        <v>0</v>
      </c>
      <c r="H36" s="273">
        <f t="shared" si="4"/>
        <v>0</v>
      </c>
      <c r="I36" s="273">
        <f t="shared" si="5"/>
        <v>0</v>
      </c>
      <c r="K36" s="523">
        <f>LEFT(A36,2)*'MF Recy Price Out'!$K$5</f>
        <v>65.567731684084251</v>
      </c>
      <c r="M36" s="607"/>
      <c r="N36" s="345" t="e">
        <f t="shared" si="1"/>
        <v>#DIV/0!</v>
      </c>
      <c r="O36" s="543">
        <f>G36+('LG MF Recycle'!$C$29*LEFT('Drop Box Price Out'!A36,2))</f>
        <v>65.567731684084251</v>
      </c>
      <c r="P36" s="2103">
        <v>0</v>
      </c>
    </row>
    <row r="37" spans="1:16">
      <c r="A37" s="281" t="s">
        <v>285</v>
      </c>
      <c r="B37" s="1065">
        <f>SUM([18]PT!$B$7:$E$7)</f>
        <v>67</v>
      </c>
      <c r="C37" s="620">
        <f t="shared" si="0"/>
        <v>67</v>
      </c>
      <c r="D37" s="1059">
        <v>141.88</v>
      </c>
      <c r="E37" s="278">
        <f t="shared" si="2"/>
        <v>9505.9599999999991</v>
      </c>
      <c r="F37" s="199">
        <f t="shared" si="3"/>
        <v>9993.0500000000011</v>
      </c>
      <c r="G37" s="2094">
        <f>MROUND(D37*(1+'Resi Price Out'!$G$5),0.05)</f>
        <v>149.15</v>
      </c>
      <c r="H37" s="273">
        <f t="shared" si="4"/>
        <v>0</v>
      </c>
      <c r="I37" s="273">
        <f t="shared" si="5"/>
        <v>0</v>
      </c>
      <c r="M37" s="607"/>
      <c r="N37" s="345">
        <f t="shared" si="1"/>
        <v>5.1240484916831308E-2</v>
      </c>
      <c r="P37" s="2103">
        <v>150.1</v>
      </c>
    </row>
    <row r="38" spans="1:16">
      <c r="A38" s="281" t="s">
        <v>1058</v>
      </c>
      <c r="B38" s="1065">
        <f>SUM([18]PT!$B$16:$E$16)</f>
        <v>78</v>
      </c>
      <c r="C38" s="620">
        <f t="shared" si="0"/>
        <v>78</v>
      </c>
      <c r="D38" s="1059">
        <v>252.34</v>
      </c>
      <c r="E38" s="278">
        <f t="shared" si="2"/>
        <v>19682.52</v>
      </c>
      <c r="F38" s="199">
        <f t="shared" si="3"/>
        <v>20693.400000000001</v>
      </c>
      <c r="G38" s="2094">
        <f>MROUND(D38*(1+'Resi Price Out'!$G$5),0.05)</f>
        <v>265.3</v>
      </c>
      <c r="H38" s="273">
        <f t="shared" si="4"/>
        <v>19682.52</v>
      </c>
      <c r="I38" s="273">
        <f>IF(RIGHT(A38,2)="MF",C38*LEFT(A38,2)*3.5,0)</f>
        <v>5460</v>
      </c>
      <c r="K38" s="523">
        <f>LEFT(A38,2)*$H$4*'MF Recy Price Out'!$K$5</f>
        <v>254.98562321588321</v>
      </c>
      <c r="L38" s="273">
        <f>K38*B38</f>
        <v>19888.878610838889</v>
      </c>
      <c r="M38" s="607">
        <f>IF(I38=0,0,H38/I38)</f>
        <v>3.604857142857143</v>
      </c>
      <c r="N38" s="345">
        <f t="shared" si="1"/>
        <v>5.1359277165728745E-2</v>
      </c>
      <c r="O38" s="523">
        <f>G38+K38</f>
        <v>520.28562321588322</v>
      </c>
      <c r="P38" s="2103">
        <v>267</v>
      </c>
    </row>
    <row r="39" spans="1:16">
      <c r="A39" s="223" t="s">
        <v>108</v>
      </c>
      <c r="B39" s="1065"/>
      <c r="C39" s="620">
        <f t="shared" si="0"/>
        <v>0</v>
      </c>
      <c r="D39" s="1059">
        <v>128.04</v>
      </c>
      <c r="E39" s="278">
        <f t="shared" si="2"/>
        <v>0</v>
      </c>
      <c r="F39" s="199">
        <f t="shared" si="3"/>
        <v>0</v>
      </c>
      <c r="G39" s="2094">
        <f>MROUND(D39*(1+'Resi Price Out'!$G$5),0.05)</f>
        <v>134.6</v>
      </c>
      <c r="H39" s="273">
        <f t="shared" si="4"/>
        <v>0</v>
      </c>
      <c r="I39" s="273">
        <f t="shared" si="5"/>
        <v>0</v>
      </c>
      <c r="M39" s="607"/>
      <c r="N39" s="345">
        <f t="shared" si="1"/>
        <v>5.1233989378319356E-2</v>
      </c>
      <c r="O39" s="543">
        <f>G39+('LG MF Recycle'!$C$29*LEFT('Drop Box Price Out'!A39,2))</f>
        <v>207.45303520453805</v>
      </c>
      <c r="P39" s="2103">
        <v>135.45000000000002</v>
      </c>
    </row>
    <row r="40" spans="1:16">
      <c r="A40" s="223" t="s">
        <v>284</v>
      </c>
      <c r="B40" s="1065">
        <f>SUM([17]PT!C6:E6)</f>
        <v>11</v>
      </c>
      <c r="C40" s="620">
        <f t="shared" si="0"/>
        <v>11</v>
      </c>
      <c r="D40" s="1059">
        <v>133.21</v>
      </c>
      <c r="E40" s="278">
        <f>D40*B40</f>
        <v>1465.3100000000002</v>
      </c>
      <c r="F40" s="199">
        <f t="shared" si="3"/>
        <v>1540.5500000000002</v>
      </c>
      <c r="G40" s="2094">
        <f>MROUND(D40*(1+'Resi Price Out'!$G$5),0.05)</f>
        <v>140.05000000000001</v>
      </c>
      <c r="H40" s="273">
        <f t="shared" si="4"/>
        <v>0</v>
      </c>
      <c r="I40" s="273">
        <f t="shared" si="5"/>
        <v>0</v>
      </c>
      <c r="M40" s="607"/>
      <c r="N40" s="345">
        <f t="shared" si="1"/>
        <v>5.1347496434201556E-2</v>
      </c>
      <c r="O40" s="543">
        <f>G40+('LG MF Recycle'!$C$29*LEFT('Drop Box Price Out'!A40,2))</f>
        <v>212.90303520453807</v>
      </c>
      <c r="P40" s="2103">
        <v>140.95000000000002</v>
      </c>
    </row>
    <row r="41" spans="1:16">
      <c r="A41" s="223" t="s">
        <v>639</v>
      </c>
      <c r="B41" s="1065"/>
      <c r="C41" s="620">
        <f t="shared" si="0"/>
        <v>0</v>
      </c>
      <c r="D41" s="1059">
        <v>175.9</v>
      </c>
      <c r="E41" s="278">
        <f t="shared" si="2"/>
        <v>0</v>
      </c>
      <c r="F41" s="199">
        <f t="shared" si="3"/>
        <v>0</v>
      </c>
      <c r="G41" s="2094">
        <f>MROUND(D41*(1+'Resi Price Out'!$G$5),0.05)</f>
        <v>184.95000000000002</v>
      </c>
      <c r="H41" s="273">
        <f t="shared" si="4"/>
        <v>0</v>
      </c>
      <c r="I41" s="273">
        <f t="shared" si="5"/>
        <v>0</v>
      </c>
      <c r="K41" s="523">
        <f>LEFT(A41,2)*'MF Recy Price Out'!$K$5</f>
        <v>72.85303520453806</v>
      </c>
      <c r="M41" s="607"/>
      <c r="N41" s="345">
        <f t="shared" si="1"/>
        <v>5.144968732234223E-2</v>
      </c>
      <c r="O41" s="543">
        <f>G41+('LG MF Recycle'!$C$29*LEFT('Drop Box Price Out'!A41,2))</f>
        <v>257.80303520453811</v>
      </c>
      <c r="P41" s="2103">
        <v>186.10000000000002</v>
      </c>
    </row>
    <row r="42" spans="1:16">
      <c r="A42" s="223" t="s">
        <v>640</v>
      </c>
      <c r="B42" s="1065"/>
      <c r="C42" s="620">
        <f t="shared" si="0"/>
        <v>0</v>
      </c>
      <c r="D42" s="1059">
        <v>181.05</v>
      </c>
      <c r="E42" s="278">
        <f t="shared" si="2"/>
        <v>0</v>
      </c>
      <c r="F42" s="199">
        <f t="shared" si="3"/>
        <v>0</v>
      </c>
      <c r="G42" s="2094">
        <f>MROUND(D42*(1+'Resi Price Out'!$G$5),0.05)</f>
        <v>190.35000000000002</v>
      </c>
      <c r="H42" s="273">
        <f t="shared" si="4"/>
        <v>0</v>
      </c>
      <c r="I42" s="273">
        <f t="shared" si="5"/>
        <v>0</v>
      </c>
      <c r="K42" s="523">
        <f>LEFT(A42,2)*'MF Recy Price Out'!$K$5</f>
        <v>72.85303520453806</v>
      </c>
      <c r="M42" s="607"/>
      <c r="N42" s="345">
        <f t="shared" si="1"/>
        <v>5.1367025683512813E-2</v>
      </c>
      <c r="O42" s="543">
        <f>G42+('LG MF Recycle'!$C$29*LEFT('Drop Box Price Out'!A42,2))</f>
        <v>263.20303520453808</v>
      </c>
      <c r="P42" s="2103">
        <v>191.55</v>
      </c>
    </row>
    <row r="43" spans="1:16">
      <c r="A43" s="281" t="s">
        <v>287</v>
      </c>
      <c r="B43" s="1065">
        <f>SUM([18]PT!$B$8:$E$8)</f>
        <v>4</v>
      </c>
      <c r="C43" s="620">
        <f>+B43*1</f>
        <v>4</v>
      </c>
      <c r="D43" s="1059">
        <v>141.88</v>
      </c>
      <c r="E43" s="278">
        <f t="shared" si="2"/>
        <v>567.52</v>
      </c>
      <c r="F43" s="199">
        <f t="shared" si="3"/>
        <v>596.6</v>
      </c>
      <c r="G43" s="2094">
        <f>MROUND(D43*(1+'Resi Price Out'!$G$5),0.05)</f>
        <v>149.15</v>
      </c>
      <c r="H43" s="273">
        <f t="shared" si="4"/>
        <v>0</v>
      </c>
      <c r="I43" s="273">
        <f t="shared" si="5"/>
        <v>0</v>
      </c>
      <c r="M43" s="607"/>
      <c r="N43" s="345">
        <f t="shared" si="1"/>
        <v>5.1240484916831308E-2</v>
      </c>
      <c r="P43" s="2103">
        <v>150.1</v>
      </c>
    </row>
    <row r="44" spans="1:16">
      <c r="A44" s="281" t="s">
        <v>1059</v>
      </c>
      <c r="B44" s="1065"/>
      <c r="C44" s="620">
        <f>+B44*1</f>
        <v>0</v>
      </c>
      <c r="D44" s="1059">
        <v>281.08999999999997</v>
      </c>
      <c r="E44" s="278">
        <f t="shared" si="2"/>
        <v>0</v>
      </c>
      <c r="F44" s="199">
        <f t="shared" si="3"/>
        <v>0</v>
      </c>
      <c r="G44" s="2094">
        <f>MROUND(D44*(1+'Resi Price Out'!$G$5),0.05)</f>
        <v>295.5</v>
      </c>
      <c r="H44" s="273">
        <f t="shared" si="4"/>
        <v>0</v>
      </c>
      <c r="I44" s="273">
        <f>IF(RIGHT(A44,2)="MF",C44*LEFT(A44,2)*3.5,0)</f>
        <v>0</v>
      </c>
      <c r="K44" s="523">
        <f>LEFT(A44,2)*$H$4*'MF Recy Price Out'!$K$5</f>
        <v>318.732029019854</v>
      </c>
      <c r="L44" s="273">
        <f>K44*B44</f>
        <v>0</v>
      </c>
      <c r="M44" s="607">
        <f>IF(I44=0,0,H44/I44)</f>
        <v>0</v>
      </c>
      <c r="N44" s="345">
        <f t="shared" si="1"/>
        <v>5.1264719484862553E-2</v>
      </c>
      <c r="O44" s="523">
        <f>G44+K44</f>
        <v>614.23202901985405</v>
      </c>
      <c r="P44" s="2103">
        <v>297.40000000000003</v>
      </c>
    </row>
    <row r="45" spans="1:16">
      <c r="A45" s="223" t="s">
        <v>109</v>
      </c>
      <c r="B45" s="1065">
        <f>SUM([18]PT!$B$11:$E$11)</f>
        <v>7</v>
      </c>
      <c r="C45" s="620">
        <f t="shared" si="0"/>
        <v>7</v>
      </c>
      <c r="D45" s="1059">
        <v>128.04</v>
      </c>
      <c r="E45" s="278">
        <f t="shared" si="2"/>
        <v>896.28</v>
      </c>
      <c r="F45" s="199">
        <f t="shared" si="3"/>
        <v>942.19999999999993</v>
      </c>
      <c r="G45" s="2094">
        <f>MROUND(D45*(1+'Resi Price Out'!$G$5),0.05)</f>
        <v>134.6</v>
      </c>
      <c r="H45" s="273">
        <f t="shared" si="4"/>
        <v>0</v>
      </c>
      <c r="I45" s="273">
        <f t="shared" si="5"/>
        <v>0</v>
      </c>
      <c r="K45" s="524"/>
      <c r="M45" s="607"/>
      <c r="N45" s="345">
        <f t="shared" si="1"/>
        <v>5.1233989378319356E-2</v>
      </c>
      <c r="O45" s="543">
        <f>G45+('LG MF Recycle'!$C$29*LEFT('Drop Box Price Out'!A45,2))</f>
        <v>225.66629400567257</v>
      </c>
      <c r="P45" s="2103">
        <v>135.45000000000002</v>
      </c>
    </row>
    <row r="46" spans="1:16">
      <c r="A46" s="223" t="s">
        <v>286</v>
      </c>
      <c r="B46" s="1065">
        <f>SUM([17]PT!C7:E7)</f>
        <v>5</v>
      </c>
      <c r="C46" s="620">
        <f t="shared" si="0"/>
        <v>5</v>
      </c>
      <c r="D46" s="1059">
        <v>133.21</v>
      </c>
      <c r="E46" s="278">
        <f t="shared" si="2"/>
        <v>666.05000000000007</v>
      </c>
      <c r="F46" s="199">
        <f t="shared" si="3"/>
        <v>700.25</v>
      </c>
      <c r="G46" s="2094">
        <f>MROUND(D46*(1+'Resi Price Out'!$G$5),0.05)</f>
        <v>140.05000000000001</v>
      </c>
      <c r="H46" s="273">
        <f t="shared" si="4"/>
        <v>0</v>
      </c>
      <c r="I46" s="273">
        <f t="shared" si="5"/>
        <v>0</v>
      </c>
      <c r="M46" s="607"/>
      <c r="N46" s="345">
        <f t="shared" si="1"/>
        <v>5.1347496434201556E-2</v>
      </c>
      <c r="O46" s="543">
        <f>G46+('LG MF Recycle'!$C$29*LEFT('Drop Box Price Out'!A46,2))</f>
        <v>231.11629400567259</v>
      </c>
      <c r="P46" s="2103">
        <v>140.95000000000002</v>
      </c>
    </row>
    <row r="47" spans="1:16">
      <c r="A47" s="223" t="s">
        <v>641</v>
      </c>
      <c r="B47" s="1065"/>
      <c r="C47" s="620">
        <f t="shared" si="0"/>
        <v>0</v>
      </c>
      <c r="D47" s="1059">
        <v>187.82</v>
      </c>
      <c r="E47" s="278">
        <f t="shared" si="2"/>
        <v>0</v>
      </c>
      <c r="F47" s="199">
        <f t="shared" si="3"/>
        <v>0</v>
      </c>
      <c r="G47" s="2094">
        <f>MROUND(D47*(1+'Resi Price Out'!$G$5),0.05)</f>
        <v>197.45000000000002</v>
      </c>
      <c r="H47" s="273">
        <f t="shared" si="4"/>
        <v>0</v>
      </c>
      <c r="I47" s="273">
        <f t="shared" si="5"/>
        <v>0</v>
      </c>
      <c r="K47" s="523">
        <f>LEFT(A47,2)*'MF Recy Price Out'!$K$5</f>
        <v>91.066294005672574</v>
      </c>
      <c r="M47" s="607"/>
      <c r="N47" s="345">
        <f t="shared" si="1"/>
        <v>5.127249494196584E-2</v>
      </c>
      <c r="O47" s="543">
        <f>G47+('LG MF Recycle'!$C$29*LEFT('Drop Box Price Out'!A47,2))</f>
        <v>288.51629400567259</v>
      </c>
      <c r="P47" s="2103">
        <v>198.70000000000002</v>
      </c>
    </row>
    <row r="48" spans="1:16">
      <c r="A48" s="223" t="s">
        <v>642</v>
      </c>
      <c r="B48" s="1065"/>
      <c r="C48" s="620">
        <f t="shared" si="0"/>
        <v>0</v>
      </c>
      <c r="D48" s="1059">
        <v>192.97</v>
      </c>
      <c r="E48" s="278">
        <f t="shared" si="2"/>
        <v>0</v>
      </c>
      <c r="F48" s="199">
        <f t="shared" si="3"/>
        <v>0</v>
      </c>
      <c r="G48" s="2094">
        <f>MROUND(D48*(1+'Resi Price Out'!$G$5),0.05)</f>
        <v>202.85000000000002</v>
      </c>
      <c r="H48" s="273">
        <f t="shared" si="4"/>
        <v>0</v>
      </c>
      <c r="I48" s="273">
        <f t="shared" si="5"/>
        <v>0</v>
      </c>
      <c r="K48" s="523">
        <f>LEFT(A48,2)*'MF Recy Price Out'!$K$5</f>
        <v>91.066294005672574</v>
      </c>
      <c r="M48" s="607"/>
      <c r="N48" s="345">
        <f t="shared" si="1"/>
        <v>5.1199668342229554E-2</v>
      </c>
      <c r="O48" s="543">
        <f>G48+('LG MF Recycle'!$C$29*LEFT('Drop Box Price Out'!A48,2))</f>
        <v>293.91629400567263</v>
      </c>
      <c r="P48" s="2103">
        <v>204.15</v>
      </c>
    </row>
    <row r="49" spans="1:16">
      <c r="A49" s="281" t="s">
        <v>289</v>
      </c>
      <c r="B49" s="1065">
        <f>SUM([18]PT!$B$9:$E$9)</f>
        <v>16</v>
      </c>
      <c r="C49" s="620">
        <f>+B49*1</f>
        <v>16</v>
      </c>
      <c r="D49" s="1059">
        <v>141.88</v>
      </c>
      <c r="E49" s="278">
        <f t="shared" si="2"/>
        <v>2270.08</v>
      </c>
      <c r="F49" s="199">
        <f t="shared" si="3"/>
        <v>2386.4</v>
      </c>
      <c r="G49" s="2094">
        <f>MROUND(D49*(1+'Resi Price Out'!$G$5),0.05)</f>
        <v>149.15</v>
      </c>
      <c r="H49" s="273">
        <f t="shared" si="4"/>
        <v>0</v>
      </c>
      <c r="I49" s="273">
        <f t="shared" si="5"/>
        <v>0</v>
      </c>
      <c r="M49" s="607"/>
      <c r="N49" s="345">
        <f t="shared" si="1"/>
        <v>5.1240484916831308E-2</v>
      </c>
      <c r="P49" s="2103">
        <v>150.1</v>
      </c>
    </row>
    <row r="50" spans="1:16">
      <c r="A50" s="281" t="s">
        <v>1060</v>
      </c>
      <c r="B50" s="1065">
        <f>SUM([18]PT!$B$17:$E$17)</f>
        <v>104</v>
      </c>
      <c r="C50" s="620">
        <f>+B50*1</f>
        <v>104</v>
      </c>
      <c r="D50" s="1059">
        <v>309.83999999999997</v>
      </c>
      <c r="E50" s="278">
        <f t="shared" si="2"/>
        <v>32223.359999999997</v>
      </c>
      <c r="F50" s="199">
        <f t="shared" si="3"/>
        <v>33878</v>
      </c>
      <c r="G50" s="2094">
        <f>MROUND(D50*(1+'Resi Price Out'!$G$5),0.05)</f>
        <v>325.75</v>
      </c>
      <c r="H50" s="273">
        <f>IF(RIGHT(A50,2)="MF",B50*(D50),0)</f>
        <v>32223.359999999997</v>
      </c>
      <c r="I50" s="273">
        <f t="shared" si="5"/>
        <v>10920</v>
      </c>
      <c r="K50" s="523">
        <f>LEFT(A50,2)*$H$4*'MF Recy Price Out'!$K$5</f>
        <v>382.47843482382484</v>
      </c>
      <c r="L50" s="273">
        <f>K50*B50</f>
        <v>39777.757221677784</v>
      </c>
      <c r="M50" s="607">
        <f>IF(I50=0,0,H50/I50)</f>
        <v>2.9508571428571426</v>
      </c>
      <c r="N50" s="345">
        <f t="shared" si="1"/>
        <v>5.1349083397882911E-2</v>
      </c>
      <c r="O50" s="523">
        <f>G50+K50</f>
        <v>708.22843482382484</v>
      </c>
      <c r="P50" s="2103">
        <v>327.8</v>
      </c>
    </row>
    <row r="51" spans="1:16">
      <c r="A51" s="223" t="s">
        <v>110</v>
      </c>
      <c r="B51" s="1065">
        <f>SUM([18]PT!$B$12:$E$12)</f>
        <v>35</v>
      </c>
      <c r="C51" s="620">
        <f t="shared" si="0"/>
        <v>35</v>
      </c>
      <c r="D51" s="1059">
        <v>128.04</v>
      </c>
      <c r="E51" s="278">
        <f t="shared" si="2"/>
        <v>4481.3999999999996</v>
      </c>
      <c r="F51" s="199">
        <f t="shared" si="3"/>
        <v>4711</v>
      </c>
      <c r="G51" s="2094">
        <f>MROUND(D51*(1+'Resi Price Out'!$G$5),0.05)</f>
        <v>134.6</v>
      </c>
      <c r="H51" s="273">
        <f t="shared" si="4"/>
        <v>0</v>
      </c>
      <c r="I51" s="273">
        <f t="shared" si="5"/>
        <v>0</v>
      </c>
      <c r="M51" s="607"/>
      <c r="N51" s="345">
        <f t="shared" si="1"/>
        <v>5.1233989378319356E-2</v>
      </c>
      <c r="O51" s="543">
        <f>G51+('LG MF Recycle'!$C$29*LEFT('Drop Box Price Out'!A51,2))</f>
        <v>243.87955280680708</v>
      </c>
      <c r="P51" s="2103">
        <v>135.45000000000002</v>
      </c>
    </row>
    <row r="52" spans="1:16">
      <c r="A52" s="223" t="s">
        <v>288</v>
      </c>
      <c r="B52" s="1065">
        <f>SUM([17]PT!C8:E8)</f>
        <v>13</v>
      </c>
      <c r="C52" s="620">
        <f t="shared" si="0"/>
        <v>13</v>
      </c>
      <c r="D52" s="1059">
        <v>133.21</v>
      </c>
      <c r="E52" s="278">
        <f t="shared" si="2"/>
        <v>1731.73</v>
      </c>
      <c r="F52" s="199">
        <f t="shared" si="3"/>
        <v>1820.65</v>
      </c>
      <c r="G52" s="2094">
        <f>MROUND(D52*(1+'Resi Price Out'!$G$5),0.05)</f>
        <v>140.05000000000001</v>
      </c>
      <c r="H52" s="273">
        <f t="shared" si="4"/>
        <v>0</v>
      </c>
      <c r="I52" s="273">
        <f t="shared" si="5"/>
        <v>0</v>
      </c>
      <c r="M52" s="607"/>
      <c r="N52" s="345">
        <f t="shared" si="1"/>
        <v>5.1347496434201556E-2</v>
      </c>
      <c r="O52" s="543">
        <f>G52+('LG MF Recycle'!$C$29*LEFT('Drop Box Price Out'!A52,2))</f>
        <v>249.3295528068071</v>
      </c>
      <c r="P52" s="2103">
        <v>140.95000000000002</v>
      </c>
    </row>
    <row r="53" spans="1:16">
      <c r="A53" s="223" t="s">
        <v>643</v>
      </c>
      <c r="B53" s="1065"/>
      <c r="C53" s="620">
        <f t="shared" si="0"/>
        <v>0</v>
      </c>
      <c r="D53" s="1059">
        <v>199.75</v>
      </c>
      <c r="E53" s="278">
        <f t="shared" si="2"/>
        <v>0</v>
      </c>
      <c r="F53" s="199">
        <f t="shared" si="3"/>
        <v>0</v>
      </c>
      <c r="G53" s="2094">
        <f>MROUND(D53*(1+'Resi Price Out'!$G$5),0.05)</f>
        <v>210</v>
      </c>
      <c r="H53" s="273">
        <f t="shared" si="4"/>
        <v>0</v>
      </c>
      <c r="I53" s="273">
        <f t="shared" si="5"/>
        <v>0</v>
      </c>
      <c r="K53" s="523">
        <f>LEFT(A53,2)*'MF Recy Price Out'!$K$5</f>
        <v>109.27955280680709</v>
      </c>
      <c r="M53" s="607"/>
      <c r="N53" s="345">
        <f t="shared" si="1"/>
        <v>5.1314142678347885E-2</v>
      </c>
      <c r="O53" s="543">
        <f>G53+('LG MF Recycle'!$C$29*LEFT('Drop Box Price Out'!A53,2))</f>
        <v>319.27955280680709</v>
      </c>
      <c r="P53" s="2103">
        <v>211.35000000000002</v>
      </c>
    </row>
    <row r="54" spans="1:16">
      <c r="A54" s="223" t="s">
        <v>644</v>
      </c>
      <c r="B54" s="1065"/>
      <c r="C54" s="620">
        <f t="shared" si="0"/>
        <v>0</v>
      </c>
      <c r="D54" s="1059">
        <v>204.9</v>
      </c>
      <c r="E54" s="278">
        <f t="shared" si="2"/>
        <v>0</v>
      </c>
      <c r="F54" s="199">
        <f t="shared" si="3"/>
        <v>0</v>
      </c>
      <c r="G54" s="2094">
        <f>MROUND(D54*(1+'Resi Price Out'!$G$5),0.05)</f>
        <v>215.4</v>
      </c>
      <c r="H54" s="273">
        <f t="shared" si="4"/>
        <v>0</v>
      </c>
      <c r="I54" s="273">
        <f t="shared" si="5"/>
        <v>0</v>
      </c>
      <c r="K54" s="523">
        <f>LEFT(A54,2)*'MF Recy Price Out'!$K$5</f>
        <v>109.27955280680709</v>
      </c>
      <c r="M54" s="607"/>
      <c r="N54" s="345">
        <f t="shared" si="1"/>
        <v>5.1244509516837455E-2</v>
      </c>
      <c r="O54" s="543">
        <f>G54+('LG MF Recycle'!$C$29*LEFT('Drop Box Price Out'!A54,2))</f>
        <v>324.67955280680712</v>
      </c>
      <c r="P54" s="2103">
        <v>216.8</v>
      </c>
    </row>
    <row r="55" spans="1:16">
      <c r="A55" s="281" t="s">
        <v>571</v>
      </c>
      <c r="B55" s="1065"/>
      <c r="C55" s="620">
        <f t="shared" si="0"/>
        <v>0</v>
      </c>
      <c r="D55" s="1059">
        <v>141.88</v>
      </c>
      <c r="E55" s="278">
        <f t="shared" si="2"/>
        <v>0</v>
      </c>
      <c r="F55" s="199">
        <f t="shared" si="3"/>
        <v>0</v>
      </c>
      <c r="G55" s="2094">
        <f>MROUND(D55*(1+'Resi Price Out'!$G$5),0.05)</f>
        <v>149.15</v>
      </c>
      <c r="H55" s="273">
        <f t="shared" si="4"/>
        <v>0</v>
      </c>
      <c r="I55" s="273">
        <f t="shared" si="5"/>
        <v>0</v>
      </c>
      <c r="M55" s="607"/>
      <c r="N55" s="345">
        <f t="shared" si="1"/>
        <v>5.1240484916831308E-2</v>
      </c>
      <c r="P55" s="2103">
        <v>150.1</v>
      </c>
    </row>
    <row r="56" spans="1:16">
      <c r="A56" s="281" t="s">
        <v>1061</v>
      </c>
      <c r="B56" s="1065"/>
      <c r="C56" s="620">
        <f t="shared" si="0"/>
        <v>0</v>
      </c>
      <c r="D56" s="1059">
        <v>338.58</v>
      </c>
      <c r="E56" s="278">
        <f>D56*B56</f>
        <v>0</v>
      </c>
      <c r="F56" s="199">
        <f t="shared" si="3"/>
        <v>0</v>
      </c>
      <c r="G56" s="2094">
        <f>MROUND(D56*(1+'Resi Price Out'!$G$5),0.05)</f>
        <v>355.95000000000005</v>
      </c>
      <c r="H56" s="273">
        <f t="shared" si="4"/>
        <v>0</v>
      </c>
      <c r="I56" s="273">
        <f t="shared" si="5"/>
        <v>0</v>
      </c>
      <c r="K56" s="523">
        <f>LEFT(A56,2)*$H$4*'MF Recy Price Out'!$K$5</f>
        <v>446.22484062779563</v>
      </c>
      <c r="L56" s="273">
        <f>K56*B56</f>
        <v>0</v>
      </c>
      <c r="M56" s="607">
        <f>IF(I56=0,0,H56/I56)</f>
        <v>0</v>
      </c>
      <c r="N56" s="345">
        <f t="shared" si="1"/>
        <v>5.1302498670919849E-2</v>
      </c>
      <c r="O56" s="523">
        <f>G56+K56</f>
        <v>802.17484062779567</v>
      </c>
      <c r="P56" s="2103">
        <v>358.25</v>
      </c>
    </row>
    <row r="57" spans="1:16">
      <c r="A57" s="223" t="s">
        <v>662</v>
      </c>
      <c r="B57" s="1065"/>
      <c r="C57" s="620">
        <f t="shared" si="0"/>
        <v>0</v>
      </c>
      <c r="D57" s="1059">
        <v>128.04</v>
      </c>
      <c r="E57" s="278">
        <f>D57*B57</f>
        <v>0</v>
      </c>
      <c r="F57" s="199">
        <f t="shared" si="3"/>
        <v>0</v>
      </c>
      <c r="G57" s="2094">
        <f>MROUND(D57*(1+'Resi Price Out'!$G$5),0.05)</f>
        <v>134.6</v>
      </c>
      <c r="H57" s="273">
        <f t="shared" si="4"/>
        <v>0</v>
      </c>
      <c r="I57" s="273">
        <f t="shared" si="5"/>
        <v>0</v>
      </c>
      <c r="M57" s="607"/>
      <c r="N57" s="345">
        <f>+G57/D57-1</f>
        <v>5.1233989378319356E-2</v>
      </c>
      <c r="O57" s="543">
        <f>G57+('LG MF Recycle'!$C$29*LEFT('Drop Box Price Out'!A57,2))</f>
        <v>262.0928116079416</v>
      </c>
      <c r="P57" s="2103">
        <v>135.45000000000002</v>
      </c>
    </row>
    <row r="58" spans="1:16">
      <c r="A58" s="223" t="s">
        <v>663</v>
      </c>
      <c r="B58" s="1065"/>
      <c r="C58" s="620">
        <f t="shared" si="0"/>
        <v>0</v>
      </c>
      <c r="D58" s="1059">
        <v>133.21</v>
      </c>
      <c r="E58" s="278">
        <f>D58*B58</f>
        <v>0</v>
      </c>
      <c r="F58" s="199">
        <f t="shared" si="3"/>
        <v>0</v>
      </c>
      <c r="G58" s="2094">
        <f>MROUND(D58*(1+'Resi Price Out'!$G$5),0.05)</f>
        <v>140.05000000000001</v>
      </c>
      <c r="H58" s="273">
        <f t="shared" si="4"/>
        <v>0</v>
      </c>
      <c r="I58" s="273">
        <f t="shared" si="5"/>
        <v>0</v>
      </c>
      <c r="M58" s="607"/>
      <c r="N58" s="345">
        <f>+G58/D58-1</f>
        <v>5.1347496434201556E-2</v>
      </c>
      <c r="O58" s="543">
        <f>G58+('LG MF Recycle'!$C$29*LEFT('Drop Box Price Out'!A58,2))</f>
        <v>267.54281160794164</v>
      </c>
      <c r="P58" s="2103">
        <v>140.95000000000002</v>
      </c>
    </row>
    <row r="59" spans="1:16">
      <c r="A59" s="223" t="s">
        <v>664</v>
      </c>
      <c r="B59" s="1065"/>
      <c r="C59" s="620">
        <f t="shared" si="0"/>
        <v>0</v>
      </c>
      <c r="D59" s="1059">
        <v>0</v>
      </c>
      <c r="E59" s="278">
        <f>D59*B59</f>
        <v>0</v>
      </c>
      <c r="F59" s="199">
        <f t="shared" si="3"/>
        <v>0</v>
      </c>
      <c r="G59" s="2094">
        <f>MROUND(D59*(1+'Resi Price Out'!$G$5),0.05)</f>
        <v>0</v>
      </c>
      <c r="H59" s="273">
        <f t="shared" si="4"/>
        <v>0</v>
      </c>
      <c r="I59" s="273">
        <f t="shared" si="5"/>
        <v>0</v>
      </c>
      <c r="K59" s="523">
        <f>LEFT(A59,2)*'MF Recy Price Out'!$K$5</f>
        <v>127.4928116079416</v>
      </c>
      <c r="M59" s="607"/>
      <c r="N59" s="345" t="e">
        <f>+G59/D59-1</f>
        <v>#DIV/0!</v>
      </c>
      <c r="O59" s="543">
        <f>G59+('LG MF Recycle'!$C$29*LEFT('Drop Box Price Out'!A59,2))</f>
        <v>127.4928116079416</v>
      </c>
      <c r="P59" s="2103">
        <v>0</v>
      </c>
    </row>
    <row r="60" spans="1:16">
      <c r="A60" s="223" t="s">
        <v>665</v>
      </c>
      <c r="B60" s="1065"/>
      <c r="C60" s="620">
        <f t="shared" si="0"/>
        <v>0</v>
      </c>
      <c r="D60" s="1059">
        <v>0</v>
      </c>
      <c r="E60" s="278">
        <f>D60*B60</f>
        <v>0</v>
      </c>
      <c r="F60" s="199">
        <f t="shared" si="3"/>
        <v>0</v>
      </c>
      <c r="G60" s="2094">
        <f>MROUND(D60*(1+'Resi Price Out'!$G$5),0.05)</f>
        <v>0</v>
      </c>
      <c r="H60" s="273">
        <f t="shared" si="4"/>
        <v>0</v>
      </c>
      <c r="I60" s="273">
        <f t="shared" si="5"/>
        <v>0</v>
      </c>
      <c r="K60" s="523">
        <f>LEFT(A60,2)*'MF Recy Price Out'!$K$5</f>
        <v>127.4928116079416</v>
      </c>
      <c r="M60" s="607"/>
      <c r="N60" s="345" t="e">
        <f>+G60/D60-1</f>
        <v>#DIV/0!</v>
      </c>
      <c r="O60" s="543">
        <f>G60+('LG MF Recycle'!$C$29*LEFT('Drop Box Price Out'!A60,2))</f>
        <v>127.4928116079416</v>
      </c>
      <c r="P60" s="2103">
        <v>0</v>
      </c>
    </row>
    <row r="61" spans="1:16">
      <c r="A61" s="281" t="s">
        <v>573</v>
      </c>
      <c r="B61" s="1065"/>
      <c r="C61" s="620">
        <f>+B61*1</f>
        <v>0</v>
      </c>
      <c r="D61" s="1059">
        <v>141.88</v>
      </c>
      <c r="E61" s="278">
        <f t="shared" si="2"/>
        <v>0</v>
      </c>
      <c r="F61" s="199">
        <f>G61*C61</f>
        <v>0</v>
      </c>
      <c r="G61" s="2094">
        <f>MROUND(D61*(1+'Resi Price Out'!$G$5),0.05)</f>
        <v>149.15</v>
      </c>
      <c r="H61" s="273">
        <f t="shared" si="4"/>
        <v>0</v>
      </c>
      <c r="I61" s="273">
        <f t="shared" si="5"/>
        <v>0</v>
      </c>
      <c r="M61" s="607"/>
      <c r="N61" s="345">
        <f t="shared" si="1"/>
        <v>5.1240484916831308E-2</v>
      </c>
      <c r="P61" s="2103">
        <v>150.1</v>
      </c>
    </row>
    <row r="62" spans="1:16">
      <c r="A62" s="281" t="s">
        <v>1062</v>
      </c>
      <c r="B62" s="1065"/>
      <c r="C62" s="620">
        <f>+B62*1</f>
        <v>0</v>
      </c>
      <c r="D62" s="1059">
        <v>367.33</v>
      </c>
      <c r="E62" s="278">
        <f t="shared" si="2"/>
        <v>0</v>
      </c>
      <c r="F62" s="199">
        <f>G62*C62</f>
        <v>0</v>
      </c>
      <c r="G62" s="2094">
        <f>MROUND(D62*(1+'Resi Price Out'!$G$5),0.05)</f>
        <v>386.20000000000005</v>
      </c>
      <c r="H62" s="273">
        <f t="shared" si="4"/>
        <v>0</v>
      </c>
      <c r="I62" s="273">
        <f t="shared" si="5"/>
        <v>0</v>
      </c>
      <c r="K62" s="523">
        <f>LEFT(A62,2)*$H$4*'MF Recy Price Out'!$K$5</f>
        <v>509.97124643176642</v>
      </c>
      <c r="L62" s="273">
        <f>K62*B62</f>
        <v>0</v>
      </c>
      <c r="M62" s="607">
        <f>IF(I62=0,0,H62/I62)</f>
        <v>0</v>
      </c>
      <c r="N62" s="345">
        <f t="shared" si="1"/>
        <v>5.1370702093485487E-2</v>
      </c>
      <c r="O62" s="523">
        <f>G62+K62</f>
        <v>896.17124643176646</v>
      </c>
      <c r="P62" s="2103">
        <v>388.65000000000003</v>
      </c>
    </row>
    <row r="63" spans="1:16">
      <c r="A63" s="223" t="s">
        <v>290</v>
      </c>
      <c r="B63" s="1065">
        <f>SUM([18]PT!$B$13:$E$13)</f>
        <v>1095</v>
      </c>
      <c r="C63" s="620">
        <f t="shared" si="0"/>
        <v>1095</v>
      </c>
      <c r="D63" s="1059">
        <v>128.04</v>
      </c>
      <c r="E63" s="278">
        <f t="shared" si="2"/>
        <v>140203.79999999999</v>
      </c>
      <c r="F63" s="199">
        <f>G63*C63</f>
        <v>147387</v>
      </c>
      <c r="G63" s="2094">
        <f>MROUND(D63*(1+'Resi Price Out'!$G$5),0.05)</f>
        <v>134.6</v>
      </c>
      <c r="H63" s="273">
        <f t="shared" si="4"/>
        <v>0</v>
      </c>
      <c r="I63" s="273">
        <f t="shared" si="5"/>
        <v>0</v>
      </c>
      <c r="M63" s="607"/>
      <c r="N63" s="345">
        <f t="shared" si="1"/>
        <v>5.1233989378319356E-2</v>
      </c>
      <c r="O63" s="543">
        <f>G63+('LG MF Recycle'!$C$29*LEFT('Drop Box Price Out'!A63,2))</f>
        <v>280.30607040907614</v>
      </c>
      <c r="P63" s="2103">
        <v>135.45000000000002</v>
      </c>
    </row>
    <row r="64" spans="1:16">
      <c r="A64" s="223" t="s">
        <v>111</v>
      </c>
      <c r="B64" s="1065">
        <f>SUM([17]PT!C9:E9)</f>
        <v>6</v>
      </c>
      <c r="C64" s="620">
        <f t="shared" si="0"/>
        <v>6</v>
      </c>
      <c r="D64" s="1059">
        <v>133.21</v>
      </c>
      <c r="E64" s="278">
        <f t="shared" si="2"/>
        <v>799.26</v>
      </c>
      <c r="F64" s="199">
        <f>G64*C64</f>
        <v>840.30000000000007</v>
      </c>
      <c r="G64" s="2094">
        <f>MROUND(D64*(1+'Resi Price Out'!$G$5),0.05)</f>
        <v>140.05000000000001</v>
      </c>
      <c r="H64" s="273">
        <f t="shared" si="4"/>
        <v>0</v>
      </c>
      <c r="I64" s="273">
        <f t="shared" si="5"/>
        <v>0</v>
      </c>
      <c r="M64" s="607"/>
      <c r="N64" s="345">
        <f t="shared" si="1"/>
        <v>5.1347496434201556E-2</v>
      </c>
      <c r="O64" s="543">
        <f>G64+('LG MF Recycle'!$C$29*LEFT('Drop Box Price Out'!A64,2))</f>
        <v>285.75607040907613</v>
      </c>
      <c r="P64" s="2103">
        <v>140.95000000000002</v>
      </c>
    </row>
    <row r="65" spans="1:16">
      <c r="A65" s="223" t="s">
        <v>645</v>
      </c>
      <c r="B65" s="1065"/>
      <c r="C65" s="620">
        <f t="shared" si="0"/>
        <v>0</v>
      </c>
      <c r="D65" s="1059">
        <v>223.6</v>
      </c>
      <c r="E65" s="278">
        <f t="shared" si="2"/>
        <v>0</v>
      </c>
      <c r="F65" s="199">
        <f t="shared" si="3"/>
        <v>0</v>
      </c>
      <c r="G65" s="2094">
        <f>MROUND(D65*(1+'Resi Price Out'!$G$5),0.05)</f>
        <v>235.10000000000002</v>
      </c>
      <c r="H65" s="273">
        <f t="shared" si="4"/>
        <v>0</v>
      </c>
      <c r="I65" s="273">
        <f t="shared" si="5"/>
        <v>0</v>
      </c>
      <c r="K65" s="523">
        <f>LEFT(A65,2)*'MF Recy Price Out'!$K$5</f>
        <v>145.70607040907612</v>
      </c>
      <c r="M65" s="607"/>
      <c r="N65" s="345">
        <f t="shared" si="1"/>
        <v>5.1431127012522504E-2</v>
      </c>
      <c r="O65" s="543">
        <f>G65+('LG MF Recycle'!$C$29*LEFT('Drop Box Price Out'!A65,2))</f>
        <v>380.80607040907614</v>
      </c>
      <c r="P65" s="2103">
        <v>236.60000000000002</v>
      </c>
    </row>
    <row r="66" spans="1:16">
      <c r="A66" s="223" t="s">
        <v>646</v>
      </c>
      <c r="B66" s="1065"/>
      <c r="C66" s="620">
        <f t="shared" si="0"/>
        <v>0</v>
      </c>
      <c r="D66" s="1059">
        <v>228.75</v>
      </c>
      <c r="E66" s="278">
        <f t="shared" si="2"/>
        <v>0</v>
      </c>
      <c r="F66" s="199">
        <f t="shared" si="3"/>
        <v>0</v>
      </c>
      <c r="G66" s="2094">
        <f>MROUND(D66*(1+'Resi Price Out'!$G$5),0.05)</f>
        <v>240.5</v>
      </c>
      <c r="H66" s="273">
        <f t="shared" si="4"/>
        <v>0</v>
      </c>
      <c r="I66" s="273">
        <f t="shared" si="5"/>
        <v>0</v>
      </c>
      <c r="K66" s="523">
        <f>LEFT(A66,2)*'MF Recy Price Out'!$K$5</f>
        <v>145.70607040907612</v>
      </c>
      <c r="M66" s="607"/>
      <c r="N66" s="345">
        <f t="shared" si="1"/>
        <v>5.1366120218579336E-2</v>
      </c>
      <c r="O66" s="543">
        <f>G66+('LG MF Recycle'!$C$29*LEFT('Drop Box Price Out'!A66,2))</f>
        <v>386.20607040907612</v>
      </c>
      <c r="P66" s="2103">
        <v>242.05</v>
      </c>
    </row>
    <row r="67" spans="1:16">
      <c r="A67" s="281" t="s">
        <v>1035</v>
      </c>
      <c r="B67" s="1065"/>
      <c r="C67" s="620">
        <f t="shared" si="0"/>
        <v>0</v>
      </c>
      <c r="D67" s="1059">
        <v>141.88</v>
      </c>
      <c r="E67" s="278">
        <f t="shared" si="2"/>
        <v>0</v>
      </c>
      <c r="F67" s="199">
        <f t="shared" si="3"/>
        <v>0</v>
      </c>
      <c r="G67" s="2094">
        <f>MROUND(D67*(1+'Resi Price Out'!$G$5),0.05)</f>
        <v>149.15</v>
      </c>
      <c r="H67" s="273">
        <f t="shared" si="4"/>
        <v>0</v>
      </c>
      <c r="I67" s="273">
        <f t="shared" si="5"/>
        <v>0</v>
      </c>
      <c r="M67" s="607"/>
      <c r="N67" s="345">
        <f t="shared" si="1"/>
        <v>5.1240484916831308E-2</v>
      </c>
      <c r="P67" s="2103">
        <v>150.1</v>
      </c>
    </row>
    <row r="68" spans="1:16">
      <c r="A68" s="281" t="s">
        <v>1063</v>
      </c>
      <c r="B68" s="1065"/>
      <c r="C68" s="620">
        <f t="shared" si="0"/>
        <v>0</v>
      </c>
      <c r="D68" s="1059">
        <v>0</v>
      </c>
      <c r="E68" s="278">
        <f t="shared" si="2"/>
        <v>0</v>
      </c>
      <c r="F68" s="199">
        <f t="shared" si="3"/>
        <v>0</v>
      </c>
      <c r="G68" s="2094">
        <f>MROUND(D68*(1+'Resi Price Out'!$G$5),0.05)</f>
        <v>0</v>
      </c>
      <c r="H68" s="273">
        <f t="shared" si="4"/>
        <v>0</v>
      </c>
      <c r="I68" s="273">
        <f t="shared" si="5"/>
        <v>0</v>
      </c>
      <c r="K68" s="523">
        <f>LEFT(A68,2)*$H$4*'MF Recy Price Out'!$K$5</f>
        <v>573.71765223573721</v>
      </c>
      <c r="L68" s="273">
        <f>K68*B68</f>
        <v>0</v>
      </c>
      <c r="M68" s="607">
        <f>IF(I68=0,0,H68/I68)</f>
        <v>0</v>
      </c>
      <c r="N68" s="345" t="e">
        <f t="shared" si="1"/>
        <v>#DIV/0!</v>
      </c>
      <c r="O68" s="523">
        <f>G68+K68</f>
        <v>573.71765223573721</v>
      </c>
      <c r="P68" s="2103">
        <v>0</v>
      </c>
    </row>
    <row r="69" spans="1:16">
      <c r="A69" s="223" t="s">
        <v>1036</v>
      </c>
      <c r="B69" s="1065"/>
      <c r="C69" s="620">
        <f t="shared" si="0"/>
        <v>0</v>
      </c>
      <c r="D69" s="1059">
        <v>128.04</v>
      </c>
      <c r="E69" s="278">
        <f t="shared" si="2"/>
        <v>0</v>
      </c>
      <c r="F69" s="199">
        <f t="shared" si="3"/>
        <v>0</v>
      </c>
      <c r="G69" s="2094">
        <f>MROUND(D69*(1+'Resi Price Out'!$G$5),0.05)</f>
        <v>134.6</v>
      </c>
      <c r="H69" s="273">
        <f t="shared" si="4"/>
        <v>0</v>
      </c>
      <c r="I69" s="273">
        <f t="shared" si="5"/>
        <v>0</v>
      </c>
      <c r="M69" s="607"/>
      <c r="N69" s="345">
        <f>+G69/D69-1</f>
        <v>5.1233989378319356E-2</v>
      </c>
      <c r="O69" s="543">
        <f>G69+('LG MF Recycle'!$C$29*LEFT('Drop Box Price Out'!A69,2))</f>
        <v>298.51932921021063</v>
      </c>
      <c r="P69" s="2103">
        <v>135.45000000000002</v>
      </c>
    </row>
    <row r="70" spans="1:16">
      <c r="A70" s="223" t="s">
        <v>1037</v>
      </c>
      <c r="B70" s="1065"/>
      <c r="C70" s="620">
        <f t="shared" si="0"/>
        <v>0</v>
      </c>
      <c r="D70" s="1059">
        <v>133.21</v>
      </c>
      <c r="E70" s="278">
        <f t="shared" si="2"/>
        <v>0</v>
      </c>
      <c r="F70" s="199">
        <f t="shared" si="3"/>
        <v>0</v>
      </c>
      <c r="G70" s="2094">
        <f>MROUND(D70*(1+'Resi Price Out'!$G$5),0.05)</f>
        <v>140.05000000000001</v>
      </c>
      <c r="H70" s="273">
        <f t="shared" si="4"/>
        <v>0</v>
      </c>
      <c r="I70" s="273">
        <f t="shared" si="5"/>
        <v>0</v>
      </c>
      <c r="M70" s="607"/>
      <c r="N70" s="345">
        <f>+G70/D70-1</f>
        <v>5.1347496434201556E-2</v>
      </c>
      <c r="O70" s="543">
        <f>G70+('LG MF Recycle'!$C$29*LEFT('Drop Box Price Out'!A70,2))</f>
        <v>303.96932921021062</v>
      </c>
      <c r="P70" s="2103">
        <v>140.95000000000002</v>
      </c>
    </row>
    <row r="71" spans="1:16">
      <c r="A71" s="223" t="s">
        <v>1038</v>
      </c>
      <c r="B71" s="1065"/>
      <c r="C71" s="620">
        <f t="shared" si="0"/>
        <v>0</v>
      </c>
      <c r="D71" s="1059">
        <v>0</v>
      </c>
      <c r="E71" s="278">
        <f t="shared" si="2"/>
        <v>0</v>
      </c>
      <c r="F71" s="199">
        <f t="shared" si="3"/>
        <v>0</v>
      </c>
      <c r="G71" s="2094">
        <f>MROUND(D71*(1+'Resi Price Out'!$G$5),0.05)</f>
        <v>0</v>
      </c>
      <c r="H71" s="273">
        <f t="shared" si="4"/>
        <v>0</v>
      </c>
      <c r="I71" s="273">
        <f t="shared" si="5"/>
        <v>0</v>
      </c>
      <c r="K71" s="523">
        <f>LEFT(A71,2)*'MF Recy Price Out'!$K$5</f>
        <v>163.91932921021063</v>
      </c>
      <c r="M71" s="607"/>
      <c r="N71" s="345" t="e">
        <f>+G71/D71-1</f>
        <v>#DIV/0!</v>
      </c>
      <c r="O71" s="543">
        <f>G71+('LG MF Recycle'!$C$29*LEFT('Drop Box Price Out'!A71,2))</f>
        <v>163.91932921021063</v>
      </c>
      <c r="P71" s="2103">
        <v>0</v>
      </c>
    </row>
    <row r="72" spans="1:16">
      <c r="A72" s="223" t="s">
        <v>1039</v>
      </c>
      <c r="B72" s="1065"/>
      <c r="C72" s="620">
        <f t="shared" si="0"/>
        <v>0</v>
      </c>
      <c r="D72" s="1059">
        <v>0</v>
      </c>
      <c r="E72" s="278">
        <f t="shared" si="2"/>
        <v>0</v>
      </c>
      <c r="F72" s="199">
        <f t="shared" si="3"/>
        <v>0</v>
      </c>
      <c r="G72" s="2094">
        <f>MROUND(D72*(1+'Resi Price Out'!$G$5),0.05)</f>
        <v>0</v>
      </c>
      <c r="H72" s="273">
        <f t="shared" si="4"/>
        <v>0</v>
      </c>
      <c r="I72" s="273">
        <f t="shared" si="5"/>
        <v>0</v>
      </c>
      <c r="K72" s="523">
        <f>LEFT(A72,2)*'MF Recy Price Out'!$K$5</f>
        <v>163.91932921021063</v>
      </c>
      <c r="M72" s="607"/>
      <c r="N72" s="345" t="e">
        <f>+G72/D72-1</f>
        <v>#DIV/0!</v>
      </c>
      <c r="O72" s="543">
        <f>G72+('LG MF Recycle'!$C$29*LEFT('Drop Box Price Out'!A72,2))</f>
        <v>163.91932921021063</v>
      </c>
      <c r="P72" s="2103">
        <v>0</v>
      </c>
    </row>
    <row r="73" spans="1:16">
      <c r="A73" s="281" t="s">
        <v>1040</v>
      </c>
      <c r="B73" s="1065"/>
      <c r="C73" s="620">
        <f t="shared" si="0"/>
        <v>0</v>
      </c>
      <c r="D73" s="1059">
        <v>141.88</v>
      </c>
      <c r="E73" s="278">
        <f t="shared" si="2"/>
        <v>0</v>
      </c>
      <c r="F73" s="199">
        <f t="shared" si="3"/>
        <v>0</v>
      </c>
      <c r="G73" s="2094">
        <f>MROUND(D73*(1+'Resi Price Out'!$G$5),0.05)</f>
        <v>149.15</v>
      </c>
      <c r="H73" s="273">
        <f t="shared" si="4"/>
        <v>0</v>
      </c>
      <c r="I73" s="273">
        <f t="shared" si="5"/>
        <v>0</v>
      </c>
      <c r="M73" s="607"/>
      <c r="N73" s="345">
        <f t="shared" ref="N73:N93" si="6">+G73/D73-1</f>
        <v>5.1240484916831308E-2</v>
      </c>
      <c r="P73" s="2103">
        <v>150.1</v>
      </c>
    </row>
    <row r="74" spans="1:16">
      <c r="A74" s="281" t="s">
        <v>1064</v>
      </c>
      <c r="B74" s="1065"/>
      <c r="C74" s="620">
        <f t="shared" si="0"/>
        <v>0</v>
      </c>
      <c r="D74" s="1059">
        <v>0</v>
      </c>
      <c r="E74" s="278">
        <f t="shared" si="2"/>
        <v>0</v>
      </c>
      <c r="F74" s="199">
        <f t="shared" si="3"/>
        <v>0</v>
      </c>
      <c r="G74" s="2094">
        <f>MROUND(D74*(1+'Resi Price Out'!$G$5),0.05)</f>
        <v>0</v>
      </c>
      <c r="H74" s="273">
        <f t="shared" si="4"/>
        <v>0</v>
      </c>
      <c r="I74" s="273">
        <f t="shared" si="5"/>
        <v>0</v>
      </c>
      <c r="K74" s="523">
        <f>LEFT(A74,2)*$H$4*'MF Recy Price Out'!$K$5</f>
        <v>637.46405803970799</v>
      </c>
      <c r="L74" s="273">
        <f>K74*B74</f>
        <v>0</v>
      </c>
      <c r="M74" s="607">
        <f>IF(I74=0,0,H74/I74)</f>
        <v>0</v>
      </c>
      <c r="N74" s="345" t="e">
        <f t="shared" si="6"/>
        <v>#DIV/0!</v>
      </c>
      <c r="O74" s="523">
        <f>G74+K74</f>
        <v>637.46405803970799</v>
      </c>
      <c r="P74" s="2103">
        <v>0</v>
      </c>
    </row>
    <row r="75" spans="1:16">
      <c r="A75" s="223" t="s">
        <v>1041</v>
      </c>
      <c r="B75" s="1065"/>
      <c r="C75" s="620">
        <f t="shared" si="0"/>
        <v>0</v>
      </c>
      <c r="D75" s="1059">
        <v>128.04</v>
      </c>
      <c r="E75" s="278">
        <f t="shared" si="2"/>
        <v>0</v>
      </c>
      <c r="F75" s="199">
        <f t="shared" si="3"/>
        <v>0</v>
      </c>
      <c r="G75" s="2094">
        <f>MROUND(D75*(1+'Resi Price Out'!$G$5),0.05)</f>
        <v>134.6</v>
      </c>
      <c r="H75" s="273">
        <f t="shared" si="4"/>
        <v>0</v>
      </c>
      <c r="I75" s="273">
        <f t="shared" si="5"/>
        <v>0</v>
      </c>
      <c r="M75" s="607"/>
      <c r="N75" s="345">
        <f t="shared" si="6"/>
        <v>5.1233989378319356E-2</v>
      </c>
      <c r="O75" s="543">
        <f>G75+('LG MF Recycle'!$C$29*LEFT('Drop Box Price Out'!A75,2))</f>
        <v>316.73258801134511</v>
      </c>
      <c r="P75" s="2103">
        <v>135.45000000000002</v>
      </c>
    </row>
    <row r="76" spans="1:16">
      <c r="A76" s="223" t="s">
        <v>1042</v>
      </c>
      <c r="B76" s="1065"/>
      <c r="C76" s="620">
        <f t="shared" si="0"/>
        <v>0</v>
      </c>
      <c r="D76" s="1059">
        <v>133.21</v>
      </c>
      <c r="E76" s="278">
        <f t="shared" si="2"/>
        <v>0</v>
      </c>
      <c r="F76" s="199">
        <f t="shared" si="3"/>
        <v>0</v>
      </c>
      <c r="G76" s="2094">
        <f>MROUND(D76*(1+'Resi Price Out'!$G$5),0.05)</f>
        <v>140.05000000000001</v>
      </c>
      <c r="H76" s="273">
        <f t="shared" si="4"/>
        <v>0</v>
      </c>
      <c r="I76" s="273">
        <f t="shared" si="5"/>
        <v>0</v>
      </c>
      <c r="M76" s="607"/>
      <c r="N76" s="345">
        <f t="shared" si="6"/>
        <v>5.1347496434201556E-2</v>
      </c>
      <c r="O76" s="543">
        <f>G76+('LG MF Recycle'!$C$29*LEFT('Drop Box Price Out'!A76,2))</f>
        <v>322.18258801134516</v>
      </c>
      <c r="P76" s="2103">
        <v>140.95000000000002</v>
      </c>
    </row>
    <row r="77" spans="1:16">
      <c r="A77" s="223" t="s">
        <v>1043</v>
      </c>
      <c r="B77" s="1065"/>
      <c r="C77" s="620">
        <f>+B77*1</f>
        <v>0</v>
      </c>
      <c r="D77" s="1059">
        <v>247.45</v>
      </c>
      <c r="E77" s="278">
        <f t="shared" si="2"/>
        <v>0</v>
      </c>
      <c r="F77" s="199">
        <f t="shared" si="3"/>
        <v>0</v>
      </c>
      <c r="G77" s="2094">
        <f>MROUND(D77*(1+'Resi Price Out'!$G$5),0.05)</f>
        <v>260.15000000000003</v>
      </c>
      <c r="H77" s="273">
        <f t="shared" si="4"/>
        <v>0</v>
      </c>
      <c r="I77" s="273">
        <f t="shared" si="5"/>
        <v>0</v>
      </c>
      <c r="K77" s="523">
        <f>LEFT(A77,2)*'MF Recy Price Out'!$K$5</f>
        <v>182.13258801134515</v>
      </c>
      <c r="M77" s="607"/>
      <c r="N77" s="345">
        <f t="shared" si="6"/>
        <v>5.1323499696908748E-2</v>
      </c>
      <c r="O77" s="543">
        <f>G77+('LG MF Recycle'!$C$29*LEFT('Drop Box Price Out'!A77,2))</f>
        <v>442.28258801134518</v>
      </c>
      <c r="P77" s="2103">
        <v>261.8</v>
      </c>
    </row>
    <row r="78" spans="1:16">
      <c r="A78" s="223" t="s">
        <v>1044</v>
      </c>
      <c r="B78" s="1065"/>
      <c r="C78" s="620">
        <f>+B78*1</f>
        <v>0</v>
      </c>
      <c r="D78" s="1059">
        <v>252.6</v>
      </c>
      <c r="E78" s="278">
        <f t="shared" si="2"/>
        <v>0</v>
      </c>
      <c r="F78" s="199">
        <f>G78*C78</f>
        <v>0</v>
      </c>
      <c r="G78" s="2104">
        <f>MROUND(D78*(1+'Resi Price Out'!$G$5),0.05)</f>
        <v>265.55</v>
      </c>
      <c r="H78" s="273">
        <f t="shared" si="4"/>
        <v>0</v>
      </c>
      <c r="I78" s="273">
        <f t="shared" si="5"/>
        <v>0</v>
      </c>
      <c r="K78" s="523">
        <f>LEFT(A78,2)*'MF Recy Price Out'!$K$5</f>
        <v>182.13258801134515</v>
      </c>
      <c r="M78" s="607"/>
      <c r="N78" s="345">
        <f t="shared" si="6"/>
        <v>5.1266825019794293E-2</v>
      </c>
      <c r="O78" s="543">
        <f>G78+('LG MF Recycle'!$C$29*LEFT('Drop Box Price Out'!A78,2))</f>
        <v>447.68258801134516</v>
      </c>
      <c r="P78" s="2103">
        <v>267.25</v>
      </c>
    </row>
    <row r="79" spans="1:16">
      <c r="A79" s="223" t="s">
        <v>112</v>
      </c>
      <c r="B79" s="1065">
        <f>SUM('[13]wutc ind rental'!C6)/D79</f>
        <v>0</v>
      </c>
      <c r="C79" s="197" t="s">
        <v>295</v>
      </c>
      <c r="D79" s="1059">
        <v>30.99</v>
      </c>
      <c r="E79" s="278">
        <f>D79*B79</f>
        <v>0</v>
      </c>
      <c r="F79" s="199">
        <f t="shared" ref="F79:F92" si="7">G79*B79</f>
        <v>0</v>
      </c>
      <c r="G79" s="2104">
        <f>MROUND(D79*(1+'Resi Price Out'!$G$5),0.05)</f>
        <v>32.6</v>
      </c>
      <c r="H79" s="273">
        <f t="shared" ref="H79:H93" si="8">IF(RIGHT(A79,2)="MF",B79*(D79),0)</f>
        <v>0</v>
      </c>
      <c r="I79" s="273">
        <f t="shared" ref="I79:I93" si="9">IF(RIGHT(A79,2)="MF",C79*LEFT(A79,2)*3.5,0)</f>
        <v>0</v>
      </c>
      <c r="N79" s="345">
        <f t="shared" si="6"/>
        <v>5.1952242658922287E-2</v>
      </c>
      <c r="P79" s="2103">
        <v>32.800000000000004</v>
      </c>
    </row>
    <row r="80" spans="1:16">
      <c r="A80" s="223" t="s">
        <v>1046</v>
      </c>
      <c r="B80" s="1065"/>
      <c r="C80" s="197" t="s">
        <v>295</v>
      </c>
      <c r="D80" s="1059">
        <v>0</v>
      </c>
      <c r="E80" s="278">
        <f>D80*B80</f>
        <v>0</v>
      </c>
      <c r="F80" s="199">
        <f>G80*B80</f>
        <v>0</v>
      </c>
      <c r="G80" s="2104">
        <f>MROUND(D80*(1+'Resi Price Out'!$G$5),0.05)</f>
        <v>0</v>
      </c>
      <c r="H80" s="273">
        <f t="shared" si="8"/>
        <v>0</v>
      </c>
      <c r="I80" s="273">
        <f t="shared" si="9"/>
        <v>0</v>
      </c>
      <c r="N80" s="345" t="e">
        <f t="shared" si="6"/>
        <v>#DIV/0!</v>
      </c>
      <c r="P80" s="2103">
        <v>0</v>
      </c>
    </row>
    <row r="81" spans="1:16">
      <c r="A81" s="223" t="s">
        <v>113</v>
      </c>
      <c r="B81" s="1065">
        <f>SUM('[13]wutc ind rental'!C8)/D81</f>
        <v>0.66597831698502841</v>
      </c>
      <c r="C81" s="197" t="s">
        <v>295</v>
      </c>
      <c r="D81" s="1059">
        <v>38.74</v>
      </c>
      <c r="E81" s="278">
        <f t="shared" si="2"/>
        <v>25.8</v>
      </c>
      <c r="F81" s="199">
        <f t="shared" si="7"/>
        <v>27.138616417139907</v>
      </c>
      <c r="G81" s="2104">
        <f>MROUND(D81*(1+'Resi Price Out'!$G$5),0.05)</f>
        <v>40.75</v>
      </c>
      <c r="H81" s="273">
        <f t="shared" si="8"/>
        <v>0</v>
      </c>
      <c r="I81" s="273">
        <f t="shared" si="9"/>
        <v>0</v>
      </c>
      <c r="N81" s="345">
        <f t="shared" si="6"/>
        <v>5.1884357253484614E-2</v>
      </c>
      <c r="P81" s="2103">
        <v>41</v>
      </c>
    </row>
    <row r="82" spans="1:16">
      <c r="A82" s="223" t="s">
        <v>1130</v>
      </c>
      <c r="B82" s="1065"/>
      <c r="C82" s="197" t="s">
        <v>295</v>
      </c>
      <c r="D82" s="1059">
        <v>0</v>
      </c>
      <c r="E82" s="278">
        <f>D82*B82</f>
        <v>0</v>
      </c>
      <c r="F82" s="199">
        <f>G82*B82</f>
        <v>0</v>
      </c>
      <c r="G82" s="2104">
        <f>MROUND(D82*(1+'Resi Price Out'!$G$5),0.05)</f>
        <v>0</v>
      </c>
      <c r="H82" s="273">
        <f>IF(RIGHT(A82,2)="MF",B82*(D82),0)</f>
        <v>0</v>
      </c>
      <c r="I82" s="273">
        <f>IF(RIGHT(A82,2)="MF",C82*LEFT(A82,2)*3.5,0)</f>
        <v>0</v>
      </c>
      <c r="N82" s="345" t="e">
        <f t="shared" si="6"/>
        <v>#DIV/0!</v>
      </c>
      <c r="P82" s="2103">
        <v>0</v>
      </c>
    </row>
    <row r="83" spans="1:16">
      <c r="A83" s="223" t="s">
        <v>114</v>
      </c>
      <c r="B83" s="1065">
        <f>SUM('[13]wutc ind rental'!C9)/D83</f>
        <v>17.038952164009114</v>
      </c>
      <c r="C83" s="197" t="s">
        <v>295</v>
      </c>
      <c r="D83" s="1059">
        <v>43.9</v>
      </c>
      <c r="E83" s="278">
        <f t="shared" si="2"/>
        <v>748.0100000000001</v>
      </c>
      <c r="F83" s="199">
        <f t="shared" si="7"/>
        <v>786.34764236902072</v>
      </c>
      <c r="G83" s="2104">
        <f>MROUND(D83*(1+'Resi Price Out'!$G$5),0.05)</f>
        <v>46.150000000000006</v>
      </c>
      <c r="H83" s="273">
        <f t="shared" si="8"/>
        <v>0</v>
      </c>
      <c r="I83" s="273">
        <f t="shared" si="9"/>
        <v>0</v>
      </c>
      <c r="N83" s="345">
        <f t="shared" si="6"/>
        <v>5.1252847380410138E-2</v>
      </c>
      <c r="P83" s="2103">
        <v>46.45</v>
      </c>
    </row>
    <row r="84" spans="1:16">
      <c r="A84" s="223" t="s">
        <v>115</v>
      </c>
      <c r="B84" s="1065">
        <f>SUM('[13]wutc ind rental'!C10)/D84</f>
        <v>22.459547585082539</v>
      </c>
      <c r="C84" s="197" t="s">
        <v>295</v>
      </c>
      <c r="D84" s="1059">
        <v>49.07</v>
      </c>
      <c r="E84" s="278">
        <f t="shared" si="2"/>
        <v>1102.0900000000001</v>
      </c>
      <c r="F84" s="199">
        <f t="shared" si="7"/>
        <v>1158.912655390259</v>
      </c>
      <c r="G84" s="2104">
        <f>MROUND(D84*(1+'Resi Price Out'!$G$5),0.05)</f>
        <v>51.6</v>
      </c>
      <c r="H84" s="273">
        <f t="shared" si="8"/>
        <v>0</v>
      </c>
      <c r="I84" s="273">
        <f t="shared" si="9"/>
        <v>0</v>
      </c>
      <c r="N84" s="345">
        <f t="shared" si="6"/>
        <v>5.1558997350723557E-2</v>
      </c>
      <c r="P84" s="2103">
        <v>51.900000000000006</v>
      </c>
    </row>
    <row r="85" spans="1:16">
      <c r="A85" s="223" t="s">
        <v>116</v>
      </c>
      <c r="B85" s="1065">
        <f>SUM('[13]wutc ind rental'!C11)/D85</f>
        <v>18.746464646464645</v>
      </c>
      <c r="C85" s="197" t="s">
        <v>295</v>
      </c>
      <c r="D85" s="1059">
        <v>59.4</v>
      </c>
      <c r="E85" s="278">
        <f t="shared" si="2"/>
        <v>1113.54</v>
      </c>
      <c r="F85" s="199">
        <f>G85*B85</f>
        <v>1170.7167171717172</v>
      </c>
      <c r="G85" s="2104">
        <f>MROUND(D85*(1+'Resi Price Out'!$G$5),0.05)</f>
        <v>62.45</v>
      </c>
      <c r="H85" s="273">
        <f t="shared" si="8"/>
        <v>0</v>
      </c>
      <c r="I85" s="273">
        <f t="shared" si="9"/>
        <v>0</v>
      </c>
      <c r="N85" s="345">
        <f t="shared" si="6"/>
        <v>5.1346801346801474E-2</v>
      </c>
      <c r="P85" s="2103">
        <v>62.85</v>
      </c>
    </row>
    <row r="86" spans="1:16">
      <c r="A86" s="223" t="s">
        <v>572</v>
      </c>
      <c r="B86" s="1065"/>
      <c r="C86" s="197" t="s">
        <v>295</v>
      </c>
      <c r="D86" s="1059">
        <v>0</v>
      </c>
      <c r="E86" s="278">
        <f t="shared" si="2"/>
        <v>0</v>
      </c>
      <c r="F86" s="199">
        <f t="shared" si="7"/>
        <v>0</v>
      </c>
      <c r="G86" s="2104">
        <f>MROUND(D86*(1+'Resi Price Out'!$G$5),0.05)</f>
        <v>0</v>
      </c>
      <c r="H86" s="273">
        <f t="shared" si="8"/>
        <v>0</v>
      </c>
      <c r="I86" s="273">
        <f t="shared" si="9"/>
        <v>0</v>
      </c>
      <c r="N86" s="345" t="e">
        <f t="shared" si="6"/>
        <v>#DIV/0!</v>
      </c>
      <c r="P86" s="2103">
        <v>0</v>
      </c>
    </row>
    <row r="87" spans="1:16">
      <c r="A87" s="223" t="s">
        <v>117</v>
      </c>
      <c r="B87" s="1065">
        <f>SUM('[13]wutc ind rental'!C12)/D87</f>
        <v>90.264161766814851</v>
      </c>
      <c r="C87" s="197" t="s">
        <v>295</v>
      </c>
      <c r="D87" s="1059">
        <v>69.73</v>
      </c>
      <c r="E87" s="278">
        <f t="shared" si="2"/>
        <v>6294.12</v>
      </c>
      <c r="F87" s="199">
        <f t="shared" si="7"/>
        <v>6616.3630575075285</v>
      </c>
      <c r="G87" s="2104">
        <f>MROUND(D87*(1+'Resi Price Out'!$G$5),0.05)</f>
        <v>73.3</v>
      </c>
      <c r="H87" s="273">
        <f t="shared" si="8"/>
        <v>0</v>
      </c>
      <c r="I87" s="273">
        <f t="shared" si="9"/>
        <v>0</v>
      </c>
      <c r="N87" s="345">
        <f t="shared" si="6"/>
        <v>5.119747597877522E-2</v>
      </c>
      <c r="P87" s="2103">
        <v>73.8</v>
      </c>
    </row>
    <row r="88" spans="1:16">
      <c r="A88" s="223" t="s">
        <v>1045</v>
      </c>
      <c r="B88" s="1065"/>
      <c r="C88" s="197" t="s">
        <v>295</v>
      </c>
      <c r="D88" s="1059">
        <v>0</v>
      </c>
      <c r="E88" s="278">
        <f>D88*B88</f>
        <v>0</v>
      </c>
      <c r="F88" s="199">
        <f>G88*B88</f>
        <v>0</v>
      </c>
      <c r="G88" s="2104">
        <f>MROUND(D88*(1+'Resi Price Out'!$G$5),0.05)</f>
        <v>0</v>
      </c>
      <c r="H88" s="273">
        <f t="shared" si="8"/>
        <v>0</v>
      </c>
      <c r="I88" s="273">
        <f t="shared" si="9"/>
        <v>0</v>
      </c>
      <c r="N88" s="345" t="e">
        <f t="shared" si="6"/>
        <v>#DIV/0!</v>
      </c>
      <c r="P88" s="2103">
        <v>0</v>
      </c>
    </row>
    <row r="89" spans="1:16">
      <c r="A89" s="223" t="s">
        <v>340</v>
      </c>
      <c r="B89" s="1065"/>
      <c r="C89" s="197" t="s">
        <v>295</v>
      </c>
      <c r="D89" s="1059">
        <v>80.06</v>
      </c>
      <c r="E89" s="278">
        <f t="shared" si="2"/>
        <v>0</v>
      </c>
      <c r="F89" s="199">
        <f t="shared" si="7"/>
        <v>0</v>
      </c>
      <c r="G89" s="2104">
        <f>MROUND(D89*(1+'Resi Price Out'!$G$5),0.05)</f>
        <v>84.15</v>
      </c>
      <c r="H89" s="273">
        <f t="shared" si="8"/>
        <v>0</v>
      </c>
      <c r="I89" s="273">
        <f t="shared" si="9"/>
        <v>0</v>
      </c>
      <c r="N89" s="345">
        <f t="shared" si="6"/>
        <v>5.1086684986260344E-2</v>
      </c>
      <c r="P89" s="2103">
        <v>84.7</v>
      </c>
    </row>
    <row r="90" spans="1:16">
      <c r="A90" s="185" t="s">
        <v>482</v>
      </c>
      <c r="B90" s="1062"/>
      <c r="C90" s="197" t="s">
        <v>326</v>
      </c>
      <c r="D90" s="1059">
        <v>2.58</v>
      </c>
      <c r="E90" s="278">
        <f t="shared" si="2"/>
        <v>0</v>
      </c>
      <c r="F90" s="199">
        <f t="shared" si="7"/>
        <v>0</v>
      </c>
      <c r="G90" s="2104">
        <f>MROUND(D90*(1+'Resi Price Out'!$G$5),1)</f>
        <v>3</v>
      </c>
      <c r="H90" s="273">
        <f t="shared" si="8"/>
        <v>0</v>
      </c>
      <c r="I90" s="273">
        <f t="shared" si="9"/>
        <v>0</v>
      </c>
      <c r="N90" s="345">
        <f t="shared" si="6"/>
        <v>0.16279069767441867</v>
      </c>
      <c r="P90" s="2103">
        <v>3</v>
      </c>
    </row>
    <row r="91" spans="1:16">
      <c r="A91" s="196" t="s">
        <v>291</v>
      </c>
      <c r="B91" s="1062"/>
      <c r="C91" s="283" t="s">
        <v>327</v>
      </c>
      <c r="D91" s="1059">
        <v>1.7</v>
      </c>
      <c r="E91" s="278">
        <f t="shared" si="2"/>
        <v>0</v>
      </c>
      <c r="F91" s="199">
        <f>G91*B91</f>
        <v>0</v>
      </c>
      <c r="G91" s="2104">
        <f>MROUND(D91*(1+'Resi Price Out'!$G$5),1)</f>
        <v>2</v>
      </c>
      <c r="H91" s="273">
        <f t="shared" si="8"/>
        <v>0</v>
      </c>
      <c r="I91" s="273">
        <f t="shared" si="9"/>
        <v>0</v>
      </c>
      <c r="N91" s="345">
        <f t="shared" si="6"/>
        <v>0.17647058823529416</v>
      </c>
      <c r="P91" s="2103">
        <v>2</v>
      </c>
    </row>
    <row r="92" spans="1:16">
      <c r="A92" s="196" t="s">
        <v>652</v>
      </c>
      <c r="B92" s="185"/>
      <c r="C92" s="283" t="s">
        <v>654</v>
      </c>
      <c r="D92" s="1059"/>
      <c r="E92" s="278">
        <f t="shared" si="2"/>
        <v>0</v>
      </c>
      <c r="F92" s="199">
        <f t="shared" si="7"/>
        <v>0</v>
      </c>
      <c r="G92" s="2104">
        <f>MROUND(D92*(1+'Resi Price Out'!$G$5),0.05)</f>
        <v>0</v>
      </c>
      <c r="H92" s="273">
        <f t="shared" si="8"/>
        <v>0</v>
      </c>
      <c r="I92" s="273">
        <f t="shared" si="9"/>
        <v>0</v>
      </c>
      <c r="N92" s="345" t="e">
        <f t="shared" si="6"/>
        <v>#DIV/0!</v>
      </c>
      <c r="P92" s="2103">
        <v>0</v>
      </c>
    </row>
    <row r="93" spans="1:16">
      <c r="A93" s="282" t="s">
        <v>118</v>
      </c>
      <c r="B93" s="1066">
        <f>SUM([17]PT!$B$5:$B$9)</f>
        <v>33</v>
      </c>
      <c r="C93" s="285" t="s">
        <v>295</v>
      </c>
      <c r="D93" s="1067">
        <v>67.150000000000006</v>
      </c>
      <c r="E93" s="284">
        <f t="shared" si="2"/>
        <v>2215.9500000000003</v>
      </c>
      <c r="F93" s="206">
        <f>+G93*B93</f>
        <v>2329.8000000000002</v>
      </c>
      <c r="G93" s="2105">
        <f>MROUND(D93*(1+'Resi Price Out'!$G$5),0.05)</f>
        <v>70.600000000000009</v>
      </c>
      <c r="H93" s="273">
        <f t="shared" si="8"/>
        <v>0</v>
      </c>
      <c r="I93" s="273">
        <f t="shared" si="9"/>
        <v>0</v>
      </c>
      <c r="N93" s="345">
        <f t="shared" si="6"/>
        <v>5.1377513030528732E-2</v>
      </c>
      <c r="P93" s="2103">
        <v>71.05</v>
      </c>
    </row>
    <row r="94" spans="1:16">
      <c r="A94" s="185" t="s">
        <v>328</v>
      </c>
      <c r="B94" s="280">
        <f>SUM(B13:B78,B93)</f>
        <v>1477</v>
      </c>
      <c r="C94" s="287"/>
      <c r="D94" s="288"/>
      <c r="E94" s="289">
        <f>SUM(E13:E93)</f>
        <v>226392.41</v>
      </c>
      <c r="F94" s="199">
        <f>SUM(F13:F93)</f>
        <v>237998.8286888556</v>
      </c>
      <c r="G94" s="2094"/>
      <c r="H94" s="290">
        <f>SUM(H11:H93)</f>
        <v>51905.88</v>
      </c>
      <c r="I94" s="290">
        <f>SUM(I11:I93)</f>
        <v>16380</v>
      </c>
      <c r="J94" s="185" t="s">
        <v>329</v>
      </c>
      <c r="L94" s="2130">
        <f>SUM(L11:L93)</f>
        <v>59666.635832516673</v>
      </c>
    </row>
    <row r="95" spans="1:16" ht="12.75" thickBot="1">
      <c r="B95" s="291"/>
      <c r="E95" s="292">
        <f>E94</f>
        <v>226392.41</v>
      </c>
      <c r="F95" s="292">
        <f>F94</f>
        <v>237998.8286888556</v>
      </c>
      <c r="G95" s="2094"/>
      <c r="J95" s="185" t="s">
        <v>330</v>
      </c>
    </row>
    <row r="96" spans="1:16" ht="12.75" thickTop="1">
      <c r="A96" s="185" t="s">
        <v>827</v>
      </c>
      <c r="B96" s="1019">
        <f>(LEFT(A15,2)*B15+LEFT(A16,2)*B16+LEFT(A27,2)*B27+LEFT(A28,2)*B28+LEFT(A39,2)*B39+LEFT(A40,2)*B40+LEFT(A45,2)*B45+LEFT(A46,2)*B46+LEFT(A57,2)*B57+LEFT(A58,2)*B58+LEFT(A63,2)*B63+LEFT(A64,2)*B64)/(B15+B16+B27+B28+B39+B40+B45+B57+B58+B63+B64)</f>
        <v>39.754901960784316</v>
      </c>
      <c r="E96" s="293"/>
      <c r="F96" s="303"/>
    </row>
    <row r="97" spans="1:10">
      <c r="A97" s="188" t="s">
        <v>828</v>
      </c>
      <c r="B97" s="1019">
        <f>(LEFT(A25,2)*B25+LEFT(A26,2)*B26+LEFT(A37,2)*B37+LEFT(A38,2)*B38+LEFT(A43,2)*B43+LEFT(A44,2)*B44+LEFT(A49,2)*B49+LEFT(A50,2)*B50+LEFT(A61,2)*B50+LEFT(A62,2)*B50)/(B25+B26+B37+B38+B43+B44+B49+B50)</f>
        <v>55.464684014869889</v>
      </c>
      <c r="C97" s="192"/>
      <c r="D97" s="192"/>
      <c r="E97" s="192"/>
      <c r="F97" s="192"/>
      <c r="G97" s="2093"/>
      <c r="H97" s="294">
        <f>+E94+H94</f>
        <v>278298.28999999998</v>
      </c>
      <c r="J97" s="185" t="s">
        <v>331</v>
      </c>
    </row>
    <row r="98" spans="1:10">
      <c r="A98" s="185" t="s">
        <v>829</v>
      </c>
      <c r="B98" s="1019">
        <v>3.5</v>
      </c>
      <c r="D98" s="215"/>
      <c r="E98" s="215"/>
      <c r="F98" s="215"/>
      <c r="G98" s="2094"/>
    </row>
    <row r="99" spans="1:10">
      <c r="B99" s="295" t="s">
        <v>332</v>
      </c>
      <c r="C99" s="296"/>
      <c r="D99" s="215"/>
      <c r="E99" s="215"/>
      <c r="F99" s="215"/>
      <c r="G99" s="2094"/>
    </row>
    <row r="100" spans="1:10">
      <c r="B100" s="297" t="s">
        <v>333</v>
      </c>
      <c r="C100" s="298"/>
      <c r="G100" s="2106"/>
    </row>
    <row r="101" spans="1:10">
      <c r="B101" s="297" t="s">
        <v>334</v>
      </c>
      <c r="C101" s="299" t="s">
        <v>21</v>
      </c>
      <c r="E101" s="258" t="s">
        <v>21</v>
      </c>
      <c r="G101" s="2107"/>
    </row>
    <row r="102" spans="1:10">
      <c r="B102" s="301" t="s">
        <v>335</v>
      </c>
      <c r="C102" s="302" t="s">
        <v>21</v>
      </c>
      <c r="E102" s="279"/>
    </row>
    <row r="103" spans="1:10">
      <c r="E103" s="279"/>
    </row>
    <row r="104" spans="1:10">
      <c r="B104" s="183" t="s">
        <v>336</v>
      </c>
      <c r="E104" s="279">
        <f>+E95</f>
        <v>226392.41</v>
      </c>
      <c r="F104" s="196" t="s">
        <v>337</v>
      </c>
    </row>
    <row r="105" spans="1:10">
      <c r="B105" s="183" t="s">
        <v>338</v>
      </c>
      <c r="E105" s="206">
        <f>Proforma!Q11</f>
        <v>241025.64314789983</v>
      </c>
      <c r="F105" s="196" t="s">
        <v>339</v>
      </c>
    </row>
    <row r="106" spans="1:10">
      <c r="D106" s="184" t="s">
        <v>20</v>
      </c>
      <c r="E106" s="279">
        <f>+E105-E104</f>
        <v>14633.233147899824</v>
      </c>
      <c r="F106" s="303">
        <f>+E106/E105</f>
        <v>6.0712349759898691E-2</v>
      </c>
    </row>
    <row r="107" spans="1:10">
      <c r="A107" s="304"/>
    </row>
    <row r="108" spans="1:10">
      <c r="A108" s="304"/>
    </row>
    <row r="109" spans="1:10">
      <c r="A109" s="304"/>
    </row>
    <row r="110" spans="1:10" ht="12.75" thickBot="1"/>
    <row r="111" spans="1:10">
      <c r="A111" s="805" t="s">
        <v>773</v>
      </c>
      <c r="B111" s="806"/>
      <c r="C111" s="806"/>
      <c r="D111" s="806"/>
      <c r="E111" s="806"/>
      <c r="F111" s="806"/>
      <c r="G111" s="2108"/>
    </row>
    <row r="112" spans="1:10">
      <c r="A112" s="808" t="s">
        <v>748</v>
      </c>
      <c r="B112" s="789"/>
      <c r="C112" s="789"/>
      <c r="D112" s="789"/>
      <c r="E112" s="789"/>
      <c r="F112" s="789"/>
      <c r="G112" s="2109"/>
    </row>
    <row r="113" spans="1:7">
      <c r="A113" s="808" t="s">
        <v>749</v>
      </c>
      <c r="B113" s="789"/>
      <c r="C113" s="789"/>
      <c r="D113" s="789"/>
      <c r="E113" s="789"/>
      <c r="F113" s="789"/>
      <c r="G113" s="2109"/>
    </row>
    <row r="114" spans="1:7">
      <c r="A114" s="808" t="s">
        <v>750</v>
      </c>
      <c r="B114" s="789"/>
      <c r="C114" s="789"/>
      <c r="D114" s="789"/>
      <c r="E114" s="789"/>
      <c r="F114" s="789"/>
      <c r="G114" s="2109"/>
    </row>
    <row r="115" spans="1:7" ht="12.75" thickBot="1">
      <c r="A115" s="810"/>
      <c r="B115" s="811"/>
      <c r="C115" s="811"/>
      <c r="D115" s="811"/>
      <c r="E115" s="811"/>
      <c r="F115" s="811"/>
      <c r="G115" s="2110"/>
    </row>
  </sheetData>
  <mergeCells count="1">
    <mergeCell ref="A4:D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indexed="18"/>
    <pageSetUpPr fitToPage="1"/>
  </sheetPr>
  <dimension ref="A1:Q55"/>
  <sheetViews>
    <sheetView showGridLines="0" zoomScale="90" zoomScaleNormal="90" workbookViewId="0">
      <pane ySplit="3" topLeftCell="A7" activePane="bottomLeft" state="frozen"/>
      <selection activeCell="B41" sqref="B41"/>
      <selection pane="bottomLeft" activeCell="B41" sqref="B41"/>
    </sheetView>
  </sheetViews>
  <sheetFormatPr defaultColWidth="13.5" defaultRowHeight="15" customHeight="1"/>
  <cols>
    <col min="1" max="1" width="6" style="350" customWidth="1"/>
    <col min="2" max="2" width="41" style="350" bestFit="1" customWidth="1"/>
    <col min="3" max="14" width="13.6640625" style="350" bestFit="1" customWidth="1"/>
    <col min="15" max="15" width="14.6640625" style="350" bestFit="1" customWidth="1"/>
    <col min="16" max="16384" width="13.5" style="350"/>
  </cols>
  <sheetData>
    <row r="1" spans="1:16" ht="15" customHeight="1">
      <c r="A1" s="349" t="str">
        <f>Summary!C3&amp;" - Regulated Revenue Analysis"</f>
        <v>Eastside - Regulated Revenue Analysis</v>
      </c>
    </row>
    <row r="2" spans="1:16" ht="15" customHeight="1">
      <c r="A2" s="351"/>
      <c r="B2" s="351"/>
      <c r="C2" s="352">
        <f>+Disposal!F7</f>
        <v>41425</v>
      </c>
      <c r="D2" s="353">
        <f t="shared" ref="D2:N2" si="0">EOMONTH(C2,1)</f>
        <v>41455</v>
      </c>
      <c r="E2" s="353">
        <f t="shared" si="0"/>
        <v>41486</v>
      </c>
      <c r="F2" s="353">
        <f t="shared" si="0"/>
        <v>41517</v>
      </c>
      <c r="G2" s="353">
        <f t="shared" si="0"/>
        <v>41547</v>
      </c>
      <c r="H2" s="353">
        <f t="shared" si="0"/>
        <v>41578</v>
      </c>
      <c r="I2" s="353">
        <f t="shared" si="0"/>
        <v>41608</v>
      </c>
      <c r="J2" s="353">
        <f t="shared" si="0"/>
        <v>41639</v>
      </c>
      <c r="K2" s="353">
        <f t="shared" si="0"/>
        <v>41670</v>
      </c>
      <c r="L2" s="353">
        <f t="shared" si="0"/>
        <v>41698</v>
      </c>
      <c r="M2" s="353">
        <f t="shared" si="0"/>
        <v>41729</v>
      </c>
      <c r="N2" s="353">
        <f t="shared" si="0"/>
        <v>41759</v>
      </c>
      <c r="O2" s="354" t="s">
        <v>27</v>
      </c>
      <c r="P2" s="1048"/>
    </row>
    <row r="3" spans="1:16" ht="15" customHeight="1">
      <c r="C3" s="155"/>
      <c r="D3" s="155"/>
      <c r="E3" s="155"/>
      <c r="F3" s="155"/>
      <c r="G3" s="155"/>
      <c r="H3" s="155"/>
      <c r="I3" s="155"/>
      <c r="J3" s="155"/>
      <c r="K3" s="155"/>
      <c r="L3" s="155"/>
      <c r="M3" s="155"/>
      <c r="N3" s="155"/>
      <c r="O3" s="155"/>
    </row>
    <row r="4" spans="1:16" ht="15" customHeight="1">
      <c r="A4" s="785" t="s">
        <v>556</v>
      </c>
      <c r="B4" s="786"/>
      <c r="C4" s="786"/>
      <c r="D4" s="786"/>
      <c r="E4" s="786"/>
      <c r="F4" s="786"/>
      <c r="G4" s="786"/>
      <c r="H4" s="786"/>
      <c r="I4" s="786"/>
      <c r="J4" s="786"/>
      <c r="K4" s="786"/>
      <c r="L4" s="786"/>
      <c r="M4" s="786"/>
      <c r="N4" s="786"/>
      <c r="O4" s="793"/>
    </row>
    <row r="5" spans="1:16" ht="15" customHeight="1">
      <c r="A5" s="788"/>
      <c r="B5" s="789" t="s">
        <v>631</v>
      </c>
      <c r="C5" s="794">
        <f>+SUM('[19]PT Revenue x LOB &amp; CC'!C129)</f>
        <v>212852.65</v>
      </c>
      <c r="D5" s="794">
        <f>+SUM('[19]PT Revenue x LOB &amp; CC'!D129)</f>
        <v>208375.11999999994</v>
      </c>
      <c r="E5" s="794">
        <f>+SUM('[19]PT Revenue x LOB &amp; CC'!E129)</f>
        <v>256439.9200000001</v>
      </c>
      <c r="F5" s="794">
        <f>+SUM('[19]PT Revenue x LOB &amp; CC'!F129)</f>
        <v>212079.18000000002</v>
      </c>
      <c r="G5" s="794">
        <f>+SUM('[19]PT Revenue x LOB &amp; CC'!G129)</f>
        <v>214550.23999999996</v>
      </c>
      <c r="H5" s="794">
        <f>+SUM('[19]PT Revenue x LOB &amp; CC'!H129)</f>
        <v>275862.04999999987</v>
      </c>
      <c r="I5" s="794">
        <f>+SUM('[19]PT Revenue x LOB &amp; CC'!I129)</f>
        <v>225109.25</v>
      </c>
      <c r="J5" s="794">
        <f>+SUM('[19]PT Revenue x LOB &amp; CC'!J129)</f>
        <v>222860.01000000004</v>
      </c>
      <c r="K5" s="794">
        <f>+SUM('[19]PT Revenue x LOB &amp; CC'!K129)</f>
        <v>270200.16000000003</v>
      </c>
      <c r="L5" s="794">
        <f>+SUM('[19]PT Revenue x LOB &amp; CC'!L129)</f>
        <v>222540.95000000007</v>
      </c>
      <c r="M5" s="794">
        <f>+SUM('[19]PT Revenue x LOB &amp; CC'!M129)</f>
        <v>221152.47999999995</v>
      </c>
      <c r="N5" s="794">
        <f>+SUM('[19]PT Revenue x LOB &amp; CC'!N129)</f>
        <v>268308.92</v>
      </c>
      <c r="O5" s="554">
        <f t="shared" ref="O5:O12" si="1">SUM(C5:N5)</f>
        <v>2810330.9299999997</v>
      </c>
    </row>
    <row r="6" spans="1:16" ht="15" customHeight="1">
      <c r="A6" s="788"/>
      <c r="B6" s="789" t="s">
        <v>1570</v>
      </c>
      <c r="C6" s="794">
        <f>+SUM('[19]PT Revenue x LOB &amp; CC'!C158)</f>
        <v>100457.31999999998</v>
      </c>
      <c r="D6" s="794">
        <f>+SUM('[19]PT Revenue x LOB &amp; CC'!D158)</f>
        <v>102807.13</v>
      </c>
      <c r="E6" s="794">
        <f>+SUM('[19]PT Revenue x LOB &amp; CC'!E158)</f>
        <v>104750.27999999998</v>
      </c>
      <c r="F6" s="794">
        <f>+SUM('[19]PT Revenue x LOB &amp; CC'!F158)</f>
        <v>100925.12999999998</v>
      </c>
      <c r="G6" s="794">
        <f>+SUM('[19]PT Revenue x LOB &amp; CC'!G158)</f>
        <v>104995.23999999999</v>
      </c>
      <c r="H6" s="794">
        <f>+SUM('[19]PT Revenue x LOB &amp; CC'!H158)</f>
        <v>113156.47999999997</v>
      </c>
      <c r="I6" s="794">
        <f>+SUM('[19]PT Revenue x LOB &amp; CC'!I158)</f>
        <v>105059.76999999999</v>
      </c>
      <c r="J6" s="794">
        <f>+SUM('[19]PT Revenue x LOB &amp; CC'!J158)</f>
        <v>110285.56</v>
      </c>
      <c r="K6" s="794">
        <f>+SUM('[19]PT Revenue x LOB &amp; CC'!K158)</f>
        <v>111349.39</v>
      </c>
      <c r="L6" s="794">
        <f>+SUM('[19]PT Revenue x LOB &amp; CC'!L158)</f>
        <v>104757.76000000001</v>
      </c>
      <c r="M6" s="794">
        <f>+SUM('[19]PT Revenue x LOB &amp; CC'!M158)</f>
        <v>110948.47</v>
      </c>
      <c r="N6" s="794">
        <f>+SUM('[19]PT Revenue x LOB &amp; CC'!N158)</f>
        <v>108994.50000000001</v>
      </c>
      <c r="O6" s="554">
        <f t="shared" si="1"/>
        <v>1278487.03</v>
      </c>
    </row>
    <row r="7" spans="1:16" ht="15" customHeight="1">
      <c r="A7" s="788"/>
      <c r="B7" s="789" t="s">
        <v>1</v>
      </c>
      <c r="C7" s="356">
        <f>-SUM('[19]PT Revenue x LOB &amp; CC'!C105,'[19]PT Revenue x LOB &amp; CC'!C142)</f>
        <v>-10731.25</v>
      </c>
      <c r="D7" s="356">
        <f>-SUM('[19]PT Revenue x LOB &amp; CC'!D105,'[19]PT Revenue x LOB &amp; CC'!D142)</f>
        <v>-10599.779999999999</v>
      </c>
      <c r="E7" s="356">
        <f>-SUM('[19]PT Revenue x LOB &amp; CC'!E105,'[19]PT Revenue x LOB &amp; CC'!E142)</f>
        <v>-12214.160000000003</v>
      </c>
      <c r="F7" s="356">
        <f>-SUM('[19]PT Revenue x LOB &amp; CC'!F105,'[19]PT Revenue x LOB &amp; CC'!F142)</f>
        <v>-10666.539999999999</v>
      </c>
      <c r="G7" s="356">
        <f>-SUM('[19]PT Revenue x LOB &amp; CC'!G105,'[19]PT Revenue x LOB &amp; CC'!G142)</f>
        <v>-10693.86</v>
      </c>
      <c r="H7" s="356">
        <f>-SUM('[19]PT Revenue x LOB &amp; CC'!H105,'[19]PT Revenue x LOB &amp; CC'!H142)</f>
        <v>-12230.199999999999</v>
      </c>
      <c r="I7" s="356">
        <f>-SUM('[19]PT Revenue x LOB &amp; CC'!I105,'[19]PT Revenue x LOB &amp; CC'!I142)</f>
        <v>-10657.159999999998</v>
      </c>
      <c r="J7" s="356">
        <f>-SUM('[19]PT Revenue x LOB &amp; CC'!J105,'[19]PT Revenue x LOB &amp; CC'!J142)</f>
        <v>-10759.269999999997</v>
      </c>
      <c r="K7" s="356">
        <f>-SUM('[19]PT Revenue x LOB &amp; CC'!K105,'[19]PT Revenue x LOB &amp; CC'!K142)</f>
        <v>-12197.39</v>
      </c>
      <c r="L7" s="356">
        <f>-SUM('[19]PT Revenue x LOB &amp; CC'!L105,'[19]PT Revenue x LOB &amp; CC'!L142)</f>
        <v>-10679.579999999996</v>
      </c>
      <c r="M7" s="356">
        <f>-SUM('[19]PT Revenue x LOB &amp; CC'!M105,'[19]PT Revenue x LOB &amp; CC'!M142)</f>
        <v>-10758.289999999999</v>
      </c>
      <c r="N7" s="356">
        <f>-SUM('[19]PT Revenue x LOB &amp; CC'!N105,'[19]PT Revenue x LOB &amp; CC'!N142)</f>
        <v>-12193.97</v>
      </c>
      <c r="O7" s="554">
        <f t="shared" si="1"/>
        <v>-134381.44999999998</v>
      </c>
    </row>
    <row r="8" spans="1:16" ht="15" customHeight="1">
      <c r="A8" s="788"/>
      <c r="B8" s="789" t="s">
        <v>414</v>
      </c>
      <c r="C8" s="356">
        <f>-SUM('[19]PT Revenue x LOB &amp; CC'!C96)-SUM('[19]PT Revenue x LOB &amp; CC'!C136)</f>
        <v>-688.64</v>
      </c>
      <c r="D8" s="356">
        <f>-SUM('[19]PT Revenue x LOB &amp; CC'!D96)-SUM('[19]PT Revenue x LOB &amp; CC'!D136)</f>
        <v>-705.16</v>
      </c>
      <c r="E8" s="356">
        <f>-SUM('[19]PT Revenue x LOB &amp; CC'!E96)-SUM('[19]PT Revenue x LOB &amp; CC'!E136)</f>
        <v>-713.91</v>
      </c>
      <c r="F8" s="356">
        <f>-SUM('[19]PT Revenue x LOB &amp; CC'!F96)-SUM('[19]PT Revenue x LOB &amp; CC'!F136)</f>
        <v>-687.02</v>
      </c>
      <c r="G8" s="356">
        <f>-SUM('[19]PT Revenue x LOB &amp; CC'!G96)-SUM('[19]PT Revenue x LOB &amp; CC'!G136)</f>
        <v>-705.05000000000007</v>
      </c>
      <c r="H8" s="356">
        <f>-SUM('[19]PT Revenue x LOB &amp; CC'!H96)-SUM('[19]PT Revenue x LOB &amp; CC'!H136)</f>
        <v>-716.77</v>
      </c>
      <c r="I8" s="356">
        <f>-SUM('[19]PT Revenue x LOB &amp; CC'!I96)-SUM('[19]PT Revenue x LOB &amp; CC'!I136)</f>
        <v>-684.94999999999993</v>
      </c>
      <c r="J8" s="356">
        <f>-SUM('[19]PT Revenue x LOB &amp; CC'!J96)-SUM('[19]PT Revenue x LOB &amp; CC'!J136)</f>
        <v>-714.13999999999987</v>
      </c>
      <c r="K8" s="356">
        <f>-SUM('[19]PT Revenue x LOB &amp; CC'!K96)-SUM('[19]PT Revenue x LOB &amp; CC'!K136)</f>
        <v>-714.43</v>
      </c>
      <c r="L8" s="356">
        <f>-SUM('[19]PT Revenue x LOB &amp; CC'!L96)-SUM('[19]PT Revenue x LOB &amp; CC'!L136)</f>
        <v>-689.79</v>
      </c>
      <c r="M8" s="356">
        <f>-SUM('[19]PT Revenue x LOB &amp; CC'!M96)-SUM('[19]PT Revenue x LOB &amp; CC'!M136)</f>
        <v>-723.3599999999999</v>
      </c>
      <c r="N8" s="356">
        <f>-SUM('[19]PT Revenue x LOB &amp; CC'!N96)-SUM('[19]PT Revenue x LOB &amp; CC'!N136)</f>
        <v>-712.13000000000011</v>
      </c>
      <c r="O8" s="554">
        <f t="shared" si="1"/>
        <v>-8455.3499999999985</v>
      </c>
    </row>
    <row r="9" spans="1:16" ht="15" customHeight="1">
      <c r="A9" s="788"/>
      <c r="B9" s="789" t="s">
        <v>415</v>
      </c>
      <c r="C9" s="356"/>
      <c r="D9" s="356"/>
      <c r="E9" s="356"/>
      <c r="F9" s="356"/>
      <c r="G9" s="356"/>
      <c r="H9" s="356"/>
      <c r="I9" s="356"/>
      <c r="J9" s="356"/>
      <c r="K9" s="356"/>
      <c r="L9" s="356"/>
      <c r="M9" s="356"/>
      <c r="N9" s="356"/>
      <c r="O9" s="151">
        <f t="shared" si="1"/>
        <v>0</v>
      </c>
    </row>
    <row r="10" spans="1:16" ht="15" customHeight="1">
      <c r="A10" s="788"/>
      <c r="B10" s="789" t="s">
        <v>1596</v>
      </c>
      <c r="C10" s="356">
        <f>-SUM('[19]PT Revenue x LOB &amp; CC'!C127,'[19]PT Revenue x LOB &amp; CC'!C156)</f>
        <v>22014.420000000002</v>
      </c>
      <c r="D10" s="356">
        <f>-SUM('[19]PT Revenue x LOB &amp; CC'!D127,'[19]PT Revenue x LOB &amp; CC'!D156)</f>
        <v>21735.649999999998</v>
      </c>
      <c r="E10" s="356">
        <f>-SUM('[19]PT Revenue x LOB &amp; CC'!E127,'[19]PT Revenue x LOB &amp; CC'!E156)</f>
        <v>25048.78</v>
      </c>
      <c r="F10" s="356">
        <f>-SUM('[19]PT Revenue x LOB &amp; CC'!F127,'[19]PT Revenue x LOB &amp; CC'!F156)</f>
        <v>21850.36</v>
      </c>
      <c r="G10" s="356">
        <f>-SUM('[19]PT Revenue x LOB &amp; CC'!G127,'[19]PT Revenue x LOB &amp; CC'!G156)</f>
        <v>16667.04</v>
      </c>
      <c r="H10" s="356">
        <f>-SUM('[19]PT Revenue x LOB &amp; CC'!H127,'[19]PT Revenue x LOB &amp; CC'!H156)</f>
        <v>-3476.6099999999997</v>
      </c>
      <c r="I10" s="356">
        <f>-SUM('[19]PT Revenue x LOB &amp; CC'!I127,'[19]PT Revenue x LOB &amp; CC'!I156)</f>
        <v>6125.9</v>
      </c>
      <c r="J10" s="356">
        <f>-SUM('[19]PT Revenue x LOB &amp; CC'!J127,'[19]PT Revenue x LOB &amp; CC'!J156)</f>
        <v>6196.2699999999995</v>
      </c>
      <c r="K10" s="356">
        <f>-SUM('[19]PT Revenue x LOB &amp; CC'!K127,'[19]PT Revenue x LOB &amp; CC'!K156)</f>
        <v>7022.56</v>
      </c>
      <c r="L10" s="356">
        <f>-SUM('[19]PT Revenue x LOB &amp; CC'!L127,'[19]PT Revenue x LOB &amp; CC'!L156)</f>
        <v>6139.3799999999992</v>
      </c>
      <c r="M10" s="356">
        <f>-SUM('[19]PT Revenue x LOB &amp; CC'!M127,'[19]PT Revenue x LOB &amp; CC'!M156)</f>
        <v>6197.16</v>
      </c>
      <c r="N10" s="356">
        <f>-SUM('[19]PT Revenue x LOB &amp; CC'!N127,'[19]PT Revenue x LOB &amp; CC'!N156)</f>
        <v>7016.73</v>
      </c>
      <c r="O10" s="554">
        <f t="shared" si="1"/>
        <v>142537.64000000001</v>
      </c>
    </row>
    <row r="11" spans="1:16" ht="15" customHeight="1">
      <c r="A11" s="788"/>
      <c r="B11" s="789" t="s">
        <v>416</v>
      </c>
      <c r="C11" s="356">
        <f>-SUM('[19]PT Revenue x LOB &amp; CC'!C98,'[19]PT Revenue x LOB &amp; CC'!C100:C102,'[19]PT Revenue x LOB &amp; CC'!C108,'[19]PT Revenue x LOB &amp; CC'!C119,'[19]PT Revenue x LOB &amp; CC'!C121:C125,'[19]PT Revenue x LOB &amp; CC'!C138:C140,'[19]PT Revenue x LOB &amp; CC'!C153)</f>
        <v>-3174.0300000000007</v>
      </c>
      <c r="D11" s="356">
        <f>-SUM('[19]PT Revenue x LOB &amp; CC'!D98,'[19]PT Revenue x LOB &amp; CC'!D100:D102,'[19]PT Revenue x LOB &amp; CC'!D108,'[19]PT Revenue x LOB &amp; CC'!D119,'[19]PT Revenue x LOB &amp; CC'!D121:D125,'[19]PT Revenue x LOB &amp; CC'!D138:D140,'[19]PT Revenue x LOB &amp; CC'!D153)</f>
        <v>-3563.2299999999996</v>
      </c>
      <c r="E11" s="356">
        <f>-SUM('[19]PT Revenue x LOB &amp; CC'!E98,'[19]PT Revenue x LOB &amp; CC'!E100:E102,'[19]PT Revenue x LOB &amp; CC'!E108,'[19]PT Revenue x LOB &amp; CC'!E119,'[19]PT Revenue x LOB &amp; CC'!E121:E125,'[19]PT Revenue x LOB &amp; CC'!E138:E140,'[19]PT Revenue x LOB &amp; CC'!E153)</f>
        <v>-3959.3400000000006</v>
      </c>
      <c r="F11" s="356">
        <f>-SUM('[19]PT Revenue x LOB &amp; CC'!F98,'[19]PT Revenue x LOB &amp; CC'!F100:F102,'[19]PT Revenue x LOB &amp; CC'!F108,'[19]PT Revenue x LOB &amp; CC'!F119,'[19]PT Revenue x LOB &amp; CC'!F121:F125,'[19]PT Revenue x LOB &amp; CC'!F138:F140,'[19]PT Revenue x LOB &amp; CC'!F153)</f>
        <v>-3414.3900000000003</v>
      </c>
      <c r="G11" s="356">
        <f>-SUM('[19]PT Revenue x LOB &amp; CC'!G98,'[19]PT Revenue x LOB &amp; CC'!G100:G102,'[19]PT Revenue x LOB &amp; CC'!G108,'[19]PT Revenue x LOB &amp; CC'!G119,'[19]PT Revenue x LOB &amp; CC'!G121:G125,'[19]PT Revenue x LOB &amp; CC'!G138:G140,'[19]PT Revenue x LOB &amp; CC'!G153)</f>
        <v>-3159.5000000000009</v>
      </c>
      <c r="H11" s="356">
        <f>-SUM('[19]PT Revenue x LOB &amp; CC'!H98,'[19]PT Revenue x LOB &amp; CC'!H100:H102,'[19]PT Revenue x LOB &amp; CC'!H108,'[19]PT Revenue x LOB &amp; CC'!H119,'[19]PT Revenue x LOB &amp; CC'!H121:H125,'[19]PT Revenue x LOB &amp; CC'!H138:H140,'[19]PT Revenue x LOB &amp; CC'!H153)</f>
        <v>-2799.5600000000004</v>
      </c>
      <c r="I11" s="356">
        <f>-SUM('[19]PT Revenue x LOB &amp; CC'!I98,'[19]PT Revenue x LOB &amp; CC'!I100:I102,'[19]PT Revenue x LOB &amp; CC'!I108,'[19]PT Revenue x LOB &amp; CC'!I119,'[19]PT Revenue x LOB &amp; CC'!I121:I125,'[19]PT Revenue x LOB &amp; CC'!I138:I140,'[19]PT Revenue x LOB &amp; CC'!I153)</f>
        <v>-5431.05</v>
      </c>
      <c r="J11" s="356">
        <f>-SUM('[19]PT Revenue x LOB &amp; CC'!J98,'[19]PT Revenue x LOB &amp; CC'!J100:J102,'[19]PT Revenue x LOB &amp; CC'!J108,'[19]PT Revenue x LOB &amp; CC'!J119,'[19]PT Revenue x LOB &amp; CC'!J121:J125,'[19]PT Revenue x LOB &amp; CC'!J138:J140,'[19]PT Revenue x LOB &amp; CC'!J153)</f>
        <v>-4328.3499999999995</v>
      </c>
      <c r="K11" s="356">
        <f>-SUM('[19]PT Revenue x LOB &amp; CC'!K98,'[19]PT Revenue x LOB &amp; CC'!K100:K102,'[19]PT Revenue x LOB &amp; CC'!K108,'[19]PT Revenue x LOB &amp; CC'!K119,'[19]PT Revenue x LOB &amp; CC'!K121:K125,'[19]PT Revenue x LOB &amp; CC'!K138:K140,'[19]PT Revenue x LOB &amp; CC'!K153)</f>
        <v>-4314.88</v>
      </c>
      <c r="L11" s="356">
        <f>-SUM('[19]PT Revenue x LOB &amp; CC'!L98,'[19]PT Revenue x LOB &amp; CC'!L100:L102,'[19]PT Revenue x LOB &amp; CC'!L108,'[19]PT Revenue x LOB &amp; CC'!L119,'[19]PT Revenue x LOB &amp; CC'!L121:L125,'[19]PT Revenue x LOB &amp; CC'!L138:L140,'[19]PT Revenue x LOB &amp; CC'!L153)</f>
        <v>-1812.9199999999994</v>
      </c>
      <c r="M11" s="356">
        <f>-SUM('[19]PT Revenue x LOB &amp; CC'!M98,'[19]PT Revenue x LOB &amp; CC'!M100:M102,'[19]PT Revenue x LOB &amp; CC'!M108,'[19]PT Revenue x LOB &amp; CC'!M119,'[19]PT Revenue x LOB &amp; CC'!M121:M125,'[19]PT Revenue x LOB &amp; CC'!M138:M140,'[19]PT Revenue x LOB &amp; CC'!M153)</f>
        <v>-2578.0300000000002</v>
      </c>
      <c r="N11" s="356">
        <f>-SUM('[19]PT Revenue x LOB &amp; CC'!N98,'[19]PT Revenue x LOB &amp; CC'!N100:N102,'[19]PT Revenue x LOB &amp; CC'!N108,'[19]PT Revenue x LOB &amp; CC'!N119,'[19]PT Revenue x LOB &amp; CC'!N121:N125,'[19]PT Revenue x LOB &amp; CC'!N138:N140,'[19]PT Revenue x LOB &amp; CC'!N153)</f>
        <v>-3093.5300000000007</v>
      </c>
      <c r="O11" s="554">
        <f t="shared" si="1"/>
        <v>-41628.81</v>
      </c>
    </row>
    <row r="12" spans="1:16" ht="15" customHeight="1">
      <c r="A12" s="788"/>
      <c r="B12" s="789" t="s">
        <v>356</v>
      </c>
      <c r="C12" s="356"/>
      <c r="D12" s="356"/>
      <c r="E12" s="356"/>
      <c r="F12" s="356"/>
      <c r="G12" s="356"/>
      <c r="H12" s="356"/>
      <c r="I12" s="356"/>
      <c r="J12" s="356"/>
      <c r="K12" s="356"/>
      <c r="L12" s="356"/>
      <c r="M12" s="356"/>
      <c r="N12" s="356"/>
      <c r="O12" s="151">
        <f t="shared" si="1"/>
        <v>0</v>
      </c>
    </row>
    <row r="13" spans="1:16" ht="15" customHeight="1">
      <c r="A13" s="788"/>
      <c r="B13" s="789"/>
      <c r="C13" s="358">
        <f>SUM(C4:C12)</f>
        <v>320730.46999999991</v>
      </c>
      <c r="D13" s="358">
        <f t="shared" ref="D13:N13" si="2">SUM(D4:D12)</f>
        <v>318049.73000000004</v>
      </c>
      <c r="E13" s="358">
        <f t="shared" si="2"/>
        <v>369351.57</v>
      </c>
      <c r="F13" s="358">
        <f t="shared" si="2"/>
        <v>320086.71999999997</v>
      </c>
      <c r="G13" s="358">
        <f t="shared" si="2"/>
        <v>321654.11</v>
      </c>
      <c r="H13" s="358">
        <f t="shared" si="2"/>
        <v>369795.38999999984</v>
      </c>
      <c r="I13" s="358">
        <f t="shared" si="2"/>
        <v>319521.76000000007</v>
      </c>
      <c r="J13" s="358">
        <f t="shared" si="2"/>
        <v>323540.08000000007</v>
      </c>
      <c r="K13" s="358">
        <f t="shared" si="2"/>
        <v>371345.41000000003</v>
      </c>
      <c r="L13" s="358">
        <f t="shared" si="2"/>
        <v>320255.8000000001</v>
      </c>
      <c r="M13" s="358">
        <f t="shared" si="2"/>
        <v>324238.42999999993</v>
      </c>
      <c r="N13" s="358">
        <f t="shared" si="2"/>
        <v>368320.51999999996</v>
      </c>
      <c r="O13" s="793">
        <f>SUM(O4:O12)</f>
        <v>4046889.9899999998</v>
      </c>
    </row>
    <row r="14" spans="1:16" ht="15" customHeight="1">
      <c r="A14" s="791"/>
      <c r="B14" s="792"/>
      <c r="C14" s="800"/>
      <c r="D14" s="800"/>
      <c r="E14" s="800"/>
      <c r="F14" s="800"/>
      <c r="G14" s="800"/>
      <c r="H14" s="800"/>
      <c r="I14" s="800"/>
      <c r="J14" s="800"/>
      <c r="K14" s="800"/>
      <c r="L14" s="800"/>
      <c r="M14" s="800"/>
      <c r="N14" s="800"/>
      <c r="O14" s="797">
        <f>O13</f>
        <v>4046889.9899999998</v>
      </c>
    </row>
    <row r="15" spans="1:16" ht="15" customHeight="1">
      <c r="A15" s="801"/>
      <c r="B15" s="802"/>
      <c r="C15" s="802"/>
      <c r="D15" s="802"/>
      <c r="E15" s="802"/>
      <c r="F15" s="802"/>
      <c r="G15" s="802"/>
      <c r="H15" s="802"/>
      <c r="I15" s="802"/>
      <c r="J15" s="802"/>
      <c r="K15" s="802"/>
      <c r="L15" s="802"/>
      <c r="M15" s="802"/>
      <c r="N15" s="802"/>
      <c r="O15" s="803"/>
    </row>
    <row r="16" spans="1:16" ht="15" customHeight="1">
      <c r="A16" s="785" t="s">
        <v>557</v>
      </c>
      <c r="B16" s="786"/>
      <c r="C16" s="786"/>
      <c r="D16" s="786"/>
      <c r="E16" s="786"/>
      <c r="F16" s="786"/>
      <c r="G16" s="786"/>
      <c r="H16" s="786"/>
      <c r="I16" s="786"/>
      <c r="J16" s="786"/>
      <c r="K16" s="786"/>
      <c r="L16" s="786"/>
      <c r="M16" s="786"/>
      <c r="N16" s="786"/>
      <c r="O16" s="787"/>
    </row>
    <row r="17" spans="1:17" ht="15" customHeight="1">
      <c r="A17" s="788"/>
      <c r="B17" s="789" t="s">
        <v>632</v>
      </c>
      <c r="C17" s="794">
        <f>SUM('[19]PT Revenue x LOB &amp; CC'!C24)</f>
        <v>65102.93</v>
      </c>
      <c r="D17" s="794">
        <f>SUM('[19]PT Revenue x LOB &amp; CC'!D24)</f>
        <v>67343.009999999995</v>
      </c>
      <c r="E17" s="794">
        <f>SUM('[19]PT Revenue x LOB &amp; CC'!E24)</f>
        <v>67666.069999999992</v>
      </c>
      <c r="F17" s="794">
        <f>SUM('[19]PT Revenue x LOB &amp; CC'!F24)</f>
        <v>68117.77</v>
      </c>
      <c r="G17" s="794">
        <f>SUM('[19]PT Revenue x LOB &amp; CC'!G24)</f>
        <v>66614.910000000018</v>
      </c>
      <c r="H17" s="794">
        <f>SUM('[19]PT Revenue x LOB &amp; CC'!H24)</f>
        <v>66521.399999999994</v>
      </c>
      <c r="I17" s="794">
        <f>SUM('[19]PT Revenue x LOB &amp; CC'!I24)</f>
        <v>65718.369999999981</v>
      </c>
      <c r="J17" s="794">
        <f>SUM('[19]PT Revenue x LOB &amp; CC'!J24)</f>
        <v>66011.23000000001</v>
      </c>
      <c r="K17" s="794">
        <f>SUM('[19]PT Revenue x LOB &amp; CC'!K24)</f>
        <v>65608.560000000027</v>
      </c>
      <c r="L17" s="794">
        <f>SUM('[19]PT Revenue x LOB &amp; CC'!L24)</f>
        <v>65597.180000000022</v>
      </c>
      <c r="M17" s="794">
        <f>SUM('[19]PT Revenue x LOB &amp; CC'!M24)</f>
        <v>66625.439999999988</v>
      </c>
      <c r="N17" s="794">
        <f>SUM('[19]PT Revenue x LOB &amp; CC'!N24)</f>
        <v>67383.939999999988</v>
      </c>
      <c r="O17" s="554">
        <f t="shared" ref="O17:O27" si="3">SUM(C17:N17)</f>
        <v>798310.81</v>
      </c>
    </row>
    <row r="18" spans="1:17" ht="15" customHeight="1">
      <c r="A18" s="788"/>
      <c r="B18" s="350" t="s">
        <v>1571</v>
      </c>
      <c r="C18" s="794">
        <f>SUM('[19]PT Revenue x LOB &amp; CC'!C42)</f>
        <v>20331.470000000005</v>
      </c>
      <c r="D18" s="794">
        <f>SUM('[19]PT Revenue x LOB &amp; CC'!D42)</f>
        <v>20450.520000000004</v>
      </c>
      <c r="E18" s="794">
        <f>SUM('[19]PT Revenue x LOB &amp; CC'!E42)</f>
        <v>19570.29</v>
      </c>
      <c r="F18" s="794">
        <f>SUM('[19]PT Revenue x LOB &amp; CC'!F42)</f>
        <v>20302.969999999998</v>
      </c>
      <c r="G18" s="794">
        <f>SUM('[19]PT Revenue x LOB &amp; CC'!G42)</f>
        <v>20674.34</v>
      </c>
      <c r="H18" s="794">
        <f>SUM('[19]PT Revenue x LOB &amp; CC'!H42)</f>
        <v>20785.920000000006</v>
      </c>
      <c r="I18" s="794">
        <f>SUM('[19]PT Revenue x LOB &amp; CC'!I42)</f>
        <v>20337.84</v>
      </c>
      <c r="J18" s="794">
        <f>SUM('[19]PT Revenue x LOB &amp; CC'!J42)</f>
        <v>19677.91</v>
      </c>
      <c r="K18" s="794">
        <f>SUM('[19]PT Revenue x LOB &amp; CC'!K42)</f>
        <v>20278.180000000004</v>
      </c>
      <c r="L18" s="794">
        <f>SUM('[19]PT Revenue x LOB &amp; CC'!L42)</f>
        <v>20142.039999999997</v>
      </c>
      <c r="M18" s="794">
        <f>SUM('[19]PT Revenue x LOB &amp; CC'!M42)</f>
        <v>20771.049999999992</v>
      </c>
      <c r="N18" s="794">
        <f>SUM('[19]PT Revenue x LOB &amp; CC'!N42)</f>
        <v>21249.829999999998</v>
      </c>
      <c r="O18" s="554">
        <f t="shared" si="3"/>
        <v>244572.36</v>
      </c>
    </row>
    <row r="19" spans="1:17" ht="15" customHeight="1">
      <c r="A19" s="788"/>
      <c r="B19" s="789" t="s">
        <v>633</v>
      </c>
      <c r="C19" s="794">
        <f>SUM('[19]PT Revenue x LOB &amp; CC'!C171)</f>
        <v>17227.649999999998</v>
      </c>
      <c r="D19" s="794">
        <f>SUM('[19]PT Revenue x LOB &amp; CC'!D171)</f>
        <v>17242.110000000004</v>
      </c>
      <c r="E19" s="794">
        <f>SUM('[19]PT Revenue x LOB &amp; CC'!E171)</f>
        <v>17422.169999999998</v>
      </c>
      <c r="F19" s="794">
        <f>SUM('[19]PT Revenue x LOB &amp; CC'!F171)</f>
        <v>17391.34</v>
      </c>
      <c r="G19" s="794">
        <f>SUM('[19]PT Revenue x LOB &amp; CC'!G171)</f>
        <v>17610.600000000002</v>
      </c>
      <c r="H19" s="794">
        <f>SUM('[19]PT Revenue x LOB &amp; CC'!H171)</f>
        <v>17857.010000000002</v>
      </c>
      <c r="I19" s="794">
        <f>SUM('[19]PT Revenue x LOB &amp; CC'!I171)</f>
        <v>17858.520000000004</v>
      </c>
      <c r="J19" s="794">
        <f>SUM('[19]PT Revenue x LOB &amp; CC'!J171)</f>
        <v>19116.2</v>
      </c>
      <c r="K19" s="794">
        <f>SUM('[19]PT Revenue x LOB &amp; CC'!K171)</f>
        <v>17637.079999999998</v>
      </c>
      <c r="L19" s="794">
        <f>SUM('[19]PT Revenue x LOB &amp; CC'!L171)</f>
        <v>17975.129999999997</v>
      </c>
      <c r="M19" s="794">
        <f>SUM('[19]PT Revenue x LOB &amp; CC'!M171)</f>
        <v>17421.979999999996</v>
      </c>
      <c r="N19" s="794">
        <f>SUM('[19]PT Revenue x LOB &amp; CC'!N171)</f>
        <v>17397.009999999998</v>
      </c>
      <c r="O19" s="554">
        <f t="shared" si="3"/>
        <v>212156.79999999999</v>
      </c>
    </row>
    <row r="20" spans="1:17" ht="15" customHeight="1">
      <c r="A20" s="788"/>
      <c r="B20" s="350" t="s">
        <v>1572</v>
      </c>
      <c r="C20" s="794">
        <f>SUM('[19]PT Revenue x LOB &amp; CC'!C182)</f>
        <v>4092.9299999999994</v>
      </c>
      <c r="D20" s="794">
        <f>SUM('[19]PT Revenue x LOB &amp; CC'!D182)</f>
        <v>4050.3700000000003</v>
      </c>
      <c r="E20" s="794">
        <f>SUM('[19]PT Revenue x LOB &amp; CC'!E182)</f>
        <v>2566.3700000000003</v>
      </c>
      <c r="F20" s="794">
        <f>SUM('[19]PT Revenue x LOB &amp; CC'!F182)</f>
        <v>2751.4</v>
      </c>
      <c r="G20" s="794">
        <f>SUM('[19]PT Revenue x LOB &amp; CC'!G182)</f>
        <v>2654.73</v>
      </c>
      <c r="H20" s="794">
        <f>SUM('[19]PT Revenue x LOB &amp; CC'!H182)</f>
        <v>2606.0899999999997</v>
      </c>
      <c r="I20" s="794">
        <f>SUM('[19]PT Revenue x LOB &amp; CC'!I182)</f>
        <v>2589.0400000000004</v>
      </c>
      <c r="J20" s="794">
        <f>SUM('[19]PT Revenue x LOB &amp; CC'!J182)</f>
        <v>2393.9100000000003</v>
      </c>
      <c r="K20" s="794">
        <f>SUM('[19]PT Revenue x LOB &amp; CC'!K182)</f>
        <v>2597.0799999999995</v>
      </c>
      <c r="L20" s="794">
        <f>SUM('[19]PT Revenue x LOB &amp; CC'!L182)</f>
        <v>2597.0799999999995</v>
      </c>
      <c r="M20" s="794">
        <f>SUM('[19]PT Revenue x LOB &amp; CC'!M182)</f>
        <v>2660.1299999999997</v>
      </c>
      <c r="N20" s="794">
        <f>SUM('[19]PT Revenue x LOB &amp; CC'!N182)</f>
        <v>2665.66</v>
      </c>
      <c r="O20" s="554">
        <f t="shared" si="3"/>
        <v>34224.789999999994</v>
      </c>
    </row>
    <row r="21" spans="1:17" ht="15" customHeight="1">
      <c r="A21" s="788"/>
      <c r="B21" s="789" t="s">
        <v>356</v>
      </c>
      <c r="C21" s="357"/>
      <c r="D21" s="357"/>
      <c r="E21" s="357"/>
      <c r="F21" s="357"/>
      <c r="G21" s="357"/>
      <c r="H21" s="357"/>
      <c r="I21" s="357"/>
      <c r="J21" s="357"/>
      <c r="K21" s="357"/>
      <c r="L21" s="357"/>
      <c r="M21" s="357"/>
      <c r="N21" s="357"/>
      <c r="O21" s="554">
        <f>SUM(C21:N21)</f>
        <v>0</v>
      </c>
    </row>
    <row r="22" spans="1:17" ht="15" customHeight="1">
      <c r="A22" s="788"/>
      <c r="B22" s="789" t="s">
        <v>416</v>
      </c>
      <c r="C22" s="356">
        <f>-SUM('[19]PT Revenue x LOB &amp; CC'!C7:C12,'[19]PT Revenue x LOB &amp; CC'!C16,'[19]PT Revenue x LOB &amp; CC'!C23,'[19]PT Revenue x LOB &amp; CC'!C26:C27,'[19]PT Revenue x LOB &amp; CC'!C29,'[19]PT Revenue x LOB &amp; CC'!C32:C33,'[19]PT Revenue x LOB &amp; CC'!C35)</f>
        <v>-856.18999999999994</v>
      </c>
      <c r="D22" s="356">
        <f>-SUM('[19]PT Revenue x LOB &amp; CC'!D7:D12,'[19]PT Revenue x LOB &amp; CC'!D16,'[19]PT Revenue x LOB &amp; CC'!D23,'[19]PT Revenue x LOB &amp; CC'!D26:D27,'[19]PT Revenue x LOB &amp; CC'!D29,'[19]PT Revenue x LOB &amp; CC'!D32:D33,'[19]PT Revenue x LOB &amp; CC'!D35)</f>
        <v>-1209.75</v>
      </c>
      <c r="E22" s="356">
        <f>-SUM('[19]PT Revenue x LOB &amp; CC'!E7:E12,'[19]PT Revenue x LOB &amp; CC'!E16,'[19]PT Revenue x LOB &amp; CC'!E23,'[19]PT Revenue x LOB &amp; CC'!E26:E27,'[19]PT Revenue x LOB &amp; CC'!E29,'[19]PT Revenue x LOB &amp; CC'!E32:E33,'[19]PT Revenue x LOB &amp; CC'!E35)</f>
        <v>-1444.25</v>
      </c>
      <c r="F22" s="356">
        <f>-SUM('[19]PT Revenue x LOB &amp; CC'!F7:F12,'[19]PT Revenue x LOB &amp; CC'!F16,'[19]PT Revenue x LOB &amp; CC'!F23,'[19]PT Revenue x LOB &amp; CC'!F26:F27,'[19]PT Revenue x LOB &amp; CC'!F29,'[19]PT Revenue x LOB &amp; CC'!F32:F33,'[19]PT Revenue x LOB &amp; CC'!F35)</f>
        <v>-1539.7799999999997</v>
      </c>
      <c r="G22" s="356">
        <f>-SUM('[19]PT Revenue x LOB &amp; CC'!G7:G12,'[19]PT Revenue x LOB &amp; CC'!G16,'[19]PT Revenue x LOB &amp; CC'!G23,'[19]PT Revenue x LOB &amp; CC'!G26:G27,'[19]PT Revenue x LOB &amp; CC'!G29,'[19]PT Revenue x LOB &amp; CC'!G32:G33,'[19]PT Revenue x LOB &amp; CC'!G35)</f>
        <v>-1469.1099999999997</v>
      </c>
      <c r="H22" s="356">
        <f>-SUM('[19]PT Revenue x LOB &amp; CC'!H7:H12,'[19]PT Revenue x LOB &amp; CC'!H16,'[19]PT Revenue x LOB &amp; CC'!H23,'[19]PT Revenue x LOB &amp; CC'!H26:H27,'[19]PT Revenue x LOB &amp; CC'!H29,'[19]PT Revenue x LOB &amp; CC'!H32:H33,'[19]PT Revenue x LOB &amp; CC'!H35)</f>
        <v>-1688.05</v>
      </c>
      <c r="I22" s="356">
        <f>-SUM('[19]PT Revenue x LOB &amp; CC'!I7:I12,'[19]PT Revenue x LOB &amp; CC'!I16,'[19]PT Revenue x LOB &amp; CC'!I23,'[19]PT Revenue x LOB &amp; CC'!I26:I27,'[19]PT Revenue x LOB &amp; CC'!I29,'[19]PT Revenue x LOB &amp; CC'!I32:I33,'[19]PT Revenue x LOB &amp; CC'!I35)</f>
        <v>-1372.54</v>
      </c>
      <c r="J22" s="356">
        <f>-SUM('[19]PT Revenue x LOB &amp; CC'!J7:J12,'[19]PT Revenue x LOB &amp; CC'!J16,'[19]PT Revenue x LOB &amp; CC'!J23,'[19]PT Revenue x LOB &amp; CC'!J26:J27,'[19]PT Revenue x LOB &amp; CC'!J29,'[19]PT Revenue x LOB &amp; CC'!J32:J33,'[19]PT Revenue x LOB &amp; CC'!J35)</f>
        <v>-1449.1100000000001</v>
      </c>
      <c r="K22" s="356">
        <f>-SUM('[19]PT Revenue x LOB &amp; CC'!K7:K12,'[19]PT Revenue x LOB &amp; CC'!K16,'[19]PT Revenue x LOB &amp; CC'!K23,'[19]PT Revenue x LOB &amp; CC'!K26:K27,'[19]PT Revenue x LOB &amp; CC'!K29,'[19]PT Revenue x LOB &amp; CC'!K32:K33,'[19]PT Revenue x LOB &amp; CC'!K35)</f>
        <v>-1055.3699999999999</v>
      </c>
      <c r="L22" s="356">
        <f>-SUM('[19]PT Revenue x LOB &amp; CC'!L7:L12,'[19]PT Revenue x LOB &amp; CC'!L16,'[19]PT Revenue x LOB &amp; CC'!L23,'[19]PT Revenue x LOB &amp; CC'!L26:L27,'[19]PT Revenue x LOB &amp; CC'!L29,'[19]PT Revenue x LOB &amp; CC'!L32:L33,'[19]PT Revenue x LOB &amp; CC'!L35)</f>
        <v>-1159.8799999999999</v>
      </c>
      <c r="M22" s="356">
        <f>-SUM('[19]PT Revenue x LOB &amp; CC'!M7:M12,'[19]PT Revenue x LOB &amp; CC'!M16,'[19]PT Revenue x LOB &amp; CC'!M23,'[19]PT Revenue x LOB &amp; CC'!M26:M27,'[19]PT Revenue x LOB &amp; CC'!M29,'[19]PT Revenue x LOB &amp; CC'!M32:M33,'[19]PT Revenue x LOB &amp; CC'!M35)</f>
        <v>-1171.01</v>
      </c>
      <c r="N22" s="356">
        <f>-SUM('[19]PT Revenue x LOB &amp; CC'!N7:N12,'[19]PT Revenue x LOB &amp; CC'!N16,'[19]PT Revenue x LOB &amp; CC'!N23,'[19]PT Revenue x LOB &amp; CC'!N26:N27,'[19]PT Revenue x LOB &amp; CC'!N29,'[19]PT Revenue x LOB &amp; CC'!N32:N33,'[19]PT Revenue x LOB &amp; CC'!N35)</f>
        <v>-1317.6699999999996</v>
      </c>
      <c r="O22" s="554">
        <f t="shared" si="3"/>
        <v>-15732.709999999997</v>
      </c>
    </row>
    <row r="23" spans="1:17" ht="15" customHeight="1">
      <c r="A23" s="788"/>
      <c r="B23" s="798" t="s">
        <v>417</v>
      </c>
      <c r="C23" s="356">
        <f>-SUM(C19:C20)</f>
        <v>-21320.579999999998</v>
      </c>
      <c r="D23" s="356">
        <f t="shared" ref="D23:N23" si="4">-SUM(D19:D20)</f>
        <v>-21292.480000000003</v>
      </c>
      <c r="E23" s="356">
        <f t="shared" si="4"/>
        <v>-19988.539999999997</v>
      </c>
      <c r="F23" s="356">
        <f t="shared" si="4"/>
        <v>-20142.740000000002</v>
      </c>
      <c r="G23" s="356">
        <f t="shared" si="4"/>
        <v>-20265.330000000002</v>
      </c>
      <c r="H23" s="356">
        <f t="shared" si="4"/>
        <v>-20463.100000000002</v>
      </c>
      <c r="I23" s="356">
        <f t="shared" si="4"/>
        <v>-20447.560000000005</v>
      </c>
      <c r="J23" s="356">
        <f t="shared" si="4"/>
        <v>-21510.11</v>
      </c>
      <c r="K23" s="356">
        <f t="shared" si="4"/>
        <v>-20234.159999999996</v>
      </c>
      <c r="L23" s="356">
        <f t="shared" si="4"/>
        <v>-20572.209999999995</v>
      </c>
      <c r="M23" s="356">
        <f t="shared" si="4"/>
        <v>-20082.109999999997</v>
      </c>
      <c r="N23" s="356">
        <f t="shared" si="4"/>
        <v>-20062.669999999998</v>
      </c>
      <c r="O23" s="554">
        <f t="shared" si="3"/>
        <v>-246381.58999999997</v>
      </c>
    </row>
    <row r="24" spans="1:17" ht="15" customHeight="1">
      <c r="A24" s="788"/>
      <c r="B24" s="789" t="str">
        <f>+B10</f>
        <v>2013-2014 Recycling credits</v>
      </c>
      <c r="C24" s="356">
        <f>-SUM('[19]PT Revenue x LOB &amp; CC'!C22,'[19]PT Revenue x LOB &amp; CC'!C41)</f>
        <v>2425.62</v>
      </c>
      <c r="D24" s="356">
        <f>-SUM('[19]PT Revenue x LOB &amp; CC'!D22,'[19]PT Revenue x LOB &amp; CC'!D41)</f>
        <v>2148.06</v>
      </c>
      <c r="E24" s="356">
        <f>-SUM('[19]PT Revenue x LOB &amp; CC'!E22,'[19]PT Revenue x LOB &amp; CC'!E41)</f>
        <v>2461.9499999999998</v>
      </c>
      <c r="F24" s="356">
        <f>-SUM('[19]PT Revenue x LOB &amp; CC'!F22,'[19]PT Revenue x LOB &amp; CC'!F41)</f>
        <v>1030.55</v>
      </c>
      <c r="G24" s="356">
        <f>-SUM('[19]PT Revenue x LOB &amp; CC'!G22,'[19]PT Revenue x LOB &amp; CC'!G41)</f>
        <v>970.75</v>
      </c>
      <c r="H24" s="356">
        <f>-SUM('[19]PT Revenue x LOB &amp; CC'!H22,'[19]PT Revenue x LOB &amp; CC'!H41)</f>
        <v>1050.6000000000001</v>
      </c>
      <c r="I24" s="356">
        <f>-SUM('[19]PT Revenue x LOB &amp; CC'!I22,'[19]PT Revenue x LOB &amp; CC'!I41)</f>
        <v>962.38000000000011</v>
      </c>
      <c r="J24" s="356">
        <f>-SUM('[19]PT Revenue x LOB &amp; CC'!J22,'[19]PT Revenue x LOB &amp; CC'!J41)</f>
        <v>1025.27</v>
      </c>
      <c r="K24" s="356">
        <f>-SUM('[19]PT Revenue x LOB &amp; CC'!K22,'[19]PT Revenue x LOB &amp; CC'!K41)</f>
        <v>1038.5200000000002</v>
      </c>
      <c r="L24" s="356">
        <f>-SUM('[19]PT Revenue x LOB &amp; CC'!L22,'[19]PT Revenue x LOB &amp; CC'!L41)</f>
        <v>912.37000000000012</v>
      </c>
      <c r="M24" s="356">
        <f>-SUM('[19]PT Revenue x LOB &amp; CC'!M22,'[19]PT Revenue x LOB &amp; CC'!M41)</f>
        <v>974.03</v>
      </c>
      <c r="N24" s="356">
        <f>-SUM('[19]PT Revenue x LOB &amp; CC'!N22,'[19]PT Revenue x LOB &amp; CC'!N41)</f>
        <v>1001.27</v>
      </c>
      <c r="O24" s="151">
        <f t="shared" si="3"/>
        <v>16001.370000000003</v>
      </c>
    </row>
    <row r="25" spans="1:17" ht="15" customHeight="1">
      <c r="A25" s="788"/>
      <c r="B25" s="798" t="s">
        <v>2</v>
      </c>
      <c r="C25" s="356">
        <f>-SUM('[19]PT Revenue x LOB &amp; CC'!C13,'[19]PT Revenue x LOB &amp; CC'!C34)</f>
        <v>-3204.48</v>
      </c>
      <c r="D25" s="356">
        <f>-SUM('[19]PT Revenue x LOB &amp; CC'!D13,'[19]PT Revenue x LOB &amp; CC'!D34)</f>
        <v>-3283.16</v>
      </c>
      <c r="E25" s="356">
        <f>-SUM('[19]PT Revenue x LOB &amp; CC'!E13,'[19]PT Revenue x LOB &amp; CC'!E34)</f>
        <v>-3226.96</v>
      </c>
      <c r="F25" s="356">
        <f>-SUM('[19]PT Revenue x LOB &amp; CC'!F13,'[19]PT Revenue x LOB &amp; CC'!F34)</f>
        <v>-3193.2399999999993</v>
      </c>
      <c r="G25" s="356">
        <f>-SUM('[19]PT Revenue x LOB &amp; CC'!G13,'[19]PT Revenue x LOB &amp; CC'!G34)</f>
        <v>-3159.5199999999995</v>
      </c>
      <c r="H25" s="356">
        <f>-SUM('[19]PT Revenue x LOB &amp; CC'!H13,'[19]PT Revenue x LOB &amp; CC'!H34)</f>
        <v>-3170.7599999999998</v>
      </c>
      <c r="I25" s="356">
        <f>-SUM('[19]PT Revenue x LOB &amp; CC'!I13,'[19]PT Revenue x LOB &amp; CC'!I34)</f>
        <v>-3148.2799999999993</v>
      </c>
      <c r="J25" s="356">
        <f>-SUM('[19]PT Revenue x LOB &amp; CC'!J13,'[19]PT Revenue x LOB &amp; CC'!J34)</f>
        <v>-3193.2399999999993</v>
      </c>
      <c r="K25" s="356">
        <f>-SUM('[19]PT Revenue x LOB &amp; CC'!K13,'[19]PT Revenue x LOB &amp; CC'!K34)</f>
        <v>-3159.5199999999995</v>
      </c>
      <c r="L25" s="356">
        <f>-SUM('[19]PT Revenue x LOB &amp; CC'!L13,'[19]PT Revenue x LOB &amp; CC'!L34)</f>
        <v>-3170.7599999999989</v>
      </c>
      <c r="M25" s="356">
        <f>-SUM('[19]PT Revenue x LOB &amp; CC'!M13,'[19]PT Revenue x LOB &amp; CC'!M34)</f>
        <v>-3226.9599999999991</v>
      </c>
      <c r="N25" s="356">
        <f>-SUM('[19]PT Revenue x LOB &amp; CC'!N13,'[19]PT Revenue x LOB &amp; CC'!N34)</f>
        <v>-3249.4399999999991</v>
      </c>
      <c r="O25" s="554">
        <f t="shared" si="3"/>
        <v>-38386.319999999992</v>
      </c>
    </row>
    <row r="26" spans="1:17" ht="15" customHeight="1">
      <c r="A26" s="788"/>
      <c r="B26" s="789" t="s">
        <v>414</v>
      </c>
      <c r="C26" s="356">
        <f>-SUM('[19]PT Revenue x LOB &amp; CC'!C5,'[19]PT Revenue x LOB &amp; CC'!C25)</f>
        <v>-1.32</v>
      </c>
      <c r="D26" s="356">
        <f>-SUM('[19]PT Revenue x LOB &amp; CC'!D5,'[19]PT Revenue x LOB &amp; CC'!D25)</f>
        <v>-1.32</v>
      </c>
      <c r="E26" s="356">
        <f>-SUM('[19]PT Revenue x LOB &amp; CC'!E5,'[19]PT Revenue x LOB &amp; CC'!E25)</f>
        <v>-1.32</v>
      </c>
      <c r="F26" s="356">
        <f>-SUM('[19]PT Revenue x LOB &amp; CC'!F5,'[19]PT Revenue x LOB &amp; CC'!F25)</f>
        <v>-1.54</v>
      </c>
      <c r="G26" s="356">
        <f>-SUM('[19]PT Revenue x LOB &amp; CC'!G5,'[19]PT Revenue x LOB &amp; CC'!G25)</f>
        <v>-1.54</v>
      </c>
      <c r="H26" s="356">
        <f>-SUM('[19]PT Revenue x LOB &amp; CC'!H5,'[19]PT Revenue x LOB &amp; CC'!H25)</f>
        <v>-1.54</v>
      </c>
      <c r="I26" s="356">
        <f>-SUM('[19]PT Revenue x LOB &amp; CC'!I5,'[19]PT Revenue x LOB &amp; CC'!I25)</f>
        <v>-1.32</v>
      </c>
      <c r="J26" s="356">
        <f>-SUM('[19]PT Revenue x LOB &amp; CC'!J5,'[19]PT Revenue x LOB &amp; CC'!J25)</f>
        <v>-1.54</v>
      </c>
      <c r="K26" s="356">
        <f>-SUM('[19]PT Revenue x LOB &amp; CC'!K5,'[19]PT Revenue x LOB &amp; CC'!K25)</f>
        <v>-1.32</v>
      </c>
      <c r="L26" s="356">
        <f>-SUM('[19]PT Revenue x LOB &amp; CC'!L5,'[19]PT Revenue x LOB &amp; CC'!L25)</f>
        <v>-1.32</v>
      </c>
      <c r="M26" s="356">
        <f>-SUM('[19]PT Revenue x LOB &amp; CC'!M5,'[19]PT Revenue x LOB &amp; CC'!M25)</f>
        <v>-1.32</v>
      </c>
      <c r="N26" s="356">
        <f>-SUM('[19]PT Revenue x LOB &amp; CC'!N5,'[19]PT Revenue x LOB &amp; CC'!N25)</f>
        <v>-1.32</v>
      </c>
      <c r="O26" s="554">
        <f t="shared" si="3"/>
        <v>-16.720000000000002</v>
      </c>
    </row>
    <row r="27" spans="1:17" ht="15" customHeight="1">
      <c r="A27" s="788"/>
      <c r="B27" s="789" t="s">
        <v>418</v>
      </c>
      <c r="C27" s="356"/>
      <c r="D27" s="356"/>
      <c r="E27" s="356"/>
      <c r="F27" s="356"/>
      <c r="G27" s="356"/>
      <c r="H27" s="356"/>
      <c r="I27" s="356"/>
      <c r="J27" s="356"/>
      <c r="K27" s="356"/>
      <c r="L27" s="356"/>
      <c r="M27" s="356"/>
      <c r="N27" s="356"/>
      <c r="O27" s="151">
        <f t="shared" si="3"/>
        <v>0</v>
      </c>
    </row>
    <row r="28" spans="1:17" ht="15" customHeight="1">
      <c r="A28" s="788"/>
      <c r="B28" s="789"/>
      <c r="C28" s="358">
        <f>SUM(C16:C27)</f>
        <v>83798.029999999984</v>
      </c>
      <c r="D28" s="358">
        <f t="shared" ref="D28:N28" si="5">SUM(D16:D27)</f>
        <v>85447.359999999986</v>
      </c>
      <c r="E28" s="358">
        <f t="shared" si="5"/>
        <v>85025.77999999997</v>
      </c>
      <c r="F28" s="358">
        <f t="shared" si="5"/>
        <v>84716.73</v>
      </c>
      <c r="G28" s="358">
        <f t="shared" si="5"/>
        <v>83629.830000000016</v>
      </c>
      <c r="H28" s="358">
        <f t="shared" si="5"/>
        <v>83497.570000000022</v>
      </c>
      <c r="I28" s="358">
        <f t="shared" si="5"/>
        <v>82496.449999999983</v>
      </c>
      <c r="J28" s="358">
        <f t="shared" si="5"/>
        <v>82070.520000000019</v>
      </c>
      <c r="K28" s="358">
        <f t="shared" si="5"/>
        <v>82709.050000000047</v>
      </c>
      <c r="L28" s="358">
        <f t="shared" si="5"/>
        <v>82319.63</v>
      </c>
      <c r="M28" s="358">
        <f t="shared" si="5"/>
        <v>83971.229999999981</v>
      </c>
      <c r="N28" s="358">
        <f t="shared" si="5"/>
        <v>85066.609999999986</v>
      </c>
      <c r="O28" s="793">
        <f>SUM(O16:O27)</f>
        <v>1004748.7900000002</v>
      </c>
    </row>
    <row r="29" spans="1:17" ht="15" customHeight="1">
      <c r="A29" s="791"/>
      <c r="B29" s="792"/>
      <c r="C29" s="799"/>
      <c r="D29" s="799"/>
      <c r="E29" s="799"/>
      <c r="F29" s="799"/>
      <c r="G29" s="799"/>
      <c r="H29" s="799"/>
      <c r="I29" s="799"/>
      <c r="J29" s="799"/>
      <c r="K29" s="799"/>
      <c r="L29" s="799"/>
      <c r="M29" s="799"/>
      <c r="N29" s="799"/>
      <c r="O29" s="797">
        <f>O28-O22</f>
        <v>1020481.5000000001</v>
      </c>
    </row>
    <row r="30" spans="1:17" ht="15" customHeight="1">
      <c r="A30" s="801"/>
      <c r="B30" s="802"/>
      <c r="C30" s="802"/>
      <c r="D30" s="802"/>
      <c r="E30" s="802"/>
      <c r="F30" s="802"/>
      <c r="G30" s="802"/>
      <c r="H30" s="802"/>
      <c r="I30" s="802"/>
      <c r="J30" s="802"/>
      <c r="K30" s="802"/>
      <c r="L30" s="802"/>
      <c r="M30" s="802"/>
      <c r="N30" s="802"/>
      <c r="O30" s="803"/>
      <c r="P30" s="789"/>
      <c r="Q30" s="789"/>
    </row>
    <row r="31" spans="1:17" ht="15" customHeight="1">
      <c r="A31" s="785"/>
      <c r="B31" s="786" t="s">
        <v>419</v>
      </c>
      <c r="C31" s="1268">
        <f>Disposal!F48</f>
        <v>110.8435434115674</v>
      </c>
      <c r="D31" s="1268">
        <f>Disposal!G48</f>
        <v>114.34516508467013</v>
      </c>
      <c r="E31" s="1268">
        <f>Disposal!H48</f>
        <v>100.41244887789065</v>
      </c>
      <c r="F31" s="1268">
        <f>Disposal!I48</f>
        <v>123.60987785877725</v>
      </c>
      <c r="G31" s="1268">
        <f>Disposal!J48</f>
        <v>106.93044925942105</v>
      </c>
      <c r="H31" s="1268">
        <f>Disposal!K48</f>
        <v>87.706460251965936</v>
      </c>
      <c r="I31" s="1268">
        <f>Disposal!L48</f>
        <v>106.95860195358431</v>
      </c>
      <c r="J31" s="1268">
        <f>Disposal!M48</f>
        <v>124.77417423359402</v>
      </c>
      <c r="K31" s="1268">
        <f>Disposal!N48</f>
        <v>105.31727381655674</v>
      </c>
      <c r="L31" s="1268">
        <f>Disposal!O48</f>
        <v>96.383615871962036</v>
      </c>
      <c r="M31" s="1268">
        <f>Disposal!P48</f>
        <v>89.447756520582487</v>
      </c>
      <c r="N31" s="1268">
        <f>Disposal!Q48</f>
        <v>85.689762859428214</v>
      </c>
      <c r="O31" s="793">
        <f t="shared" ref="O31:O40" si="6">SUM(C31:N31)</f>
        <v>1252.4191300000002</v>
      </c>
    </row>
    <row r="32" spans="1:17" ht="15" customHeight="1">
      <c r="A32" s="788" t="s">
        <v>0</v>
      </c>
      <c r="B32" s="789"/>
      <c r="C32" s="789"/>
      <c r="D32" s="789"/>
      <c r="E32" s="789"/>
      <c r="F32" s="789"/>
      <c r="G32" s="789"/>
      <c r="H32" s="789"/>
      <c r="I32" s="789"/>
      <c r="J32" s="789"/>
      <c r="K32" s="789"/>
      <c r="L32" s="789"/>
      <c r="M32" s="789"/>
      <c r="N32" s="789"/>
      <c r="O32" s="790"/>
    </row>
    <row r="33" spans="1:16" ht="15" customHeight="1">
      <c r="A33" s="788"/>
      <c r="B33" s="789" t="s">
        <v>653</v>
      </c>
      <c r="C33" s="794">
        <f>SUM('[19]PT Revenue x LOB &amp; CC'!C60)</f>
        <v>45474.789999999994</v>
      </c>
      <c r="D33" s="794">
        <f>SUM('[19]PT Revenue x LOB &amp; CC'!D60)</f>
        <v>41124.210000000006</v>
      </c>
      <c r="E33" s="794">
        <f>SUM('[19]PT Revenue x LOB &amp; CC'!E60)</f>
        <v>35947.209999999992</v>
      </c>
      <c r="F33" s="794">
        <f>SUM('[19]PT Revenue x LOB &amp; CC'!F60)</f>
        <v>41263.000000000007</v>
      </c>
      <c r="G33" s="794">
        <f>SUM('[19]PT Revenue x LOB &amp; CC'!G60)</f>
        <v>39103.340000000011</v>
      </c>
      <c r="H33" s="794">
        <f>SUM('[19]PT Revenue x LOB &amp; CC'!H60)</f>
        <v>46146.399999999994</v>
      </c>
      <c r="I33" s="794">
        <f>SUM('[19]PT Revenue x LOB &amp; CC'!I60)</f>
        <v>42530.11</v>
      </c>
      <c r="J33" s="794">
        <f>SUM('[19]PT Revenue x LOB &amp; CC'!J60)</f>
        <v>37745.280000000006</v>
      </c>
      <c r="K33" s="794">
        <f>SUM('[19]PT Revenue x LOB &amp; CC'!K60)</f>
        <v>49483.43</v>
      </c>
      <c r="L33" s="794">
        <f>SUM('[19]PT Revenue x LOB &amp; CC'!L60)</f>
        <v>45860.54</v>
      </c>
      <c r="M33" s="794">
        <f>SUM('[19]PT Revenue x LOB &amp; CC'!M60)</f>
        <v>45015.039999999994</v>
      </c>
      <c r="N33" s="794">
        <f>SUM('[19]PT Revenue x LOB &amp; CC'!N60)</f>
        <v>50205.71</v>
      </c>
      <c r="O33" s="554">
        <f>SUM(C33:N33)</f>
        <v>519899.06</v>
      </c>
    </row>
    <row r="34" spans="1:16" ht="15" customHeight="1">
      <c r="A34" s="788"/>
      <c r="B34" s="350" t="s">
        <v>1573</v>
      </c>
      <c r="C34" s="794">
        <f>SUM('[19]PT Revenue x LOB &amp; CC'!C76)</f>
        <v>33645.18</v>
      </c>
      <c r="D34" s="794">
        <f>SUM('[19]PT Revenue x LOB &amp; CC'!D76)</f>
        <v>36046.28</v>
      </c>
      <c r="E34" s="794">
        <f>SUM('[19]PT Revenue x LOB &amp; CC'!E76)</f>
        <v>34302.019999999997</v>
      </c>
      <c r="F34" s="794">
        <f>SUM('[19]PT Revenue x LOB &amp; CC'!F76)</f>
        <v>37691.509999999995</v>
      </c>
      <c r="G34" s="794">
        <f>SUM('[19]PT Revenue x LOB &amp; CC'!G76)</f>
        <v>32012.339999999993</v>
      </c>
      <c r="H34" s="794">
        <f>SUM('[19]PT Revenue x LOB &amp; CC'!H76)</f>
        <v>28401.39</v>
      </c>
      <c r="I34" s="794">
        <f>SUM('[19]PT Revenue x LOB &amp; CC'!I76)</f>
        <v>32270.649999999998</v>
      </c>
      <c r="J34" s="794">
        <f>SUM('[19]PT Revenue x LOB &amp; CC'!J76)</f>
        <v>30973.709999999995</v>
      </c>
      <c r="K34" s="794">
        <f>SUM('[19]PT Revenue x LOB &amp; CC'!K76)</f>
        <v>32396.019999999993</v>
      </c>
      <c r="L34" s="794">
        <f>SUM('[19]PT Revenue x LOB &amp; CC'!L76)</f>
        <v>25690.089999999997</v>
      </c>
      <c r="M34" s="794">
        <f>SUM('[19]PT Revenue x LOB &amp; CC'!M76)</f>
        <v>30983.84</v>
      </c>
      <c r="N34" s="794">
        <f>SUM('[19]PT Revenue x LOB &amp; CC'!N76)</f>
        <v>30120.32</v>
      </c>
      <c r="O34" s="554">
        <f>SUM(C34:N34)</f>
        <v>384533.35</v>
      </c>
    </row>
    <row r="35" spans="1:16" ht="15" customHeight="1">
      <c r="A35" s="788"/>
      <c r="B35" s="789" t="s">
        <v>420</v>
      </c>
      <c r="C35" s="357">
        <f>-C31*Disposal!F103</f>
        <v>-13320.068611768054</v>
      </c>
      <c r="D35" s="357">
        <f>-D31*Disposal!G103</f>
        <v>-13740.858488224809</v>
      </c>
      <c r="E35" s="357">
        <f>-E31*Disposal!H103</f>
        <v>-12066.56398165612</v>
      </c>
      <c r="F35" s="357">
        <f>-F31*Disposal!I103</f>
        <v>-14854.199022289262</v>
      </c>
      <c r="G35" s="357">
        <f>-G31*Disposal!J103</f>
        <v>-12849.832087504628</v>
      </c>
      <c r="H35" s="357">
        <f>-H31*Disposal!K103</f>
        <v>-10539.685328478747</v>
      </c>
      <c r="I35" s="357">
        <f>-I31*Disposal!L103</f>
        <v>-12853.215196762227</v>
      </c>
      <c r="J35" s="357">
        <f>-J31*Disposal!M103</f>
        <v>-14994.112517650994</v>
      </c>
      <c r="K35" s="357">
        <f>-K31*Disposal!N103</f>
        <v>-12655.976794535623</v>
      </c>
      <c r="L35" s="357">
        <f>-L31*Disposal!O103</f>
        <v>-11582.419119333677</v>
      </c>
      <c r="M35" s="357">
        <f>-M31*Disposal!P103</f>
        <v>-10748.936901078398</v>
      </c>
      <c r="N35" s="357">
        <f>-N31*Disposal!Q103</f>
        <v>-10297.338802817489</v>
      </c>
      <c r="O35" s="795">
        <f>SUM(C35:N35)</f>
        <v>-150503.20685210003</v>
      </c>
    </row>
    <row r="36" spans="1:16" ht="15" customHeight="1">
      <c r="A36" s="788"/>
      <c r="B36" s="789" t="s">
        <v>1568</v>
      </c>
      <c r="C36" s="356">
        <f>-SUM('[19]PT Revenue x LOB &amp; CC (IR)'!C27)</f>
        <v>-39988.58</v>
      </c>
      <c r="D36" s="356">
        <f>-SUM('[19]PT Revenue x LOB &amp; CC (IR)'!D27)</f>
        <v>-34591.440000000002</v>
      </c>
      <c r="E36" s="356">
        <f>-SUM('[19]PT Revenue x LOB &amp; CC (IR)'!E27)</f>
        <v>-31881.549999999996</v>
      </c>
      <c r="F36" s="356">
        <f>-SUM('[19]PT Revenue x LOB &amp; CC (IR)'!F27)</f>
        <v>-35130.170000000006</v>
      </c>
      <c r="G36" s="356">
        <f>-SUM('[19]PT Revenue x LOB &amp; CC (IR)'!G27)</f>
        <v>-31851.1</v>
      </c>
      <c r="H36" s="356">
        <f>-SUM('[19]PT Revenue x LOB &amp; CC (IR)'!H27)</f>
        <v>-38288.889999999992</v>
      </c>
      <c r="I36" s="356">
        <f>-SUM('[19]PT Revenue x LOB &amp; CC (IR)'!I27)</f>
        <v>-38793.389999999992</v>
      </c>
      <c r="J36" s="356">
        <f>-SUM('[19]PT Revenue x LOB &amp; CC (IR)'!J27)</f>
        <v>-34798.11</v>
      </c>
      <c r="K36" s="356">
        <f>-SUM('[19]PT Revenue x LOB &amp; CC (IR)'!K27)</f>
        <v>-45945.729999999996</v>
      </c>
      <c r="L36" s="356">
        <f>-SUM('[19]PT Revenue x LOB &amp; CC (IR)'!L27)</f>
        <v>-41423.550000000003</v>
      </c>
      <c r="M36" s="356">
        <f>-SUM('[19]PT Revenue x LOB &amp; CC (IR)'!M27)</f>
        <v>-41843.32</v>
      </c>
      <c r="N36" s="356">
        <f>-SUM('[19]PT Revenue x LOB &amp; CC (IR)'!N27)</f>
        <v>-45027.38</v>
      </c>
      <c r="O36" s="554">
        <f t="shared" si="6"/>
        <v>-459563.20999999996</v>
      </c>
    </row>
    <row r="37" spans="1:16" ht="15" customHeight="1">
      <c r="A37" s="788"/>
      <c r="B37" s="789" t="s">
        <v>416</v>
      </c>
      <c r="C37" s="356">
        <f>-SUM('[19]PT Revenue x LOB &amp; CC'!C45,'[19]PT Revenue x LOB &amp; CC'!C50,'[19]PT Revenue x LOB &amp; CC'!C52,'[19]PT Revenue x LOB &amp; CC'!C56,'[19]PT Revenue x LOB &amp; CC'!C58,'[19]PT Revenue x LOB &amp; CC'!C62:C63,'[19]PT Revenue x LOB &amp; CC'!C69)</f>
        <v>-257.19000000000005</v>
      </c>
      <c r="D37" s="356">
        <f>-SUM('[19]PT Revenue x LOB &amp; CC'!D45,'[19]PT Revenue x LOB &amp; CC'!D50,'[19]PT Revenue x LOB &amp; CC'!D52,'[19]PT Revenue x LOB &amp; CC'!D56,'[19]PT Revenue x LOB &amp; CC'!D58,'[19]PT Revenue x LOB &amp; CC'!D62:D63,'[19]PT Revenue x LOB &amp; CC'!D69)</f>
        <v>-215.04000000000002</v>
      </c>
      <c r="E37" s="356">
        <f>-SUM('[19]PT Revenue x LOB &amp; CC'!E45,'[19]PT Revenue x LOB &amp; CC'!E50,'[19]PT Revenue x LOB &amp; CC'!E52,'[19]PT Revenue x LOB &amp; CC'!E56,'[19]PT Revenue x LOB &amp; CC'!E58,'[19]PT Revenue x LOB &amp; CC'!E62:E63,'[19]PT Revenue x LOB &amp; CC'!E69)</f>
        <v>-452.19000000000005</v>
      </c>
      <c r="F37" s="356">
        <f>-SUM('[19]PT Revenue x LOB &amp; CC'!F45,'[19]PT Revenue x LOB &amp; CC'!F50,'[19]PT Revenue x LOB &amp; CC'!F52,'[19]PT Revenue x LOB &amp; CC'!F56,'[19]PT Revenue x LOB &amp; CC'!F58,'[19]PT Revenue x LOB &amp; CC'!F62:F63,'[19]PT Revenue x LOB &amp; CC'!F69)</f>
        <v>-2.1900000000000119</v>
      </c>
      <c r="G37" s="356">
        <f>-SUM('[19]PT Revenue x LOB &amp; CC'!G45,'[19]PT Revenue x LOB &amp; CC'!G50,'[19]PT Revenue x LOB &amp; CC'!G52,'[19]PT Revenue x LOB &amp; CC'!G56,'[19]PT Revenue x LOB &amp; CC'!G58,'[19]PT Revenue x LOB &amp; CC'!G62:G63,'[19]PT Revenue x LOB &amp; CC'!G69)</f>
        <v>-426.66</v>
      </c>
      <c r="H37" s="356">
        <f>-SUM('[19]PT Revenue x LOB &amp; CC'!H45,'[19]PT Revenue x LOB &amp; CC'!H50,'[19]PT Revenue x LOB &amp; CC'!H52,'[19]PT Revenue x LOB &amp; CC'!H56,'[19]PT Revenue x LOB &amp; CC'!H58,'[19]PT Revenue x LOB &amp; CC'!H62:H63,'[19]PT Revenue x LOB &amp; CC'!H69)</f>
        <v>-475.35</v>
      </c>
      <c r="I37" s="356">
        <f>-SUM('[19]PT Revenue x LOB &amp; CC'!I45,'[19]PT Revenue x LOB &amp; CC'!I50,'[19]PT Revenue x LOB &amp; CC'!I52,'[19]PT Revenue x LOB &amp; CC'!I56,'[19]PT Revenue x LOB &amp; CC'!I58,'[19]PT Revenue x LOB &amp; CC'!I62:I63,'[19]PT Revenue x LOB &amp; CC'!I69)</f>
        <v>-282.19</v>
      </c>
      <c r="J37" s="356">
        <f>-SUM('[19]PT Revenue x LOB &amp; CC'!J45,'[19]PT Revenue x LOB &amp; CC'!J50,'[19]PT Revenue x LOB &amp; CC'!J52,'[19]PT Revenue x LOB &amp; CC'!J56,'[19]PT Revenue x LOB &amp; CC'!J58,'[19]PT Revenue x LOB &amp; CC'!J62:J63,'[19]PT Revenue x LOB &amp; CC'!J69)</f>
        <v>-470.04</v>
      </c>
      <c r="K37" s="356">
        <f>-SUM('[19]PT Revenue x LOB &amp; CC'!K45,'[19]PT Revenue x LOB &amp; CC'!K50,'[19]PT Revenue x LOB &amp; CC'!K52,'[19]PT Revenue x LOB &amp; CC'!K56,'[19]PT Revenue x LOB &amp; CC'!K58,'[19]PT Revenue x LOB &amp; CC'!K62:K63,'[19]PT Revenue x LOB &amp; CC'!K69)</f>
        <v>-385</v>
      </c>
      <c r="L37" s="356">
        <f>-SUM('[19]PT Revenue x LOB &amp; CC'!L45,'[19]PT Revenue x LOB &amp; CC'!L50,'[19]PT Revenue x LOB &amp; CC'!L52,'[19]PT Revenue x LOB &amp; CC'!L56,'[19]PT Revenue x LOB &amp; CC'!L58,'[19]PT Revenue x LOB &amp; CC'!L62:L63,'[19]PT Revenue x LOB &amp; CC'!L69)</f>
        <v>-148.22</v>
      </c>
      <c r="M37" s="356">
        <f>-SUM('[19]PT Revenue x LOB &amp; CC'!M45,'[19]PT Revenue x LOB &amp; CC'!M50,'[19]PT Revenue x LOB &amp; CC'!M52,'[19]PT Revenue x LOB &amp; CC'!M56,'[19]PT Revenue x LOB &amp; CC'!M58,'[19]PT Revenue x LOB &amp; CC'!M62:M63,'[19]PT Revenue x LOB &amp; CC'!M69)</f>
        <v>-80</v>
      </c>
      <c r="N37" s="356">
        <f>-SUM('[19]PT Revenue x LOB &amp; CC'!N45,'[19]PT Revenue x LOB &amp; CC'!N50,'[19]PT Revenue x LOB &amp; CC'!N52,'[19]PT Revenue x LOB &amp; CC'!N56,'[19]PT Revenue x LOB &amp; CC'!N58,'[19]PT Revenue x LOB &amp; CC'!N62:N63,'[19]PT Revenue x LOB &amp; CC'!N69)</f>
        <v>-734.3</v>
      </c>
      <c r="O37" s="554">
        <f t="shared" si="6"/>
        <v>-3928.37</v>
      </c>
      <c r="P37" s="350" t="s">
        <v>21</v>
      </c>
    </row>
    <row r="38" spans="1:16" ht="15" customHeight="1">
      <c r="A38" s="788"/>
      <c r="B38" s="789" t="s">
        <v>421</v>
      </c>
      <c r="C38" s="356">
        <f>-SUM('[19]PT Revenue x LOB &amp; CC'!C47,'[19]PT Revenue x LOB &amp; CC'!C66)</f>
        <v>-538.9</v>
      </c>
      <c r="D38" s="356">
        <f>-SUM('[19]PT Revenue x LOB &amp; CC'!D47,'[19]PT Revenue x LOB &amp; CC'!D66)</f>
        <v>-464.1</v>
      </c>
      <c r="E38" s="356">
        <f>-SUM('[19]PT Revenue x LOB &amp; CC'!E47,'[19]PT Revenue x LOB &amp; CC'!E66)</f>
        <v>-316.2</v>
      </c>
      <c r="F38" s="356">
        <f>-SUM('[19]PT Revenue x LOB &amp; CC'!F47,'[19]PT Revenue x LOB &amp; CC'!F66)</f>
        <v>-465.8</v>
      </c>
      <c r="G38" s="356">
        <f>-SUM('[19]PT Revenue x LOB &amp; CC'!G47,'[19]PT Revenue x LOB &amp; CC'!G66)</f>
        <v>-459</v>
      </c>
      <c r="H38" s="356">
        <f>-SUM('[19]PT Revenue x LOB &amp; CC'!H47,'[19]PT Revenue x LOB &amp; CC'!H66)</f>
        <v>-408</v>
      </c>
      <c r="I38" s="356">
        <f>-SUM('[19]PT Revenue x LOB &amp; CC'!I47,'[19]PT Revenue x LOB &amp; CC'!I66)</f>
        <v>-479.4</v>
      </c>
      <c r="J38" s="356">
        <f>-SUM('[19]PT Revenue x LOB &amp; CC'!J47,'[19]PT Revenue x LOB &amp; CC'!J66)</f>
        <v>-392.70000000000005</v>
      </c>
      <c r="K38" s="356">
        <f>-SUM('[19]PT Revenue x LOB &amp; CC'!K47,'[19]PT Revenue x LOB &amp; CC'!K66)</f>
        <v>-520.20000000000005</v>
      </c>
      <c r="L38" s="356">
        <f>-SUM('[19]PT Revenue x LOB &amp; CC'!L47,'[19]PT Revenue x LOB &amp; CC'!L66)</f>
        <v>-414.79999999999995</v>
      </c>
      <c r="M38" s="356">
        <f>-SUM('[19]PT Revenue x LOB &amp; CC'!M47,'[19]PT Revenue x LOB &amp; CC'!M66)</f>
        <v>-448.80000000000007</v>
      </c>
      <c r="N38" s="356">
        <f>-SUM('[19]PT Revenue x LOB &amp; CC'!N47,'[19]PT Revenue x LOB &amp; CC'!N66)</f>
        <v>-370.6</v>
      </c>
      <c r="O38" s="151">
        <f t="shared" si="6"/>
        <v>-5278.5000000000009</v>
      </c>
    </row>
    <row r="39" spans="1:16" ht="15" customHeight="1">
      <c r="A39" s="788"/>
      <c r="B39" s="789" t="str">
        <f>+B24</f>
        <v>2013-2014 Recycling credits</v>
      </c>
      <c r="C39" s="356">
        <f>-SUM('[19]PT Revenue x LOB &amp; CC'!C59,'[19]PT Revenue x LOB &amp; CC'!C75)</f>
        <v>1582.6000000000001</v>
      </c>
      <c r="D39" s="356">
        <f>-SUM('[19]PT Revenue x LOB &amp; CC'!D59,'[19]PT Revenue x LOB &amp; CC'!D75)</f>
        <v>1389.6</v>
      </c>
      <c r="E39" s="356">
        <f>-SUM('[19]PT Revenue x LOB &amp; CC'!E59,'[19]PT Revenue x LOB &amp; CC'!E75)</f>
        <v>1274.97</v>
      </c>
      <c r="F39" s="356">
        <f>-SUM('[19]PT Revenue x LOB &amp; CC'!F59,'[19]PT Revenue x LOB &amp; CC'!F75)</f>
        <v>722.4</v>
      </c>
      <c r="G39" s="356">
        <f>-SUM('[19]PT Revenue x LOB &amp; CC'!G59,'[19]PT Revenue x LOB &amp; CC'!G75)</f>
        <v>604.79999999999995</v>
      </c>
      <c r="H39" s="356">
        <f>-SUM('[19]PT Revenue x LOB &amp; CC'!H59,'[19]PT Revenue x LOB &amp; CC'!H75)</f>
        <v>657.06</v>
      </c>
      <c r="I39" s="356">
        <f>-SUM('[19]PT Revenue x LOB &amp; CC'!I59,'[19]PT Revenue x LOB &amp; CC'!I75)</f>
        <v>688.8</v>
      </c>
      <c r="J39" s="356">
        <f>-SUM('[19]PT Revenue x LOB &amp; CC'!J59,'[19]PT Revenue x LOB &amp; CC'!J75)</f>
        <v>688.8</v>
      </c>
      <c r="K39" s="356">
        <f>-SUM('[19]PT Revenue x LOB &amp; CC'!K59,'[19]PT Revenue x LOB &amp; CC'!K75)</f>
        <v>689.22</v>
      </c>
      <c r="L39" s="356">
        <f>-SUM('[19]PT Revenue x LOB &amp; CC'!L59,'[19]PT Revenue x LOB &amp; CC'!L75)</f>
        <v>604.79999999999995</v>
      </c>
      <c r="M39" s="356">
        <f>-SUM('[19]PT Revenue x LOB &amp; CC'!M59,'[19]PT Revenue x LOB &amp; CC'!M75)</f>
        <v>655.20000000000005</v>
      </c>
      <c r="N39" s="356">
        <f>-SUM('[19]PT Revenue x LOB &amp; CC'!N59,'[19]PT Revenue x LOB &amp; CC'!N75)</f>
        <v>604.79999999999995</v>
      </c>
      <c r="O39" s="151">
        <f t="shared" si="6"/>
        <v>10163.049999999999</v>
      </c>
    </row>
    <row r="40" spans="1:16" ht="15" customHeight="1">
      <c r="A40" s="788"/>
      <c r="B40" s="789" t="s">
        <v>422</v>
      </c>
      <c r="C40" s="356">
        <f>-SUM('[19]PT Revenue x LOB &amp; CC'!C51,'[19]PT Revenue x LOB &amp; CC'!C70)</f>
        <v>-191.07999999999998</v>
      </c>
      <c r="D40" s="356">
        <f>-SUM('[19]PT Revenue x LOB &amp; CC'!D51,'[19]PT Revenue x LOB &amp; CC'!D70)</f>
        <v>-258.52</v>
      </c>
      <c r="E40" s="356">
        <f>-SUM('[19]PT Revenue x LOB &amp; CC'!E51,'[19]PT Revenue x LOB &amp; CC'!E70)</f>
        <v>-236.04</v>
      </c>
      <c r="F40" s="356">
        <f>-SUM('[19]PT Revenue x LOB &amp; CC'!F51,'[19]PT Revenue x LOB &amp; CC'!F70)</f>
        <v>-224.8</v>
      </c>
      <c r="G40" s="356">
        <f>-SUM('[19]PT Revenue x LOB &amp; CC'!G51,'[19]PT Revenue x LOB &amp; CC'!G70)</f>
        <v>-202.32</v>
      </c>
      <c r="H40" s="356">
        <f>-SUM('[19]PT Revenue x LOB &amp; CC'!H51,'[19]PT Revenue x LOB &amp; CC'!H70)</f>
        <v>-218</v>
      </c>
      <c r="I40" s="356">
        <f>-SUM('[19]PT Revenue x LOB &amp; CC'!I51,'[19]PT Revenue x LOB &amp; CC'!I70)</f>
        <v>-179.83999999999997</v>
      </c>
      <c r="J40" s="356">
        <f>-SUM('[19]PT Revenue x LOB &amp; CC'!J51,'[19]PT Revenue x LOB &amp; CC'!J70)</f>
        <v>-191.07999999999998</v>
      </c>
      <c r="K40" s="356">
        <f>-SUM('[19]PT Revenue x LOB &amp; CC'!K51,'[19]PT Revenue x LOB &amp; CC'!K70)</f>
        <v>-194.41</v>
      </c>
      <c r="L40" s="356">
        <f>-SUM('[19]PT Revenue x LOB &amp; CC'!L51,'[19]PT Revenue x LOB &amp; CC'!L70)</f>
        <v>-157.36000000000001</v>
      </c>
      <c r="M40" s="356">
        <f>-SUM('[19]PT Revenue x LOB &amp; CC'!M51,'[19]PT Revenue x LOB &amp; CC'!M70)</f>
        <v>-157.35999999999999</v>
      </c>
      <c r="N40" s="356">
        <f>-SUM('[19]PT Revenue x LOB &amp; CC'!N51,'[19]PT Revenue x LOB &amp; CC'!N70)</f>
        <v>-179.83999999999997</v>
      </c>
      <c r="O40" s="151">
        <f t="shared" si="6"/>
        <v>-2390.65</v>
      </c>
    </row>
    <row r="41" spans="1:16" ht="15" customHeight="1">
      <c r="A41" s="791"/>
      <c r="B41" s="792"/>
      <c r="C41" s="796">
        <f>SUM(C32:C40)</f>
        <v>26406.751388231936</v>
      </c>
      <c r="D41" s="796">
        <f t="shared" ref="D41:N41" si="7">SUM(D32:D40)</f>
        <v>29290.131511775191</v>
      </c>
      <c r="E41" s="796">
        <f t="shared" si="7"/>
        <v>26571.656018343871</v>
      </c>
      <c r="F41" s="796">
        <f t="shared" si="7"/>
        <v>28999.750977710744</v>
      </c>
      <c r="G41" s="796">
        <f t="shared" si="7"/>
        <v>25931.567912495382</v>
      </c>
      <c r="H41" s="796">
        <f t="shared" si="7"/>
        <v>25274.924671521254</v>
      </c>
      <c r="I41" s="796">
        <f t="shared" si="7"/>
        <v>22901.524803237775</v>
      </c>
      <c r="J41" s="796">
        <f t="shared" si="7"/>
        <v>18561.747482349005</v>
      </c>
      <c r="K41" s="796">
        <f t="shared" si="7"/>
        <v>22867.353205464373</v>
      </c>
      <c r="L41" s="796">
        <f t="shared" si="7"/>
        <v>18429.080880666326</v>
      </c>
      <c r="M41" s="796">
        <f t="shared" si="7"/>
        <v>23375.663098921592</v>
      </c>
      <c r="N41" s="796">
        <f t="shared" si="7"/>
        <v>24321.371197182521</v>
      </c>
      <c r="O41" s="797">
        <f>SUM(O32:O40)</f>
        <v>292931.52314789983</v>
      </c>
    </row>
    <row r="42" spans="1:16" ht="15" customHeight="1">
      <c r="A42" s="801"/>
      <c r="B42" s="802"/>
      <c r="C42" s="802"/>
      <c r="D42" s="802"/>
      <c r="E42" s="802"/>
      <c r="F42" s="802"/>
      <c r="G42" s="802"/>
      <c r="H42" s="802"/>
      <c r="I42" s="802"/>
      <c r="J42" s="802"/>
      <c r="K42" s="802"/>
      <c r="L42" s="802"/>
      <c r="M42" s="802"/>
      <c r="N42" s="802"/>
      <c r="O42" s="803"/>
    </row>
    <row r="43" spans="1:16" ht="15" customHeight="1">
      <c r="B43" s="350" t="s">
        <v>423</v>
      </c>
      <c r="C43" s="359">
        <f>+C13+C28+C41</f>
        <v>430935.25138823182</v>
      </c>
      <c r="D43" s="359">
        <f t="shared" ref="D43:N43" si="8">+D13+D28+D41</f>
        <v>432787.22151177522</v>
      </c>
      <c r="E43" s="359">
        <f t="shared" si="8"/>
        <v>480949.00601834385</v>
      </c>
      <c r="F43" s="359">
        <f t="shared" si="8"/>
        <v>433803.20097771072</v>
      </c>
      <c r="G43" s="359">
        <f t="shared" si="8"/>
        <v>431215.50791249541</v>
      </c>
      <c r="H43" s="359">
        <f t="shared" si="8"/>
        <v>478567.88467152108</v>
      </c>
      <c r="I43" s="359">
        <f t="shared" si="8"/>
        <v>424919.73480323784</v>
      </c>
      <c r="J43" s="359">
        <f t="shared" si="8"/>
        <v>424172.34748234908</v>
      </c>
      <c r="K43" s="359">
        <f t="shared" si="8"/>
        <v>476921.81320546445</v>
      </c>
      <c r="L43" s="359">
        <f t="shared" si="8"/>
        <v>421004.51088066644</v>
      </c>
      <c r="M43" s="359">
        <f t="shared" si="8"/>
        <v>431585.32309892151</v>
      </c>
      <c r="N43" s="359">
        <f t="shared" si="8"/>
        <v>477708.50119718246</v>
      </c>
      <c r="O43" s="359">
        <f>+O13+O28+O41</f>
        <v>5344570.3031478999</v>
      </c>
    </row>
    <row r="44" spans="1:16" ht="15" customHeight="1">
      <c r="C44" s="1125"/>
      <c r="D44" s="1125"/>
      <c r="E44" s="1125"/>
      <c r="F44" s="1125"/>
      <c r="G44" s="1125"/>
      <c r="H44" s="1125"/>
      <c r="I44" s="1125"/>
      <c r="J44" s="1125"/>
      <c r="K44" s="1125"/>
      <c r="L44" s="1125"/>
      <c r="M44" s="1125"/>
      <c r="N44" s="1125"/>
      <c r="O44" s="359"/>
    </row>
    <row r="45" spans="1:16" ht="15" customHeight="1">
      <c r="B45" s="350" t="s">
        <v>424</v>
      </c>
      <c r="C45" s="355">
        <f>SUM('[19]PT Revenue x LOB &amp; CC'!C46,'[19]PT Revenue x LOB &amp; CC'!C65)-SUM('[19]PT Revenue x LOB &amp; CC (IR)'!C7,'[19]PT Revenue x LOB &amp; CC (IR)'!C20)</f>
        <v>13599.599999999999</v>
      </c>
      <c r="D45" s="355">
        <f>SUM('[19]PT Revenue x LOB &amp; CC'!D46,'[19]PT Revenue x LOB &amp; CC'!D65)-SUM('[19]PT Revenue x LOB &amp; CC (IR)'!D7,'[19]PT Revenue x LOB &amp; CC (IR)'!D20)</f>
        <v>13788.299999999997</v>
      </c>
      <c r="E45" s="355">
        <f>SUM('[19]PT Revenue x LOB &amp; CC'!E46,'[19]PT Revenue x LOB &amp; CC'!E65)-SUM('[19]PT Revenue x LOB &amp; CC (IR)'!E7,'[19]PT Revenue x LOB &amp; CC (IR)'!E20)</f>
        <v>10988.529999999999</v>
      </c>
      <c r="F45" s="355">
        <f>SUM('[19]PT Revenue x LOB &amp; CC'!F46,'[19]PT Revenue x LOB &amp; CC'!F65)-SUM('[19]PT Revenue x LOB &amp; CC (IR)'!F7,'[19]PT Revenue x LOB &amp; CC (IR)'!F20)</f>
        <v>14642.72</v>
      </c>
      <c r="G45" s="355">
        <f>SUM('[19]PT Revenue x LOB &amp; CC'!G46,'[19]PT Revenue x LOB &amp; CC'!G65)-SUM('[19]PT Revenue x LOB &amp; CC (IR)'!G7,'[19]PT Revenue x LOB &amp; CC (IR)'!G20)</f>
        <v>14259.980000000001</v>
      </c>
      <c r="H45" s="355">
        <f>SUM('[19]PT Revenue x LOB &amp; CC'!H46,'[19]PT Revenue x LOB &amp; CC'!H65)-SUM('[19]PT Revenue x LOB &amp; CC (IR)'!H7,'[19]PT Revenue x LOB &amp; CC (IR)'!H20)</f>
        <v>12436.11</v>
      </c>
      <c r="I45" s="355">
        <f>SUM('[19]PT Revenue x LOB &amp; CC'!I46,'[19]PT Revenue x LOB &amp; CC'!I65)-SUM('[19]PT Revenue x LOB &amp; CC (IR)'!I7,'[19]PT Revenue x LOB &amp; CC (IR)'!I20)</f>
        <v>12224.890000000001</v>
      </c>
      <c r="J45" s="355">
        <f>SUM('[19]PT Revenue x LOB &amp; CC'!J46,'[19]PT Revenue x LOB &amp; CC'!J65)-SUM('[19]PT Revenue x LOB &amp; CC (IR)'!J7,'[19]PT Revenue x LOB &amp; CC (IR)'!J20)</f>
        <v>13490.279999999999</v>
      </c>
      <c r="K45" s="355">
        <f>SUM('[19]PT Revenue x LOB &amp; CC'!K46,'[19]PT Revenue x LOB &amp; CC'!K65)-SUM('[19]PT Revenue x LOB &amp; CC (IR)'!K7,'[19]PT Revenue x LOB &amp; CC (IR)'!K20)</f>
        <v>12038.08</v>
      </c>
      <c r="L45" s="355">
        <f>SUM('[19]PT Revenue x LOB &amp; CC'!L46,'[19]PT Revenue x LOB &amp; CC'!L65)-SUM('[19]PT Revenue x LOB &amp; CC (IR)'!L7,'[19]PT Revenue x LOB &amp; CC (IR)'!L20)</f>
        <v>11751.41</v>
      </c>
      <c r="M45" s="355">
        <f>SUM('[19]PT Revenue x LOB &amp; CC'!M46,'[19]PT Revenue x LOB &amp; CC'!M65)-SUM('[19]PT Revenue x LOB &amp; CC (IR)'!M7,'[19]PT Revenue x LOB &amp; CC (IR)'!M20)</f>
        <v>10079.849999999999</v>
      </c>
      <c r="N45" s="355">
        <f>SUM('[19]PT Revenue x LOB &amp; CC'!N46,'[19]PT Revenue x LOB &amp; CC'!N65)-SUM('[19]PT Revenue x LOB &amp; CC (IR)'!N7,'[19]PT Revenue x LOB &amp; CC (IR)'!N20)</f>
        <v>11320.030000000002</v>
      </c>
      <c r="O45" s="155">
        <f>SUM(C45:N45)</f>
        <v>150619.78</v>
      </c>
      <c r="P45" s="359">
        <f>+O45+O35</f>
        <v>116.57314789996599</v>
      </c>
    </row>
    <row r="46" spans="1:16" ht="15" customHeight="1" thickBot="1">
      <c r="C46" s="1123">
        <f>(-C45-C35)/C35</f>
        <v>2.0985731859142452E-2</v>
      </c>
      <c r="D46" s="1123">
        <f t="shared" ref="D46:N46" si="9">(-D45-D35)/D35</f>
        <v>3.4525871739268382E-3</v>
      </c>
      <c r="E46" s="1123">
        <f t="shared" si="9"/>
        <v>-8.9340593005181435E-2</v>
      </c>
      <c r="F46" s="1123">
        <f t="shared" si="9"/>
        <v>-1.423698591704141E-2</v>
      </c>
      <c r="G46" s="1123">
        <f t="shared" si="9"/>
        <v>0.10974057115241391</v>
      </c>
      <c r="H46" s="1123">
        <f t="shared" si="9"/>
        <v>0.17993181128444333</v>
      </c>
      <c r="I46" s="1123">
        <f t="shared" si="9"/>
        <v>-4.8884671044837319E-2</v>
      </c>
      <c r="J46" s="1123">
        <f t="shared" si="9"/>
        <v>-0.10029486679392936</v>
      </c>
      <c r="K46" s="1123">
        <f t="shared" si="9"/>
        <v>-4.8822529036431875E-2</v>
      </c>
      <c r="L46" s="1123">
        <f t="shared" si="9"/>
        <v>1.4590292315034472E-2</v>
      </c>
      <c r="M46" s="1123">
        <f t="shared" si="9"/>
        <v>-6.2246797728552322E-2</v>
      </c>
      <c r="N46" s="1123">
        <f t="shared" si="9"/>
        <v>9.931606765261447E-2</v>
      </c>
      <c r="P46" s="1123">
        <f>+P45/O45</f>
        <v>7.739564345397795E-4</v>
      </c>
    </row>
    <row r="47" spans="1:16" ht="15" customHeight="1">
      <c r="B47" s="805" t="s">
        <v>839</v>
      </c>
      <c r="C47" s="806"/>
      <c r="D47" s="806"/>
      <c r="E47" s="806"/>
      <c r="F47" s="806"/>
      <c r="G47" s="806"/>
      <c r="H47" s="807"/>
    </row>
    <row r="48" spans="1:16" ht="15" customHeight="1">
      <c r="B48" s="808" t="s">
        <v>840</v>
      </c>
      <c r="C48" s="789"/>
      <c r="D48" s="789"/>
      <c r="E48" s="789"/>
      <c r="F48" s="789"/>
      <c r="G48" s="789"/>
      <c r="H48" s="809"/>
    </row>
    <row r="49" spans="2:14" ht="15" customHeight="1">
      <c r="B49" s="808" t="s">
        <v>749</v>
      </c>
      <c r="C49" s="789"/>
      <c r="D49" s="789"/>
      <c r="E49" s="789"/>
      <c r="F49" s="789"/>
      <c r="G49" s="789"/>
      <c r="H49" s="809"/>
    </row>
    <row r="50" spans="2:14" ht="15" customHeight="1">
      <c r="B50" s="808" t="s">
        <v>750</v>
      </c>
      <c r="C50" s="789"/>
      <c r="D50" s="789"/>
      <c r="E50" s="789"/>
      <c r="F50" s="789"/>
      <c r="G50" s="789"/>
      <c r="H50" s="809"/>
    </row>
    <row r="51" spans="2:14" ht="15" customHeight="1" thickBot="1">
      <c r="B51" s="810"/>
      <c r="C51" s="811"/>
      <c r="D51" s="811"/>
      <c r="E51" s="811"/>
      <c r="F51" s="811"/>
      <c r="G51" s="811"/>
      <c r="H51" s="812"/>
    </row>
    <row r="53" spans="2:14" ht="15" customHeight="1">
      <c r="C53" s="813"/>
      <c r="D53" s="813"/>
      <c r="E53" s="813"/>
      <c r="F53" s="813"/>
      <c r="G53" s="813"/>
      <c r="H53" s="813"/>
      <c r="I53" s="813"/>
      <c r="J53" s="813"/>
      <c r="K53" s="813"/>
      <c r="L53" s="813"/>
      <c r="M53" s="813"/>
      <c r="N53" s="813"/>
    </row>
    <row r="54" spans="2:14" ht="15" customHeight="1">
      <c r="C54" s="359"/>
      <c r="D54" s="359"/>
      <c r="E54" s="359"/>
      <c r="F54" s="359"/>
      <c r="G54" s="359"/>
      <c r="H54" s="359"/>
      <c r="I54" s="359"/>
      <c r="J54" s="359"/>
      <c r="K54" s="359"/>
      <c r="L54" s="359"/>
      <c r="M54" s="359"/>
      <c r="N54" s="359"/>
    </row>
    <row r="55" spans="2:14" ht="15" customHeight="1">
      <c r="C55" s="814"/>
      <c r="D55" s="814"/>
      <c r="E55" s="814"/>
      <c r="F55" s="814"/>
      <c r="G55" s="814"/>
      <c r="H55" s="814"/>
      <c r="I55" s="814"/>
      <c r="J55" s="814"/>
      <c r="K55" s="814"/>
      <c r="L55" s="814"/>
      <c r="M55" s="814"/>
      <c r="N55" s="814"/>
    </row>
  </sheetData>
  <customSheetViews>
    <customSheetView guid="{3B54C4DD-9207-4EC3-9D58-6DDE29113D77}" showGridLines="0" fitToPage="1" showRuler="0">
      <selection activeCell="B28" sqref="B28"/>
      <pageMargins left="0.5" right="0.5" top="0.5" bottom="0.5" header="0.5" footer="0.5"/>
      <pageSetup scale="70" orientation="landscape" horizontalDpi="300" verticalDpi="300" r:id="rId1"/>
      <headerFooter alignWithMargins="0"/>
    </customSheetView>
    <customSheetView guid="{F69ABAD1-EF76-489D-B027-1BD1F4CFE8A6}" showGridLines="0" fitToPage="1">
      <selection activeCell="C3" sqref="C3"/>
      <pageMargins left="0.5" right="0.5" top="0.5" bottom="0.5" header="0.5" footer="0.5"/>
      <pageSetup scale="70" orientation="landscape" horizontalDpi="300" verticalDpi="300" r:id="rId2"/>
      <headerFooter alignWithMargins="0"/>
    </customSheetView>
  </customSheetViews>
  <phoneticPr fontId="5" type="noConversion"/>
  <pageMargins left="0.5" right="0.5" top="0.5" bottom="0.5" header="0.5" footer="0.5"/>
  <pageSetup scale="67" orientation="landscape" r:id="rId3"/>
  <headerFooter alignWithMargins="0"/>
  <legacyDrawing r:id="rId4"/>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indexed="58"/>
    <pageSetUpPr fitToPage="1"/>
  </sheetPr>
  <dimension ref="A1:W169"/>
  <sheetViews>
    <sheetView showGridLines="0" zoomScale="90" zoomScaleNormal="90" workbookViewId="0">
      <pane xSplit="5" ySplit="8" topLeftCell="F24" activePane="bottomRight" state="frozen"/>
      <selection activeCell="B41" sqref="B41"/>
      <selection pane="topRight" activeCell="B41" sqref="B41"/>
      <selection pane="bottomLeft" activeCell="B41" sqref="B41"/>
      <selection pane="bottomRight" activeCell="V159" sqref="V159"/>
    </sheetView>
  </sheetViews>
  <sheetFormatPr defaultColWidth="10.6640625" defaultRowHeight="12.75" outlineLevelRow="1"/>
  <cols>
    <col min="1" max="1" width="3.1640625" style="361" customWidth="1"/>
    <col min="2" max="2" width="5.1640625" style="361" customWidth="1"/>
    <col min="3" max="3" width="4.1640625" style="361" customWidth="1"/>
    <col min="4" max="4" width="14" style="361" customWidth="1"/>
    <col min="5" max="5" width="10.6640625" style="361" customWidth="1"/>
    <col min="6" max="6" width="11.6640625" style="361" customWidth="1"/>
    <col min="7" max="7" width="13.6640625" style="361" customWidth="1"/>
    <col min="8" max="17" width="11.6640625" style="361" customWidth="1"/>
    <col min="18" max="18" width="14" style="361" customWidth="1"/>
    <col min="19" max="19" width="15.83203125" style="361" bestFit="1" customWidth="1"/>
    <col min="20" max="20" width="12" style="361" bestFit="1" customWidth="1"/>
    <col min="21" max="16384" width="10.6640625" style="361"/>
  </cols>
  <sheetData>
    <row r="1" spans="1:23">
      <c r="A1" s="360" t="str">
        <f>Summary!C3</f>
        <v>Eastside</v>
      </c>
      <c r="B1" s="360"/>
      <c r="C1" s="360"/>
      <c r="D1" s="360"/>
    </row>
    <row r="2" spans="1:23">
      <c r="A2" s="360" t="s">
        <v>437</v>
      </c>
      <c r="B2" s="360"/>
      <c r="C2" s="360"/>
      <c r="D2" s="360"/>
    </row>
    <row r="3" spans="1:23">
      <c r="A3" s="2211" t="str">
        <f>TEXT(F7,"mmm yy")&amp;" - "&amp;TEXT(Q7,"mmm yy")</f>
        <v>May 13 - Apr 14</v>
      </c>
      <c r="B3" s="2211"/>
      <c r="C3" s="2211"/>
      <c r="D3" s="2211"/>
    </row>
    <row r="6" spans="1:23">
      <c r="F6" s="362"/>
    </row>
    <row r="7" spans="1:23">
      <c r="F7" s="363">
        <v>41425</v>
      </c>
      <c r="G7" s="364">
        <f t="shared" ref="G7:Q7" si="0">EOMONTH(F7,1)</f>
        <v>41455</v>
      </c>
      <c r="H7" s="364">
        <f t="shared" si="0"/>
        <v>41486</v>
      </c>
      <c r="I7" s="364">
        <f t="shared" si="0"/>
        <v>41517</v>
      </c>
      <c r="J7" s="364">
        <f t="shared" si="0"/>
        <v>41547</v>
      </c>
      <c r="K7" s="364">
        <f t="shared" si="0"/>
        <v>41578</v>
      </c>
      <c r="L7" s="364">
        <f t="shared" si="0"/>
        <v>41608</v>
      </c>
      <c r="M7" s="364">
        <f t="shared" si="0"/>
        <v>41639</v>
      </c>
      <c r="N7" s="364">
        <f t="shared" si="0"/>
        <v>41670</v>
      </c>
      <c r="O7" s="364">
        <f t="shared" si="0"/>
        <v>41698</v>
      </c>
      <c r="P7" s="364">
        <f t="shared" si="0"/>
        <v>41729</v>
      </c>
      <c r="Q7" s="364">
        <f t="shared" si="0"/>
        <v>41759</v>
      </c>
      <c r="R7" s="365" t="s">
        <v>27</v>
      </c>
    </row>
    <row r="8" spans="1:23">
      <c r="F8" s="366" t="s">
        <v>49</v>
      </c>
      <c r="G8" s="366" t="s">
        <v>49</v>
      </c>
      <c r="H8" s="366" t="s">
        <v>49</v>
      </c>
      <c r="I8" s="366" t="s">
        <v>49</v>
      </c>
      <c r="J8" s="366" t="s">
        <v>49</v>
      </c>
      <c r="K8" s="366" t="s">
        <v>49</v>
      </c>
      <c r="L8" s="366" t="s">
        <v>49</v>
      </c>
      <c r="M8" s="366" t="s">
        <v>49</v>
      </c>
      <c r="N8" s="366" t="s">
        <v>49</v>
      </c>
      <c r="O8" s="366" t="s">
        <v>49</v>
      </c>
      <c r="P8" s="366" t="s">
        <v>49</v>
      </c>
      <c r="Q8" s="366" t="s">
        <v>49</v>
      </c>
      <c r="R8" s="366" t="s">
        <v>49</v>
      </c>
    </row>
    <row r="9" spans="1:23" ht="18">
      <c r="A9" s="367" t="s">
        <v>438</v>
      </c>
      <c r="G9" s="368"/>
      <c r="H9" s="368"/>
      <c r="I9" s="368"/>
      <c r="J9" s="368"/>
      <c r="K9" s="368"/>
      <c r="L9" s="368"/>
      <c r="M9" s="368"/>
      <c r="N9" s="368"/>
      <c r="O9" s="368"/>
      <c r="P9" s="368"/>
      <c r="Q9" s="368"/>
      <c r="R9" s="368"/>
    </row>
    <row r="10" spans="1:23">
      <c r="A10" s="369"/>
      <c r="B10" s="369"/>
      <c r="C10" s="369"/>
      <c r="D10" s="369"/>
      <c r="E10" s="369"/>
      <c r="F10" s="369"/>
      <c r="G10" s="369"/>
      <c r="H10" s="369"/>
      <c r="I10" s="369"/>
      <c r="J10" s="369"/>
      <c r="K10" s="369"/>
      <c r="L10" s="369"/>
      <c r="M10" s="369"/>
      <c r="N10" s="369"/>
      <c r="O10" s="369"/>
      <c r="P10" s="369"/>
      <c r="Q10" s="369"/>
      <c r="R10" s="369"/>
      <c r="S10" s="369"/>
      <c r="T10" s="369"/>
      <c r="U10" s="369"/>
      <c r="V10" s="369"/>
      <c r="W10" s="369"/>
    </row>
    <row r="11" spans="1:23">
      <c r="A11" s="361" t="s">
        <v>439</v>
      </c>
      <c r="F11" s="369"/>
      <c r="G11" s="369"/>
      <c r="H11" s="369"/>
      <c r="I11" s="369"/>
      <c r="J11" s="369"/>
      <c r="K11" s="369"/>
      <c r="L11" s="369"/>
      <c r="M11" s="369"/>
      <c r="N11" s="369"/>
      <c r="O11" s="369"/>
      <c r="P11" s="369"/>
      <c r="Q11" s="369"/>
      <c r="R11" s="369"/>
      <c r="S11" s="369"/>
      <c r="T11" s="369"/>
      <c r="U11" s="369"/>
      <c r="V11" s="369"/>
      <c r="W11" s="369"/>
    </row>
    <row r="12" spans="1:23">
      <c r="B12" s="361" t="s">
        <v>280</v>
      </c>
      <c r="F12" s="724">
        <f>'Comm Stats'!N48+'Comm Stats'!N53+'Comm Stats'!N68+'Comm Stats'!N73</f>
        <v>4434</v>
      </c>
      <c r="G12" s="724">
        <f>'Comm Stats'!M48+'Comm Stats'!M53+'Comm Stats'!M68+'Comm Stats'!M73</f>
        <v>4166</v>
      </c>
      <c r="H12" s="724">
        <f>'Comm Stats'!L48+'Comm Stats'!L53+'Comm Stats'!L68+'Comm Stats'!L73</f>
        <v>4470</v>
      </c>
      <c r="I12" s="724">
        <f>'Comm Stats'!K48+'Comm Stats'!K53+'Comm Stats'!K68+'Comm Stats'!K73</f>
        <v>4288</v>
      </c>
      <c r="J12" s="724">
        <f>'Comm Stats'!J48+'Comm Stats'!J53+'Comm Stats'!J68+'Comm Stats'!J73</f>
        <v>4239</v>
      </c>
      <c r="K12" s="724">
        <f>'Comm Stats'!I48+'Comm Stats'!I53+'Comm Stats'!I68+'Comm Stats'!I73</f>
        <v>4442</v>
      </c>
      <c r="L12" s="724">
        <f>'Comm Stats'!H48+'Comm Stats'!H53+'Comm Stats'!H68+'Comm Stats'!H73</f>
        <v>4226</v>
      </c>
      <c r="M12" s="724">
        <f>'Comm Stats'!G48+'Comm Stats'!G53+'Comm Stats'!G68+'Comm Stats'!G73</f>
        <v>4150</v>
      </c>
      <c r="N12" s="724">
        <f>'Comm Stats'!F48+'Comm Stats'!F53+'Comm Stats'!F68+'Comm Stats'!F73</f>
        <v>4281</v>
      </c>
      <c r="O12" s="724">
        <f>'Comm Stats'!E48+'Comm Stats'!E53+'Comm Stats'!E68+'Comm Stats'!E73</f>
        <v>3780</v>
      </c>
      <c r="P12" s="724">
        <f>'Comm Stats'!D48+'Comm Stats'!D53+'Comm Stats'!D68+'Comm Stats'!D73</f>
        <v>4308</v>
      </c>
      <c r="Q12" s="724">
        <f>'Comm Stats'!C48+'Comm Stats'!C53+'Comm Stats'!C68+'Comm Stats'!C73</f>
        <v>4319</v>
      </c>
      <c r="R12" s="369">
        <f>SUM(F12:Q12)</f>
        <v>51103</v>
      </c>
      <c r="S12" s="369"/>
      <c r="T12" s="369"/>
      <c r="U12" s="369"/>
      <c r="V12" s="369"/>
      <c r="W12" s="369"/>
    </row>
    <row r="13" spans="1:23" hidden="1" outlineLevel="1">
      <c r="D13" s="1173" t="s">
        <v>1128</v>
      </c>
      <c r="E13" s="1173"/>
      <c r="F13" s="1174">
        <f>+'Resi Stats'!N61+'Resi Stats'!N66</f>
        <v>7821</v>
      </c>
      <c r="G13" s="1174">
        <f>+'Resi Stats'!M61+'Resi Stats'!M66</f>
        <v>6578</v>
      </c>
      <c r="H13" s="1174">
        <f>+'Resi Stats'!L61+'Resi Stats'!L66</f>
        <v>6324</v>
      </c>
      <c r="I13" s="1174">
        <f>+'Resi Stats'!K61+'Resi Stats'!K66</f>
        <v>5094</v>
      </c>
      <c r="J13" s="1174">
        <f>+'Resi Stats'!J61+'Resi Stats'!J66</f>
        <v>5454</v>
      </c>
      <c r="K13" s="1174">
        <f>+'Resi Stats'!I61+'Resi Stats'!I66</f>
        <v>9757</v>
      </c>
      <c r="L13" s="1174">
        <f>+'Resi Stats'!H61+'Resi Stats'!H66</f>
        <v>8030</v>
      </c>
      <c r="M13" s="1174">
        <f>+'Resi Stats'!G61+'Resi Stats'!G66</f>
        <v>4789</v>
      </c>
      <c r="N13" s="1174">
        <f>+'Resi Stats'!F61+'Resi Stats'!F66</f>
        <v>4943</v>
      </c>
      <c r="O13" s="1174">
        <f>+'Resi Stats'!E61+'Resi Stats'!E66</f>
        <v>3428</v>
      </c>
      <c r="P13" s="1174">
        <f>+'Resi Stats'!D61+'Resi Stats'!D66</f>
        <v>5088</v>
      </c>
      <c r="Q13" s="1174">
        <f>+'Resi Stats'!C61+'Resi Stats'!C66</f>
        <v>6592</v>
      </c>
      <c r="R13" s="1174">
        <f>SUM(F13:Q13)</f>
        <v>73898</v>
      </c>
      <c r="S13" s="369"/>
      <c r="T13" s="369"/>
      <c r="U13" s="369"/>
      <c r="V13" s="369"/>
      <c r="W13" s="369"/>
    </row>
    <row r="14" spans="1:23" hidden="1" outlineLevel="1">
      <c r="D14" s="1173" t="s">
        <v>1129</v>
      </c>
      <c r="E14" s="1173"/>
      <c r="F14" s="1174">
        <f>+F15-F13</f>
        <v>3354</v>
      </c>
      <c r="G14" s="1174">
        <f t="shared" ref="G14:Q14" si="1">+G15-G13</f>
        <v>3052</v>
      </c>
      <c r="H14" s="1174">
        <f t="shared" si="1"/>
        <v>3483</v>
      </c>
      <c r="I14" s="1174">
        <f t="shared" si="1"/>
        <v>3280</v>
      </c>
      <c r="J14" s="1174">
        <f t="shared" si="1"/>
        <v>3193</v>
      </c>
      <c r="K14" s="1174">
        <f t="shared" si="1"/>
        <v>3949</v>
      </c>
      <c r="L14" s="1174">
        <f t="shared" si="1"/>
        <v>3036</v>
      </c>
      <c r="M14" s="1174">
        <f t="shared" si="1"/>
        <v>3198</v>
      </c>
      <c r="N14" s="1174">
        <f t="shared" si="1"/>
        <v>3303</v>
      </c>
      <c r="O14" s="1174">
        <f t="shared" si="1"/>
        <v>2708</v>
      </c>
      <c r="P14" s="1174">
        <f t="shared" si="1"/>
        <v>2894</v>
      </c>
      <c r="Q14" s="1174">
        <f t="shared" si="1"/>
        <v>3075</v>
      </c>
      <c r="R14" s="1174">
        <f>SUM(F14:Q14)</f>
        <v>38525</v>
      </c>
      <c r="S14" s="369"/>
      <c r="T14" s="369"/>
      <c r="U14" s="369"/>
      <c r="V14" s="369"/>
      <c r="W14" s="369"/>
    </row>
    <row r="15" spans="1:23" collapsed="1">
      <c r="B15" s="361" t="s">
        <v>278</v>
      </c>
      <c r="F15" s="724">
        <f>'Resi Stats'!N41+'Resi Stats'!N46+'Resi Stats'!N61+'Resi Stats'!N66</f>
        <v>11175</v>
      </c>
      <c r="G15" s="724">
        <f>'Resi Stats'!M41+'Resi Stats'!M46+'Resi Stats'!M61+'Resi Stats'!M66</f>
        <v>9630</v>
      </c>
      <c r="H15" s="724">
        <f>'Resi Stats'!L41+'Resi Stats'!L46+'Resi Stats'!L61+'Resi Stats'!L66</f>
        <v>9807</v>
      </c>
      <c r="I15" s="724">
        <f>'Resi Stats'!K41+'Resi Stats'!K46+'Resi Stats'!K61+'Resi Stats'!K66</f>
        <v>8374</v>
      </c>
      <c r="J15" s="724">
        <f>'Resi Stats'!J41+'Resi Stats'!J46+'Resi Stats'!J61+'Resi Stats'!J66</f>
        <v>8647</v>
      </c>
      <c r="K15" s="724">
        <f>'Resi Stats'!I41+'Resi Stats'!I46+'Resi Stats'!I61+'Resi Stats'!I66</f>
        <v>13706</v>
      </c>
      <c r="L15" s="724">
        <f>'Resi Stats'!H41+'Resi Stats'!H46+'Resi Stats'!H61+'Resi Stats'!H66</f>
        <v>11066</v>
      </c>
      <c r="M15" s="724">
        <f>'Resi Stats'!G41+'Resi Stats'!G46+'Resi Stats'!G61+'Resi Stats'!G66</f>
        <v>7987</v>
      </c>
      <c r="N15" s="724">
        <f>'Resi Stats'!F41+'Resi Stats'!F46+'Resi Stats'!F61+'Resi Stats'!F66</f>
        <v>8246</v>
      </c>
      <c r="O15" s="724">
        <f>'Resi Stats'!E41+'Resi Stats'!E46+'Resi Stats'!E61+'Resi Stats'!E66</f>
        <v>6136</v>
      </c>
      <c r="P15" s="724">
        <f>'Resi Stats'!D41+'Resi Stats'!D46+'Resi Stats'!D61+'Resi Stats'!D66</f>
        <v>7982</v>
      </c>
      <c r="Q15" s="724">
        <f>'Resi Stats'!C41+'Resi Stats'!C46+'Resi Stats'!C61+'Resi Stats'!C66</f>
        <v>9667</v>
      </c>
      <c r="R15" s="369">
        <f>SUM(F15:Q15)</f>
        <v>112423</v>
      </c>
      <c r="S15" s="369"/>
      <c r="T15" s="369"/>
      <c r="U15" s="369"/>
      <c r="V15" s="369"/>
      <c r="W15" s="369"/>
    </row>
    <row r="16" spans="1:23">
      <c r="B16" s="361" t="s">
        <v>440</v>
      </c>
      <c r="F16" s="724">
        <f>'Roll-off Stats'!N48+'Roll-off Stats'!N53+'Roll-off Stats'!N67+'Roll-off Stats'!N72</f>
        <v>4108</v>
      </c>
      <c r="G16" s="724">
        <f>'Roll-off Stats'!M48+'Roll-off Stats'!M53+'Roll-off Stats'!M67+'Roll-off Stats'!M72</f>
        <v>3880</v>
      </c>
      <c r="H16" s="724">
        <f>'Roll-off Stats'!L48+'Roll-off Stats'!L53+'Roll-off Stats'!L67+'Roll-off Stats'!L72</f>
        <v>4315</v>
      </c>
      <c r="I16" s="724">
        <f>'Roll-off Stats'!K48+'Roll-off Stats'!K53+'Roll-off Stats'!K67+'Roll-off Stats'!K72</f>
        <v>4365</v>
      </c>
      <c r="J16" s="724">
        <f>'Roll-off Stats'!J48+'Roll-off Stats'!J53+'Roll-off Stats'!J67+'Roll-off Stats'!J72</f>
        <v>4012</v>
      </c>
      <c r="K16" s="724">
        <f>'Roll-off Stats'!I48+'Roll-off Stats'!I53+'Roll-off Stats'!I67+'Roll-off Stats'!I72</f>
        <v>5559</v>
      </c>
      <c r="L16" s="724">
        <f>'Roll-off Stats'!H48+'Roll-off Stats'!H53+'Roll-off Stats'!H67+'Roll-off Stats'!H72</f>
        <v>4383</v>
      </c>
      <c r="M16" s="724">
        <f>'Roll-off Stats'!G48+'Roll-off Stats'!G53+'Roll-off Stats'!G67+'Roll-off Stats'!G72</f>
        <v>4088</v>
      </c>
      <c r="N16" s="724">
        <f>'Roll-off Stats'!F48+'Roll-off Stats'!F53+'Roll-off Stats'!F67+'Roll-off Stats'!F72</f>
        <v>4181</v>
      </c>
      <c r="O16" s="724">
        <f>'Roll-off Stats'!E48+'Roll-off Stats'!E53+'Roll-off Stats'!E67+'Roll-off Stats'!E72</f>
        <v>3532</v>
      </c>
      <c r="P16" s="724">
        <f>'Roll-off Stats'!D48+'Roll-off Stats'!D53+'Roll-off Stats'!D67+'Roll-off Stats'!D72</f>
        <v>4034</v>
      </c>
      <c r="Q16" s="724">
        <f>'Roll-off Stats'!C48+'Roll-off Stats'!C53+'Roll-off Stats'!C67+'Roll-off Stats'!C72</f>
        <v>4302</v>
      </c>
      <c r="R16" s="369">
        <f>SUM(F16:Q16)</f>
        <v>50759</v>
      </c>
      <c r="S16" s="369"/>
      <c r="T16" s="369"/>
      <c r="U16" s="369"/>
      <c r="V16" s="369"/>
      <c r="W16" s="369"/>
    </row>
    <row r="17" spans="1:23">
      <c r="A17" s="361" t="s">
        <v>27</v>
      </c>
      <c r="F17" s="370">
        <f>SUM(F12,F15:F16)</f>
        <v>19717</v>
      </c>
      <c r="G17" s="370">
        <f t="shared" ref="G17:R17" si="2">SUM(G12,G15:G16)</f>
        <v>17676</v>
      </c>
      <c r="H17" s="370">
        <f t="shared" si="2"/>
        <v>18592</v>
      </c>
      <c r="I17" s="370">
        <f t="shared" si="2"/>
        <v>17027</v>
      </c>
      <c r="J17" s="370">
        <f t="shared" si="2"/>
        <v>16898</v>
      </c>
      <c r="K17" s="370">
        <f t="shared" si="2"/>
        <v>23707</v>
      </c>
      <c r="L17" s="370">
        <f t="shared" si="2"/>
        <v>19675</v>
      </c>
      <c r="M17" s="370">
        <f t="shared" si="2"/>
        <v>16225</v>
      </c>
      <c r="N17" s="370">
        <f t="shared" si="2"/>
        <v>16708</v>
      </c>
      <c r="O17" s="370">
        <f t="shared" si="2"/>
        <v>13448</v>
      </c>
      <c r="P17" s="370">
        <f t="shared" si="2"/>
        <v>16324</v>
      </c>
      <c r="Q17" s="370">
        <f t="shared" si="2"/>
        <v>18288</v>
      </c>
      <c r="R17" s="370">
        <f t="shared" si="2"/>
        <v>214285</v>
      </c>
      <c r="S17" s="369"/>
      <c r="T17" s="369"/>
      <c r="U17" s="369"/>
      <c r="V17" s="369"/>
      <c r="W17" s="369"/>
    </row>
    <row r="18" spans="1:23" s="375" customFormat="1">
      <c r="A18" s="371" t="s">
        <v>20</v>
      </c>
      <c r="B18" s="371"/>
      <c r="C18" s="371"/>
      <c r="D18" s="371"/>
      <c r="E18" s="371"/>
      <c r="F18" s="372">
        <f>+F17-F56</f>
        <v>-170.6256734765775</v>
      </c>
      <c r="G18" s="372">
        <f>+G17-G56</f>
        <v>-116.77138083517639</v>
      </c>
      <c r="H18" s="372">
        <f t="shared" ref="H18:M18" si="3">H17-H56</f>
        <v>-199.24424351987909</v>
      </c>
      <c r="I18" s="372">
        <f t="shared" si="3"/>
        <v>-121.77618523334604</v>
      </c>
      <c r="J18" s="372">
        <f t="shared" si="3"/>
        <v>-85.505122308411956</v>
      </c>
      <c r="K18" s="372">
        <f t="shared" si="3"/>
        <v>4267.6331142130584</v>
      </c>
      <c r="L18" s="372">
        <f t="shared" si="3"/>
        <v>-347.45073352798499</v>
      </c>
      <c r="M18" s="372">
        <f t="shared" si="3"/>
        <v>-245.30514869634135</v>
      </c>
      <c r="N18" s="372">
        <f>+N17-N56</f>
        <v>-154.75391742118518</v>
      </c>
      <c r="O18" s="372">
        <f>O17-O56</f>
        <v>-15.872397659031776</v>
      </c>
      <c r="P18" s="372">
        <f>P17-P56</f>
        <v>-112.20565010054997</v>
      </c>
      <c r="Q18" s="372">
        <f>Q17-Q56</f>
        <v>-146.36611529644142</v>
      </c>
      <c r="R18" s="373">
        <f>SUM(F18:Q18)</f>
        <v>2551.7565461381328</v>
      </c>
      <c r="S18" s="374"/>
      <c r="T18" s="374"/>
      <c r="U18" s="374"/>
      <c r="V18" s="374"/>
      <c r="W18" s="374"/>
    </row>
    <row r="19" spans="1:23" s="375" customFormat="1">
      <c r="A19" s="371" t="s">
        <v>441</v>
      </c>
      <c r="B19" s="371"/>
      <c r="C19" s="371"/>
      <c r="D19" s="371"/>
      <c r="E19" s="376"/>
      <c r="F19" s="377">
        <f>+F18/F17</f>
        <v>-8.6537340100713844E-3</v>
      </c>
      <c r="G19" s="377">
        <f t="shared" ref="G19:R19" si="4">+G18/G17</f>
        <v>-6.6062107283987549E-3</v>
      </c>
      <c r="H19" s="377">
        <f t="shared" si="4"/>
        <v>-1.0716665421680243E-2</v>
      </c>
      <c r="I19" s="377">
        <f t="shared" si="4"/>
        <v>-7.1519460406029274E-3</v>
      </c>
      <c r="J19" s="377">
        <f t="shared" si="4"/>
        <v>-5.060073518073852E-3</v>
      </c>
      <c r="K19" s="377">
        <f t="shared" si="4"/>
        <v>0.18001573856721889</v>
      </c>
      <c r="L19" s="377">
        <f t="shared" si="4"/>
        <v>-1.7659503610062771E-2</v>
      </c>
      <c r="M19" s="377">
        <f t="shared" si="4"/>
        <v>-1.5118961398850005E-2</v>
      </c>
      <c r="N19" s="377">
        <f t="shared" si="4"/>
        <v>-9.2622646289912125E-3</v>
      </c>
      <c r="O19" s="377">
        <f t="shared" si="4"/>
        <v>-1.1802794214033148E-3</v>
      </c>
      <c r="P19" s="377">
        <f t="shared" si="4"/>
        <v>-6.8736614861890453E-3</v>
      </c>
      <c r="Q19" s="377">
        <f t="shared" si="4"/>
        <v>-8.0033965057109257E-3</v>
      </c>
      <c r="R19" s="377">
        <f t="shared" si="4"/>
        <v>1.1908236909434317E-2</v>
      </c>
      <c r="S19" s="374"/>
      <c r="T19" s="374"/>
      <c r="U19" s="374"/>
      <c r="V19" s="374"/>
      <c r="W19" s="374"/>
    </row>
    <row r="20" spans="1:23">
      <c r="E20" s="360"/>
      <c r="F20" s="378"/>
      <c r="G20" s="378"/>
      <c r="H20" s="378"/>
      <c r="I20" s="378"/>
      <c r="J20" s="378"/>
      <c r="K20" s="378"/>
      <c r="L20" s="378"/>
      <c r="M20" s="378"/>
      <c r="N20" s="378"/>
      <c r="O20" s="378"/>
      <c r="P20" s="378"/>
      <c r="Q20" s="378"/>
      <c r="R20" s="369"/>
      <c r="S20" s="369"/>
      <c r="T20" s="369"/>
      <c r="U20" s="369"/>
      <c r="V20" s="369"/>
      <c r="W20" s="369"/>
    </row>
    <row r="21" spans="1:23">
      <c r="B21" s="361" t="s">
        <v>280</v>
      </c>
      <c r="F21" s="379"/>
      <c r="G21" s="379"/>
      <c r="H21" s="379"/>
      <c r="I21" s="379"/>
      <c r="J21" s="379"/>
      <c r="K21" s="379"/>
      <c r="L21" s="379"/>
      <c r="M21" s="379"/>
      <c r="N21" s="379"/>
      <c r="O21" s="379"/>
      <c r="P21" s="379"/>
      <c r="Q21" s="379"/>
      <c r="R21" s="369"/>
      <c r="S21" s="369"/>
      <c r="T21" s="369"/>
      <c r="U21" s="369"/>
      <c r="V21" s="369"/>
      <c r="W21" s="369"/>
    </row>
    <row r="22" spans="1:23">
      <c r="C22" s="599" t="s">
        <v>18</v>
      </c>
      <c r="F22" s="379"/>
      <c r="G22" s="379"/>
      <c r="H22" s="379"/>
      <c r="I22" s="379"/>
      <c r="J22" s="379"/>
      <c r="K22" s="379"/>
      <c r="L22" s="379"/>
      <c r="M22" s="379"/>
      <c r="N22" s="379"/>
      <c r="O22" s="379"/>
      <c r="P22" s="379"/>
      <c r="Q22" s="379"/>
      <c r="R22" s="369"/>
      <c r="S22" s="369"/>
      <c r="T22" s="369"/>
      <c r="U22" s="369"/>
      <c r="V22" s="369"/>
      <c r="W22" s="369"/>
    </row>
    <row r="23" spans="1:23">
      <c r="D23" s="507" t="s">
        <v>442</v>
      </c>
      <c r="F23" s="380">
        <f>'[12]MSW Tons'!D39+'[12]MSW Tons'!D57</f>
        <v>233.68411299064337</v>
      </c>
      <c r="G23" s="380">
        <f>'[12]MSW Tons'!E39+'[12]MSW Tons'!E57</f>
        <v>218.94960190245828</v>
      </c>
      <c r="H23" s="380">
        <f>'[12]MSW Tons'!F39+'[12]MSW Tons'!F57</f>
        <v>244.13068029694793</v>
      </c>
      <c r="I23" s="380">
        <f>'[12]MSW Tons'!G39+'[12]MSW Tons'!G57</f>
        <v>244.57917184017472</v>
      </c>
      <c r="J23" s="380">
        <f>'[12]MSW Tons'!H39+'[12]MSW Tons'!H57</f>
        <v>232.78977009454272</v>
      </c>
      <c r="K23" s="380">
        <f>'[12]MSW Tons'!I39+'[12]MSW Tons'!I57</f>
        <v>246.47227468528953</v>
      </c>
      <c r="L23" s="380">
        <f>'[12]MSW Tons'!J39+'[12]MSW Tons'!J57</f>
        <v>234.31380172379946</v>
      </c>
      <c r="M23" s="380">
        <f>'[12]MSW Tons'!K39+'[12]MSW Tons'!K57</f>
        <v>222.06669074724127</v>
      </c>
      <c r="N23" s="380">
        <f>'[12]MSW Tons'!L39+'[12]MSW Tons'!L57</f>
        <v>223.69803483572559</v>
      </c>
      <c r="O23" s="380">
        <f>'[12]MSW Tons'!M39+'[12]MSW Tons'!M57</f>
        <v>195.22030473646362</v>
      </c>
      <c r="P23" s="380">
        <f>'[12]MSW Tons'!N39+'[12]MSW Tons'!N57</f>
        <v>225.68484392942736</v>
      </c>
      <c r="Q23" s="380">
        <f>'[12]MSW Tons'!O39+'[12]MSW Tons'!O57</f>
        <v>230.00403233724955</v>
      </c>
      <c r="R23" s="369">
        <f>SUM(F23:Q23)</f>
        <v>2751.5933201199632</v>
      </c>
      <c r="S23" s="381"/>
      <c r="T23" s="369"/>
      <c r="U23" s="382"/>
      <c r="V23" s="369"/>
      <c r="W23" s="369"/>
    </row>
    <row r="24" spans="1:23">
      <c r="D24" s="507" t="s">
        <v>443</v>
      </c>
      <c r="F24" s="419">
        <f>F25-F23</f>
        <v>3196.9053193865684</v>
      </c>
      <c r="G24" s="419">
        <f t="shared" ref="G24:Q24" si="5">G25-G23</f>
        <v>2978.2245473056228</v>
      </c>
      <c r="H24" s="419">
        <f t="shared" si="5"/>
        <v>3261.8394971456105</v>
      </c>
      <c r="I24" s="419">
        <f t="shared" si="5"/>
        <v>3088.6359418040315</v>
      </c>
      <c r="J24" s="419">
        <f t="shared" si="5"/>
        <v>3036.6707214431476</v>
      </c>
      <c r="K24" s="419">
        <f t="shared" si="5"/>
        <v>3191.5186197855651</v>
      </c>
      <c r="L24" s="419">
        <f t="shared" si="5"/>
        <v>3049.156545989782</v>
      </c>
      <c r="M24" s="419">
        <f t="shared" si="5"/>
        <v>2963.6057216467098</v>
      </c>
      <c r="N24" s="419">
        <f t="shared" si="5"/>
        <v>3060.261746333872</v>
      </c>
      <c r="O24" s="419">
        <f t="shared" si="5"/>
        <v>2706.0934854859579</v>
      </c>
      <c r="P24" s="419">
        <f t="shared" si="5"/>
        <v>3097.2035559151091</v>
      </c>
      <c r="Q24" s="419">
        <f t="shared" si="5"/>
        <v>3108.0687186220034</v>
      </c>
      <c r="R24" s="369">
        <f t="shared" ref="R24:R29" si="6">SUM(F24:Q24)</f>
        <v>36738.184420863981</v>
      </c>
      <c r="S24" s="369"/>
      <c r="T24" s="369"/>
      <c r="U24" s="382"/>
      <c r="V24" s="369"/>
      <c r="W24" s="369"/>
    </row>
    <row r="25" spans="1:23">
      <c r="C25" s="390" t="s">
        <v>445</v>
      </c>
      <c r="D25" s="391"/>
      <c r="E25" s="391"/>
      <c r="F25" s="392">
        <f>+'[12]MSW Tons'!D38+'[12]MSW Tons'!D56</f>
        <v>3430.5894323772118</v>
      </c>
      <c r="G25" s="392">
        <f>+'[12]MSW Tons'!E38+'[12]MSW Tons'!E56</f>
        <v>3197.174149208081</v>
      </c>
      <c r="H25" s="392">
        <f>+'[12]MSW Tons'!F38+'[12]MSW Tons'!F56</f>
        <v>3505.9701774425585</v>
      </c>
      <c r="I25" s="392">
        <f>+'[12]MSW Tons'!G38+'[12]MSW Tons'!G56</f>
        <v>3333.2151136442062</v>
      </c>
      <c r="J25" s="392">
        <f>+'[12]MSW Tons'!H38+'[12]MSW Tons'!H56</f>
        <v>3269.4604915376904</v>
      </c>
      <c r="K25" s="392">
        <f>+'[12]MSW Tons'!I38+'[12]MSW Tons'!I56</f>
        <v>3437.9908944708545</v>
      </c>
      <c r="L25" s="392">
        <f>+'[12]MSW Tons'!J38+'[12]MSW Tons'!J56</f>
        <v>3283.4703477135813</v>
      </c>
      <c r="M25" s="392">
        <f>+'[12]MSW Tons'!K38+'[12]MSW Tons'!K56</f>
        <v>3185.6724123939512</v>
      </c>
      <c r="N25" s="392">
        <f>+'[12]MSW Tons'!L38+'[12]MSW Tons'!L56</f>
        <v>3283.9597811695976</v>
      </c>
      <c r="O25" s="392">
        <f>+'[12]MSW Tons'!M38+'[12]MSW Tons'!M56</f>
        <v>2901.3137902224216</v>
      </c>
      <c r="P25" s="392">
        <f>+'[12]MSW Tons'!N38+'[12]MSW Tons'!N56</f>
        <v>3322.8883998445363</v>
      </c>
      <c r="Q25" s="392">
        <f>+'[12]MSW Tons'!O38+'[12]MSW Tons'!O56</f>
        <v>3338.072750959253</v>
      </c>
      <c r="R25" s="393">
        <f t="shared" si="6"/>
        <v>39489.777740983947</v>
      </c>
      <c r="S25" s="369"/>
      <c r="T25" s="369"/>
      <c r="U25" s="382"/>
      <c r="V25" s="369"/>
      <c r="W25" s="369"/>
    </row>
    <row r="26" spans="1:23" s="601" customFormat="1">
      <c r="C26" s="605" t="s">
        <v>319</v>
      </c>
      <c r="D26" s="602"/>
      <c r="E26" s="602"/>
      <c r="F26" s="603"/>
      <c r="G26" s="603"/>
      <c r="H26" s="603"/>
      <c r="I26" s="603"/>
      <c r="J26" s="603"/>
      <c r="K26" s="603"/>
      <c r="L26" s="603"/>
      <c r="M26" s="603"/>
      <c r="N26" s="603"/>
      <c r="O26" s="603"/>
      <c r="P26" s="603"/>
      <c r="Q26" s="603"/>
      <c r="R26" s="603"/>
      <c r="S26" s="389"/>
      <c r="T26" s="389"/>
      <c r="U26" s="604"/>
      <c r="V26" s="389"/>
      <c r="W26" s="389"/>
    </row>
    <row r="27" spans="1:23">
      <c r="D27" s="507" t="s">
        <v>444</v>
      </c>
      <c r="F27" s="380">
        <f>+'[12]Recycle Tons'!D57</f>
        <v>38.538144391546453</v>
      </c>
      <c r="G27" s="380">
        <f>+'[12]Recycle Tons'!E57</f>
        <v>37.273745809976845</v>
      </c>
      <c r="H27" s="380">
        <f>+'[12]Recycle Tons'!F57</f>
        <v>38.05925985893434</v>
      </c>
      <c r="I27" s="380">
        <f>+'[12]Recycle Tons'!G57</f>
        <v>37.892356741372581</v>
      </c>
      <c r="J27" s="380">
        <f>+'[12]Recycle Tons'!H57</f>
        <v>40.813547428851408</v>
      </c>
      <c r="K27" s="380">
        <f>+'[12]Recycle Tons'!I57</f>
        <v>35.512843751462015</v>
      </c>
      <c r="L27" s="380">
        <f>+'[12]Recycle Tons'!J57</f>
        <v>35.324977305861864</v>
      </c>
      <c r="M27" s="380">
        <f>+'[12]Recycle Tons'!K57</f>
        <v>39.774607684821639</v>
      </c>
      <c r="N27" s="380">
        <f>+'[12]Recycle Tons'!L57</f>
        <v>41.575871940353011</v>
      </c>
      <c r="O27" s="380">
        <f>+'[12]Recycle Tons'!M57</f>
        <v>32.671518622794352</v>
      </c>
      <c r="P27" s="380">
        <f>+'[12]Recycle Tons'!N57</f>
        <v>38.450136033744172</v>
      </c>
      <c r="Q27" s="380">
        <f>+'[12]Recycle Tons'!O57</f>
        <v>32.116096797017377</v>
      </c>
      <c r="R27" s="369">
        <f t="shared" si="6"/>
        <v>448.00310636673601</v>
      </c>
      <c r="S27" s="369"/>
      <c r="T27" s="382"/>
      <c r="U27" s="369"/>
      <c r="V27" s="369"/>
      <c r="W27" s="369"/>
    </row>
    <row r="28" spans="1:23">
      <c r="D28" s="507" t="s">
        <v>319</v>
      </c>
      <c r="F28" s="389">
        <f>F29-F27</f>
        <v>1194.2204481463218</v>
      </c>
      <c r="G28" s="389">
        <f t="shared" ref="G28:Q28" si="7">G29-G27</f>
        <v>1143.6134259523503</v>
      </c>
      <c r="H28" s="389">
        <f t="shared" si="7"/>
        <v>1172.1272585563922</v>
      </c>
      <c r="I28" s="389">
        <f t="shared" si="7"/>
        <v>1143.0939611319227</v>
      </c>
      <c r="J28" s="389">
        <f t="shared" si="7"/>
        <v>1160.2037023361756</v>
      </c>
      <c r="K28" s="389">
        <f t="shared" si="7"/>
        <v>1190.6759931601428</v>
      </c>
      <c r="L28" s="389">
        <f t="shared" si="7"/>
        <v>1121.8993489733007</v>
      </c>
      <c r="M28" s="389">
        <f t="shared" si="7"/>
        <v>1160.1268657486196</v>
      </c>
      <c r="N28" s="389">
        <f t="shared" si="7"/>
        <v>1182.2888480804204</v>
      </c>
      <c r="O28" s="389">
        <f t="shared" si="7"/>
        <v>1033.8096138911508</v>
      </c>
      <c r="P28" s="389">
        <f t="shared" si="7"/>
        <v>1159.0080439209</v>
      </c>
      <c r="Q28" s="389">
        <f t="shared" si="7"/>
        <v>1158.8770663796427</v>
      </c>
      <c r="R28" s="369">
        <f t="shared" si="6"/>
        <v>13819.944576277339</v>
      </c>
      <c r="S28" s="369"/>
      <c r="T28" s="369"/>
      <c r="U28" s="369"/>
      <c r="V28" s="369"/>
      <c r="W28" s="369"/>
    </row>
    <row r="29" spans="1:23" ht="13.5" thickBot="1">
      <c r="C29" s="600" t="s">
        <v>559</v>
      </c>
      <c r="D29" s="395"/>
      <c r="E29" s="395"/>
      <c r="F29" s="396">
        <f>+'[12]Recycle Tons'!D38+'[12]Recycle Tons'!D56</f>
        <v>1232.7585925378683</v>
      </c>
      <c r="G29" s="396">
        <f>+'[12]Recycle Tons'!E38+'[12]Recycle Tons'!E56</f>
        <v>1180.8871717623272</v>
      </c>
      <c r="H29" s="396">
        <f>+'[12]Recycle Tons'!F38+'[12]Recycle Tons'!F56</f>
        <v>1210.1865184153266</v>
      </c>
      <c r="I29" s="396">
        <f>+'[12]Recycle Tons'!G38+'[12]Recycle Tons'!G56</f>
        <v>1180.9863178732953</v>
      </c>
      <c r="J29" s="396">
        <f>+'[12]Recycle Tons'!H38+'[12]Recycle Tons'!H56</f>
        <v>1201.0172497650271</v>
      </c>
      <c r="K29" s="396">
        <f>+'[12]Recycle Tons'!I38+'[12]Recycle Tons'!I56</f>
        <v>1226.1888369116048</v>
      </c>
      <c r="L29" s="396">
        <f>+'[12]Recycle Tons'!J38+'[12]Recycle Tons'!J56</f>
        <v>1157.2243262791626</v>
      </c>
      <c r="M29" s="396">
        <f>+'[12]Recycle Tons'!K38+'[12]Recycle Tons'!K56</f>
        <v>1199.9014734334412</v>
      </c>
      <c r="N29" s="396">
        <f>+'[12]Recycle Tons'!L38+'[12]Recycle Tons'!L56</f>
        <v>1223.8647200207733</v>
      </c>
      <c r="O29" s="396">
        <f>+'[12]Recycle Tons'!M38+'[12]Recycle Tons'!M56</f>
        <v>1066.4811325139451</v>
      </c>
      <c r="P29" s="396">
        <f>+'[12]Recycle Tons'!N38+'[12]Recycle Tons'!N56</f>
        <v>1197.4581799546443</v>
      </c>
      <c r="Q29" s="396">
        <f>+'[12]Recycle Tons'!O38+'[12]Recycle Tons'!O56</f>
        <v>1190.9931631766601</v>
      </c>
      <c r="R29" s="397">
        <f t="shared" si="6"/>
        <v>14267.947682644079</v>
      </c>
      <c r="S29" s="398"/>
      <c r="T29" s="369"/>
      <c r="U29" s="369"/>
      <c r="V29" s="369"/>
      <c r="W29" s="369"/>
    </row>
    <row r="30" spans="1:23" ht="13.5" thickBot="1">
      <c r="B30" s="384" t="s">
        <v>313</v>
      </c>
      <c r="C30" s="385"/>
      <c r="D30" s="385"/>
      <c r="E30" s="385"/>
      <c r="F30" s="386">
        <f>F25+F29</f>
        <v>4663.3480249150798</v>
      </c>
      <c r="G30" s="386">
        <f t="shared" ref="G30:R30" si="8">G25+G29</f>
        <v>4378.0613209704079</v>
      </c>
      <c r="H30" s="386">
        <f t="shared" si="8"/>
        <v>4716.1566958578851</v>
      </c>
      <c r="I30" s="386">
        <f t="shared" si="8"/>
        <v>4514.201431517502</v>
      </c>
      <c r="J30" s="386">
        <f t="shared" si="8"/>
        <v>4470.4777413027177</v>
      </c>
      <c r="K30" s="386">
        <f t="shared" si="8"/>
        <v>4664.1797313824591</v>
      </c>
      <c r="L30" s="386">
        <f t="shared" si="8"/>
        <v>4440.6946739927444</v>
      </c>
      <c r="M30" s="386">
        <f t="shared" si="8"/>
        <v>4385.5738858273926</v>
      </c>
      <c r="N30" s="386">
        <f t="shared" si="8"/>
        <v>4507.8245011903709</v>
      </c>
      <c r="O30" s="386">
        <f t="shared" si="8"/>
        <v>3967.794922736367</v>
      </c>
      <c r="P30" s="386">
        <f t="shared" si="8"/>
        <v>4520.3465797991803</v>
      </c>
      <c r="Q30" s="386">
        <f>Q25+Q29</f>
        <v>4529.0659141359129</v>
      </c>
      <c r="R30" s="387">
        <f t="shared" si="8"/>
        <v>53757.725423628028</v>
      </c>
      <c r="S30" s="369"/>
      <c r="T30" s="381"/>
      <c r="U30" s="369"/>
      <c r="V30" s="369"/>
      <c r="W30" s="369"/>
    </row>
    <row r="31" spans="1:23">
      <c r="F31" s="1175">
        <f>+(F30-F$12)/F$12</f>
        <v>5.1724859024600771E-2</v>
      </c>
      <c r="G31" s="1175">
        <f t="shared" ref="G31:R31" si="9">+(G30-G$12)/G$12</f>
        <v>5.0902861490736417E-2</v>
      </c>
      <c r="H31" s="1175">
        <f t="shared" si="9"/>
        <v>5.5068612048743873E-2</v>
      </c>
      <c r="I31" s="1175">
        <f t="shared" si="9"/>
        <v>5.2752199514342811E-2</v>
      </c>
      <c r="J31" s="1175">
        <f t="shared" si="9"/>
        <v>5.4606685846359457E-2</v>
      </c>
      <c r="K31" s="1175">
        <f t="shared" si="9"/>
        <v>5.0017949433241574E-2</v>
      </c>
      <c r="L31" s="1175">
        <f t="shared" si="9"/>
        <v>5.0803283008221567E-2</v>
      </c>
      <c r="M31" s="1175">
        <f t="shared" si="9"/>
        <v>5.6764791765636771E-2</v>
      </c>
      <c r="N31" s="1175">
        <f t="shared" si="9"/>
        <v>5.2983999343697956E-2</v>
      </c>
      <c r="O31" s="1175">
        <f t="shared" si="9"/>
        <v>4.9681196491102371E-2</v>
      </c>
      <c r="P31" s="1175">
        <f t="shared" si="9"/>
        <v>4.9291220937599883E-2</v>
      </c>
      <c r="Q31" s="1175">
        <f t="shared" si="9"/>
        <v>4.8637627723063868E-2</v>
      </c>
      <c r="R31" s="1175">
        <f t="shared" si="9"/>
        <v>5.1948524032405685E-2</v>
      </c>
      <c r="S31" s="369"/>
      <c r="T31" s="369"/>
      <c r="U31" s="369"/>
      <c r="V31" s="369"/>
      <c r="W31" s="369"/>
    </row>
    <row r="32" spans="1:23">
      <c r="B32" s="361" t="s">
        <v>278</v>
      </c>
      <c r="F32" s="1176"/>
      <c r="G32" s="1177"/>
      <c r="H32" s="1177"/>
      <c r="I32" s="1177"/>
      <c r="J32" s="1177"/>
      <c r="K32" s="1177"/>
      <c r="L32" s="1177"/>
      <c r="M32" s="1177"/>
      <c r="N32" s="1177"/>
      <c r="O32" s="1177"/>
      <c r="P32" s="1177"/>
      <c r="Q32" s="1177"/>
      <c r="R32" s="1177"/>
      <c r="S32" s="369"/>
      <c r="T32" s="369"/>
      <c r="U32" s="369"/>
      <c r="V32" s="369"/>
      <c r="W32" s="369"/>
    </row>
    <row r="33" spans="2:23">
      <c r="C33" s="361" t="s">
        <v>18</v>
      </c>
      <c r="G33" s="369"/>
      <c r="H33" s="369"/>
      <c r="I33" s="369"/>
      <c r="J33" s="369"/>
      <c r="K33" s="369"/>
      <c r="L33" s="369"/>
      <c r="M33" s="369"/>
      <c r="N33" s="369"/>
      <c r="O33" s="369"/>
      <c r="P33" s="369"/>
      <c r="Q33" s="369"/>
      <c r="R33" s="369"/>
      <c r="S33" s="369"/>
      <c r="T33" s="369"/>
      <c r="U33" s="369"/>
      <c r="V33" s="369"/>
      <c r="W33" s="369"/>
    </row>
    <row r="34" spans="2:23">
      <c r="D34" s="507" t="s">
        <v>11</v>
      </c>
      <c r="F34" s="383">
        <f>+'[12]MSW Tons'!D75</f>
        <v>599.80197971880398</v>
      </c>
      <c r="G34" s="383">
        <f>+'[12]MSW Tons'!E75</f>
        <v>530.17078093277416</v>
      </c>
      <c r="H34" s="383">
        <f>+'[12]MSW Tons'!F75</f>
        <v>582.48426266432477</v>
      </c>
      <c r="I34" s="383">
        <f>+'[12]MSW Tons'!G75</f>
        <v>592.85288192996597</v>
      </c>
      <c r="J34" s="383">
        <f>+'[12]MSW Tons'!H75</f>
        <v>552.52718831555262</v>
      </c>
      <c r="K34" s="383">
        <f>+'[12]MSW Tons'!I75</f>
        <v>578.68381221844788</v>
      </c>
      <c r="L34" s="383">
        <f>+'[12]MSW Tons'!J75</f>
        <v>528.15354593290067</v>
      </c>
      <c r="M34" s="383">
        <f>+'[12]MSW Tons'!K75</f>
        <v>548.78039284403178</v>
      </c>
      <c r="N34" s="383">
        <f>+'[12]MSW Tons'!L75</f>
        <v>599.74437874509863</v>
      </c>
      <c r="O34" s="383">
        <f>+'[12]MSW Tons'!M75</f>
        <v>459.35752363420113</v>
      </c>
      <c r="P34" s="383">
        <f>+'[12]MSW Tons'!N75</f>
        <v>504.87486675474531</v>
      </c>
      <c r="Q34" s="383">
        <f>+'[12]MSW Tons'!O75</f>
        <v>525.47505943550266</v>
      </c>
      <c r="R34" s="369">
        <f>SUM(F34:Q34)</f>
        <v>6602.9066731263492</v>
      </c>
      <c r="S34" s="381">
        <f>+R34/R36</f>
        <v>0.18264817412912154</v>
      </c>
      <c r="T34" s="369"/>
      <c r="U34" s="382"/>
      <c r="V34" s="369"/>
      <c r="W34" s="369"/>
    </row>
    <row r="35" spans="2:23">
      <c r="D35" s="507" t="s">
        <v>12</v>
      </c>
      <c r="F35" s="389">
        <f>+F36-F34</f>
        <v>2622.0880325321518</v>
      </c>
      <c r="G35" s="389">
        <f t="shared" ref="G35:Q35" si="10">+G36-G34</f>
        <v>2397.9398124307781</v>
      </c>
      <c r="H35" s="389">
        <f t="shared" si="10"/>
        <v>2755.0662681862295</v>
      </c>
      <c r="I35" s="389">
        <f t="shared" si="10"/>
        <v>2550.4350670683575</v>
      </c>
      <c r="J35" s="389">
        <f t="shared" si="10"/>
        <v>2508.515030500289</v>
      </c>
      <c r="K35" s="389">
        <f t="shared" si="10"/>
        <v>2487.2121905544545</v>
      </c>
      <c r="L35" s="389">
        <f t="shared" si="10"/>
        <v>2385.6789758889727</v>
      </c>
      <c r="M35" s="389">
        <f t="shared" si="10"/>
        <v>2519.5768316371164</v>
      </c>
      <c r="N35" s="389">
        <f t="shared" si="10"/>
        <v>2575.9658005358278</v>
      </c>
      <c r="O35" s="389">
        <f t="shared" si="10"/>
        <v>2050.2052732089605</v>
      </c>
      <c r="P35" s="389">
        <f t="shared" si="10"/>
        <v>2270.7638126610618</v>
      </c>
      <c r="Q35" s="389">
        <f t="shared" si="10"/>
        <v>2424.6053343784665</v>
      </c>
      <c r="R35" s="369">
        <f>SUM(F35:Q35)</f>
        <v>29548.052429582669</v>
      </c>
      <c r="S35" s="381">
        <f>+R35/R36</f>
        <v>0.8173518258708784</v>
      </c>
      <c r="T35" s="382"/>
      <c r="U35" s="369"/>
      <c r="V35" s="369"/>
      <c r="W35" s="369"/>
    </row>
    <row r="36" spans="2:23">
      <c r="C36" s="390" t="s">
        <v>445</v>
      </c>
      <c r="D36" s="391"/>
      <c r="E36" s="391"/>
      <c r="F36" s="392">
        <f>+'[12]MSW Tons'!D74</f>
        <v>3221.8900122509558</v>
      </c>
      <c r="G36" s="392">
        <f>+'[12]MSW Tons'!E74</f>
        <v>2928.1105933635522</v>
      </c>
      <c r="H36" s="392">
        <f>+'[12]MSW Tons'!F74</f>
        <v>3337.5505308505544</v>
      </c>
      <c r="I36" s="392">
        <f>+'[12]MSW Tons'!G74</f>
        <v>3143.2879489983234</v>
      </c>
      <c r="J36" s="392">
        <f>+'[12]MSW Tons'!H74</f>
        <v>3061.0422188158414</v>
      </c>
      <c r="K36" s="392">
        <f>+'[12]MSW Tons'!I74</f>
        <v>3065.8960027729026</v>
      </c>
      <c r="L36" s="392">
        <f>+'[12]MSW Tons'!J74</f>
        <v>2913.8325218218733</v>
      </c>
      <c r="M36" s="392">
        <f>+'[12]MSW Tons'!K74</f>
        <v>3068.357224481148</v>
      </c>
      <c r="N36" s="392">
        <f>+'[12]MSW Tons'!L74</f>
        <v>3175.7101792809267</v>
      </c>
      <c r="O36" s="392">
        <f>+'[12]MSW Tons'!M74</f>
        <v>2509.5627968431618</v>
      </c>
      <c r="P36" s="392">
        <f>+'[12]MSW Tons'!N74</f>
        <v>2775.638679415807</v>
      </c>
      <c r="Q36" s="392">
        <f>+'[12]MSW Tons'!O74</f>
        <v>2950.0803938139693</v>
      </c>
      <c r="R36" s="393">
        <f>SUM(R34:R35)</f>
        <v>36150.959102709021</v>
      </c>
      <c r="S36" s="369"/>
      <c r="T36" s="369"/>
      <c r="U36" s="369"/>
      <c r="V36" s="369"/>
      <c r="W36" s="369"/>
    </row>
    <row r="37" spans="2:23">
      <c r="C37" s="361" t="s">
        <v>319</v>
      </c>
      <c r="F37" s="1175">
        <f>+(F36-F$14)/F$14</f>
        <v>-3.93887858524282E-2</v>
      </c>
      <c r="G37" s="1175">
        <f t="shared" ref="G37:Q37" si="11">+(G36-G$14)/G$14</f>
        <v>-4.0592859317315794E-2</v>
      </c>
      <c r="H37" s="1175">
        <f t="shared" si="11"/>
        <v>-4.175982461942164E-2</v>
      </c>
      <c r="I37" s="1175">
        <f t="shared" si="11"/>
        <v>-4.1680503354169701E-2</v>
      </c>
      <c r="J37" s="1175">
        <f t="shared" si="11"/>
        <v>-4.1327209891687644E-2</v>
      </c>
      <c r="K37" s="1175">
        <f t="shared" si="11"/>
        <v>-0.22362724670222775</v>
      </c>
      <c r="L37" s="1175">
        <f t="shared" si="11"/>
        <v>-4.0239617318223536E-2</v>
      </c>
      <c r="M37" s="1175">
        <f t="shared" si="11"/>
        <v>-4.0538704039666036E-2</v>
      </c>
      <c r="N37" s="1175">
        <f t="shared" si="11"/>
        <v>-3.8537638728148138E-2</v>
      </c>
      <c r="O37" s="1175">
        <f t="shared" si="11"/>
        <v>-7.3278140013603485E-2</v>
      </c>
      <c r="P37" s="1175">
        <f t="shared" si="11"/>
        <v>-4.0898866822457837E-2</v>
      </c>
      <c r="Q37" s="1175">
        <f t="shared" si="11"/>
        <v>-4.0624262174318929E-2</v>
      </c>
      <c r="R37" s="1175">
        <f>+(R36-R$14)/R$14</f>
        <v>-6.1623384744736637E-2</v>
      </c>
      <c r="S37" s="369"/>
      <c r="T37" s="369"/>
      <c r="U37" s="369"/>
      <c r="V37" s="369"/>
      <c r="W37" s="369"/>
    </row>
    <row r="38" spans="2:23">
      <c r="D38" s="507" t="s">
        <v>11</v>
      </c>
      <c r="F38" s="383">
        <f>+'[12]Recycle Tons'!D75</f>
        <v>367.06714354459132</v>
      </c>
      <c r="G38" s="383">
        <f>+'[12]Recycle Tons'!E75</f>
        <v>328.09427317867534</v>
      </c>
      <c r="H38" s="383">
        <f>+'[12]Recycle Tons'!F75</f>
        <v>329.54465918054211</v>
      </c>
      <c r="I38" s="383">
        <f>+'[12]Recycle Tons'!G75</f>
        <v>352.68192301906163</v>
      </c>
      <c r="J38" s="383">
        <f>+'[12]Recycle Tons'!H75</f>
        <v>340.36527590577344</v>
      </c>
      <c r="K38" s="383">
        <f>+'[12]Recycle Tons'!I75</f>
        <v>377.20065671579005</v>
      </c>
      <c r="L38" s="383">
        <f>+'[12]Recycle Tons'!J75</f>
        <v>325.09833698607571</v>
      </c>
      <c r="M38" s="383">
        <f>+'[12]Recycle Tons'!K75</f>
        <v>364.37754628092375</v>
      </c>
      <c r="N38" s="383">
        <f>+'[12]Recycle Tons'!L75</f>
        <v>417.94401388106837</v>
      </c>
      <c r="O38" s="383">
        <f>+'[12]Recycle Tons'!M75</f>
        <v>307.11192879136638</v>
      </c>
      <c r="P38" s="383">
        <f>+'[12]Recycle Tons'!N75</f>
        <v>331.6498929372994</v>
      </c>
      <c r="Q38" s="383">
        <f>+'[12]Recycle Tons'!O75</f>
        <v>360.60799571360258</v>
      </c>
      <c r="R38" s="369">
        <f>SUM(F38:Q38)</f>
        <v>4201.7436461347697</v>
      </c>
      <c r="S38" s="381">
        <f>+R38/R40</f>
        <v>0.15895688179659009</v>
      </c>
      <c r="T38" s="369"/>
      <c r="U38" s="382"/>
      <c r="V38" s="369"/>
      <c r="W38" s="369"/>
    </row>
    <row r="39" spans="2:23">
      <c r="D39" s="507" t="s">
        <v>12</v>
      </c>
      <c r="F39" s="389">
        <f>+F40-F38</f>
        <v>1931.1004927659535</v>
      </c>
      <c r="G39" s="389">
        <f t="shared" ref="G39:Q39" si="12">+G40-G38</f>
        <v>1746.8651933225365</v>
      </c>
      <c r="H39" s="389">
        <f t="shared" si="12"/>
        <v>1963.5623576308999</v>
      </c>
      <c r="I39" s="389">
        <f t="shared" si="12"/>
        <v>1809.9748816984611</v>
      </c>
      <c r="J39" s="389">
        <f t="shared" si="12"/>
        <v>1820.2498862840782</v>
      </c>
      <c r="K39" s="389">
        <f t="shared" si="12"/>
        <v>1869.41049491579</v>
      </c>
      <c r="L39" s="389">
        <f t="shared" si="12"/>
        <v>1809.0752007272929</v>
      </c>
      <c r="M39" s="389">
        <f t="shared" si="12"/>
        <v>2114.3664921068785</v>
      </c>
      <c r="N39" s="389">
        <f t="shared" si="12"/>
        <v>2057.3552230688183</v>
      </c>
      <c r="O39" s="389">
        <f t="shared" si="12"/>
        <v>1575.312749288136</v>
      </c>
      <c r="P39" s="389">
        <f t="shared" si="12"/>
        <v>1715.4204979482606</v>
      </c>
      <c r="Q39" s="389">
        <f t="shared" si="12"/>
        <v>1818.7918116329542</v>
      </c>
      <c r="R39" s="369">
        <f>SUM(F39:Q39)</f>
        <v>22231.485281390058</v>
      </c>
      <c r="S39" s="381">
        <f>+R39/R40</f>
        <v>0.84104311820340993</v>
      </c>
      <c r="T39" s="369"/>
      <c r="U39" s="382"/>
      <c r="V39" s="369"/>
      <c r="W39" s="369"/>
    </row>
    <row r="40" spans="2:23">
      <c r="C40" s="390" t="s">
        <v>447</v>
      </c>
      <c r="D40" s="391"/>
      <c r="E40" s="391"/>
      <c r="F40" s="392">
        <f>+'[12]Recycle Tons'!D74</f>
        <v>2298.1676363105448</v>
      </c>
      <c r="G40" s="392">
        <f>+'[12]Recycle Tons'!E74</f>
        <v>2074.9594665012119</v>
      </c>
      <c r="H40" s="392">
        <f>+'[12]Recycle Tons'!F74</f>
        <v>2293.107016811442</v>
      </c>
      <c r="I40" s="392">
        <f>+'[12]Recycle Tons'!G74</f>
        <v>2162.6568047175228</v>
      </c>
      <c r="J40" s="392">
        <f>+'[12]Recycle Tons'!H74</f>
        <v>2160.6151621898516</v>
      </c>
      <c r="K40" s="392">
        <f>+'[12]Recycle Tons'!I74</f>
        <v>2246.61115163158</v>
      </c>
      <c r="L40" s="392">
        <f>+'[12]Recycle Tons'!J74</f>
        <v>2134.1735377133687</v>
      </c>
      <c r="M40" s="392">
        <f>+'[12]Recycle Tons'!K74</f>
        <v>2478.744038387802</v>
      </c>
      <c r="N40" s="392">
        <f>+'[12]Recycle Tons'!L74</f>
        <v>2475.2992369498866</v>
      </c>
      <c r="O40" s="392">
        <f>+'[12]Recycle Tons'!M74</f>
        <v>1882.4246780795024</v>
      </c>
      <c r="P40" s="392">
        <f>+'[12]Recycle Tons'!N74</f>
        <v>2047.0703908855601</v>
      </c>
      <c r="Q40" s="392">
        <f>+'[12]Recycle Tons'!O74</f>
        <v>2179.3998073465568</v>
      </c>
      <c r="R40" s="393">
        <f>SUM(R38:R39)</f>
        <v>26433.228927524826</v>
      </c>
      <c r="S40" s="369"/>
      <c r="T40" s="369"/>
      <c r="U40" s="369"/>
      <c r="V40" s="369"/>
      <c r="W40" s="369"/>
    </row>
    <row r="41" spans="2:23">
      <c r="C41" s="361" t="s">
        <v>16</v>
      </c>
      <c r="F41" s="1175">
        <f>+((F40+F44)-F$13)/F$13</f>
        <v>9.3834082995198336E-3</v>
      </c>
      <c r="G41" s="1175">
        <f t="shared" ref="G41:R41" si="13">+((G40+G44)-G$13)/G$13</f>
        <v>4.3477449834622862E-3</v>
      </c>
      <c r="H41" s="1175">
        <f t="shared" si="13"/>
        <v>1.5581438458482049E-2</v>
      </c>
      <c r="I41" s="1175">
        <f t="shared" si="13"/>
        <v>6.3382027321404414E-3</v>
      </c>
      <c r="J41" s="1175">
        <f t="shared" si="13"/>
        <v>-2.5696438962501821E-3</v>
      </c>
      <c r="K41" s="1175">
        <f t="shared" si="13"/>
        <v>-0.36965346401234211</v>
      </c>
      <c r="L41" s="1175">
        <f t="shared" si="13"/>
        <v>3.1746393239522365E-2</v>
      </c>
      <c r="M41" s="1175">
        <f t="shared" si="13"/>
        <v>2.9102952263061432E-2</v>
      </c>
      <c r="N41" s="1175">
        <f t="shared" si="13"/>
        <v>1.1171199059252717E-2</v>
      </c>
      <c r="O41" s="1175">
        <f t="shared" si="13"/>
        <v>7.7347368960043843E-3</v>
      </c>
      <c r="P41" s="1175">
        <f t="shared" si="13"/>
        <v>3.5810516677596002E-3</v>
      </c>
      <c r="Q41" s="1175">
        <f t="shared" si="13"/>
        <v>9.2869853377668104E-3</v>
      </c>
      <c r="R41" s="1175">
        <f t="shared" si="13"/>
        <v>-3.8329062660358404E-2</v>
      </c>
      <c r="S41" s="369"/>
      <c r="T41" s="369"/>
      <c r="U41" s="369"/>
      <c r="V41" s="369"/>
      <c r="W41" s="369"/>
    </row>
    <row r="42" spans="2:23">
      <c r="D42" s="507" t="s">
        <v>11</v>
      </c>
      <c r="F42" s="1262">
        <f>+'Yardwaste Analysis'!B17</f>
        <v>859.42000000000007</v>
      </c>
      <c r="G42" s="1262">
        <f>+'Yardwaste Analysis'!C17</f>
        <v>604.19000000000005</v>
      </c>
      <c r="H42" s="1262">
        <f>+'Yardwaste Analysis'!D17</f>
        <v>595.79999999999995</v>
      </c>
      <c r="I42" s="1262">
        <f>+'Yardwaste Analysis'!E17</f>
        <v>499.4</v>
      </c>
      <c r="J42" s="1262">
        <f>+'Yardwaste Analysis'!F17</f>
        <v>532.79</v>
      </c>
      <c r="K42" s="1262">
        <f>+'Yardwaste Analysis'!G17</f>
        <v>658.32999999999993</v>
      </c>
      <c r="L42" s="1262">
        <f>+'Yardwaste Analysis'!H17</f>
        <v>976.85999999999979</v>
      </c>
      <c r="M42" s="1262">
        <f>+'Yardwaste Analysis'!I17</f>
        <v>440.7</v>
      </c>
      <c r="N42" s="1262">
        <f>+'Yardwaste Analysis'!J17</f>
        <v>432.02000000000004</v>
      </c>
      <c r="O42" s="1262">
        <f>+'Yardwaste Analysis'!K17</f>
        <v>298.38000000000005</v>
      </c>
      <c r="P42" s="1262">
        <f>+'Yardwaste Analysis'!L17</f>
        <v>531.53</v>
      </c>
      <c r="Q42" s="1262">
        <f>+'Yardwaste Analysis'!M17</f>
        <v>742.08999999999992</v>
      </c>
      <c r="R42" s="369">
        <f>SUM(F42:Q42)</f>
        <v>7171.51</v>
      </c>
      <c r="S42" s="381">
        <f>+R42/R44</f>
        <v>0.16067971356189562</v>
      </c>
      <c r="T42" s="369"/>
      <c r="U42" s="382"/>
      <c r="V42" s="369"/>
      <c r="W42" s="369"/>
    </row>
    <row r="43" spans="2:23">
      <c r="D43" s="507" t="s">
        <v>12</v>
      </c>
      <c r="F43" s="389">
        <f>+F44-F42</f>
        <v>4736.7999999999993</v>
      </c>
      <c r="G43" s="389">
        <f t="shared" ref="G43:Q43" si="14">+G44-G42</f>
        <v>3927.450000000003</v>
      </c>
      <c r="H43" s="389">
        <f t="shared" si="14"/>
        <v>3533.6299999999983</v>
      </c>
      <c r="I43" s="389">
        <f t="shared" si="14"/>
        <v>2464.2300000000005</v>
      </c>
      <c r="J43" s="389">
        <f t="shared" si="14"/>
        <v>2746.58</v>
      </c>
      <c r="K43" s="389">
        <f t="shared" si="14"/>
        <v>3245.3499999999985</v>
      </c>
      <c r="L43" s="389">
        <f t="shared" si="14"/>
        <v>5173.8899999999967</v>
      </c>
      <c r="M43" s="389">
        <f t="shared" si="14"/>
        <v>2008.9299999999992</v>
      </c>
      <c r="N43" s="389">
        <f t="shared" si="14"/>
        <v>2090.8999999999992</v>
      </c>
      <c r="O43" s="389">
        <f t="shared" si="14"/>
        <v>1273.7100000000005</v>
      </c>
      <c r="P43" s="389">
        <f t="shared" si="14"/>
        <v>2527.6200000000008</v>
      </c>
      <c r="Q43" s="389">
        <f t="shared" si="14"/>
        <v>3731.7300000000014</v>
      </c>
      <c r="R43" s="369">
        <f>SUM(F43:Q43)</f>
        <v>37460.82</v>
      </c>
      <c r="S43" s="381">
        <f>+R43/R44</f>
        <v>0.83932028643810441</v>
      </c>
      <c r="T43" s="369"/>
      <c r="U43" s="382"/>
      <c r="V43" s="369"/>
      <c r="W43" s="369"/>
    </row>
    <row r="44" spans="2:23" ht="13.5" thickBot="1">
      <c r="C44" s="394" t="s">
        <v>448</v>
      </c>
      <c r="D44" s="395"/>
      <c r="E44" s="395"/>
      <c r="F44" s="1263">
        <f>+'Yardwaste Analysis'!B7</f>
        <v>5596.2199999999993</v>
      </c>
      <c r="G44" s="1263">
        <f>+'Yardwaste Analysis'!C7</f>
        <v>4531.6400000000031</v>
      </c>
      <c r="H44" s="1263">
        <f>+'Yardwaste Analysis'!D7</f>
        <v>4129.4299999999985</v>
      </c>
      <c r="I44" s="1263">
        <f>+'Yardwaste Analysis'!E7</f>
        <v>2963.6300000000006</v>
      </c>
      <c r="J44" s="1263">
        <f>+'Yardwaste Analysis'!F7</f>
        <v>3279.37</v>
      </c>
      <c r="K44" s="1263">
        <f>+'Yardwaste Analysis'!G7</f>
        <v>3903.6799999999985</v>
      </c>
      <c r="L44" s="1263">
        <f>+'Yardwaste Analysis'!H7</f>
        <v>6150.7499999999964</v>
      </c>
      <c r="M44" s="1263">
        <f>+'Yardwaste Analysis'!I7</f>
        <v>2449.6299999999992</v>
      </c>
      <c r="N44" s="1263">
        <f>+'Yardwaste Analysis'!J7</f>
        <v>2522.9199999999992</v>
      </c>
      <c r="O44" s="1263">
        <f>+'Yardwaste Analysis'!K7</f>
        <v>1572.0900000000006</v>
      </c>
      <c r="P44" s="1263">
        <f>+'Yardwaste Analysis'!L7</f>
        <v>3059.150000000001</v>
      </c>
      <c r="Q44" s="1263">
        <f>+'Yardwaste Analysis'!M7</f>
        <v>4473.8200000000015</v>
      </c>
      <c r="R44" s="397">
        <f>SUM(R42:R43)</f>
        <v>44632.33</v>
      </c>
      <c r="S44" s="398"/>
      <c r="T44" s="369"/>
      <c r="U44" s="369"/>
      <c r="V44" s="369"/>
      <c r="W44" s="369"/>
    </row>
    <row r="45" spans="2:23" ht="13.5" thickBot="1">
      <c r="B45" s="384" t="s">
        <v>298</v>
      </c>
      <c r="C45" s="385"/>
      <c r="D45" s="385"/>
      <c r="E45" s="385"/>
      <c r="F45" s="386">
        <f t="shared" ref="F45:R45" si="15">F36+F40+F44</f>
        <v>11116.2776485615</v>
      </c>
      <c r="G45" s="386">
        <f t="shared" si="15"/>
        <v>9534.7100598647667</v>
      </c>
      <c r="H45" s="386">
        <f t="shared" si="15"/>
        <v>9760.0875476619949</v>
      </c>
      <c r="I45" s="386">
        <f t="shared" si="15"/>
        <v>8269.5747537158477</v>
      </c>
      <c r="J45" s="386">
        <f t="shared" si="15"/>
        <v>8501.0273810056933</v>
      </c>
      <c r="K45" s="386">
        <f t="shared" si="15"/>
        <v>9216.1871544044807</v>
      </c>
      <c r="L45" s="386">
        <f t="shared" si="15"/>
        <v>11198.756059535239</v>
      </c>
      <c r="M45" s="386">
        <f t="shared" si="15"/>
        <v>7996.7312628689488</v>
      </c>
      <c r="N45" s="386">
        <f t="shared" si="15"/>
        <v>8173.9294162308124</v>
      </c>
      <c r="O45" s="386">
        <f t="shared" si="15"/>
        <v>5964.0774749226639</v>
      </c>
      <c r="P45" s="386">
        <f t="shared" si="15"/>
        <v>7881.8590703013688</v>
      </c>
      <c r="Q45" s="386">
        <f t="shared" si="15"/>
        <v>9603.3002011605276</v>
      </c>
      <c r="R45" s="387">
        <f t="shared" si="15"/>
        <v>107216.51803023386</v>
      </c>
      <c r="S45" s="369">
        <f>+R34+R38+R42</f>
        <v>17976.160319261122</v>
      </c>
      <c r="T45" s="381"/>
      <c r="U45" s="369"/>
      <c r="V45" s="369"/>
      <c r="W45" s="369"/>
    </row>
    <row r="46" spans="2:23">
      <c r="F46" s="1175">
        <f>+(F45-F$15)/F$15</f>
        <v>-5.2547965493065308E-3</v>
      </c>
      <c r="G46" s="1175">
        <f t="shared" ref="G46:R46" si="16">+(G45-G$15)/G$15</f>
        <v>-9.895113201997232E-3</v>
      </c>
      <c r="H46" s="1175">
        <f t="shared" si="16"/>
        <v>-4.7835680980937182E-3</v>
      </c>
      <c r="I46" s="1175">
        <f t="shared" si="16"/>
        <v>-1.2470175099612169E-2</v>
      </c>
      <c r="J46" s="1175">
        <f t="shared" si="16"/>
        <v>-1.6881302069423693E-2</v>
      </c>
      <c r="K46" s="1175">
        <f t="shared" si="16"/>
        <v>-0.32758009963486934</v>
      </c>
      <c r="L46" s="1175">
        <f t="shared" si="16"/>
        <v>1.1996752171989773E-2</v>
      </c>
      <c r="M46" s="1175">
        <f t="shared" si="16"/>
        <v>1.2183877386939728E-3</v>
      </c>
      <c r="N46" s="1175">
        <f t="shared" si="16"/>
        <v>-8.7400659433892278E-3</v>
      </c>
      <c r="O46" s="1175">
        <f t="shared" si="16"/>
        <v>-2.8018664451977853E-2</v>
      </c>
      <c r="P46" s="1175">
        <f t="shared" si="16"/>
        <v>-1.2545844362143727E-2</v>
      </c>
      <c r="Q46" s="1175">
        <f t="shared" si="16"/>
        <v>-6.5894071417681131E-3</v>
      </c>
      <c r="R46" s="1175">
        <f t="shared" si="16"/>
        <v>-4.6311537405745659E-2</v>
      </c>
      <c r="S46" s="369"/>
      <c r="T46" s="369"/>
      <c r="U46" s="369"/>
      <c r="V46" s="369"/>
      <c r="W46" s="369"/>
    </row>
    <row r="47" spans="2:23">
      <c r="B47" s="361" t="s">
        <v>440</v>
      </c>
      <c r="F47" s="399"/>
      <c r="G47" s="399"/>
      <c r="H47" s="399"/>
      <c r="I47" s="399"/>
      <c r="J47" s="399"/>
      <c r="K47" s="399"/>
      <c r="L47" s="399"/>
      <c r="M47" s="399"/>
      <c r="N47" s="399"/>
      <c r="O47" s="399"/>
      <c r="P47" s="399"/>
      <c r="Q47" s="399"/>
      <c r="R47" s="369"/>
      <c r="S47" s="369"/>
      <c r="T47" s="369"/>
      <c r="U47" s="369"/>
      <c r="V47" s="369"/>
      <c r="W47" s="369"/>
    </row>
    <row r="48" spans="2:23">
      <c r="C48" s="507" t="s">
        <v>442</v>
      </c>
      <c r="F48" s="1264">
        <f>'Roll Off Average Cost'!B7</f>
        <v>110.8435434115674</v>
      </c>
      <c r="G48" s="1264">
        <f>'Roll Off Average Cost'!C7</f>
        <v>114.34516508467013</v>
      </c>
      <c r="H48" s="1264">
        <f>'Roll Off Average Cost'!D7</f>
        <v>100.41244887789065</v>
      </c>
      <c r="I48" s="1264">
        <f>'Roll Off Average Cost'!E7</f>
        <v>123.60987785877725</v>
      </c>
      <c r="J48" s="1264">
        <f>'Roll Off Average Cost'!F7</f>
        <v>106.93044925942105</v>
      </c>
      <c r="K48" s="1264">
        <f>'Roll Off Average Cost'!G7</f>
        <v>87.706460251965936</v>
      </c>
      <c r="L48" s="1264">
        <f>'Roll Off Average Cost'!H7</f>
        <v>106.95860195358431</v>
      </c>
      <c r="M48" s="1264">
        <f>'Roll Off Average Cost'!I7</f>
        <v>124.77417423359402</v>
      </c>
      <c r="N48" s="1264">
        <f>'Roll Off Average Cost'!J7</f>
        <v>105.31727381655674</v>
      </c>
      <c r="O48" s="1264">
        <f>'Roll Off Average Cost'!K7</f>
        <v>96.383615871962036</v>
      </c>
      <c r="P48" s="1264">
        <f>'Roll Off Average Cost'!L7</f>
        <v>89.447756520582487</v>
      </c>
      <c r="Q48" s="1264">
        <f>'Roll Off Average Cost'!M7</f>
        <v>85.689762859428214</v>
      </c>
      <c r="R48" s="369">
        <f>SUM(F48:Q48)</f>
        <v>1252.4191300000002</v>
      </c>
      <c r="S48" s="381">
        <f>+R48/R50</f>
        <v>2.46738338028724E-2</v>
      </c>
      <c r="T48" s="369"/>
      <c r="U48" s="369"/>
      <c r="V48" s="369"/>
      <c r="W48" s="369"/>
    </row>
    <row r="49" spans="1:21" ht="13.5" thickBot="1">
      <c r="C49" s="507" t="s">
        <v>443</v>
      </c>
      <c r="F49" s="389">
        <f t="shared" ref="F49:Q49" si="17">F50-F48</f>
        <v>3997.1564565884328</v>
      </c>
      <c r="G49" s="389">
        <f t="shared" si="17"/>
        <v>3765.65483491533</v>
      </c>
      <c r="H49" s="389">
        <f t="shared" si="17"/>
        <v>4214.5875511221093</v>
      </c>
      <c r="I49" s="389">
        <f t="shared" si="17"/>
        <v>4241.3901221412225</v>
      </c>
      <c r="J49" s="389">
        <f t="shared" si="17"/>
        <v>3905.069550740579</v>
      </c>
      <c r="K49" s="389">
        <f t="shared" si="17"/>
        <v>5471.2935397480342</v>
      </c>
      <c r="L49" s="389">
        <f t="shared" si="17"/>
        <v>4276.0413980464155</v>
      </c>
      <c r="M49" s="389">
        <f t="shared" si="17"/>
        <v>3963.2258257664062</v>
      </c>
      <c r="N49" s="389">
        <f t="shared" si="17"/>
        <v>4075.6827261834433</v>
      </c>
      <c r="O49" s="389">
        <f t="shared" si="17"/>
        <v>3435.6163841280381</v>
      </c>
      <c r="P49" s="389">
        <f t="shared" si="17"/>
        <v>3944.5522434794175</v>
      </c>
      <c r="Q49" s="389">
        <f t="shared" si="17"/>
        <v>4216.3102371405721</v>
      </c>
      <c r="R49" s="369">
        <f>SUM(F49:Q49)</f>
        <v>49506.580869999998</v>
      </c>
      <c r="S49" s="381">
        <f>+R49/R50</f>
        <v>0.97532616619712753</v>
      </c>
    </row>
    <row r="50" spans="1:21" ht="13.5" thickBot="1">
      <c r="B50" s="384" t="s">
        <v>449</v>
      </c>
      <c r="C50" s="385"/>
      <c r="D50" s="385"/>
      <c r="E50" s="385"/>
      <c r="F50" s="1265">
        <f>'Roll Off Average Cost'!B6</f>
        <v>4108</v>
      </c>
      <c r="G50" s="1265">
        <f>'Roll Off Average Cost'!C6</f>
        <v>3880</v>
      </c>
      <c r="H50" s="1265">
        <f>'Roll Off Average Cost'!D6</f>
        <v>4315</v>
      </c>
      <c r="I50" s="1265">
        <f>'Roll Off Average Cost'!E6</f>
        <v>4365</v>
      </c>
      <c r="J50" s="1265">
        <f>'Roll Off Average Cost'!F6</f>
        <v>4012</v>
      </c>
      <c r="K50" s="1265">
        <f>'Roll Off Average Cost'!G6</f>
        <v>5559</v>
      </c>
      <c r="L50" s="1265">
        <f>'Roll Off Average Cost'!H6</f>
        <v>4383</v>
      </c>
      <c r="M50" s="1265">
        <f>'Roll Off Average Cost'!I6</f>
        <v>4088</v>
      </c>
      <c r="N50" s="1265">
        <f>'Roll Off Average Cost'!J6</f>
        <v>4181</v>
      </c>
      <c r="O50" s="1265">
        <f>'Roll Off Average Cost'!K6</f>
        <v>3532</v>
      </c>
      <c r="P50" s="1265">
        <f>'Roll Off Average Cost'!L6</f>
        <v>4034</v>
      </c>
      <c r="Q50" s="1265">
        <f>'Roll Off Average Cost'!M6</f>
        <v>4302</v>
      </c>
      <c r="R50" s="387">
        <f>SUM(R48:R49)</f>
        <v>50759</v>
      </c>
      <c r="U50" s="388"/>
    </row>
    <row r="51" spans="1:21">
      <c r="F51" s="1175">
        <f>+(F50-F$16)/F$16</f>
        <v>0</v>
      </c>
      <c r="G51" s="1175">
        <f t="shared" ref="G51:R51" si="18">+(G50-G$16)/G$16</f>
        <v>0</v>
      </c>
      <c r="H51" s="1175">
        <f t="shared" si="18"/>
        <v>0</v>
      </c>
      <c r="I51" s="1175">
        <f t="shared" si="18"/>
        <v>0</v>
      </c>
      <c r="J51" s="1175">
        <f t="shared" si="18"/>
        <v>0</v>
      </c>
      <c r="K51" s="1175">
        <f t="shared" si="18"/>
        <v>0</v>
      </c>
      <c r="L51" s="1175">
        <f t="shared" si="18"/>
        <v>0</v>
      </c>
      <c r="M51" s="1175">
        <f t="shared" si="18"/>
        <v>0</v>
      </c>
      <c r="N51" s="1175">
        <f t="shared" si="18"/>
        <v>0</v>
      </c>
      <c r="O51" s="1175">
        <f t="shared" si="18"/>
        <v>0</v>
      </c>
      <c r="P51" s="1175">
        <f t="shared" si="18"/>
        <v>0</v>
      </c>
      <c r="Q51" s="1175">
        <f t="shared" si="18"/>
        <v>0</v>
      </c>
      <c r="R51" s="1175">
        <f t="shared" si="18"/>
        <v>0</v>
      </c>
    </row>
    <row r="52" spans="1:21">
      <c r="F52" s="388"/>
      <c r="G52" s="388"/>
      <c r="H52" s="388"/>
      <c r="I52" s="388"/>
      <c r="J52" s="388"/>
      <c r="K52" s="388"/>
      <c r="L52" s="388"/>
      <c r="M52" s="388"/>
      <c r="N52" s="388"/>
      <c r="O52" s="388"/>
      <c r="P52" s="388"/>
      <c r="Q52" s="388"/>
    </row>
    <row r="53" spans="1:21">
      <c r="B53" s="361" t="s">
        <v>445</v>
      </c>
      <c r="F53" s="388">
        <f>F23+F24+F36+F48+F49</f>
        <v>10760.479444628167</v>
      </c>
      <c r="G53" s="388">
        <f t="shared" ref="G53:R53" si="19">G23+G24+G36+G48+G49</f>
        <v>10005.284742571634</v>
      </c>
      <c r="H53" s="388">
        <f t="shared" si="19"/>
        <v>11158.520708293112</v>
      </c>
      <c r="I53" s="388">
        <f t="shared" si="19"/>
        <v>10841.503062642529</v>
      </c>
      <c r="J53" s="388">
        <f t="shared" si="19"/>
        <v>10342.502710353532</v>
      </c>
      <c r="K53" s="388">
        <f t="shared" si="19"/>
        <v>12062.886897243758</v>
      </c>
      <c r="L53" s="388">
        <f t="shared" si="19"/>
        <v>10580.302869535455</v>
      </c>
      <c r="M53" s="388">
        <f t="shared" si="19"/>
        <v>10342.029636875099</v>
      </c>
      <c r="N53" s="388">
        <f t="shared" si="19"/>
        <v>10640.669960450525</v>
      </c>
      <c r="O53" s="388">
        <f>O23+O24+O36+O48+O49</f>
        <v>8942.8765870655843</v>
      </c>
      <c r="P53" s="388">
        <f t="shared" si="19"/>
        <v>10132.527079260344</v>
      </c>
      <c r="Q53" s="388">
        <f t="shared" si="19"/>
        <v>10590.153144773223</v>
      </c>
      <c r="R53" s="388">
        <f t="shared" si="19"/>
        <v>126399.73684369295</v>
      </c>
    </row>
    <row r="54" spans="1:21">
      <c r="B54" s="361" t="s">
        <v>447</v>
      </c>
      <c r="F54" s="388">
        <f>+F29+F40</f>
        <v>3530.9262288484133</v>
      </c>
      <c r="G54" s="388">
        <f t="shared" ref="G54:R54" si="20">+G29+G40</f>
        <v>3255.8466382635388</v>
      </c>
      <c r="H54" s="388">
        <f t="shared" si="20"/>
        <v>3503.2935352267687</v>
      </c>
      <c r="I54" s="388">
        <f t="shared" si="20"/>
        <v>3343.6431225908182</v>
      </c>
      <c r="J54" s="388">
        <f t="shared" si="20"/>
        <v>3361.632411954879</v>
      </c>
      <c r="K54" s="388">
        <f t="shared" si="20"/>
        <v>3472.7999885431846</v>
      </c>
      <c r="L54" s="388">
        <f t="shared" si="20"/>
        <v>3291.3978639925313</v>
      </c>
      <c r="M54" s="388">
        <f t="shared" si="20"/>
        <v>3678.6455118212434</v>
      </c>
      <c r="N54" s="388">
        <f t="shared" si="20"/>
        <v>3699.1639569706599</v>
      </c>
      <c r="O54" s="388">
        <f t="shared" si="20"/>
        <v>2948.9058105934473</v>
      </c>
      <c r="P54" s="388">
        <f t="shared" si="20"/>
        <v>3244.5285708402043</v>
      </c>
      <c r="Q54" s="388">
        <f t="shared" si="20"/>
        <v>3370.3929705232167</v>
      </c>
      <c r="R54" s="388">
        <f t="shared" si="20"/>
        <v>40701.176610168906</v>
      </c>
    </row>
    <row r="55" spans="1:21" ht="13.5" thickBot="1">
      <c r="B55" s="361" t="s">
        <v>448</v>
      </c>
      <c r="F55" s="388">
        <f>F44</f>
        <v>5596.2199999999993</v>
      </c>
      <c r="G55" s="388">
        <f t="shared" ref="G55:R55" si="21">G44</f>
        <v>4531.6400000000031</v>
      </c>
      <c r="H55" s="388">
        <f t="shared" si="21"/>
        <v>4129.4299999999985</v>
      </c>
      <c r="I55" s="388">
        <f t="shared" si="21"/>
        <v>2963.6300000000006</v>
      </c>
      <c r="J55" s="388">
        <f t="shared" si="21"/>
        <v>3279.37</v>
      </c>
      <c r="K55" s="388">
        <f t="shared" si="21"/>
        <v>3903.6799999999985</v>
      </c>
      <c r="L55" s="388">
        <f t="shared" si="21"/>
        <v>6150.7499999999964</v>
      </c>
      <c r="M55" s="388">
        <f t="shared" si="21"/>
        <v>2449.6299999999992</v>
      </c>
      <c r="N55" s="388">
        <f t="shared" si="21"/>
        <v>2522.9199999999992</v>
      </c>
      <c r="O55" s="388">
        <f t="shared" si="21"/>
        <v>1572.0900000000006</v>
      </c>
      <c r="P55" s="388">
        <f t="shared" si="21"/>
        <v>3059.150000000001</v>
      </c>
      <c r="Q55" s="388">
        <f t="shared" si="21"/>
        <v>4473.8200000000015</v>
      </c>
      <c r="R55" s="388">
        <f t="shared" si="21"/>
        <v>44632.33</v>
      </c>
      <c r="S55" s="379"/>
    </row>
    <row r="56" spans="1:21" ht="13.5" thickBot="1">
      <c r="A56" s="384" t="s">
        <v>450</v>
      </c>
      <c r="B56" s="385"/>
      <c r="C56" s="385"/>
      <c r="D56" s="385"/>
      <c r="E56" s="385"/>
      <c r="F56" s="400">
        <f>SUM(F53:F55)</f>
        <v>19887.625673476578</v>
      </c>
      <c r="G56" s="400">
        <f t="shared" ref="G56:R56" si="22">SUM(G53:G55)</f>
        <v>17792.771380835176</v>
      </c>
      <c r="H56" s="400">
        <f t="shared" si="22"/>
        <v>18791.244243519879</v>
      </c>
      <c r="I56" s="400">
        <f t="shared" si="22"/>
        <v>17148.776185233346</v>
      </c>
      <c r="J56" s="400">
        <f t="shared" si="22"/>
        <v>16983.505122308412</v>
      </c>
      <c r="K56" s="400">
        <f t="shared" si="22"/>
        <v>19439.366885786942</v>
      </c>
      <c r="L56" s="400">
        <f t="shared" si="22"/>
        <v>20022.450733527985</v>
      </c>
      <c r="M56" s="400">
        <f t="shared" si="22"/>
        <v>16470.305148696341</v>
      </c>
      <c r="N56" s="400">
        <f t="shared" si="22"/>
        <v>16862.753917421185</v>
      </c>
      <c r="O56" s="400">
        <f>SUM(O53:O55)</f>
        <v>13463.872397659032</v>
      </c>
      <c r="P56" s="400">
        <f t="shared" si="22"/>
        <v>16436.20565010055</v>
      </c>
      <c r="Q56" s="400">
        <f t="shared" si="22"/>
        <v>18434.366115296441</v>
      </c>
      <c r="R56" s="401">
        <f t="shared" si="22"/>
        <v>211733.24345386185</v>
      </c>
    </row>
    <row r="58" spans="1:21">
      <c r="B58" s="360" t="s">
        <v>451</v>
      </c>
    </row>
    <row r="59" spans="1:21">
      <c r="C59" s="360" t="s">
        <v>280</v>
      </c>
      <c r="F59" s="369"/>
      <c r="G59" s="369"/>
      <c r="H59" s="369"/>
      <c r="I59" s="369"/>
      <c r="J59" s="369"/>
      <c r="K59" s="369"/>
      <c r="L59" s="369"/>
      <c r="M59" s="369"/>
      <c r="N59" s="369"/>
      <c r="O59" s="369"/>
      <c r="P59" s="369"/>
      <c r="Q59" s="369"/>
      <c r="R59" s="369"/>
    </row>
    <row r="60" spans="1:21">
      <c r="D60" s="361" t="s">
        <v>18</v>
      </c>
      <c r="F60" s="369">
        <f t="shared" ref="F60:R60" si="23">F23</f>
        <v>233.68411299064337</v>
      </c>
      <c r="G60" s="369">
        <f t="shared" si="23"/>
        <v>218.94960190245828</v>
      </c>
      <c r="H60" s="369">
        <f t="shared" si="23"/>
        <v>244.13068029694793</v>
      </c>
      <c r="I60" s="369">
        <f t="shared" si="23"/>
        <v>244.57917184017472</v>
      </c>
      <c r="J60" s="369">
        <f t="shared" si="23"/>
        <v>232.78977009454272</v>
      </c>
      <c r="K60" s="369">
        <f t="shared" si="23"/>
        <v>246.47227468528953</v>
      </c>
      <c r="L60" s="369">
        <f t="shared" si="23"/>
        <v>234.31380172379946</v>
      </c>
      <c r="M60" s="369">
        <f t="shared" si="23"/>
        <v>222.06669074724127</v>
      </c>
      <c r="N60" s="369">
        <f t="shared" si="23"/>
        <v>223.69803483572559</v>
      </c>
      <c r="O60" s="369">
        <f t="shared" si="23"/>
        <v>195.22030473646362</v>
      </c>
      <c r="P60" s="369">
        <f t="shared" si="23"/>
        <v>225.68484392942736</v>
      </c>
      <c r="Q60" s="369">
        <f t="shared" si="23"/>
        <v>230.00403233724955</v>
      </c>
      <c r="R60" s="369">
        <f t="shared" si="23"/>
        <v>2751.5933201199632</v>
      </c>
    </row>
    <row r="61" spans="1:21">
      <c r="D61" s="361" t="s">
        <v>452</v>
      </c>
      <c r="F61" s="369">
        <f t="shared" ref="F61:R61" si="24">F27</f>
        <v>38.538144391546453</v>
      </c>
      <c r="G61" s="369">
        <f t="shared" si="24"/>
        <v>37.273745809976845</v>
      </c>
      <c r="H61" s="369">
        <f t="shared" si="24"/>
        <v>38.05925985893434</v>
      </c>
      <c r="I61" s="369">
        <f t="shared" si="24"/>
        <v>37.892356741372581</v>
      </c>
      <c r="J61" s="369">
        <f t="shared" si="24"/>
        <v>40.813547428851408</v>
      </c>
      <c r="K61" s="369">
        <f t="shared" si="24"/>
        <v>35.512843751462015</v>
      </c>
      <c r="L61" s="369">
        <f t="shared" si="24"/>
        <v>35.324977305861864</v>
      </c>
      <c r="M61" s="369">
        <f t="shared" si="24"/>
        <v>39.774607684821639</v>
      </c>
      <c r="N61" s="369">
        <f t="shared" si="24"/>
        <v>41.575871940353011</v>
      </c>
      <c r="O61" s="369">
        <f t="shared" si="24"/>
        <v>32.671518622794352</v>
      </c>
      <c r="P61" s="369">
        <f t="shared" si="24"/>
        <v>38.450136033744172</v>
      </c>
      <c r="Q61" s="369">
        <f t="shared" si="24"/>
        <v>32.116096797017377</v>
      </c>
      <c r="R61" s="369">
        <f t="shared" si="24"/>
        <v>448.00310636673601</v>
      </c>
    </row>
    <row r="62" spans="1:21">
      <c r="C62" s="360" t="s">
        <v>313</v>
      </c>
      <c r="D62" s="360"/>
      <c r="E62" s="360"/>
      <c r="F62" s="402">
        <f t="shared" ref="F62:R62" si="25">SUM(F60:F61)</f>
        <v>272.22225738218981</v>
      </c>
      <c r="G62" s="402">
        <f t="shared" si="25"/>
        <v>256.22334771243516</v>
      </c>
      <c r="H62" s="402">
        <f t="shared" si="25"/>
        <v>282.18994015588225</v>
      </c>
      <c r="I62" s="402">
        <f t="shared" si="25"/>
        <v>282.47152858154732</v>
      </c>
      <c r="J62" s="402">
        <f t="shared" si="25"/>
        <v>273.60331752339414</v>
      </c>
      <c r="K62" s="402">
        <f t="shared" si="25"/>
        <v>281.98511843675158</v>
      </c>
      <c r="L62" s="402">
        <f t="shared" si="25"/>
        <v>269.63877902966135</v>
      </c>
      <c r="M62" s="402">
        <f t="shared" si="25"/>
        <v>261.8412984320629</v>
      </c>
      <c r="N62" s="402">
        <f t="shared" si="25"/>
        <v>265.2739067760786</v>
      </c>
      <c r="O62" s="402">
        <f t="shared" si="25"/>
        <v>227.89182335925796</v>
      </c>
      <c r="P62" s="402">
        <f t="shared" si="25"/>
        <v>264.13497996317153</v>
      </c>
      <c r="Q62" s="402">
        <f t="shared" si="25"/>
        <v>262.1201291342669</v>
      </c>
      <c r="R62" s="402">
        <f t="shared" si="25"/>
        <v>3199.5964264866993</v>
      </c>
    </row>
    <row r="63" spans="1:21" ht="7.5" customHeight="1">
      <c r="C63" s="360"/>
      <c r="D63" s="360"/>
      <c r="E63" s="360"/>
      <c r="F63" s="403"/>
      <c r="G63" s="403"/>
      <c r="H63" s="403"/>
      <c r="I63" s="403"/>
      <c r="J63" s="403"/>
      <c r="K63" s="403"/>
      <c r="L63" s="403"/>
      <c r="M63" s="403"/>
      <c r="N63" s="403"/>
      <c r="O63" s="403"/>
      <c r="P63" s="403"/>
      <c r="Q63" s="403"/>
      <c r="R63" s="403"/>
    </row>
    <row r="64" spans="1:21">
      <c r="C64" s="360" t="s">
        <v>278</v>
      </c>
      <c r="F64" s="369"/>
      <c r="G64" s="369"/>
      <c r="H64" s="369"/>
      <c r="I64" s="369"/>
      <c r="J64" s="369"/>
      <c r="K64" s="369"/>
      <c r="L64" s="369"/>
      <c r="M64" s="369"/>
      <c r="N64" s="369"/>
      <c r="O64" s="369"/>
      <c r="P64" s="369"/>
      <c r="Q64" s="369"/>
      <c r="R64" s="369"/>
    </row>
    <row r="65" spans="1:18">
      <c r="D65" s="361" t="s">
        <v>18</v>
      </c>
      <c r="F65" s="369">
        <f t="shared" ref="F65:R65" si="26">F34</f>
        <v>599.80197971880398</v>
      </c>
      <c r="G65" s="369">
        <f t="shared" si="26"/>
        <v>530.17078093277416</v>
      </c>
      <c r="H65" s="369">
        <f t="shared" si="26"/>
        <v>582.48426266432477</v>
      </c>
      <c r="I65" s="369">
        <f t="shared" si="26"/>
        <v>592.85288192996597</v>
      </c>
      <c r="J65" s="369">
        <f t="shared" si="26"/>
        <v>552.52718831555262</v>
      </c>
      <c r="K65" s="369">
        <f t="shared" si="26"/>
        <v>578.68381221844788</v>
      </c>
      <c r="L65" s="369">
        <f t="shared" si="26"/>
        <v>528.15354593290067</v>
      </c>
      <c r="M65" s="369">
        <f t="shared" si="26"/>
        <v>548.78039284403178</v>
      </c>
      <c r="N65" s="369">
        <f t="shared" si="26"/>
        <v>599.74437874509863</v>
      </c>
      <c r="O65" s="369">
        <f t="shared" si="26"/>
        <v>459.35752363420113</v>
      </c>
      <c r="P65" s="369">
        <f t="shared" si="26"/>
        <v>504.87486675474531</v>
      </c>
      <c r="Q65" s="369">
        <f t="shared" si="26"/>
        <v>525.47505943550266</v>
      </c>
      <c r="R65" s="369">
        <f t="shared" si="26"/>
        <v>6602.9066731263492</v>
      </c>
    </row>
    <row r="66" spans="1:18">
      <c r="D66" s="361" t="s">
        <v>319</v>
      </c>
      <c r="F66" s="369">
        <f t="shared" ref="F66:R66" si="27">F38</f>
        <v>367.06714354459132</v>
      </c>
      <c r="G66" s="369">
        <f t="shared" si="27"/>
        <v>328.09427317867534</v>
      </c>
      <c r="H66" s="369">
        <f t="shared" si="27"/>
        <v>329.54465918054211</v>
      </c>
      <c r="I66" s="369">
        <f t="shared" si="27"/>
        <v>352.68192301906163</v>
      </c>
      <c r="J66" s="369">
        <f t="shared" si="27"/>
        <v>340.36527590577344</v>
      </c>
      <c r="K66" s="369">
        <f t="shared" si="27"/>
        <v>377.20065671579005</v>
      </c>
      <c r="L66" s="369">
        <f t="shared" si="27"/>
        <v>325.09833698607571</v>
      </c>
      <c r="M66" s="369">
        <f t="shared" si="27"/>
        <v>364.37754628092375</v>
      </c>
      <c r="N66" s="369">
        <f t="shared" si="27"/>
        <v>417.94401388106837</v>
      </c>
      <c r="O66" s="369">
        <f t="shared" si="27"/>
        <v>307.11192879136638</v>
      </c>
      <c r="P66" s="369">
        <f t="shared" si="27"/>
        <v>331.6498929372994</v>
      </c>
      <c r="Q66" s="369">
        <f t="shared" si="27"/>
        <v>360.60799571360258</v>
      </c>
      <c r="R66" s="369">
        <f t="shared" si="27"/>
        <v>4201.7436461347697</v>
      </c>
    </row>
    <row r="67" spans="1:18">
      <c r="D67" s="361" t="s">
        <v>16</v>
      </c>
      <c r="F67" s="369">
        <f t="shared" ref="F67:R67" si="28">F42</f>
        <v>859.42000000000007</v>
      </c>
      <c r="G67" s="369">
        <f t="shared" si="28"/>
        <v>604.19000000000005</v>
      </c>
      <c r="H67" s="369">
        <f t="shared" si="28"/>
        <v>595.79999999999995</v>
      </c>
      <c r="I67" s="369">
        <f t="shared" si="28"/>
        <v>499.4</v>
      </c>
      <c r="J67" s="369">
        <f t="shared" si="28"/>
        <v>532.79</v>
      </c>
      <c r="K67" s="369">
        <f t="shared" si="28"/>
        <v>658.32999999999993</v>
      </c>
      <c r="L67" s="369">
        <f t="shared" si="28"/>
        <v>976.85999999999979</v>
      </c>
      <c r="M67" s="369">
        <f t="shared" si="28"/>
        <v>440.7</v>
      </c>
      <c r="N67" s="369">
        <f t="shared" si="28"/>
        <v>432.02000000000004</v>
      </c>
      <c r="O67" s="369">
        <f t="shared" si="28"/>
        <v>298.38000000000005</v>
      </c>
      <c r="P67" s="369">
        <f t="shared" si="28"/>
        <v>531.53</v>
      </c>
      <c r="Q67" s="369">
        <f t="shared" si="28"/>
        <v>742.08999999999992</v>
      </c>
      <c r="R67" s="369">
        <f t="shared" si="28"/>
        <v>7171.51</v>
      </c>
    </row>
    <row r="68" spans="1:18">
      <c r="B68" s="360"/>
      <c r="C68" s="360" t="s">
        <v>298</v>
      </c>
      <c r="D68" s="360"/>
      <c r="E68" s="360"/>
      <c r="F68" s="402">
        <f t="shared" ref="F68:R68" si="29">SUM(F65:F67)</f>
        <v>1826.2891232633954</v>
      </c>
      <c r="G68" s="402">
        <f t="shared" si="29"/>
        <v>1462.4550541114495</v>
      </c>
      <c r="H68" s="402">
        <f t="shared" si="29"/>
        <v>1507.8289218448667</v>
      </c>
      <c r="I68" s="402">
        <f t="shared" si="29"/>
        <v>1444.9348049490277</v>
      </c>
      <c r="J68" s="402">
        <f t="shared" si="29"/>
        <v>1425.682464221326</v>
      </c>
      <c r="K68" s="402">
        <f t="shared" si="29"/>
        <v>1614.2144689342379</v>
      </c>
      <c r="L68" s="402">
        <f t="shared" si="29"/>
        <v>1830.1118829189763</v>
      </c>
      <c r="M68" s="402">
        <f t="shared" si="29"/>
        <v>1353.8579391249555</v>
      </c>
      <c r="N68" s="402">
        <f t="shared" si="29"/>
        <v>1449.7083926261671</v>
      </c>
      <c r="O68" s="402">
        <f t="shared" si="29"/>
        <v>1064.8494524255675</v>
      </c>
      <c r="P68" s="402">
        <f t="shared" si="29"/>
        <v>1368.0547596920446</v>
      </c>
      <c r="Q68" s="402">
        <f t="shared" si="29"/>
        <v>1628.173055149105</v>
      </c>
      <c r="R68" s="402">
        <f t="shared" si="29"/>
        <v>17976.160319261122</v>
      </c>
    </row>
    <row r="69" spans="1:18" ht="7.5" customHeight="1">
      <c r="C69" s="360"/>
      <c r="D69" s="360"/>
      <c r="E69" s="360"/>
      <c r="F69" s="403"/>
      <c r="G69" s="403"/>
      <c r="H69" s="403"/>
      <c r="I69" s="403"/>
      <c r="J69" s="403"/>
      <c r="K69" s="403"/>
      <c r="L69" s="403"/>
      <c r="M69" s="403"/>
      <c r="N69" s="403"/>
      <c r="O69" s="403"/>
      <c r="P69" s="403"/>
      <c r="Q69" s="403"/>
      <c r="R69" s="403"/>
    </row>
    <row r="70" spans="1:18">
      <c r="C70" s="360" t="s">
        <v>440</v>
      </c>
      <c r="F70" s="369"/>
      <c r="G70" s="369"/>
      <c r="H70" s="369"/>
      <c r="I70" s="369"/>
      <c r="J70" s="369"/>
      <c r="K70" s="369"/>
      <c r="L70" s="369"/>
      <c r="M70" s="369"/>
      <c r="N70" s="369"/>
      <c r="O70" s="369"/>
      <c r="P70" s="369"/>
      <c r="Q70" s="369"/>
      <c r="R70" s="369"/>
    </row>
    <row r="71" spans="1:18">
      <c r="D71" s="361" t="s">
        <v>18</v>
      </c>
      <c r="F71" s="369">
        <f>F48</f>
        <v>110.8435434115674</v>
      </c>
      <c r="G71" s="369">
        <f t="shared" ref="G71:R71" si="30">G48</f>
        <v>114.34516508467013</v>
      </c>
      <c r="H71" s="369">
        <f t="shared" si="30"/>
        <v>100.41244887789065</v>
      </c>
      <c r="I71" s="369">
        <f t="shared" si="30"/>
        <v>123.60987785877725</v>
      </c>
      <c r="J71" s="369">
        <f t="shared" si="30"/>
        <v>106.93044925942105</v>
      </c>
      <c r="K71" s="369">
        <f t="shared" si="30"/>
        <v>87.706460251965936</v>
      </c>
      <c r="L71" s="369">
        <f t="shared" si="30"/>
        <v>106.95860195358431</v>
      </c>
      <c r="M71" s="369">
        <f t="shared" si="30"/>
        <v>124.77417423359402</v>
      </c>
      <c r="N71" s="369">
        <f t="shared" si="30"/>
        <v>105.31727381655674</v>
      </c>
      <c r="O71" s="369">
        <f t="shared" si="30"/>
        <v>96.383615871962036</v>
      </c>
      <c r="P71" s="369">
        <f t="shared" si="30"/>
        <v>89.447756520582487</v>
      </c>
      <c r="Q71" s="369">
        <f t="shared" si="30"/>
        <v>85.689762859428214</v>
      </c>
      <c r="R71" s="369">
        <f t="shared" si="30"/>
        <v>1252.4191300000002</v>
      </c>
    </row>
    <row r="72" spans="1:18" s="360" customFormat="1">
      <c r="C72" s="360" t="s">
        <v>449</v>
      </c>
      <c r="F72" s="402">
        <f t="shared" ref="F72:R72" si="31">SUM(F71)</f>
        <v>110.8435434115674</v>
      </c>
      <c r="G72" s="402">
        <f t="shared" si="31"/>
        <v>114.34516508467013</v>
      </c>
      <c r="H72" s="402">
        <f t="shared" si="31"/>
        <v>100.41244887789065</v>
      </c>
      <c r="I72" s="402">
        <f t="shared" si="31"/>
        <v>123.60987785877725</v>
      </c>
      <c r="J72" s="402">
        <f t="shared" si="31"/>
        <v>106.93044925942105</v>
      </c>
      <c r="K72" s="402">
        <f t="shared" si="31"/>
        <v>87.706460251965936</v>
      </c>
      <c r="L72" s="402">
        <f t="shared" si="31"/>
        <v>106.95860195358431</v>
      </c>
      <c r="M72" s="402">
        <f t="shared" si="31"/>
        <v>124.77417423359402</v>
      </c>
      <c r="N72" s="402">
        <f t="shared" si="31"/>
        <v>105.31727381655674</v>
      </c>
      <c r="O72" s="402">
        <f t="shared" si="31"/>
        <v>96.383615871962036</v>
      </c>
      <c r="P72" s="402">
        <f t="shared" si="31"/>
        <v>89.447756520582487</v>
      </c>
      <c r="Q72" s="402">
        <f t="shared" si="31"/>
        <v>85.689762859428214</v>
      </c>
      <c r="R72" s="402">
        <f t="shared" si="31"/>
        <v>1252.4191300000002</v>
      </c>
    </row>
    <row r="73" spans="1:18" ht="7.5" customHeight="1" thickBot="1">
      <c r="C73" s="360"/>
      <c r="D73" s="360"/>
      <c r="E73" s="360"/>
      <c r="F73" s="403"/>
      <c r="G73" s="403"/>
      <c r="H73" s="403"/>
      <c r="I73" s="403"/>
      <c r="J73" s="403"/>
      <c r="K73" s="403"/>
      <c r="L73" s="403"/>
      <c r="M73" s="403"/>
      <c r="N73" s="403"/>
      <c r="O73" s="403"/>
      <c r="P73" s="403"/>
      <c r="Q73" s="403"/>
      <c r="R73" s="403"/>
    </row>
    <row r="74" spans="1:18" ht="13.5" thickBot="1">
      <c r="B74" s="384" t="s">
        <v>451</v>
      </c>
      <c r="C74" s="385"/>
      <c r="D74" s="385"/>
      <c r="E74" s="385"/>
      <c r="F74" s="386">
        <f t="shared" ref="F74:R74" si="32">F62+F68+F72</f>
        <v>2209.3549240571524</v>
      </c>
      <c r="G74" s="386">
        <f t="shared" si="32"/>
        <v>1833.0235669085546</v>
      </c>
      <c r="H74" s="386">
        <f t="shared" si="32"/>
        <v>1890.4313108786396</v>
      </c>
      <c r="I74" s="386">
        <f t="shared" si="32"/>
        <v>1851.0162113893523</v>
      </c>
      <c r="J74" s="386">
        <f t="shared" si="32"/>
        <v>1806.2162310041413</v>
      </c>
      <c r="K74" s="386">
        <f t="shared" si="32"/>
        <v>1983.9060476229552</v>
      </c>
      <c r="L74" s="386">
        <f t="shared" si="32"/>
        <v>2206.7092639022217</v>
      </c>
      <c r="M74" s="386">
        <f t="shared" si="32"/>
        <v>1740.4734117906125</v>
      </c>
      <c r="N74" s="386">
        <f t="shared" si="32"/>
        <v>1820.2995732188024</v>
      </c>
      <c r="O74" s="386">
        <f t="shared" si="32"/>
        <v>1389.1248916567877</v>
      </c>
      <c r="P74" s="386">
        <f t="shared" si="32"/>
        <v>1721.6374961757988</v>
      </c>
      <c r="Q74" s="386">
        <f t="shared" si="32"/>
        <v>1975.9829471428</v>
      </c>
      <c r="R74" s="387">
        <f t="shared" si="32"/>
        <v>22428.175875747824</v>
      </c>
    </row>
    <row r="77" spans="1:18" ht="18">
      <c r="A77" s="367" t="s">
        <v>453</v>
      </c>
    </row>
    <row r="78" spans="1:18">
      <c r="E78" s="360"/>
      <c r="F78" s="378"/>
      <c r="G78" s="378"/>
      <c r="H78" s="378"/>
      <c r="I78" s="378"/>
      <c r="J78" s="378"/>
      <c r="K78" s="378"/>
      <c r="L78" s="378"/>
      <c r="M78" s="378"/>
      <c r="N78" s="378"/>
      <c r="O78" s="378"/>
      <c r="P78" s="378"/>
      <c r="Q78" s="378"/>
      <c r="R78" s="369"/>
    </row>
    <row r="79" spans="1:18">
      <c r="B79" s="361" t="s">
        <v>280</v>
      </c>
      <c r="F79" s="379"/>
      <c r="G79" s="379"/>
      <c r="H79" s="379"/>
      <c r="I79" s="379"/>
      <c r="J79" s="379"/>
      <c r="K79" s="379"/>
      <c r="L79" s="379"/>
      <c r="M79" s="379"/>
      <c r="N79" s="379"/>
      <c r="O79" s="379"/>
      <c r="P79" s="379"/>
      <c r="Q79" s="379"/>
      <c r="R79" s="369"/>
    </row>
    <row r="80" spans="1:18">
      <c r="C80" s="361" t="s">
        <v>442</v>
      </c>
      <c r="F80" s="1267">
        <v>120.17</v>
      </c>
      <c r="G80" s="404">
        <f>F80</f>
        <v>120.17</v>
      </c>
      <c r="H80" s="404">
        <f t="shared" ref="H80:Q80" si="33">G80</f>
        <v>120.17</v>
      </c>
      <c r="I80" s="404">
        <f t="shared" si="33"/>
        <v>120.17</v>
      </c>
      <c r="J80" s="404">
        <f t="shared" si="33"/>
        <v>120.17</v>
      </c>
      <c r="K80" s="404">
        <f t="shared" si="33"/>
        <v>120.17</v>
      </c>
      <c r="L80" s="404">
        <f t="shared" si="33"/>
        <v>120.17</v>
      </c>
      <c r="M80" s="404">
        <f t="shared" si="33"/>
        <v>120.17</v>
      </c>
      <c r="N80" s="404">
        <f t="shared" si="33"/>
        <v>120.17</v>
      </c>
      <c r="O80" s="404">
        <f t="shared" si="33"/>
        <v>120.17</v>
      </c>
      <c r="P80" s="404">
        <f t="shared" si="33"/>
        <v>120.17</v>
      </c>
      <c r="Q80" s="404">
        <f t="shared" si="33"/>
        <v>120.17</v>
      </c>
      <c r="R80" s="405">
        <f>AVERAGE(F80:Q80)</f>
        <v>120.17000000000002</v>
      </c>
    </row>
    <row r="81" spans="2:18">
      <c r="C81" s="361" t="s">
        <v>443</v>
      </c>
      <c r="F81" s="404">
        <f>F80</f>
        <v>120.17</v>
      </c>
      <c r="G81" s="404">
        <f t="shared" ref="G81:Q81" si="34">G80</f>
        <v>120.17</v>
      </c>
      <c r="H81" s="404">
        <f t="shared" si="34"/>
        <v>120.17</v>
      </c>
      <c r="I81" s="404">
        <f t="shared" si="34"/>
        <v>120.17</v>
      </c>
      <c r="J81" s="404">
        <f t="shared" si="34"/>
        <v>120.17</v>
      </c>
      <c r="K81" s="404">
        <f t="shared" si="34"/>
        <v>120.17</v>
      </c>
      <c r="L81" s="404">
        <f t="shared" si="34"/>
        <v>120.17</v>
      </c>
      <c r="M81" s="404">
        <f t="shared" si="34"/>
        <v>120.17</v>
      </c>
      <c r="N81" s="404">
        <f t="shared" si="34"/>
        <v>120.17</v>
      </c>
      <c r="O81" s="404">
        <f t="shared" si="34"/>
        <v>120.17</v>
      </c>
      <c r="P81" s="404">
        <f t="shared" si="34"/>
        <v>120.17</v>
      </c>
      <c r="Q81" s="404">
        <f t="shared" si="34"/>
        <v>120.17</v>
      </c>
      <c r="R81" s="405">
        <f>AVERAGE(F81:Q81)</f>
        <v>120.17000000000002</v>
      </c>
    </row>
    <row r="82" spans="2:18">
      <c r="C82" s="599" t="s">
        <v>651</v>
      </c>
      <c r="F82" s="1267">
        <v>68.39</v>
      </c>
      <c r="G82" s="404">
        <v>68.39</v>
      </c>
      <c r="H82" s="404">
        <v>68.39</v>
      </c>
      <c r="I82" s="404">
        <v>68.39</v>
      </c>
      <c r="J82" s="404">
        <v>68.39</v>
      </c>
      <c r="K82" s="404">
        <v>68.39</v>
      </c>
      <c r="L82" s="404">
        <v>68.39</v>
      </c>
      <c r="M82" s="404">
        <v>68.39</v>
      </c>
      <c r="N82" s="404">
        <v>68.39</v>
      </c>
      <c r="O82" s="404">
        <v>68.39</v>
      </c>
      <c r="P82" s="404">
        <v>68.39</v>
      </c>
      <c r="Q82" s="404">
        <v>68.39</v>
      </c>
      <c r="R82" s="405">
        <f>AVERAGE(F82:Q82)</f>
        <v>68.39</v>
      </c>
    </row>
    <row r="83" spans="2:18">
      <c r="C83" s="361" t="s">
        <v>455</v>
      </c>
      <c r="F83" s="406">
        <f>F82</f>
        <v>68.39</v>
      </c>
      <c r="G83" s="406">
        <f t="shared" ref="G83:Q83" si="35">G82</f>
        <v>68.39</v>
      </c>
      <c r="H83" s="406">
        <f t="shared" si="35"/>
        <v>68.39</v>
      </c>
      <c r="I83" s="406">
        <f t="shared" si="35"/>
        <v>68.39</v>
      </c>
      <c r="J83" s="406">
        <f t="shared" si="35"/>
        <v>68.39</v>
      </c>
      <c r="K83" s="406">
        <f t="shared" si="35"/>
        <v>68.39</v>
      </c>
      <c r="L83" s="406">
        <f t="shared" si="35"/>
        <v>68.39</v>
      </c>
      <c r="M83" s="406">
        <f t="shared" si="35"/>
        <v>68.39</v>
      </c>
      <c r="N83" s="406">
        <f t="shared" si="35"/>
        <v>68.39</v>
      </c>
      <c r="O83" s="406">
        <f t="shared" si="35"/>
        <v>68.39</v>
      </c>
      <c r="P83" s="406">
        <f t="shared" si="35"/>
        <v>68.39</v>
      </c>
      <c r="Q83" s="406">
        <f t="shared" si="35"/>
        <v>68.39</v>
      </c>
      <c r="R83" s="405">
        <f>AVERAGE(F83:Q83)</f>
        <v>68.39</v>
      </c>
    </row>
    <row r="84" spans="2:18">
      <c r="C84" s="361" t="s">
        <v>456</v>
      </c>
      <c r="F84" s="1269">
        <v>51.81</v>
      </c>
      <c r="G84" s="406">
        <v>51.81</v>
      </c>
      <c r="H84" s="406">
        <v>51.81</v>
      </c>
      <c r="I84" s="406">
        <v>51.81</v>
      </c>
      <c r="J84" s="406">
        <v>51.81</v>
      </c>
      <c r="K84" s="406">
        <v>51.81</v>
      </c>
      <c r="L84" s="406">
        <v>51.81</v>
      </c>
      <c r="M84" s="406">
        <v>51.81</v>
      </c>
      <c r="N84" s="406">
        <v>51.81</v>
      </c>
      <c r="O84" s="406">
        <v>51.81</v>
      </c>
      <c r="P84" s="406">
        <v>51.81</v>
      </c>
      <c r="Q84" s="406">
        <v>51.81</v>
      </c>
      <c r="R84" s="405">
        <f>AVERAGE(F84:Q84)</f>
        <v>51.81</v>
      </c>
    </row>
    <row r="85" spans="2:18">
      <c r="B85" s="361" t="s">
        <v>313</v>
      </c>
      <c r="F85" s="370"/>
      <c r="G85" s="370"/>
      <c r="H85" s="370"/>
      <c r="I85" s="370"/>
      <c r="J85" s="370"/>
      <c r="K85" s="370"/>
      <c r="L85" s="370"/>
      <c r="M85" s="370"/>
      <c r="N85" s="370"/>
      <c r="O85" s="370"/>
      <c r="P85" s="370"/>
      <c r="Q85" s="370"/>
    </row>
    <row r="86" spans="2:18">
      <c r="G86" s="369"/>
      <c r="H86" s="369"/>
      <c r="I86" s="369"/>
      <c r="J86" s="369"/>
      <c r="K86" s="369"/>
      <c r="L86" s="369"/>
      <c r="M86" s="369"/>
      <c r="N86" s="369"/>
      <c r="O86" s="369"/>
      <c r="P86" s="369"/>
      <c r="Q86" s="369"/>
      <c r="R86" s="369"/>
    </row>
    <row r="87" spans="2:18">
      <c r="B87" s="361" t="s">
        <v>278</v>
      </c>
      <c r="G87" s="369"/>
      <c r="H87" s="369"/>
      <c r="I87" s="369"/>
      <c r="J87" s="369"/>
      <c r="K87" s="369"/>
      <c r="L87" s="369"/>
      <c r="M87" s="369"/>
      <c r="N87" s="369"/>
      <c r="O87" s="369"/>
      <c r="P87" s="369"/>
      <c r="Q87" s="369"/>
      <c r="R87" s="369"/>
    </row>
    <row r="88" spans="2:18">
      <c r="C88" s="361" t="s">
        <v>18</v>
      </c>
      <c r="G88" s="369"/>
      <c r="H88" s="369"/>
      <c r="I88" s="369"/>
      <c r="J88" s="369"/>
      <c r="K88" s="369"/>
      <c r="L88" s="369"/>
      <c r="M88" s="369"/>
      <c r="N88" s="369"/>
      <c r="O88" s="369"/>
      <c r="P88" s="369"/>
      <c r="Q88" s="369"/>
      <c r="R88" s="369"/>
    </row>
    <row r="89" spans="2:18">
      <c r="D89" s="361" t="s">
        <v>11</v>
      </c>
      <c r="F89" s="404">
        <f>F80</f>
        <v>120.17</v>
      </c>
      <c r="G89" s="404">
        <f t="shared" ref="G89:Q89" si="36">G80</f>
        <v>120.17</v>
      </c>
      <c r="H89" s="404">
        <f t="shared" si="36"/>
        <v>120.17</v>
      </c>
      <c r="I89" s="404">
        <f t="shared" si="36"/>
        <v>120.17</v>
      </c>
      <c r="J89" s="404">
        <f t="shared" si="36"/>
        <v>120.17</v>
      </c>
      <c r="K89" s="404">
        <f t="shared" si="36"/>
        <v>120.17</v>
      </c>
      <c r="L89" s="404">
        <f t="shared" si="36"/>
        <v>120.17</v>
      </c>
      <c r="M89" s="404">
        <f t="shared" si="36"/>
        <v>120.17</v>
      </c>
      <c r="N89" s="404">
        <f t="shared" si="36"/>
        <v>120.17</v>
      </c>
      <c r="O89" s="404">
        <f t="shared" si="36"/>
        <v>120.17</v>
      </c>
      <c r="P89" s="404">
        <f t="shared" si="36"/>
        <v>120.17</v>
      </c>
      <c r="Q89" s="404">
        <f t="shared" si="36"/>
        <v>120.17</v>
      </c>
      <c r="R89" s="408">
        <f>AVERAGE(F89:Q89)</f>
        <v>120.17000000000002</v>
      </c>
    </row>
    <row r="90" spans="2:18">
      <c r="D90" s="361" t="s">
        <v>12</v>
      </c>
      <c r="F90" s="404">
        <f>F80</f>
        <v>120.17</v>
      </c>
      <c r="G90" s="404">
        <f t="shared" ref="G90:Q90" si="37">G80</f>
        <v>120.17</v>
      </c>
      <c r="H90" s="404">
        <f t="shared" si="37"/>
        <v>120.17</v>
      </c>
      <c r="I90" s="404">
        <f t="shared" si="37"/>
        <v>120.17</v>
      </c>
      <c r="J90" s="404">
        <f t="shared" si="37"/>
        <v>120.17</v>
      </c>
      <c r="K90" s="404">
        <f t="shared" si="37"/>
        <v>120.17</v>
      </c>
      <c r="L90" s="404">
        <f t="shared" si="37"/>
        <v>120.17</v>
      </c>
      <c r="M90" s="404">
        <f t="shared" si="37"/>
        <v>120.17</v>
      </c>
      <c r="N90" s="404">
        <f t="shared" si="37"/>
        <v>120.17</v>
      </c>
      <c r="O90" s="404">
        <f t="shared" si="37"/>
        <v>120.17</v>
      </c>
      <c r="P90" s="404">
        <f t="shared" si="37"/>
        <v>120.17</v>
      </c>
      <c r="Q90" s="404">
        <f t="shared" si="37"/>
        <v>120.17</v>
      </c>
      <c r="R90" s="408">
        <f>AVERAGE(F90:Q90)</f>
        <v>120.17000000000002</v>
      </c>
    </row>
    <row r="91" spans="2:18">
      <c r="C91" s="361" t="s">
        <v>445</v>
      </c>
      <c r="F91" s="409"/>
      <c r="G91" s="409"/>
      <c r="H91" s="409"/>
      <c r="I91" s="409"/>
      <c r="J91" s="409"/>
      <c r="K91" s="409"/>
      <c r="L91" s="409"/>
      <c r="M91" s="409"/>
      <c r="N91" s="409"/>
      <c r="O91" s="409"/>
      <c r="P91" s="409"/>
      <c r="Q91" s="409"/>
      <c r="R91" s="409"/>
    </row>
    <row r="92" spans="2:18">
      <c r="C92" s="361" t="s">
        <v>319</v>
      </c>
      <c r="F92" s="410"/>
      <c r="G92" s="410"/>
      <c r="H92" s="410"/>
      <c r="I92" s="410"/>
      <c r="J92" s="410"/>
      <c r="K92" s="410"/>
      <c r="L92" s="410"/>
      <c r="M92" s="410"/>
      <c r="N92" s="410"/>
      <c r="O92" s="410"/>
      <c r="P92" s="410"/>
      <c r="Q92" s="410"/>
      <c r="R92" s="410"/>
    </row>
    <row r="93" spans="2:18">
      <c r="D93" s="361" t="s">
        <v>446</v>
      </c>
      <c r="F93" s="407">
        <f>F82</f>
        <v>68.39</v>
      </c>
      <c r="G93" s="407">
        <f t="shared" ref="G93:Q93" si="38">G82</f>
        <v>68.39</v>
      </c>
      <c r="H93" s="407">
        <f t="shared" si="38"/>
        <v>68.39</v>
      </c>
      <c r="I93" s="407">
        <f t="shared" si="38"/>
        <v>68.39</v>
      </c>
      <c r="J93" s="407">
        <f t="shared" si="38"/>
        <v>68.39</v>
      </c>
      <c r="K93" s="407">
        <f t="shared" si="38"/>
        <v>68.39</v>
      </c>
      <c r="L93" s="407">
        <f t="shared" si="38"/>
        <v>68.39</v>
      </c>
      <c r="M93" s="407">
        <f t="shared" si="38"/>
        <v>68.39</v>
      </c>
      <c r="N93" s="407">
        <f t="shared" si="38"/>
        <v>68.39</v>
      </c>
      <c r="O93" s="407">
        <f t="shared" si="38"/>
        <v>68.39</v>
      </c>
      <c r="P93" s="407">
        <f t="shared" si="38"/>
        <v>68.39</v>
      </c>
      <c r="Q93" s="407">
        <f t="shared" si="38"/>
        <v>68.39</v>
      </c>
      <c r="R93" s="408">
        <f>AVERAGE(F93:Q93)</f>
        <v>68.39</v>
      </c>
    </row>
    <row r="94" spans="2:18">
      <c r="D94" s="361" t="s">
        <v>12</v>
      </c>
      <c r="F94" s="407">
        <f>F82</f>
        <v>68.39</v>
      </c>
      <c r="G94" s="407">
        <f t="shared" ref="G94:Q94" si="39">G82</f>
        <v>68.39</v>
      </c>
      <c r="H94" s="407">
        <f t="shared" si="39"/>
        <v>68.39</v>
      </c>
      <c r="I94" s="407">
        <f t="shared" si="39"/>
        <v>68.39</v>
      </c>
      <c r="J94" s="407">
        <f t="shared" si="39"/>
        <v>68.39</v>
      </c>
      <c r="K94" s="407">
        <f t="shared" si="39"/>
        <v>68.39</v>
      </c>
      <c r="L94" s="407">
        <f t="shared" si="39"/>
        <v>68.39</v>
      </c>
      <c r="M94" s="407">
        <f t="shared" si="39"/>
        <v>68.39</v>
      </c>
      <c r="N94" s="407">
        <f t="shared" si="39"/>
        <v>68.39</v>
      </c>
      <c r="O94" s="407">
        <f t="shared" si="39"/>
        <v>68.39</v>
      </c>
      <c r="P94" s="407">
        <f t="shared" si="39"/>
        <v>68.39</v>
      </c>
      <c r="Q94" s="407">
        <f t="shared" si="39"/>
        <v>68.39</v>
      </c>
      <c r="R94" s="408">
        <f>AVERAGE(F94:Q94)</f>
        <v>68.39</v>
      </c>
    </row>
    <row r="95" spans="2:18">
      <c r="C95" s="361" t="s">
        <v>447</v>
      </c>
      <c r="F95" s="409"/>
      <c r="G95" s="409"/>
      <c r="H95" s="409"/>
      <c r="I95" s="409"/>
      <c r="J95" s="409"/>
      <c r="K95" s="409"/>
      <c r="L95" s="409"/>
      <c r="M95" s="409"/>
      <c r="N95" s="409"/>
      <c r="O95" s="409"/>
      <c r="P95" s="409"/>
      <c r="Q95" s="409"/>
      <c r="R95" s="409"/>
    </row>
    <row r="96" spans="2:18">
      <c r="C96" s="361" t="s">
        <v>16</v>
      </c>
      <c r="E96" s="411"/>
      <c r="F96" s="410"/>
      <c r="G96" s="410"/>
      <c r="H96" s="410"/>
      <c r="I96" s="410"/>
      <c r="J96" s="410"/>
      <c r="K96" s="410"/>
      <c r="L96" s="410"/>
      <c r="M96" s="410"/>
      <c r="N96" s="410"/>
      <c r="O96" s="410"/>
      <c r="P96" s="410"/>
      <c r="Q96" s="410"/>
      <c r="R96" s="410"/>
    </row>
    <row r="97" spans="1:18">
      <c r="D97" s="361" t="s">
        <v>11</v>
      </c>
      <c r="F97" s="412">
        <f>+'Yardwaste Analysis'!B18</f>
        <v>36.770000000000003</v>
      </c>
      <c r="G97" s="412">
        <f>+'Yardwaste Analysis'!C18</f>
        <v>36.770000000000003</v>
      </c>
      <c r="H97" s="412">
        <f>+'Yardwaste Analysis'!D18</f>
        <v>36.770000000000003</v>
      </c>
      <c r="I97" s="412">
        <f>+'Yardwaste Analysis'!E18</f>
        <v>36.770000000000003</v>
      </c>
      <c r="J97" s="412">
        <f>+'Yardwaste Analysis'!F18</f>
        <v>36.770000000000003</v>
      </c>
      <c r="K97" s="412">
        <f>+'Yardwaste Analysis'!G18</f>
        <v>36.770000000000003</v>
      </c>
      <c r="L97" s="412">
        <f>+'Yardwaste Analysis'!H18</f>
        <v>39.54</v>
      </c>
      <c r="M97" s="412">
        <f>+'Yardwaste Analysis'!I18</f>
        <v>39.54</v>
      </c>
      <c r="N97" s="412">
        <f>+'Yardwaste Analysis'!J18</f>
        <v>39.54</v>
      </c>
      <c r="O97" s="412">
        <f>+'Yardwaste Analysis'!K18</f>
        <v>39.54</v>
      </c>
      <c r="P97" s="412">
        <f>+'Yardwaste Analysis'!L18</f>
        <v>39.54</v>
      </c>
      <c r="Q97" s="412">
        <f>+'Yardwaste Analysis'!M18</f>
        <v>39.54</v>
      </c>
      <c r="R97" s="413">
        <f>+'Yardwaste Analysis'!O18</f>
        <v>38.09158730867</v>
      </c>
    </row>
    <row r="98" spans="1:18">
      <c r="D98" s="361" t="s">
        <v>12</v>
      </c>
      <c r="F98" s="412">
        <f>'Yardwaste Analysis'!B23</f>
        <v>52.379084318527255</v>
      </c>
      <c r="G98" s="412">
        <f>'Yardwaste Analysis'!C23</f>
        <v>52.428546181364489</v>
      </c>
      <c r="H98" s="412">
        <f>'Yardwaste Analysis'!D23</f>
        <v>45.284609311105051</v>
      </c>
      <c r="I98" s="412">
        <f>'Yardwaste Analysis'!E23</f>
        <v>37.176303348307613</v>
      </c>
      <c r="J98" s="412">
        <f>'Yardwaste Analysis'!F23</f>
        <v>38.945500112867649</v>
      </c>
      <c r="K98" s="412">
        <f>'Yardwaste Analysis'!G23</f>
        <v>38.684988029026158</v>
      </c>
      <c r="L98" s="412">
        <f>'Yardwaste Analysis'!H23</f>
        <v>48.337397122861169</v>
      </c>
      <c r="M98" s="412">
        <f>'Yardwaste Analysis'!I23</f>
        <v>42.304023534916624</v>
      </c>
      <c r="N98" s="412">
        <f>'Yardwaste Analysis'!J23</f>
        <v>40.519115787459967</v>
      </c>
      <c r="O98" s="412">
        <f>'Yardwaste Analysis'!K23</f>
        <v>35.64614771023232</v>
      </c>
      <c r="P98" s="412">
        <f>'Yardwaste Analysis'!L23</f>
        <v>36.402823130059062</v>
      </c>
      <c r="Q98" s="412">
        <f>'Yardwaste Analysis'!M23</f>
        <v>38.281218469717814</v>
      </c>
      <c r="R98" s="413">
        <f>'Yardwaste Analysis'!O23</f>
        <v>43.731908716894083</v>
      </c>
    </row>
    <row r="99" spans="1:18">
      <c r="C99" s="361" t="s">
        <v>448</v>
      </c>
      <c r="F99" s="409"/>
      <c r="G99" s="409"/>
      <c r="H99" s="409"/>
      <c r="I99" s="409"/>
      <c r="J99" s="409"/>
      <c r="K99" s="409"/>
      <c r="L99" s="409"/>
      <c r="M99" s="409"/>
      <c r="N99" s="409"/>
      <c r="O99" s="409"/>
      <c r="P99" s="409"/>
      <c r="Q99" s="409"/>
      <c r="R99" s="409"/>
    </row>
    <row r="100" spans="1:18">
      <c r="B100" s="361" t="s">
        <v>298</v>
      </c>
      <c r="F100" s="409"/>
      <c r="G100" s="409"/>
      <c r="H100" s="409"/>
      <c r="I100" s="409"/>
      <c r="J100" s="409"/>
      <c r="K100" s="409"/>
      <c r="L100" s="409"/>
      <c r="M100" s="409"/>
      <c r="N100" s="409"/>
      <c r="O100" s="409"/>
      <c r="P100" s="409"/>
      <c r="Q100" s="409"/>
      <c r="R100" s="409"/>
    </row>
    <row r="101" spans="1:18">
      <c r="F101" s="410"/>
      <c r="G101" s="410"/>
      <c r="H101" s="410"/>
      <c r="I101" s="410"/>
      <c r="J101" s="410"/>
      <c r="K101" s="410"/>
      <c r="L101" s="410"/>
      <c r="M101" s="410"/>
      <c r="N101" s="410"/>
      <c r="O101" s="410"/>
      <c r="P101" s="410"/>
      <c r="Q101" s="410"/>
      <c r="R101" s="410"/>
    </row>
    <row r="102" spans="1:18">
      <c r="B102" s="361" t="s">
        <v>440</v>
      </c>
      <c r="F102" s="410"/>
      <c r="G102" s="410"/>
      <c r="H102" s="410"/>
      <c r="I102" s="410"/>
      <c r="J102" s="410"/>
      <c r="K102" s="410"/>
      <c r="L102" s="410"/>
      <c r="M102" s="410"/>
      <c r="N102" s="410"/>
      <c r="O102" s="410"/>
      <c r="P102" s="410"/>
      <c r="Q102" s="410"/>
      <c r="R102" s="410"/>
    </row>
    <row r="103" spans="1:18">
      <c r="C103" s="361" t="s">
        <v>442</v>
      </c>
      <c r="F103" s="404">
        <f>F80</f>
        <v>120.17</v>
      </c>
      <c r="G103" s="404">
        <f t="shared" ref="G103:Q103" si="40">G80</f>
        <v>120.17</v>
      </c>
      <c r="H103" s="404">
        <f t="shared" si="40"/>
        <v>120.17</v>
      </c>
      <c r="I103" s="404">
        <f t="shared" si="40"/>
        <v>120.17</v>
      </c>
      <c r="J103" s="404">
        <f t="shared" si="40"/>
        <v>120.17</v>
      </c>
      <c r="K103" s="404">
        <f t="shared" si="40"/>
        <v>120.17</v>
      </c>
      <c r="L103" s="404">
        <f t="shared" si="40"/>
        <v>120.17</v>
      </c>
      <c r="M103" s="404">
        <f t="shared" si="40"/>
        <v>120.17</v>
      </c>
      <c r="N103" s="404">
        <f t="shared" si="40"/>
        <v>120.17</v>
      </c>
      <c r="O103" s="404">
        <f t="shared" si="40"/>
        <v>120.17</v>
      </c>
      <c r="P103" s="404">
        <f t="shared" si="40"/>
        <v>120.17</v>
      </c>
      <c r="Q103" s="404">
        <f t="shared" si="40"/>
        <v>120.17</v>
      </c>
      <c r="R103" s="408">
        <f>AVERAGE(F103:Q103)</f>
        <v>120.17000000000002</v>
      </c>
    </row>
    <row r="104" spans="1:18">
      <c r="C104" s="361" t="s">
        <v>443</v>
      </c>
      <c r="F104" s="407">
        <f>'Roll Off Average Cost'!B18</f>
        <v>85.078488941231726</v>
      </c>
      <c r="G104" s="407">
        <f>'Roll Off Average Cost'!C18</f>
        <v>83.981186639716498</v>
      </c>
      <c r="H104" s="407">
        <f>'Roll Off Average Cost'!D18</f>
        <v>88.470539879773114</v>
      </c>
      <c r="I104" s="407">
        <f>'Roll Off Average Cost'!E18</f>
        <v>81.142031519601787</v>
      </c>
      <c r="J104" s="407">
        <f>'Roll Off Average Cost'!F18</f>
        <v>82.871109901518352</v>
      </c>
      <c r="K104" s="407">
        <f>'Roll Off Average Cost'!G18</f>
        <v>67.485742080752146</v>
      </c>
      <c r="L104" s="407">
        <f>'Roll Off Average Cost'!H18</f>
        <v>76.689628157729587</v>
      </c>
      <c r="M104" s="407">
        <f>'Roll Off Average Cost'!I18</f>
        <v>81.76922076341198</v>
      </c>
      <c r="N104" s="407">
        <f>'Roll Off Average Cost'!J18</f>
        <v>79.252229603243677</v>
      </c>
      <c r="O104" s="407">
        <f>'Roll Off Average Cost'!K18</f>
        <v>85.200455508643131</v>
      </c>
      <c r="P104" s="407">
        <f>'Roll Off Average Cost'!L18</f>
        <v>78.118841906150934</v>
      </c>
      <c r="Q104" s="407">
        <f>'Roll Off Average Cost'!M18</f>
        <v>82.097528817503346</v>
      </c>
      <c r="R104" s="408">
        <f>AVERAGE(F104:Q104)</f>
        <v>81.013083643273021</v>
      </c>
    </row>
    <row r="105" spans="1:18">
      <c r="B105" s="361" t="s">
        <v>449</v>
      </c>
      <c r="F105" s="370"/>
      <c r="G105" s="370"/>
      <c r="H105" s="370"/>
      <c r="I105" s="370"/>
      <c r="J105" s="370"/>
      <c r="K105" s="370"/>
      <c r="L105" s="370"/>
      <c r="M105" s="370"/>
      <c r="N105" s="370"/>
      <c r="O105" s="370"/>
      <c r="P105" s="370"/>
      <c r="Q105" s="370"/>
      <c r="R105" s="370"/>
    </row>
    <row r="106" spans="1:18">
      <c r="F106" s="388"/>
      <c r="G106" s="388"/>
      <c r="H106" s="388"/>
      <c r="I106" s="388"/>
      <c r="J106" s="388"/>
      <c r="K106" s="388"/>
      <c r="L106" s="388"/>
      <c r="M106" s="388"/>
      <c r="N106" s="388"/>
      <c r="O106" s="388"/>
      <c r="P106" s="388"/>
      <c r="Q106" s="388"/>
    </row>
    <row r="108" spans="1:18">
      <c r="F108" s="414"/>
      <c r="G108" s="414"/>
      <c r="H108" s="414"/>
      <c r="I108" s="414"/>
      <c r="J108" s="414"/>
      <c r="K108" s="414"/>
      <c r="L108" s="414"/>
      <c r="M108" s="414"/>
      <c r="N108" s="414"/>
      <c r="O108" s="414"/>
      <c r="P108" s="414"/>
      <c r="Q108" s="414"/>
      <c r="R108" s="414"/>
    </row>
    <row r="109" spans="1:18" ht="18.75">
      <c r="A109" s="367" t="s">
        <v>457</v>
      </c>
      <c r="F109" s="726"/>
      <c r="G109" s="727"/>
      <c r="H109" s="727"/>
      <c r="I109" s="727"/>
      <c r="J109" s="727"/>
      <c r="K109" s="727"/>
      <c r="L109" s="727"/>
      <c r="M109" s="727"/>
      <c r="N109" s="727"/>
      <c r="O109" s="727"/>
      <c r="P109" s="727"/>
      <c r="Q109" s="727"/>
    </row>
    <row r="110" spans="1:18" s="360" customFormat="1">
      <c r="A110" s="360" t="s">
        <v>439</v>
      </c>
      <c r="F110" s="725">
        <f>'Income Statement'!N43+'Income Statement'!N44+'Income Statement'!N45</f>
        <v>1660865</v>
      </c>
      <c r="G110" s="725">
        <f>'Income Statement'!M43+'Income Statement'!M44+'Income Statement'!M45</f>
        <v>1509369</v>
      </c>
      <c r="H110" s="725">
        <f>'Income Statement'!L43+'Income Statement'!L44+'Income Statement'!L45</f>
        <v>1573219</v>
      </c>
      <c r="I110" s="725">
        <f>'Income Statement'!K43+'Income Statement'!K44+'Income Statement'!K45</f>
        <v>1455731</v>
      </c>
      <c r="J110" s="725">
        <f>'Income Statement'!J43+'Income Statement'!J44+'Income Statement'!J45</f>
        <v>1432520</v>
      </c>
      <c r="K110" s="725">
        <f>'Income Statement'!I43+'Income Statement'!I44+'Income Statement'!I45</f>
        <v>1534205</v>
      </c>
      <c r="L110" s="725">
        <f>'Income Statement'!H43+'Income Statement'!H44+'Income Statement'!H45</f>
        <v>1594864</v>
      </c>
      <c r="M110" s="725">
        <f>'Income Statement'!G43+'Income Statement'!G44+'Income Statement'!G45</f>
        <v>1432228</v>
      </c>
      <c r="N110" s="725">
        <f>'Income Statement'!F43+'Income Statement'!F44+'Income Statement'!F45</f>
        <v>1448345</v>
      </c>
      <c r="O110" s="725">
        <f>'Income Statement'!E43+'Income Statement'!E44+'Income Statement'!E45</f>
        <v>1193278</v>
      </c>
      <c r="P110" s="725">
        <f>'Income Statement'!D43+'Income Statement'!D44+'Income Statement'!D45</f>
        <v>1370723</v>
      </c>
      <c r="Q110" s="725">
        <f>'Income Statement'!C43+'Income Statement'!C44+'Income Statement'!C45</f>
        <v>1499382</v>
      </c>
      <c r="R110" s="415">
        <f>SUM(F110:Q110)</f>
        <v>17704729</v>
      </c>
    </row>
    <row r="111" spans="1:18">
      <c r="F111" s="369"/>
      <c r="G111" s="369"/>
      <c r="H111" s="369"/>
      <c r="I111" s="369"/>
      <c r="J111" s="369"/>
      <c r="K111" s="369"/>
      <c r="L111" s="369"/>
      <c r="M111" s="369"/>
      <c r="N111" s="369"/>
      <c r="O111" s="369"/>
      <c r="P111" s="369"/>
      <c r="Q111" s="369"/>
      <c r="R111" s="369"/>
    </row>
    <row r="112" spans="1:18">
      <c r="A112" s="360" t="s">
        <v>24</v>
      </c>
      <c r="F112" s="369"/>
      <c r="G112" s="369"/>
      <c r="H112" s="369"/>
      <c r="I112" s="369"/>
      <c r="J112" s="369"/>
      <c r="K112" s="369"/>
      <c r="L112" s="369"/>
      <c r="M112" s="369"/>
      <c r="N112" s="369"/>
      <c r="O112" s="369"/>
      <c r="P112" s="369"/>
      <c r="Q112" s="369"/>
      <c r="R112" s="369"/>
    </row>
    <row r="113" spans="1:21">
      <c r="B113" s="361" t="s">
        <v>280</v>
      </c>
      <c r="F113" s="369">
        <f>F125</f>
        <v>476762.11720216827</v>
      </c>
      <c r="G113" s="369">
        <f t="shared" ref="G113:R113" si="41">G125</f>
        <v>446004.18058487069</v>
      </c>
      <c r="H113" s="369">
        <f t="shared" si="41"/>
        <v>484643.22227083141</v>
      </c>
      <c r="I113" s="369">
        <f t="shared" si="41"/>
        <v>462367.61661041173</v>
      </c>
      <c r="J113" s="369">
        <f t="shared" si="41"/>
        <v>455792.45959478064</v>
      </c>
      <c r="K113" s="369">
        <f t="shared" si="41"/>
        <v>477261.01237835211</v>
      </c>
      <c r="L113" s="369">
        <f t="shared" si="41"/>
        <v>455116.11215299566</v>
      </c>
      <c r="M113" s="369">
        <f t="shared" si="41"/>
        <v>445648.61213138205</v>
      </c>
      <c r="N113" s="369">
        <f t="shared" si="41"/>
        <v>458731.20600419783</v>
      </c>
      <c r="O113" s="369">
        <f t="shared" si="41"/>
        <v>404446.9594253418</v>
      </c>
      <c r="P113" s="369">
        <f t="shared" si="41"/>
        <v>461989.31056820753</v>
      </c>
      <c r="Q113" s="369">
        <f t="shared" si="41"/>
        <v>463374.04315185075</v>
      </c>
      <c r="R113" s="369">
        <f t="shared" si="41"/>
        <v>5492136.8520753896</v>
      </c>
      <c r="S113" s="369"/>
      <c r="T113" s="381"/>
      <c r="U113" s="388"/>
    </row>
    <row r="114" spans="1:21">
      <c r="B114" s="361" t="s">
        <v>278</v>
      </c>
      <c r="F114" s="369">
        <f>F143</f>
        <v>824056.32741947542</v>
      </c>
      <c r="G114" s="369">
        <f t="shared" ref="G114:R114" si="42">G143</f>
        <v>721904.08791851602</v>
      </c>
      <c r="H114" s="369">
        <f t="shared" si="42"/>
        <v>739825.65617204574</v>
      </c>
      <c r="I114" s="369">
        <f t="shared" si="42"/>
        <v>635606.91170576005</v>
      </c>
      <c r="J114" s="369">
        <f t="shared" si="42"/>
        <v>642167.53437726363</v>
      </c>
      <c r="K114" s="369">
        <f t="shared" si="42"/>
        <v>671827.57931330346</v>
      </c>
      <c r="L114" s="369">
        <f t="shared" si="42"/>
        <v>784828.8023915519</v>
      </c>
      <c r="M114" s="369">
        <f t="shared" si="42"/>
        <v>640656.89245124138</v>
      </c>
      <c r="N114" s="369">
        <f t="shared" si="42"/>
        <v>652714.29705919162</v>
      </c>
      <c r="O114" s="369">
        <f t="shared" si="42"/>
        <v>487513.98503049999</v>
      </c>
      <c r="P114" s="369">
        <f t="shared" si="42"/>
        <v>586576.84413806093</v>
      </c>
      <c r="Q114" s="369">
        <f t="shared" si="42"/>
        <v>675757.72374905576</v>
      </c>
      <c r="R114" s="369">
        <f t="shared" si="42"/>
        <v>8063436.6417259658</v>
      </c>
      <c r="S114" s="369"/>
      <c r="T114" s="381"/>
      <c r="U114" s="388"/>
    </row>
    <row r="115" spans="1:21">
      <c r="B115" s="361" t="s">
        <v>440</v>
      </c>
      <c r="F115" s="369">
        <f>F148</f>
        <v>353392.10000000003</v>
      </c>
      <c r="G115" s="369">
        <f t="shared" ref="G115:R115" si="43">G148</f>
        <v>329985.01999999996</v>
      </c>
      <c r="H115" s="369">
        <f t="shared" si="43"/>
        <v>384933.39999999997</v>
      </c>
      <c r="I115" s="369">
        <f t="shared" si="43"/>
        <v>359009.21</v>
      </c>
      <c r="J115" s="369">
        <f t="shared" si="43"/>
        <v>336467.28</v>
      </c>
      <c r="K115" s="369">
        <f t="shared" si="43"/>
        <v>379773.99000000005</v>
      </c>
      <c r="L115" s="369">
        <f t="shared" si="43"/>
        <v>340781.24</v>
      </c>
      <c r="M115" s="369">
        <f t="shared" si="43"/>
        <v>339064</v>
      </c>
      <c r="N115" s="369">
        <f t="shared" si="43"/>
        <v>335662.92000000004</v>
      </c>
      <c r="O115" s="369">
        <f t="shared" si="43"/>
        <v>304298.5</v>
      </c>
      <c r="P115" s="369">
        <f t="shared" si="43"/>
        <v>318892.78999999998</v>
      </c>
      <c r="Q115" s="369">
        <f t="shared" si="43"/>
        <v>356445.99</v>
      </c>
      <c r="R115" s="369">
        <f t="shared" si="43"/>
        <v>4138706.44</v>
      </c>
      <c r="S115" s="369"/>
      <c r="T115" s="381"/>
      <c r="U115" s="388"/>
    </row>
    <row r="116" spans="1:21" s="360" customFormat="1">
      <c r="A116" s="360" t="s">
        <v>27</v>
      </c>
      <c r="F116" s="402">
        <f t="shared" ref="F116:R116" si="44">SUM(F113:F115)</f>
        <v>1654210.5446216438</v>
      </c>
      <c r="G116" s="402">
        <f t="shared" si="44"/>
        <v>1497893.2885033868</v>
      </c>
      <c r="H116" s="402">
        <f t="shared" si="44"/>
        <v>1609402.2784428771</v>
      </c>
      <c r="I116" s="402">
        <f t="shared" si="44"/>
        <v>1456983.7383161718</v>
      </c>
      <c r="J116" s="402">
        <f t="shared" si="44"/>
        <v>1434427.2739720442</v>
      </c>
      <c r="K116" s="402">
        <f t="shared" si="44"/>
        <v>1528862.5816916556</v>
      </c>
      <c r="L116" s="402">
        <f t="shared" si="44"/>
        <v>1580726.1545445474</v>
      </c>
      <c r="M116" s="402">
        <f t="shared" si="44"/>
        <v>1425369.5045826235</v>
      </c>
      <c r="N116" s="402">
        <f t="shared" si="44"/>
        <v>1447108.4230633895</v>
      </c>
      <c r="O116" s="402">
        <f t="shared" si="44"/>
        <v>1196259.4444558418</v>
      </c>
      <c r="P116" s="402">
        <f t="shared" si="44"/>
        <v>1367458.9447062684</v>
      </c>
      <c r="Q116" s="402">
        <f t="shared" si="44"/>
        <v>1495577.7569009066</v>
      </c>
      <c r="R116" s="402">
        <f t="shared" si="44"/>
        <v>17694279.933801357</v>
      </c>
      <c r="S116" s="416"/>
      <c r="T116" s="417"/>
    </row>
    <row r="117" spans="1:21" s="371" customFormat="1" ht="12">
      <c r="A117" s="371" t="s">
        <v>20</v>
      </c>
      <c r="F117" s="418">
        <f>F116-F110</f>
        <v>-6654.4553783561569</v>
      </c>
      <c r="G117" s="418">
        <f t="shared" ref="G117:Q117" si="45">G116-G110</f>
        <v>-11475.711496613221</v>
      </c>
      <c r="H117" s="418">
        <f t="shared" si="45"/>
        <v>36183.278442877112</v>
      </c>
      <c r="I117" s="418">
        <f t="shared" si="45"/>
        <v>1252.7383161718026</v>
      </c>
      <c r="J117" s="418">
        <f t="shared" si="45"/>
        <v>1907.2739720442332</v>
      </c>
      <c r="K117" s="418">
        <f t="shared" si="45"/>
        <v>-5342.4183083444368</v>
      </c>
      <c r="L117" s="418">
        <f t="shared" si="45"/>
        <v>-14137.845455452567</v>
      </c>
      <c r="M117" s="418">
        <f t="shared" si="45"/>
        <v>-6858.4954173765145</v>
      </c>
      <c r="N117" s="418">
        <f t="shared" si="45"/>
        <v>-1236.5769366105087</v>
      </c>
      <c r="O117" s="418">
        <f t="shared" si="45"/>
        <v>2981.444455841789</v>
      </c>
      <c r="P117" s="418">
        <f t="shared" si="45"/>
        <v>-3264.0552937316243</v>
      </c>
      <c r="Q117" s="418">
        <f t="shared" si="45"/>
        <v>-3804.2430990934372</v>
      </c>
      <c r="R117" s="418">
        <f>R116-R110</f>
        <v>-10449.066198643297</v>
      </c>
      <c r="S117" s="377"/>
    </row>
    <row r="118" spans="1:21">
      <c r="F118" s="377">
        <f t="shared" ref="F118:Q118" si="46">+F117/F110</f>
        <v>-4.0066202721811568E-3</v>
      </c>
      <c r="G118" s="377">
        <f t="shared" si="46"/>
        <v>-7.6029860800196783E-3</v>
      </c>
      <c r="H118" s="377">
        <f t="shared" si="46"/>
        <v>2.2999517831196491E-2</v>
      </c>
      <c r="I118" s="377">
        <f t="shared" si="46"/>
        <v>8.6055618529233947E-4</v>
      </c>
      <c r="J118" s="377">
        <f t="shared" si="46"/>
        <v>1.3314117583309365E-3</v>
      </c>
      <c r="K118" s="377">
        <f t="shared" si="46"/>
        <v>-3.4822062946897169E-3</v>
      </c>
      <c r="L118" s="377">
        <f t="shared" si="46"/>
        <v>-8.8646088039184331E-3</v>
      </c>
      <c r="M118" s="377">
        <f t="shared" si="46"/>
        <v>-4.7886896621044377E-3</v>
      </c>
      <c r="N118" s="377">
        <f t="shared" si="46"/>
        <v>-8.5378617429584017E-4</v>
      </c>
      <c r="O118" s="377">
        <f t="shared" si="46"/>
        <v>2.4985329955314597E-3</v>
      </c>
      <c r="P118" s="377">
        <f t="shared" si="46"/>
        <v>-2.3812654297999118E-3</v>
      </c>
      <c r="Q118" s="377">
        <f t="shared" si="46"/>
        <v>-2.5372073955092413E-3</v>
      </c>
      <c r="R118" s="377">
        <f>+R117/R110</f>
        <v>-5.9018504031568613E-4</v>
      </c>
    </row>
    <row r="119" spans="1:21">
      <c r="E119" s="360"/>
      <c r="F119" s="360"/>
      <c r="G119" s="415"/>
      <c r="H119" s="415"/>
      <c r="I119" s="415"/>
      <c r="J119" s="415"/>
      <c r="K119" s="415"/>
      <c r="L119" s="415"/>
      <c r="M119" s="415"/>
      <c r="N119" s="415"/>
      <c r="O119" s="415"/>
      <c r="P119" s="415"/>
      <c r="Q119" s="415"/>
      <c r="R119" s="369"/>
    </row>
    <row r="120" spans="1:21">
      <c r="B120" s="360" t="s">
        <v>280</v>
      </c>
      <c r="F120" s="379"/>
      <c r="G120" s="379"/>
      <c r="H120" s="379"/>
      <c r="I120" s="379"/>
      <c r="J120" s="379"/>
      <c r="K120" s="379"/>
      <c r="L120" s="379"/>
      <c r="M120" s="379"/>
      <c r="N120" s="379"/>
      <c r="O120" s="379"/>
      <c r="P120" s="379"/>
      <c r="Q120" s="379"/>
      <c r="R120" s="379"/>
    </row>
    <row r="121" spans="1:21">
      <c r="C121" s="361" t="s">
        <v>442</v>
      </c>
      <c r="F121" s="419">
        <f>+F23*F80</f>
        <v>28081.819858085615</v>
      </c>
      <c r="G121" s="419">
        <f t="shared" ref="G121:Q121" si="47">+G23*G80</f>
        <v>26311.173660618413</v>
      </c>
      <c r="H121" s="419">
        <f t="shared" si="47"/>
        <v>29337.183851284233</v>
      </c>
      <c r="I121" s="419">
        <f t="shared" si="47"/>
        <v>29391.079080033796</v>
      </c>
      <c r="J121" s="419">
        <f t="shared" si="47"/>
        <v>27974.346672261199</v>
      </c>
      <c r="K121" s="419">
        <f t="shared" si="47"/>
        <v>29618.573248931243</v>
      </c>
      <c r="L121" s="419">
        <f t="shared" si="47"/>
        <v>28157.489553148982</v>
      </c>
      <c r="M121" s="419">
        <f t="shared" si="47"/>
        <v>26685.754227095982</v>
      </c>
      <c r="N121" s="419">
        <f t="shared" si="47"/>
        <v>26881.792846209144</v>
      </c>
      <c r="O121" s="419">
        <f t="shared" si="47"/>
        <v>23459.624020180832</v>
      </c>
      <c r="P121" s="419">
        <f t="shared" si="47"/>
        <v>27120.547694999284</v>
      </c>
      <c r="Q121" s="419">
        <f t="shared" si="47"/>
        <v>27639.584565967278</v>
      </c>
      <c r="R121" s="419">
        <f>SUM(F121:Q121)</f>
        <v>330658.96927881596</v>
      </c>
    </row>
    <row r="122" spans="1:21">
      <c r="C122" s="361" t="s">
        <v>443</v>
      </c>
      <c r="F122" s="419">
        <f t="shared" ref="F122:Q122" si="48">+F24*F81</f>
        <v>384172.11223068391</v>
      </c>
      <c r="G122" s="419">
        <f t="shared" si="48"/>
        <v>357893.24384971667</v>
      </c>
      <c r="H122" s="419">
        <f t="shared" si="48"/>
        <v>391975.25237198803</v>
      </c>
      <c r="I122" s="419">
        <f t="shared" si="48"/>
        <v>371161.38112659048</v>
      </c>
      <c r="J122" s="419">
        <f t="shared" si="48"/>
        <v>364916.72059582308</v>
      </c>
      <c r="K122" s="419">
        <f t="shared" si="48"/>
        <v>383524.79253963137</v>
      </c>
      <c r="L122" s="419">
        <f t="shared" si="48"/>
        <v>366417.14213159209</v>
      </c>
      <c r="M122" s="419">
        <f t="shared" si="48"/>
        <v>356136.49957028514</v>
      </c>
      <c r="N122" s="419">
        <f t="shared" si="48"/>
        <v>367751.65405694139</v>
      </c>
      <c r="O122" s="419">
        <f t="shared" si="48"/>
        <v>325191.25415084756</v>
      </c>
      <c r="P122" s="419">
        <f t="shared" si="48"/>
        <v>372190.95131431863</v>
      </c>
      <c r="Q122" s="419">
        <f t="shared" si="48"/>
        <v>373496.61791680614</v>
      </c>
      <c r="R122" s="419">
        <f>SUM(F122:Q122)</f>
        <v>4414827.6218552236</v>
      </c>
    </row>
    <row r="123" spans="1:21">
      <c r="C123" s="361" t="s">
        <v>454</v>
      </c>
      <c r="F123" s="419">
        <f t="shared" ref="F123:Q123" si="49">+F27*F82</f>
        <v>2635.6236949378617</v>
      </c>
      <c r="G123" s="419">
        <f t="shared" si="49"/>
        <v>2549.1514759443166</v>
      </c>
      <c r="H123" s="419">
        <f t="shared" si="49"/>
        <v>2602.8727817525196</v>
      </c>
      <c r="I123" s="419">
        <f t="shared" si="49"/>
        <v>2591.458277542471</v>
      </c>
      <c r="J123" s="419">
        <f t="shared" si="49"/>
        <v>2791.238508659148</v>
      </c>
      <c r="K123" s="419">
        <f t="shared" si="49"/>
        <v>2428.723384162487</v>
      </c>
      <c r="L123" s="419">
        <f t="shared" si="49"/>
        <v>2415.875197947893</v>
      </c>
      <c r="M123" s="419">
        <f t="shared" si="49"/>
        <v>2720.1854195649521</v>
      </c>
      <c r="N123" s="419">
        <f t="shared" si="49"/>
        <v>2843.3738820007425</v>
      </c>
      <c r="O123" s="419">
        <f t="shared" si="49"/>
        <v>2234.4051586129058</v>
      </c>
      <c r="P123" s="419">
        <f t="shared" si="49"/>
        <v>2629.6048033477641</v>
      </c>
      <c r="Q123" s="419">
        <f t="shared" si="49"/>
        <v>2196.4198599480183</v>
      </c>
      <c r="R123" s="419">
        <f>SUM(F123:Q123)</f>
        <v>30638.932444421076</v>
      </c>
    </row>
    <row r="124" spans="1:21">
      <c r="C124" s="599" t="s">
        <v>417</v>
      </c>
      <c r="F124" s="419">
        <f>+F28*F84</f>
        <v>61872.561418460937</v>
      </c>
      <c r="G124" s="419">
        <f t="shared" ref="G124:Q124" si="50">+G28*G84</f>
        <v>59250.611598591277</v>
      </c>
      <c r="H124" s="419">
        <f t="shared" si="50"/>
        <v>60727.913265806681</v>
      </c>
      <c r="I124" s="419">
        <f t="shared" si="50"/>
        <v>59223.698126244919</v>
      </c>
      <c r="J124" s="419">
        <f t="shared" si="50"/>
        <v>60110.153818037259</v>
      </c>
      <c r="K124" s="419">
        <f t="shared" si="50"/>
        <v>61688.923205626998</v>
      </c>
      <c r="L124" s="419">
        <f t="shared" si="50"/>
        <v>58125.605270306711</v>
      </c>
      <c r="M124" s="419">
        <f t="shared" si="50"/>
        <v>60106.172914435985</v>
      </c>
      <c r="N124" s="419">
        <f t="shared" si="50"/>
        <v>61254.385219046584</v>
      </c>
      <c r="O124" s="419">
        <f t="shared" si="50"/>
        <v>53561.676095700524</v>
      </c>
      <c r="P124" s="419">
        <f t="shared" si="50"/>
        <v>60048.206755541833</v>
      </c>
      <c r="Q124" s="419">
        <f t="shared" si="50"/>
        <v>60041.420809129289</v>
      </c>
      <c r="R124" s="419">
        <f>SUM(F124:Q124)</f>
        <v>716011.32849692891</v>
      </c>
    </row>
    <row r="125" spans="1:21">
      <c r="B125" s="360" t="s">
        <v>313</v>
      </c>
      <c r="C125" s="360"/>
      <c r="D125" s="360"/>
      <c r="E125" s="360"/>
      <c r="F125" s="402">
        <f t="shared" ref="F125:R125" si="51">SUM(F121:F124)</f>
        <v>476762.11720216827</v>
      </c>
      <c r="G125" s="402">
        <f t="shared" si="51"/>
        <v>446004.18058487069</v>
      </c>
      <c r="H125" s="402">
        <f t="shared" si="51"/>
        <v>484643.22227083141</v>
      </c>
      <c r="I125" s="402">
        <f t="shared" si="51"/>
        <v>462367.61661041173</v>
      </c>
      <c r="J125" s="402">
        <f t="shared" si="51"/>
        <v>455792.45959478064</v>
      </c>
      <c r="K125" s="402">
        <f t="shared" si="51"/>
        <v>477261.01237835211</v>
      </c>
      <c r="L125" s="402">
        <f t="shared" si="51"/>
        <v>455116.11215299566</v>
      </c>
      <c r="M125" s="402">
        <f t="shared" si="51"/>
        <v>445648.61213138205</v>
      </c>
      <c r="N125" s="402">
        <f t="shared" si="51"/>
        <v>458731.20600419783</v>
      </c>
      <c r="O125" s="402">
        <f t="shared" si="51"/>
        <v>404446.9594253418</v>
      </c>
      <c r="P125" s="402">
        <f t="shared" si="51"/>
        <v>461989.31056820753</v>
      </c>
      <c r="Q125" s="402">
        <f t="shared" si="51"/>
        <v>463374.04315185075</v>
      </c>
      <c r="R125" s="402">
        <f t="shared" si="51"/>
        <v>5492136.8520753896</v>
      </c>
      <c r="T125" s="388"/>
    </row>
    <row r="126" spans="1:21">
      <c r="G126" s="369"/>
      <c r="H126" s="369"/>
      <c r="I126" s="369"/>
      <c r="J126" s="369"/>
      <c r="K126" s="369"/>
      <c r="L126" s="369"/>
      <c r="M126" s="369"/>
      <c r="N126" s="369"/>
      <c r="O126" s="369"/>
      <c r="P126" s="369"/>
      <c r="Q126" s="369"/>
      <c r="R126" s="369"/>
    </row>
    <row r="127" spans="1:21">
      <c r="B127" s="360" t="s">
        <v>278</v>
      </c>
      <c r="G127" s="369"/>
      <c r="H127" s="369"/>
      <c r="I127" s="369"/>
      <c r="J127" s="369"/>
      <c r="K127" s="369"/>
      <c r="L127" s="369"/>
      <c r="M127" s="369"/>
      <c r="N127" s="369"/>
      <c r="O127" s="369"/>
      <c r="P127" s="369"/>
      <c r="Q127" s="369"/>
      <c r="R127" s="369"/>
    </row>
    <row r="128" spans="1:21">
      <c r="C128" s="361" t="s">
        <v>18</v>
      </c>
      <c r="G128" s="369"/>
      <c r="H128" s="369"/>
      <c r="I128" s="369"/>
      <c r="J128" s="369"/>
      <c r="K128" s="369"/>
      <c r="L128" s="369"/>
      <c r="M128" s="369"/>
      <c r="N128" s="369"/>
      <c r="O128" s="369"/>
      <c r="P128" s="369"/>
      <c r="Q128" s="369"/>
      <c r="R128" s="369"/>
    </row>
    <row r="129" spans="2:20">
      <c r="D129" s="361" t="s">
        <v>11</v>
      </c>
      <c r="F129" s="419">
        <f>+F34*F89</f>
        <v>72078.203902808673</v>
      </c>
      <c r="G129" s="419">
        <f t="shared" ref="G129:Q129" si="52">+G34*G89</f>
        <v>63710.622744691471</v>
      </c>
      <c r="H129" s="419">
        <f t="shared" si="52"/>
        <v>69997.133844371914</v>
      </c>
      <c r="I129" s="419">
        <f t="shared" si="52"/>
        <v>71243.130821524013</v>
      </c>
      <c r="J129" s="419">
        <f t="shared" si="52"/>
        <v>66397.192219879958</v>
      </c>
      <c r="K129" s="419">
        <f t="shared" si="52"/>
        <v>69540.433714290877</v>
      </c>
      <c r="L129" s="419">
        <f t="shared" si="52"/>
        <v>63468.211614756678</v>
      </c>
      <c r="M129" s="419">
        <f t="shared" si="52"/>
        <v>65946.939808067298</v>
      </c>
      <c r="N129" s="419">
        <f t="shared" si="52"/>
        <v>72071.281993798504</v>
      </c>
      <c r="O129" s="419">
        <f t="shared" si="52"/>
        <v>55200.993615121952</v>
      </c>
      <c r="P129" s="419">
        <f t="shared" si="52"/>
        <v>60670.812737917746</v>
      </c>
      <c r="Q129" s="419">
        <f t="shared" si="52"/>
        <v>63146.337892364354</v>
      </c>
      <c r="R129" s="419">
        <f>SUM(F129:Q129)</f>
        <v>793471.29490959342</v>
      </c>
    </row>
    <row r="130" spans="2:20">
      <c r="D130" s="361" t="s">
        <v>12</v>
      </c>
      <c r="F130" s="389">
        <f>+F35*F90</f>
        <v>315096.31886938866</v>
      </c>
      <c r="G130" s="389">
        <f t="shared" ref="G130:Q130" si="53">+G35*G90</f>
        <v>288160.4272598066</v>
      </c>
      <c r="H130" s="389">
        <f t="shared" si="53"/>
        <v>331076.31344793923</v>
      </c>
      <c r="I130" s="389">
        <f t="shared" si="53"/>
        <v>306485.7820096045</v>
      </c>
      <c r="J130" s="389">
        <f t="shared" si="53"/>
        <v>301448.25121521973</v>
      </c>
      <c r="K130" s="389">
        <f t="shared" si="53"/>
        <v>298888.2889389288</v>
      </c>
      <c r="L130" s="389">
        <f t="shared" si="53"/>
        <v>286687.04253257788</v>
      </c>
      <c r="M130" s="389">
        <f t="shared" si="53"/>
        <v>302777.54785783228</v>
      </c>
      <c r="N130" s="389">
        <f t="shared" si="53"/>
        <v>309553.81025039044</v>
      </c>
      <c r="O130" s="389">
        <f t="shared" si="53"/>
        <v>246373.1676815208</v>
      </c>
      <c r="P130" s="389">
        <f t="shared" si="53"/>
        <v>272877.68736747978</v>
      </c>
      <c r="Q130" s="389">
        <f t="shared" si="53"/>
        <v>291364.82303226035</v>
      </c>
      <c r="R130" s="389">
        <f>SUM(F130:Q130)</f>
        <v>3550789.4604629488</v>
      </c>
    </row>
    <row r="131" spans="2:20" s="360" customFormat="1">
      <c r="C131" s="360" t="s">
        <v>445</v>
      </c>
      <c r="F131" s="402">
        <f t="shared" ref="F131:R131" si="54">SUM(F129:F130)</f>
        <v>387174.52277219732</v>
      </c>
      <c r="G131" s="402">
        <f t="shared" si="54"/>
        <v>351871.0500044981</v>
      </c>
      <c r="H131" s="402">
        <f t="shared" si="54"/>
        <v>401073.44729231112</v>
      </c>
      <c r="I131" s="402">
        <f t="shared" si="54"/>
        <v>377728.91283112852</v>
      </c>
      <c r="J131" s="402">
        <f t="shared" si="54"/>
        <v>367845.44343509967</v>
      </c>
      <c r="K131" s="402">
        <f t="shared" si="54"/>
        <v>368428.72265321971</v>
      </c>
      <c r="L131" s="402">
        <f t="shared" si="54"/>
        <v>350155.25414733455</v>
      </c>
      <c r="M131" s="402">
        <f t="shared" si="54"/>
        <v>368724.48766589956</v>
      </c>
      <c r="N131" s="402">
        <f t="shared" si="54"/>
        <v>381625.09224418894</v>
      </c>
      <c r="O131" s="402">
        <f t="shared" si="54"/>
        <v>301574.16129664273</v>
      </c>
      <c r="P131" s="402">
        <f t="shared" si="54"/>
        <v>333548.50010539754</v>
      </c>
      <c r="Q131" s="402">
        <f t="shared" si="54"/>
        <v>354511.16092462471</v>
      </c>
      <c r="R131" s="402">
        <f t="shared" si="54"/>
        <v>4344260.755372542</v>
      </c>
    </row>
    <row r="132" spans="2:20" ht="7.5" customHeight="1">
      <c r="C132" s="360"/>
      <c r="D132" s="360"/>
      <c r="E132" s="360"/>
      <c r="F132" s="403"/>
      <c r="G132" s="403"/>
      <c r="H132" s="403"/>
      <c r="I132" s="403"/>
      <c r="J132" s="403"/>
      <c r="K132" s="403"/>
      <c r="L132" s="403"/>
      <c r="M132" s="403"/>
      <c r="N132" s="403"/>
      <c r="O132" s="403"/>
      <c r="P132" s="403"/>
      <c r="Q132" s="403"/>
      <c r="R132" s="403"/>
    </row>
    <row r="133" spans="2:20">
      <c r="C133" s="361" t="s">
        <v>319</v>
      </c>
      <c r="F133" s="369"/>
      <c r="G133" s="369"/>
      <c r="H133" s="369"/>
      <c r="I133" s="369"/>
      <c r="J133" s="369"/>
      <c r="K133" s="369"/>
      <c r="L133" s="369"/>
      <c r="M133" s="369"/>
      <c r="N133" s="369"/>
      <c r="O133" s="369"/>
      <c r="P133" s="369"/>
      <c r="Q133" s="369"/>
      <c r="R133" s="369"/>
    </row>
    <row r="134" spans="2:20">
      <c r="D134" s="361" t="s">
        <v>1131</v>
      </c>
      <c r="F134" s="389">
        <f t="shared" ref="F134:Q134" si="55">+F38*F93</f>
        <v>25103.721947014601</v>
      </c>
      <c r="G134" s="389">
        <f t="shared" si="55"/>
        <v>22438.367342689606</v>
      </c>
      <c r="H134" s="389">
        <f t="shared" si="55"/>
        <v>22537.559241357274</v>
      </c>
      <c r="I134" s="389">
        <f t="shared" si="55"/>
        <v>24119.916715273626</v>
      </c>
      <c r="J134" s="389">
        <f t="shared" si="55"/>
        <v>23277.581219195847</v>
      </c>
      <c r="K134" s="389">
        <f t="shared" si="55"/>
        <v>25796.752912792883</v>
      </c>
      <c r="L134" s="389">
        <f t="shared" si="55"/>
        <v>22233.475266477719</v>
      </c>
      <c r="M134" s="389">
        <f t="shared" si="55"/>
        <v>24919.780390152377</v>
      </c>
      <c r="N134" s="389">
        <f t="shared" si="55"/>
        <v>28583.191109326268</v>
      </c>
      <c r="O134" s="389">
        <f t="shared" si="55"/>
        <v>21003.384810041545</v>
      </c>
      <c r="P134" s="389">
        <f t="shared" si="55"/>
        <v>22681.536177981907</v>
      </c>
      <c r="Q134" s="389">
        <f t="shared" si="55"/>
        <v>24661.98082685328</v>
      </c>
      <c r="R134" s="389">
        <f>SUM(F134:Q134)</f>
        <v>287357.24795915699</v>
      </c>
    </row>
    <row r="135" spans="2:20">
      <c r="D135" s="361" t="s">
        <v>12</v>
      </c>
      <c r="F135" s="389">
        <f t="shared" ref="F135:Q135" si="56">+F39*F94</f>
        <v>132067.96270026357</v>
      </c>
      <c r="G135" s="389">
        <f t="shared" si="56"/>
        <v>119468.11057132827</v>
      </c>
      <c r="H135" s="389">
        <f t="shared" si="56"/>
        <v>134288.02963837725</v>
      </c>
      <c r="I135" s="389">
        <f t="shared" si="56"/>
        <v>123784.18215935776</v>
      </c>
      <c r="J135" s="389">
        <f t="shared" si="56"/>
        <v>124486.88972296812</v>
      </c>
      <c r="K135" s="389">
        <f t="shared" si="56"/>
        <v>127848.98374729088</v>
      </c>
      <c r="L135" s="389">
        <f t="shared" si="56"/>
        <v>123722.65297773956</v>
      </c>
      <c r="M135" s="389">
        <f t="shared" si="56"/>
        <v>144601.52439518942</v>
      </c>
      <c r="N135" s="389">
        <f t="shared" si="56"/>
        <v>140702.52370567649</v>
      </c>
      <c r="O135" s="389">
        <f t="shared" si="56"/>
        <v>107735.63892381563</v>
      </c>
      <c r="P135" s="389">
        <f t="shared" si="56"/>
        <v>117317.60785468154</v>
      </c>
      <c r="Q135" s="389">
        <f t="shared" si="56"/>
        <v>124387.17199757774</v>
      </c>
      <c r="R135" s="389">
        <f>SUM(F135:Q135)</f>
        <v>1520411.2783942663</v>
      </c>
    </row>
    <row r="136" spans="2:20" s="360" customFormat="1">
      <c r="C136" s="360" t="s">
        <v>447</v>
      </c>
      <c r="F136" s="402">
        <f t="shared" ref="F136:R136" si="57">SUM(F134:F135)</f>
        <v>157171.68464727816</v>
      </c>
      <c r="G136" s="402">
        <f t="shared" si="57"/>
        <v>141906.47791401789</v>
      </c>
      <c r="H136" s="402">
        <f t="shared" si="57"/>
        <v>156825.58887973451</v>
      </c>
      <c r="I136" s="402">
        <f t="shared" si="57"/>
        <v>147904.0988746314</v>
      </c>
      <c r="J136" s="402">
        <f t="shared" si="57"/>
        <v>147764.47094216396</v>
      </c>
      <c r="K136" s="402">
        <f t="shared" si="57"/>
        <v>153645.73666008376</v>
      </c>
      <c r="L136" s="402">
        <f t="shared" si="57"/>
        <v>145956.12824421728</v>
      </c>
      <c r="M136" s="402">
        <f t="shared" si="57"/>
        <v>169521.30478534181</v>
      </c>
      <c r="N136" s="402">
        <f t="shared" si="57"/>
        <v>169285.71481500275</v>
      </c>
      <c r="O136" s="402">
        <f t="shared" si="57"/>
        <v>128739.02373385718</v>
      </c>
      <c r="P136" s="402">
        <f t="shared" si="57"/>
        <v>139999.14403266343</v>
      </c>
      <c r="Q136" s="402">
        <f t="shared" si="57"/>
        <v>149049.15282443102</v>
      </c>
      <c r="R136" s="402">
        <f t="shared" si="57"/>
        <v>1807768.5263534233</v>
      </c>
    </row>
    <row r="137" spans="2:20" ht="7.5" customHeight="1">
      <c r="C137" s="360"/>
      <c r="D137" s="360"/>
      <c r="E137" s="360"/>
      <c r="F137" s="403"/>
      <c r="G137" s="403"/>
      <c r="H137" s="403"/>
      <c r="I137" s="403"/>
      <c r="J137" s="403"/>
      <c r="K137" s="403"/>
      <c r="L137" s="403"/>
      <c r="M137" s="403"/>
      <c r="N137" s="403"/>
      <c r="O137" s="403"/>
      <c r="P137" s="403"/>
      <c r="Q137" s="403"/>
      <c r="R137" s="403"/>
    </row>
    <row r="138" spans="2:20">
      <c r="C138" s="361" t="s">
        <v>16</v>
      </c>
      <c r="E138" s="411"/>
      <c r="F138" s="369"/>
      <c r="G138" s="369"/>
      <c r="H138" s="369"/>
      <c r="I138" s="369"/>
      <c r="J138" s="369"/>
      <c r="K138" s="369"/>
      <c r="L138" s="369"/>
      <c r="M138" s="369"/>
      <c r="N138" s="369"/>
      <c r="O138" s="369"/>
      <c r="P138" s="369"/>
      <c r="Q138" s="369"/>
      <c r="R138" s="369"/>
    </row>
    <row r="139" spans="2:20">
      <c r="D139" s="361" t="s">
        <v>11</v>
      </c>
      <c r="F139" s="419">
        <f>+F42*F97</f>
        <v>31600.873400000004</v>
      </c>
      <c r="G139" s="419">
        <f t="shared" ref="G139:P139" si="58">+G42*G97</f>
        <v>22216.066300000002</v>
      </c>
      <c r="H139" s="419">
        <f t="shared" si="58"/>
        <v>21907.565999999999</v>
      </c>
      <c r="I139" s="419">
        <f t="shared" si="58"/>
        <v>18362.938000000002</v>
      </c>
      <c r="J139" s="419">
        <f t="shared" si="58"/>
        <v>19590.688300000002</v>
      </c>
      <c r="K139" s="419">
        <f t="shared" si="58"/>
        <v>24206.794099999999</v>
      </c>
      <c r="L139" s="419">
        <f t="shared" si="58"/>
        <v>38625.044399999992</v>
      </c>
      <c r="M139" s="419">
        <f t="shared" si="58"/>
        <v>17425.277999999998</v>
      </c>
      <c r="N139" s="419">
        <f t="shared" si="58"/>
        <v>17082.070800000001</v>
      </c>
      <c r="O139" s="419">
        <f t="shared" si="58"/>
        <v>11797.945200000002</v>
      </c>
      <c r="P139" s="419">
        <f t="shared" si="58"/>
        <v>21016.696199999998</v>
      </c>
      <c r="Q139" s="419">
        <f>+Q42*Q97</f>
        <v>29342.238599999997</v>
      </c>
      <c r="R139" s="419">
        <f>SUM(F139:Q139)</f>
        <v>273174.19929999998</v>
      </c>
      <c r="S139" s="379"/>
    </row>
    <row r="140" spans="2:20">
      <c r="D140" s="361" t="s">
        <v>12</v>
      </c>
      <c r="F140" s="419">
        <f t="shared" ref="F140:Q140" si="59">+F43*F98</f>
        <v>248109.24659999987</v>
      </c>
      <c r="G140" s="419">
        <f t="shared" si="59"/>
        <v>205910.49370000011</v>
      </c>
      <c r="H140" s="419">
        <f t="shared" si="59"/>
        <v>160019.05400000006</v>
      </c>
      <c r="I140" s="419">
        <f t="shared" si="59"/>
        <v>91610.962000000087</v>
      </c>
      <c r="J140" s="419">
        <f t="shared" si="59"/>
        <v>106966.93170000003</v>
      </c>
      <c r="K140" s="419">
        <f t="shared" si="59"/>
        <v>125546.32589999998</v>
      </c>
      <c r="L140" s="419">
        <f t="shared" si="59"/>
        <v>250092.37560000003</v>
      </c>
      <c r="M140" s="419">
        <f t="shared" si="59"/>
        <v>84985.822000000015</v>
      </c>
      <c r="N140" s="419">
        <f t="shared" si="59"/>
        <v>84721.419200000018</v>
      </c>
      <c r="O140" s="419">
        <f t="shared" si="59"/>
        <v>45402.854800000023</v>
      </c>
      <c r="P140" s="419">
        <f t="shared" si="59"/>
        <v>92012.503799999919</v>
      </c>
      <c r="Q140" s="419">
        <f t="shared" si="59"/>
        <v>142855.17140000011</v>
      </c>
      <c r="R140" s="419">
        <f>SUM(F140:Q140)</f>
        <v>1638233.1607000001</v>
      </c>
      <c r="S140" s="379"/>
    </row>
    <row r="141" spans="2:20" s="360" customFormat="1">
      <c r="C141" s="360" t="s">
        <v>448</v>
      </c>
      <c r="F141" s="402">
        <f t="shared" ref="F141:R141" si="60">SUM(F139:F140)</f>
        <v>279710.11999999988</v>
      </c>
      <c r="G141" s="402">
        <f t="shared" si="60"/>
        <v>228126.56000000011</v>
      </c>
      <c r="H141" s="402">
        <f t="shared" si="60"/>
        <v>181926.62000000005</v>
      </c>
      <c r="I141" s="402">
        <f t="shared" si="60"/>
        <v>109973.90000000008</v>
      </c>
      <c r="J141" s="402">
        <f t="shared" si="60"/>
        <v>126557.62000000002</v>
      </c>
      <c r="K141" s="402">
        <f t="shared" si="60"/>
        <v>149753.12</v>
      </c>
      <c r="L141" s="402">
        <f t="shared" si="60"/>
        <v>288717.42000000004</v>
      </c>
      <c r="M141" s="402">
        <f t="shared" si="60"/>
        <v>102411.1</v>
      </c>
      <c r="N141" s="402">
        <f t="shared" si="60"/>
        <v>101803.49000000002</v>
      </c>
      <c r="O141" s="402">
        <f t="shared" si="60"/>
        <v>57200.800000000025</v>
      </c>
      <c r="P141" s="402">
        <f t="shared" si="60"/>
        <v>113029.19999999992</v>
      </c>
      <c r="Q141" s="402">
        <f t="shared" si="60"/>
        <v>172197.41000000009</v>
      </c>
      <c r="R141" s="402">
        <f t="shared" si="60"/>
        <v>1911407.36</v>
      </c>
    </row>
    <row r="142" spans="2:20" ht="7.5" customHeight="1">
      <c r="C142" s="360"/>
      <c r="D142" s="360"/>
      <c r="E142" s="360"/>
      <c r="F142" s="403"/>
      <c r="G142" s="403"/>
      <c r="H142" s="403"/>
      <c r="I142" s="403"/>
      <c r="J142" s="403"/>
      <c r="K142" s="403"/>
      <c r="L142" s="403"/>
      <c r="M142" s="403"/>
      <c r="N142" s="403"/>
      <c r="O142" s="403"/>
      <c r="P142" s="403"/>
      <c r="Q142" s="403"/>
      <c r="R142" s="403"/>
    </row>
    <row r="143" spans="2:20" s="360" customFormat="1">
      <c r="B143" s="360" t="s">
        <v>298</v>
      </c>
      <c r="F143" s="402">
        <f t="shared" ref="F143:P143" si="61">F131+F136+F141</f>
        <v>824056.32741947542</v>
      </c>
      <c r="G143" s="402">
        <f t="shared" si="61"/>
        <v>721904.08791851602</v>
      </c>
      <c r="H143" s="402">
        <f t="shared" si="61"/>
        <v>739825.65617204574</v>
      </c>
      <c r="I143" s="402">
        <f t="shared" si="61"/>
        <v>635606.91170576005</v>
      </c>
      <c r="J143" s="402">
        <f t="shared" si="61"/>
        <v>642167.53437726363</v>
      </c>
      <c r="K143" s="402">
        <f t="shared" si="61"/>
        <v>671827.57931330346</v>
      </c>
      <c r="L143" s="402">
        <f t="shared" si="61"/>
        <v>784828.8023915519</v>
      </c>
      <c r="M143" s="402">
        <f t="shared" si="61"/>
        <v>640656.89245124138</v>
      </c>
      <c r="N143" s="402">
        <f t="shared" si="61"/>
        <v>652714.29705919162</v>
      </c>
      <c r="O143" s="402">
        <f>O131+O136+O141</f>
        <v>487513.98503049999</v>
      </c>
      <c r="P143" s="402">
        <f t="shared" si="61"/>
        <v>586576.84413806093</v>
      </c>
      <c r="Q143" s="402">
        <f>Q131+Q136+Q141</f>
        <v>675757.72374905576</v>
      </c>
      <c r="R143" s="402">
        <f>R131+R136+R141</f>
        <v>8063436.6417259658</v>
      </c>
      <c r="S143" s="416"/>
      <c r="T143" s="417"/>
    </row>
    <row r="144" spans="2:20">
      <c r="G144" s="369"/>
      <c r="H144" s="369"/>
      <c r="I144" s="369"/>
      <c r="J144" s="369"/>
      <c r="K144" s="369"/>
      <c r="L144" s="369"/>
      <c r="M144" s="369"/>
      <c r="N144" s="369"/>
      <c r="O144" s="369"/>
      <c r="P144" s="369"/>
      <c r="Q144" s="369"/>
      <c r="R144" s="369"/>
    </row>
    <row r="145" spans="2:20">
      <c r="B145" s="360" t="s">
        <v>440</v>
      </c>
      <c r="G145" s="369"/>
      <c r="H145" s="369"/>
      <c r="I145" s="369"/>
      <c r="J145" s="369"/>
      <c r="K145" s="369"/>
      <c r="L145" s="369"/>
      <c r="M145" s="369"/>
      <c r="N145" s="369"/>
      <c r="O145" s="369"/>
      <c r="P145" s="369"/>
      <c r="Q145" s="369"/>
      <c r="R145" s="369"/>
    </row>
    <row r="146" spans="2:20">
      <c r="C146" s="361" t="s">
        <v>442</v>
      </c>
      <c r="F146" s="389">
        <f t="shared" ref="F146:Q146" si="62">+F48*F103</f>
        <v>13320.068611768054</v>
      </c>
      <c r="G146" s="389">
        <f t="shared" si="62"/>
        <v>13740.858488224809</v>
      </c>
      <c r="H146" s="389">
        <f t="shared" si="62"/>
        <v>12066.56398165612</v>
      </c>
      <c r="I146" s="389">
        <f t="shared" si="62"/>
        <v>14854.199022289262</v>
      </c>
      <c r="J146" s="389">
        <f t="shared" si="62"/>
        <v>12849.832087504628</v>
      </c>
      <c r="K146" s="389">
        <f t="shared" si="62"/>
        <v>10539.685328478747</v>
      </c>
      <c r="L146" s="389">
        <f t="shared" si="62"/>
        <v>12853.215196762227</v>
      </c>
      <c r="M146" s="389">
        <f t="shared" si="62"/>
        <v>14994.112517650994</v>
      </c>
      <c r="N146" s="389">
        <f t="shared" si="62"/>
        <v>12655.976794535623</v>
      </c>
      <c r="O146" s="389">
        <f t="shared" si="62"/>
        <v>11582.419119333677</v>
      </c>
      <c r="P146" s="389">
        <f t="shared" si="62"/>
        <v>10748.936901078398</v>
      </c>
      <c r="Q146" s="389">
        <f t="shared" si="62"/>
        <v>10297.338802817489</v>
      </c>
      <c r="R146" s="389">
        <f>SUM(F146:Q146)</f>
        <v>150503.20685210003</v>
      </c>
    </row>
    <row r="147" spans="2:20">
      <c r="C147" s="361" t="s">
        <v>443</v>
      </c>
      <c r="F147" s="389">
        <f>+F49*F104</f>
        <v>340072.03138823196</v>
      </c>
      <c r="G147" s="389">
        <f t="shared" ref="G147:Q147" si="63">+G49*G104</f>
        <v>316244.16151177516</v>
      </c>
      <c r="H147" s="389">
        <f t="shared" si="63"/>
        <v>372866.83601834386</v>
      </c>
      <c r="I147" s="389">
        <f t="shared" si="63"/>
        <v>344155.01097771077</v>
      </c>
      <c r="J147" s="389">
        <f t="shared" si="63"/>
        <v>323617.44791249541</v>
      </c>
      <c r="K147" s="389">
        <f t="shared" si="63"/>
        <v>369234.3046715213</v>
      </c>
      <c r="L147" s="389">
        <f t="shared" si="63"/>
        <v>327928.02480323776</v>
      </c>
      <c r="M147" s="389">
        <f t="shared" si="63"/>
        <v>324069.887482349</v>
      </c>
      <c r="N147" s="389">
        <f t="shared" si="63"/>
        <v>323006.9432054644</v>
      </c>
      <c r="O147" s="389">
        <f t="shared" si="63"/>
        <v>292716.08088066633</v>
      </c>
      <c r="P147" s="389">
        <f t="shared" si="63"/>
        <v>308143.85309892159</v>
      </c>
      <c r="Q147" s="389">
        <f t="shared" si="63"/>
        <v>346148.65119718248</v>
      </c>
      <c r="R147" s="389">
        <f>SUM(F147:Q147)</f>
        <v>3988203.2331479001</v>
      </c>
    </row>
    <row r="148" spans="2:20" s="360" customFormat="1">
      <c r="B148" s="360" t="s">
        <v>449</v>
      </c>
      <c r="F148" s="402">
        <f t="shared" ref="F148:R148" si="64">SUM(F146:F147)</f>
        <v>353392.10000000003</v>
      </c>
      <c r="G148" s="402">
        <f t="shared" si="64"/>
        <v>329985.01999999996</v>
      </c>
      <c r="H148" s="402">
        <f t="shared" si="64"/>
        <v>384933.39999999997</v>
      </c>
      <c r="I148" s="402">
        <f t="shared" si="64"/>
        <v>359009.21</v>
      </c>
      <c r="J148" s="402">
        <f t="shared" si="64"/>
        <v>336467.28</v>
      </c>
      <c r="K148" s="402">
        <f t="shared" si="64"/>
        <v>379773.99000000005</v>
      </c>
      <c r="L148" s="402">
        <f t="shared" si="64"/>
        <v>340781.24</v>
      </c>
      <c r="M148" s="402">
        <f t="shared" si="64"/>
        <v>339064</v>
      </c>
      <c r="N148" s="402">
        <f t="shared" si="64"/>
        <v>335662.92000000004</v>
      </c>
      <c r="O148" s="402">
        <f t="shared" si="64"/>
        <v>304298.5</v>
      </c>
      <c r="P148" s="402">
        <f t="shared" si="64"/>
        <v>318892.78999999998</v>
      </c>
      <c r="Q148" s="402">
        <f t="shared" si="64"/>
        <v>356445.99</v>
      </c>
      <c r="R148" s="402">
        <f t="shared" si="64"/>
        <v>4138706.44</v>
      </c>
      <c r="S148" s="416"/>
      <c r="T148" s="417"/>
    </row>
    <row r="151" spans="2:20">
      <c r="B151" s="360" t="s">
        <v>451</v>
      </c>
    </row>
    <row r="152" spans="2:20">
      <c r="C152" s="360" t="s">
        <v>280</v>
      </c>
      <c r="F152" s="369"/>
      <c r="G152" s="369"/>
      <c r="H152" s="369"/>
      <c r="I152" s="369"/>
      <c r="J152" s="369"/>
      <c r="K152" s="369"/>
      <c r="L152" s="369"/>
      <c r="M152" s="369"/>
      <c r="N152" s="369"/>
      <c r="O152" s="369"/>
      <c r="P152" s="369"/>
      <c r="Q152" s="369"/>
      <c r="R152" s="369"/>
    </row>
    <row r="153" spans="2:20">
      <c r="D153" s="361" t="s">
        <v>18</v>
      </c>
      <c r="F153" s="369">
        <f t="shared" ref="F153:R153" si="65">F121</f>
        <v>28081.819858085615</v>
      </c>
      <c r="G153" s="369">
        <f t="shared" si="65"/>
        <v>26311.173660618413</v>
      </c>
      <c r="H153" s="369">
        <f t="shared" si="65"/>
        <v>29337.183851284233</v>
      </c>
      <c r="I153" s="369">
        <f t="shared" si="65"/>
        <v>29391.079080033796</v>
      </c>
      <c r="J153" s="369">
        <f t="shared" si="65"/>
        <v>27974.346672261199</v>
      </c>
      <c r="K153" s="369">
        <f t="shared" si="65"/>
        <v>29618.573248931243</v>
      </c>
      <c r="L153" s="369">
        <f t="shared" si="65"/>
        <v>28157.489553148982</v>
      </c>
      <c r="M153" s="369">
        <f t="shared" si="65"/>
        <v>26685.754227095982</v>
      </c>
      <c r="N153" s="369">
        <f t="shared" si="65"/>
        <v>26881.792846209144</v>
      </c>
      <c r="O153" s="369">
        <f t="shared" si="65"/>
        <v>23459.624020180832</v>
      </c>
      <c r="P153" s="369">
        <f t="shared" si="65"/>
        <v>27120.547694999284</v>
      </c>
      <c r="Q153" s="369">
        <f t="shared" si="65"/>
        <v>27639.584565967278</v>
      </c>
      <c r="R153" s="389">
        <f t="shared" si="65"/>
        <v>330658.96927881596</v>
      </c>
      <c r="S153" s="686"/>
    </row>
    <row r="154" spans="2:20">
      <c r="D154" s="361" t="s">
        <v>452</v>
      </c>
      <c r="F154" s="369">
        <f t="shared" ref="F154:R154" si="66">F123</f>
        <v>2635.6236949378617</v>
      </c>
      <c r="G154" s="369">
        <f t="shared" si="66"/>
        <v>2549.1514759443166</v>
      </c>
      <c r="H154" s="369">
        <f t="shared" si="66"/>
        <v>2602.8727817525196</v>
      </c>
      <c r="I154" s="369">
        <f t="shared" si="66"/>
        <v>2591.458277542471</v>
      </c>
      <c r="J154" s="369">
        <f t="shared" si="66"/>
        <v>2791.238508659148</v>
      </c>
      <c r="K154" s="369">
        <f t="shared" si="66"/>
        <v>2428.723384162487</v>
      </c>
      <c r="L154" s="369">
        <f t="shared" si="66"/>
        <v>2415.875197947893</v>
      </c>
      <c r="M154" s="369">
        <f t="shared" si="66"/>
        <v>2720.1854195649521</v>
      </c>
      <c r="N154" s="369">
        <f t="shared" si="66"/>
        <v>2843.3738820007425</v>
      </c>
      <c r="O154" s="369">
        <f t="shared" si="66"/>
        <v>2234.4051586129058</v>
      </c>
      <c r="P154" s="369">
        <f t="shared" si="66"/>
        <v>2629.6048033477641</v>
      </c>
      <c r="Q154" s="369">
        <f t="shared" si="66"/>
        <v>2196.4198599480183</v>
      </c>
      <c r="R154" s="389">
        <f t="shared" si="66"/>
        <v>30638.932444421076</v>
      </c>
      <c r="S154" s="601"/>
    </row>
    <row r="155" spans="2:20" s="360" customFormat="1">
      <c r="C155" s="360" t="s">
        <v>313</v>
      </c>
      <c r="F155" s="402">
        <f t="shared" ref="F155:R155" si="67">SUM(F153:F154)</f>
        <v>30717.443553023477</v>
      </c>
      <c r="G155" s="402">
        <f t="shared" si="67"/>
        <v>28860.325136562729</v>
      </c>
      <c r="H155" s="402">
        <f t="shared" si="67"/>
        <v>31940.056633036751</v>
      </c>
      <c r="I155" s="402">
        <f t="shared" si="67"/>
        <v>31982.537357576268</v>
      </c>
      <c r="J155" s="402">
        <f t="shared" si="67"/>
        <v>30765.585180920349</v>
      </c>
      <c r="K155" s="402">
        <f t="shared" si="67"/>
        <v>32047.296633093731</v>
      </c>
      <c r="L155" s="402">
        <f t="shared" si="67"/>
        <v>30573.364751096873</v>
      </c>
      <c r="M155" s="402">
        <f t="shared" si="67"/>
        <v>29405.939646660932</v>
      </c>
      <c r="N155" s="402">
        <f t="shared" si="67"/>
        <v>29725.166728209886</v>
      </c>
      <c r="O155" s="402">
        <f t="shared" si="67"/>
        <v>25694.029178793739</v>
      </c>
      <c r="P155" s="402">
        <f t="shared" si="67"/>
        <v>29750.152498347048</v>
      </c>
      <c r="Q155" s="402">
        <f t="shared" si="67"/>
        <v>29836.004425915296</v>
      </c>
      <c r="R155" s="402">
        <f t="shared" si="67"/>
        <v>361297.90172323701</v>
      </c>
    </row>
    <row r="156" spans="2:20" ht="7.5" customHeight="1">
      <c r="C156" s="360"/>
      <c r="D156" s="360"/>
      <c r="E156" s="360"/>
      <c r="F156" s="403"/>
      <c r="G156" s="403"/>
      <c r="H156" s="403"/>
      <c r="I156" s="403"/>
      <c r="J156" s="403"/>
      <c r="K156" s="403"/>
      <c r="L156" s="403"/>
      <c r="M156" s="403"/>
      <c r="N156" s="403"/>
      <c r="O156" s="403"/>
      <c r="P156" s="403"/>
      <c r="Q156" s="403"/>
      <c r="R156" s="403"/>
    </row>
    <row r="157" spans="2:20">
      <c r="C157" s="360" t="s">
        <v>278</v>
      </c>
      <c r="F157" s="369"/>
      <c r="G157" s="369"/>
      <c r="H157" s="369"/>
      <c r="I157" s="369"/>
      <c r="J157" s="369"/>
      <c r="K157" s="369"/>
      <c r="L157" s="369"/>
      <c r="M157" s="369"/>
      <c r="N157" s="369"/>
      <c r="O157" s="369"/>
      <c r="P157" s="369"/>
      <c r="Q157" s="369"/>
      <c r="R157" s="369"/>
    </row>
    <row r="158" spans="2:20">
      <c r="D158" s="361" t="s">
        <v>18</v>
      </c>
      <c r="F158" s="369">
        <f t="shared" ref="F158:R158" si="68">F129</f>
        <v>72078.203902808673</v>
      </c>
      <c r="G158" s="369">
        <f t="shared" si="68"/>
        <v>63710.622744691471</v>
      </c>
      <c r="H158" s="369">
        <f t="shared" si="68"/>
        <v>69997.133844371914</v>
      </c>
      <c r="I158" s="369">
        <f t="shared" si="68"/>
        <v>71243.130821524013</v>
      </c>
      <c r="J158" s="369">
        <f t="shared" si="68"/>
        <v>66397.192219879958</v>
      </c>
      <c r="K158" s="369">
        <f t="shared" si="68"/>
        <v>69540.433714290877</v>
      </c>
      <c r="L158" s="369">
        <f t="shared" si="68"/>
        <v>63468.211614756678</v>
      </c>
      <c r="M158" s="369">
        <f t="shared" si="68"/>
        <v>65946.939808067298</v>
      </c>
      <c r="N158" s="369">
        <f t="shared" si="68"/>
        <v>72071.281993798504</v>
      </c>
      <c r="O158" s="369">
        <f t="shared" si="68"/>
        <v>55200.993615121952</v>
      </c>
      <c r="P158" s="369">
        <f t="shared" si="68"/>
        <v>60670.812737917746</v>
      </c>
      <c r="Q158" s="369">
        <f t="shared" si="68"/>
        <v>63146.337892364354</v>
      </c>
      <c r="R158" s="389">
        <f t="shared" si="68"/>
        <v>793471.29490959342</v>
      </c>
    </row>
    <row r="159" spans="2:20">
      <c r="D159" s="361" t="s">
        <v>319</v>
      </c>
      <c r="F159" s="369">
        <f t="shared" ref="F159:Q159" si="69">F134</f>
        <v>25103.721947014601</v>
      </c>
      <c r="G159" s="369">
        <f t="shared" si="69"/>
        <v>22438.367342689606</v>
      </c>
      <c r="H159" s="369">
        <f t="shared" si="69"/>
        <v>22537.559241357274</v>
      </c>
      <c r="I159" s="369">
        <f t="shared" si="69"/>
        <v>24119.916715273626</v>
      </c>
      <c r="J159" s="369">
        <f t="shared" si="69"/>
        <v>23277.581219195847</v>
      </c>
      <c r="K159" s="369">
        <f t="shared" si="69"/>
        <v>25796.752912792883</v>
      </c>
      <c r="L159" s="369">
        <f t="shared" si="69"/>
        <v>22233.475266477719</v>
      </c>
      <c r="M159" s="369">
        <f t="shared" si="69"/>
        <v>24919.780390152377</v>
      </c>
      <c r="N159" s="369">
        <f t="shared" si="69"/>
        <v>28583.191109326268</v>
      </c>
      <c r="O159" s="369">
        <f t="shared" si="69"/>
        <v>21003.384810041545</v>
      </c>
      <c r="P159" s="369">
        <f t="shared" si="69"/>
        <v>22681.536177981907</v>
      </c>
      <c r="Q159" s="369">
        <f t="shared" si="69"/>
        <v>24661.98082685328</v>
      </c>
      <c r="R159" s="389">
        <f>R134</f>
        <v>287357.24795915699</v>
      </c>
    </row>
    <row r="160" spans="2:20">
      <c r="D160" s="361" t="s">
        <v>16</v>
      </c>
      <c r="F160" s="369">
        <f>F139</f>
        <v>31600.873400000004</v>
      </c>
      <c r="G160" s="369">
        <f t="shared" ref="G160:R160" si="70">G139</f>
        <v>22216.066300000002</v>
      </c>
      <c r="H160" s="369">
        <f t="shared" si="70"/>
        <v>21907.565999999999</v>
      </c>
      <c r="I160" s="369">
        <f t="shared" si="70"/>
        <v>18362.938000000002</v>
      </c>
      <c r="J160" s="369">
        <f t="shared" si="70"/>
        <v>19590.688300000002</v>
      </c>
      <c r="K160" s="369">
        <f t="shared" si="70"/>
        <v>24206.794099999999</v>
      </c>
      <c r="L160" s="369">
        <f t="shared" si="70"/>
        <v>38625.044399999992</v>
      </c>
      <c r="M160" s="369">
        <f t="shared" si="70"/>
        <v>17425.277999999998</v>
      </c>
      <c r="N160" s="369">
        <f t="shared" si="70"/>
        <v>17082.070800000001</v>
      </c>
      <c r="O160" s="369">
        <f t="shared" si="70"/>
        <v>11797.945200000002</v>
      </c>
      <c r="P160" s="369">
        <f t="shared" si="70"/>
        <v>21016.696199999998</v>
      </c>
      <c r="Q160" s="369">
        <f t="shared" si="70"/>
        <v>29342.238599999997</v>
      </c>
      <c r="R160" s="389">
        <f t="shared" si="70"/>
        <v>273174.19929999998</v>
      </c>
    </row>
    <row r="161" spans="2:19" s="360" customFormat="1">
      <c r="C161" s="360" t="s">
        <v>298</v>
      </c>
      <c r="F161" s="402">
        <f t="shared" ref="F161:R161" si="71">SUM(F158:F160)</f>
        <v>128782.79924982329</v>
      </c>
      <c r="G161" s="402">
        <f t="shared" si="71"/>
        <v>108365.05638738108</v>
      </c>
      <c r="H161" s="402">
        <f t="shared" si="71"/>
        <v>114442.25908572919</v>
      </c>
      <c r="I161" s="402">
        <f t="shared" si="71"/>
        <v>113725.98553679764</v>
      </c>
      <c r="J161" s="402">
        <f t="shared" si="71"/>
        <v>109265.46173907581</v>
      </c>
      <c r="K161" s="402">
        <f t="shared" si="71"/>
        <v>119543.98072708376</v>
      </c>
      <c r="L161" s="402">
        <f t="shared" si="71"/>
        <v>124326.73128123439</v>
      </c>
      <c r="M161" s="402">
        <f t="shared" si="71"/>
        <v>108291.99819821966</v>
      </c>
      <c r="N161" s="402">
        <f t="shared" si="71"/>
        <v>117736.54390312477</v>
      </c>
      <c r="O161" s="402">
        <f t="shared" si="71"/>
        <v>88002.323625163495</v>
      </c>
      <c r="P161" s="402">
        <f t="shared" si="71"/>
        <v>104369.04511589964</v>
      </c>
      <c r="Q161" s="402">
        <f t="shared" si="71"/>
        <v>117150.55731921764</v>
      </c>
      <c r="R161" s="402">
        <f t="shared" si="71"/>
        <v>1354002.7421687504</v>
      </c>
    </row>
    <row r="162" spans="2:19" ht="7.5" customHeight="1">
      <c r="C162" s="360"/>
      <c r="D162" s="360"/>
      <c r="E162" s="360"/>
      <c r="F162" s="403"/>
      <c r="G162" s="403"/>
      <c r="H162" s="403"/>
      <c r="I162" s="403"/>
      <c r="J162" s="403"/>
      <c r="K162" s="403"/>
      <c r="L162" s="403"/>
      <c r="M162" s="403"/>
      <c r="N162" s="403"/>
      <c r="O162" s="403"/>
      <c r="P162" s="403"/>
      <c r="Q162" s="403"/>
      <c r="R162" s="403"/>
    </row>
    <row r="163" spans="2:19">
      <c r="C163" s="360" t="s">
        <v>440</v>
      </c>
      <c r="F163" s="369"/>
      <c r="G163" s="369"/>
      <c r="H163" s="369"/>
      <c r="I163" s="369"/>
      <c r="J163" s="369"/>
      <c r="K163" s="369"/>
      <c r="L163" s="369"/>
      <c r="M163" s="369"/>
      <c r="N163" s="369"/>
      <c r="O163" s="369"/>
      <c r="P163" s="369"/>
      <c r="Q163" s="369"/>
      <c r="R163" s="369"/>
    </row>
    <row r="164" spans="2:19">
      <c r="D164" s="361" t="s">
        <v>18</v>
      </c>
      <c r="F164" s="369">
        <f t="shared" ref="F164:R164" si="72">F146</f>
        <v>13320.068611768054</v>
      </c>
      <c r="G164" s="369">
        <f t="shared" si="72"/>
        <v>13740.858488224809</v>
      </c>
      <c r="H164" s="369">
        <f t="shared" si="72"/>
        <v>12066.56398165612</v>
      </c>
      <c r="I164" s="369">
        <f t="shared" si="72"/>
        <v>14854.199022289262</v>
      </c>
      <c r="J164" s="369">
        <f t="shared" si="72"/>
        <v>12849.832087504628</v>
      </c>
      <c r="K164" s="369">
        <f t="shared" si="72"/>
        <v>10539.685328478747</v>
      </c>
      <c r="L164" s="369">
        <f t="shared" si="72"/>
        <v>12853.215196762227</v>
      </c>
      <c r="M164" s="369">
        <f t="shared" si="72"/>
        <v>14994.112517650994</v>
      </c>
      <c r="N164" s="369">
        <f t="shared" si="72"/>
        <v>12655.976794535623</v>
      </c>
      <c r="O164" s="369">
        <f t="shared" si="72"/>
        <v>11582.419119333677</v>
      </c>
      <c r="P164" s="369">
        <f t="shared" si="72"/>
        <v>10748.936901078398</v>
      </c>
      <c r="Q164" s="369">
        <f t="shared" si="72"/>
        <v>10297.338802817489</v>
      </c>
      <c r="R164" s="389">
        <f t="shared" si="72"/>
        <v>150503.20685210003</v>
      </c>
    </row>
    <row r="165" spans="2:19">
      <c r="C165" s="360" t="s">
        <v>449</v>
      </c>
      <c r="F165" s="370">
        <f t="shared" ref="F165:R165" si="73">SUM(F164)</f>
        <v>13320.068611768054</v>
      </c>
      <c r="G165" s="370">
        <f t="shared" si="73"/>
        <v>13740.858488224809</v>
      </c>
      <c r="H165" s="370">
        <f t="shared" si="73"/>
        <v>12066.56398165612</v>
      </c>
      <c r="I165" s="370">
        <f t="shared" si="73"/>
        <v>14854.199022289262</v>
      </c>
      <c r="J165" s="370">
        <f t="shared" si="73"/>
        <v>12849.832087504628</v>
      </c>
      <c r="K165" s="370">
        <f t="shared" si="73"/>
        <v>10539.685328478747</v>
      </c>
      <c r="L165" s="370">
        <f t="shared" si="73"/>
        <v>12853.215196762227</v>
      </c>
      <c r="M165" s="370">
        <f t="shared" si="73"/>
        <v>14994.112517650994</v>
      </c>
      <c r="N165" s="370">
        <f t="shared" si="73"/>
        <v>12655.976794535623</v>
      </c>
      <c r="O165" s="370">
        <f t="shared" si="73"/>
        <v>11582.419119333677</v>
      </c>
      <c r="P165" s="370">
        <f t="shared" si="73"/>
        <v>10748.936901078398</v>
      </c>
      <c r="Q165" s="370">
        <f t="shared" si="73"/>
        <v>10297.338802817489</v>
      </c>
      <c r="R165" s="370">
        <f t="shared" si="73"/>
        <v>150503.20685210003</v>
      </c>
    </row>
    <row r="166" spans="2:19" ht="7.5" customHeight="1">
      <c r="C166" s="360"/>
      <c r="D166" s="360"/>
      <c r="E166" s="360"/>
      <c r="F166" s="420"/>
      <c r="G166" s="420"/>
      <c r="H166" s="420"/>
      <c r="I166" s="420"/>
      <c r="J166" s="420"/>
      <c r="K166" s="420"/>
      <c r="L166" s="420"/>
      <c r="M166" s="420"/>
      <c r="N166" s="420"/>
      <c r="O166" s="420"/>
      <c r="P166" s="420"/>
      <c r="Q166" s="420"/>
      <c r="R166" s="420"/>
    </row>
    <row r="167" spans="2:19" s="360" customFormat="1">
      <c r="B167" s="360" t="s">
        <v>451</v>
      </c>
      <c r="F167" s="402">
        <f t="shared" ref="F167:Q167" si="74">F155+F161+F165</f>
        <v>172820.31141461481</v>
      </c>
      <c r="G167" s="402">
        <f t="shared" si="74"/>
        <v>150966.24001216859</v>
      </c>
      <c r="H167" s="402">
        <f t="shared" si="74"/>
        <v>158448.87970042208</v>
      </c>
      <c r="I167" s="402">
        <f t="shared" si="74"/>
        <v>160562.72191666317</v>
      </c>
      <c r="J167" s="402">
        <f t="shared" si="74"/>
        <v>152880.87900750077</v>
      </c>
      <c r="K167" s="402">
        <f t="shared" si="74"/>
        <v>162130.96268865623</v>
      </c>
      <c r="L167" s="402">
        <f t="shared" si="74"/>
        <v>167753.3112290935</v>
      </c>
      <c r="M167" s="402">
        <f t="shared" si="74"/>
        <v>152692.05036253159</v>
      </c>
      <c r="N167" s="402">
        <f t="shared" si="74"/>
        <v>160117.68742587027</v>
      </c>
      <c r="O167" s="402">
        <f t="shared" si="74"/>
        <v>125278.77192329091</v>
      </c>
      <c r="P167" s="402">
        <f t="shared" si="74"/>
        <v>144868.13451532507</v>
      </c>
      <c r="Q167" s="402">
        <f t="shared" si="74"/>
        <v>157283.90054795041</v>
      </c>
      <c r="R167" s="402">
        <f>R155+R161+R165</f>
        <v>1865803.8507440875</v>
      </c>
      <c r="S167" s="416"/>
    </row>
    <row r="168" spans="2:19">
      <c r="S168" s="421"/>
    </row>
    <row r="169" spans="2:19">
      <c r="R169" s="379"/>
    </row>
  </sheetData>
  <customSheetViews>
    <customSheetView guid="{3B54C4DD-9207-4EC3-9D58-6DDE29113D77}" showPageBreaks="1" showGridLines="0" printArea="1" showRuler="0">
      <pane xSplit="5" ySplit="8" topLeftCell="F36" activePane="bottomRight" state="frozen"/>
      <selection pane="bottomRight" activeCell="O48" sqref="O48"/>
      <rowBreaks count="2" manualBreakCount="2">
        <brk id="54" max="18" man="1"/>
        <brk id="106" max="18" man="1"/>
      </rowBreaks>
      <pageMargins left="0.75" right="0.75" top="1" bottom="1" header="0.5" footer="0.5"/>
      <pageSetup scale="73" fitToHeight="3" orientation="landscape" r:id="rId1"/>
      <headerFooter alignWithMargins="0"/>
    </customSheetView>
    <customSheetView guid="{F69ABAD1-EF76-489D-B027-1BD1F4CFE8A6}" showGridLines="0">
      <pane xSplit="5" ySplit="8" topLeftCell="F99" activePane="bottomRight" state="frozen"/>
      <selection pane="bottomRight" activeCell="F108" sqref="F108:Q108"/>
      <rowBreaks count="1" manualBreakCount="1">
        <brk id="106" max="18" man="1"/>
      </rowBreaks>
      <pageMargins left="0.75" right="0.75" top="1" bottom="1" header="0.5" footer="0.5"/>
      <pageSetup scale="73" fitToHeight="3" orientation="landscape" r:id="rId2"/>
      <headerFooter alignWithMargins="0"/>
    </customSheetView>
  </customSheetViews>
  <mergeCells count="1">
    <mergeCell ref="A3:D3"/>
  </mergeCells>
  <phoneticPr fontId="6" type="noConversion"/>
  <pageMargins left="0.25" right="0.25" top="0.75" bottom="0.75" header="0.3" footer="0.3"/>
  <pageSetup scale="61" fitToHeight="0" orientation="portrait" r:id="rId3"/>
  <headerFooter alignWithMargins="0"/>
  <rowBreaks count="1" manualBreakCount="1">
    <brk id="108" max="18" man="1"/>
  </rowBreaks>
  <drawing r:id="rId4"/>
  <legacyDrawing r:id="rId5"/>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indexed="58"/>
    <pageSetUpPr fitToPage="1"/>
  </sheetPr>
  <dimension ref="A1:AD28"/>
  <sheetViews>
    <sheetView workbookViewId="0">
      <selection activeCell="H13" sqref="H13"/>
    </sheetView>
  </sheetViews>
  <sheetFormatPr defaultColWidth="10.6640625" defaultRowHeight="12.75"/>
  <cols>
    <col min="1" max="1" width="17.6640625" style="361" bestFit="1" customWidth="1"/>
    <col min="2" max="6" width="13.33203125" style="361" bestFit="1" customWidth="1"/>
    <col min="7" max="7" width="13.5" style="361" bestFit="1" customWidth="1"/>
    <col min="8" max="8" width="13.33203125" style="361" bestFit="1" customWidth="1"/>
    <col min="9" max="9" width="13.83203125" style="361" customWidth="1"/>
    <col min="10" max="13" width="13.33203125" style="361" bestFit="1" customWidth="1"/>
    <col min="14" max="14" width="2.6640625" style="361" customWidth="1"/>
    <col min="15" max="15" width="14" style="361" bestFit="1" customWidth="1"/>
    <col min="16" max="16" width="10.1640625" style="361" bestFit="1" customWidth="1"/>
    <col min="17" max="16384" width="10.6640625" style="361"/>
  </cols>
  <sheetData>
    <row r="1" spans="1:30">
      <c r="A1" s="599" t="str">
        <f>Summary!C3</f>
        <v>Eastside</v>
      </c>
      <c r="B1" s="1068"/>
    </row>
    <row r="2" spans="1:30">
      <c r="A2" s="361" t="s">
        <v>294</v>
      </c>
      <c r="B2" s="1068"/>
    </row>
    <row r="3" spans="1:30">
      <c r="A3" s="361" t="s">
        <v>458</v>
      </c>
      <c r="B3" s="379"/>
      <c r="C3" s="379"/>
      <c r="D3" s="379"/>
      <c r="E3" s="379"/>
      <c r="F3" s="379"/>
      <c r="G3" s="379"/>
      <c r="H3" s="379"/>
      <c r="I3" s="379"/>
      <c r="J3" s="379"/>
      <c r="K3" s="379"/>
      <c r="L3" s="379"/>
      <c r="M3" s="379"/>
    </row>
    <row r="4" spans="1:30">
      <c r="B4" s="1331">
        <f t="shared" ref="B4:M4" si="0">MONTH(B5)</f>
        <v>5</v>
      </c>
      <c r="C4" s="1331">
        <f t="shared" si="0"/>
        <v>6</v>
      </c>
      <c r="D4" s="1331">
        <f t="shared" si="0"/>
        <v>7</v>
      </c>
      <c r="E4" s="1331">
        <f t="shared" si="0"/>
        <v>8</v>
      </c>
      <c r="F4" s="1331">
        <f t="shared" si="0"/>
        <v>9</v>
      </c>
      <c r="G4" s="1331">
        <f t="shared" si="0"/>
        <v>10</v>
      </c>
      <c r="H4" s="1331">
        <f t="shared" si="0"/>
        <v>11</v>
      </c>
      <c r="I4" s="1331">
        <f t="shared" si="0"/>
        <v>12</v>
      </c>
      <c r="J4" s="1331">
        <f t="shared" si="0"/>
        <v>1</v>
      </c>
      <c r="K4" s="1331">
        <f t="shared" si="0"/>
        <v>2</v>
      </c>
      <c r="L4" s="1331">
        <f t="shared" si="0"/>
        <v>3</v>
      </c>
      <c r="M4" s="1331">
        <f t="shared" si="0"/>
        <v>4</v>
      </c>
    </row>
    <row r="5" spans="1:30">
      <c r="B5" s="422">
        <f>Disposal!F7</f>
        <v>41425</v>
      </c>
      <c r="C5" s="422">
        <f>Disposal!G7</f>
        <v>41455</v>
      </c>
      <c r="D5" s="422">
        <f>Disposal!H7</f>
        <v>41486</v>
      </c>
      <c r="E5" s="422">
        <f>Disposal!I7</f>
        <v>41517</v>
      </c>
      <c r="F5" s="422">
        <f>Disposal!J7</f>
        <v>41547</v>
      </c>
      <c r="G5" s="422">
        <f>Disposal!K7</f>
        <v>41578</v>
      </c>
      <c r="H5" s="422">
        <f>Disposal!L7</f>
        <v>41608</v>
      </c>
      <c r="I5" s="422">
        <f>Disposal!M7</f>
        <v>41639</v>
      </c>
      <c r="J5" s="422">
        <f>Disposal!N7</f>
        <v>41670</v>
      </c>
      <c r="K5" s="422">
        <f>Disposal!O7</f>
        <v>41698</v>
      </c>
      <c r="L5" s="422">
        <f>Disposal!P7</f>
        <v>41729</v>
      </c>
      <c r="M5" s="422">
        <f>Disposal!Q7</f>
        <v>41759</v>
      </c>
      <c r="O5" s="423" t="s">
        <v>27</v>
      </c>
    </row>
    <row r="6" spans="1:30">
      <c r="A6" s="360" t="s">
        <v>1563</v>
      </c>
    </row>
    <row r="7" spans="1:30">
      <c r="A7" s="361" t="s">
        <v>49</v>
      </c>
      <c r="B7" s="1278">
        <f>SUM('[20]PT - YW Disp - All'!C9)</f>
        <v>5596.2199999999993</v>
      </c>
      <c r="C7" s="1278">
        <f>SUM('[20]PT - YW Disp - All'!D9)</f>
        <v>4531.6400000000031</v>
      </c>
      <c r="D7" s="1278">
        <f>SUM('[20]PT - YW Disp - All'!E9)</f>
        <v>4129.4299999999985</v>
      </c>
      <c r="E7" s="1278">
        <f>SUM('[20]PT - YW Disp - All'!F9)</f>
        <v>2963.6300000000006</v>
      </c>
      <c r="F7" s="1278">
        <f>SUM('[20]PT - YW Disp - All'!G9)</f>
        <v>3279.37</v>
      </c>
      <c r="G7" s="1278">
        <f>SUM('[20]PT - YW Disp - All'!H9)</f>
        <v>3903.6799999999985</v>
      </c>
      <c r="H7" s="1278">
        <f>SUM('[20]PT - YW Disp - All'!I9)</f>
        <v>6150.7499999999964</v>
      </c>
      <c r="I7" s="1278">
        <f>SUM('[20]PT - YW Disp - All'!J9)</f>
        <v>2449.6299999999992</v>
      </c>
      <c r="J7" s="1278">
        <f>SUM('[20]PT - YW Disp - All'!K9)</f>
        <v>2522.9199999999992</v>
      </c>
      <c r="K7" s="1278">
        <f>SUM('[20]PT - YW Disp - All'!L9)</f>
        <v>1572.0900000000006</v>
      </c>
      <c r="L7" s="1278">
        <f>SUM('[20]PT - YW Disp - All'!M9)</f>
        <v>3059.150000000001</v>
      </c>
      <c r="M7" s="1278">
        <f>SUM('[20]PT - YW Disp - All'!N9)</f>
        <v>4473.8200000000015</v>
      </c>
      <c r="N7" s="424"/>
      <c r="O7" s="399">
        <f>SUM(B7:N7)</f>
        <v>44632.33</v>
      </c>
      <c r="P7" s="1069"/>
      <c r="R7" s="1170"/>
      <c r="S7" s="1170"/>
      <c r="T7" s="1170"/>
      <c r="U7" s="1170"/>
      <c r="V7" s="1170"/>
      <c r="W7" s="1170"/>
      <c r="X7" s="1170"/>
      <c r="Y7" s="1170"/>
      <c r="Z7" s="1170"/>
      <c r="AA7" s="1170"/>
      <c r="AB7" s="1170"/>
      <c r="AC7" s="1170"/>
      <c r="AD7" s="1170"/>
    </row>
    <row r="8" spans="1:30">
      <c r="A8" s="361" t="s">
        <v>459</v>
      </c>
      <c r="B8" s="1044">
        <f>+B9/B7</f>
        <v>49.981973546429536</v>
      </c>
      <c r="C8" s="1044">
        <f t="shared" ref="C8:M8" si="1">+C9/C7</f>
        <v>50.34083907812623</v>
      </c>
      <c r="D8" s="1044">
        <f t="shared" si="1"/>
        <v>44.056109438832991</v>
      </c>
      <c r="E8" s="1044">
        <f t="shared" si="1"/>
        <v>37.10783734811703</v>
      </c>
      <c r="F8" s="1044">
        <f t="shared" si="1"/>
        <v>38.592052741837612</v>
      </c>
      <c r="G8" s="1044">
        <f t="shared" si="1"/>
        <v>38.36203787195673</v>
      </c>
      <c r="H8" s="1044">
        <f t="shared" si="1"/>
        <v>46.940197536885769</v>
      </c>
      <c r="I8" s="1044">
        <f t="shared" si="1"/>
        <v>41.806762653951836</v>
      </c>
      <c r="J8" s="1044">
        <f t="shared" si="1"/>
        <v>40.351453870911506</v>
      </c>
      <c r="K8" s="1044">
        <f t="shared" si="1"/>
        <v>36.385194231882402</v>
      </c>
      <c r="L8" s="1044">
        <f t="shared" si="1"/>
        <v>36.947910367258842</v>
      </c>
      <c r="M8" s="1044">
        <f t="shared" si="1"/>
        <v>38.490017479469451</v>
      </c>
      <c r="N8" s="424"/>
      <c r="O8" s="1044">
        <f>+O9/O7</f>
        <v>42.825623488623613</v>
      </c>
      <c r="P8" s="1044"/>
      <c r="R8" s="1170"/>
      <c r="S8" s="1170"/>
      <c r="T8" s="1170"/>
      <c r="U8" s="1170"/>
      <c r="V8" s="1170"/>
      <c r="W8" s="1170"/>
      <c r="X8" s="1170"/>
      <c r="Y8" s="1170"/>
      <c r="Z8" s="1170"/>
      <c r="AA8" s="1170"/>
      <c r="AB8" s="1170"/>
      <c r="AC8" s="1170"/>
      <c r="AD8" s="1170"/>
    </row>
    <row r="9" spans="1:30">
      <c r="A9" s="361" t="s">
        <v>460</v>
      </c>
      <c r="B9" s="1279">
        <f>SUM('[20]PT - YW Disp - All'!C25)</f>
        <v>279710.11999999988</v>
      </c>
      <c r="C9" s="1279">
        <f>SUM('[20]PT - YW Disp - All'!D25)</f>
        <v>228126.56000000011</v>
      </c>
      <c r="D9" s="1279">
        <f>SUM('[20]PT - YW Disp - All'!E25)</f>
        <v>181926.62000000005</v>
      </c>
      <c r="E9" s="1279">
        <f>SUM('[20]PT - YW Disp - All'!F25)</f>
        <v>109973.9000000001</v>
      </c>
      <c r="F9" s="1279">
        <f>SUM('[20]PT - YW Disp - All'!G25)</f>
        <v>126557.62000000001</v>
      </c>
      <c r="G9" s="1279">
        <f>SUM('[20]PT - YW Disp - All'!H25)</f>
        <v>149753.12</v>
      </c>
      <c r="H9" s="1279">
        <f>SUM('[20]PT - YW Disp - All'!I25)</f>
        <v>288717.42</v>
      </c>
      <c r="I9" s="1279">
        <f>SUM('[20]PT - YW Disp - All'!J25)</f>
        <v>102411.1</v>
      </c>
      <c r="J9" s="1279">
        <f>SUM('[20]PT - YW Disp - All'!K25)</f>
        <v>101803.49000000002</v>
      </c>
      <c r="K9" s="1279">
        <f>SUM('[20]PT - YW Disp - All'!L25)</f>
        <v>57200.800000000025</v>
      </c>
      <c r="L9" s="1279">
        <f>SUM('[20]PT - YW Disp - All'!M25)</f>
        <v>113029.19999999992</v>
      </c>
      <c r="M9" s="1279">
        <f>SUM('[20]PT - YW Disp - All'!N25)</f>
        <v>172197.41000000009</v>
      </c>
      <c r="N9" s="424"/>
      <c r="O9" s="399">
        <f>SUM(B9:N9)</f>
        <v>1911407.3600000003</v>
      </c>
      <c r="P9" s="1069"/>
      <c r="R9" s="1170"/>
      <c r="S9" s="1170"/>
      <c r="T9" s="1170"/>
      <c r="U9" s="1170"/>
      <c r="V9" s="1170"/>
      <c r="W9" s="1170"/>
      <c r="X9" s="1170"/>
      <c r="Y9" s="1170"/>
      <c r="Z9" s="1170"/>
      <c r="AA9" s="1170"/>
      <c r="AB9" s="1170"/>
      <c r="AC9" s="1170"/>
      <c r="AD9" s="1170"/>
    </row>
    <row r="10" spans="1:30">
      <c r="B10" s="428"/>
      <c r="C10" s="428"/>
      <c r="D10" s="428"/>
      <c r="E10" s="428"/>
      <c r="F10" s="428"/>
      <c r="G10" s="428"/>
      <c r="H10" s="428"/>
      <c r="I10" s="428"/>
      <c r="J10" s="428"/>
      <c r="K10" s="428"/>
      <c r="L10" s="428"/>
      <c r="M10" s="428"/>
      <c r="O10" s="1069"/>
      <c r="P10" s="1069"/>
    </row>
    <row r="11" spans="1:30">
      <c r="A11" s="1266" t="s">
        <v>1578</v>
      </c>
      <c r="B11" s="1072"/>
      <c r="C11" s="1072"/>
      <c r="D11" s="1072"/>
      <c r="E11" s="1072"/>
      <c r="F11" s="1072"/>
      <c r="G11" s="1072"/>
      <c r="H11" s="1072"/>
      <c r="I11" s="1072"/>
      <c r="J11" s="1072"/>
      <c r="K11" s="1072"/>
      <c r="L11" s="1072"/>
      <c r="M11" s="1072"/>
      <c r="N11" s="1072"/>
      <c r="O11" s="1073"/>
      <c r="P11" s="1073"/>
      <c r="R11" s="503"/>
      <c r="S11" s="503"/>
      <c r="T11" s="503"/>
      <c r="U11" s="503"/>
      <c r="V11" s="503"/>
      <c r="W11" s="503"/>
      <c r="X11" s="503"/>
      <c r="Y11" s="503"/>
      <c r="Z11" s="503"/>
      <c r="AA11" s="503"/>
      <c r="AB11" s="503"/>
      <c r="AC11" s="503"/>
    </row>
    <row r="12" spans="1:30">
      <c r="A12" s="1072" t="s">
        <v>49</v>
      </c>
      <c r="B12" s="1278">
        <f>SUM('[20]PT - YW Disp - Com Reg'!C10)</f>
        <v>142.41999999999999</v>
      </c>
      <c r="C12" s="1278">
        <f>SUM('[20]PT - YW Disp - Com Reg'!D10)</f>
        <v>115.58000000000001</v>
      </c>
      <c r="D12" s="1278">
        <f>SUM('[20]PT - YW Disp - Com Reg'!E10)</f>
        <v>192.97000000000003</v>
      </c>
      <c r="E12" s="1278">
        <f>SUM('[20]PT - YW Disp - Com Reg'!F10)</f>
        <v>121.34999999999998</v>
      </c>
      <c r="F12" s="1278">
        <f>SUM('[20]PT - YW Disp - Com Reg'!G10)</f>
        <v>83.24</v>
      </c>
      <c r="G12" s="1278">
        <f>SUM('[20]PT - YW Disp - Com Reg'!H10)</f>
        <v>169.35999999999999</v>
      </c>
      <c r="H12" s="1278">
        <f>SUM('[20]PT - YW Disp - Com Reg'!I10)</f>
        <v>313.02</v>
      </c>
      <c r="I12" s="1278">
        <f>SUM('[20]PT - YW Disp - Com Reg'!J10)</f>
        <v>247.93999999999997</v>
      </c>
      <c r="J12" s="1278">
        <f>SUM('[20]PT - YW Disp - Com Reg'!K10)</f>
        <v>161.6</v>
      </c>
      <c r="K12" s="1278">
        <f>SUM('[20]PT - YW Disp - Com Reg'!L10)</f>
        <v>114.16000000000001</v>
      </c>
      <c r="L12" s="1278">
        <f>SUM('[20]PT - YW Disp - Com Reg'!M10)</f>
        <v>108.48000000000002</v>
      </c>
      <c r="M12" s="1278">
        <f>SUM('[20]PT - YW Disp - Com Reg'!N10)</f>
        <v>143.38999999999996</v>
      </c>
      <c r="N12" s="424"/>
      <c r="O12" s="399">
        <f>SUM(B12:M12)</f>
        <v>1913.51</v>
      </c>
      <c r="P12" s="1073"/>
    </row>
    <row r="13" spans="1:30">
      <c r="A13" s="1072" t="s">
        <v>459</v>
      </c>
      <c r="B13" s="1044">
        <f>34+5.54/2</f>
        <v>36.770000000000003</v>
      </c>
      <c r="C13" s="1044">
        <f>+B13</f>
        <v>36.770000000000003</v>
      </c>
      <c r="D13" s="1044">
        <f>+C13</f>
        <v>36.770000000000003</v>
      </c>
      <c r="E13" s="1044">
        <f>+D13</f>
        <v>36.770000000000003</v>
      </c>
      <c r="F13" s="1044">
        <f>+E13</f>
        <v>36.770000000000003</v>
      </c>
      <c r="G13" s="1044">
        <f>+F13</f>
        <v>36.770000000000003</v>
      </c>
      <c r="H13" s="1044">
        <f t="shared" ref="H13:M13" si="2">34+5.54</f>
        <v>39.54</v>
      </c>
      <c r="I13" s="1044">
        <f t="shared" si="2"/>
        <v>39.54</v>
      </c>
      <c r="J13" s="1044">
        <f t="shared" si="2"/>
        <v>39.54</v>
      </c>
      <c r="K13" s="1044">
        <f t="shared" si="2"/>
        <v>39.54</v>
      </c>
      <c r="L13" s="1044">
        <f t="shared" si="2"/>
        <v>39.54</v>
      </c>
      <c r="M13" s="1044">
        <f t="shared" si="2"/>
        <v>39.54</v>
      </c>
      <c r="N13" s="424"/>
      <c r="O13" s="1044">
        <f>+O14/O12</f>
        <v>38.345844547454675</v>
      </c>
      <c r="P13" s="1073"/>
    </row>
    <row r="14" spans="1:30">
      <c r="A14" s="1072" t="s">
        <v>460</v>
      </c>
      <c r="B14" s="1330">
        <f>+B12*B13</f>
        <v>5236.7834000000003</v>
      </c>
      <c r="C14" s="1330">
        <f t="shared" ref="C14:M14" si="3">+C12*C13</f>
        <v>4249.8766000000005</v>
      </c>
      <c r="D14" s="1330">
        <f t="shared" si="3"/>
        <v>7095.5069000000012</v>
      </c>
      <c r="E14" s="1330">
        <f t="shared" si="3"/>
        <v>4462.0394999999999</v>
      </c>
      <c r="F14" s="1330">
        <f t="shared" si="3"/>
        <v>3060.7348000000002</v>
      </c>
      <c r="G14" s="1330">
        <f t="shared" si="3"/>
        <v>6227.3671999999997</v>
      </c>
      <c r="H14" s="1330">
        <f t="shared" si="3"/>
        <v>12376.810799999999</v>
      </c>
      <c r="I14" s="1330">
        <f t="shared" si="3"/>
        <v>9803.5475999999981</v>
      </c>
      <c r="J14" s="1330">
        <f t="shared" si="3"/>
        <v>6389.6639999999998</v>
      </c>
      <c r="K14" s="1330">
        <f t="shared" si="3"/>
        <v>4513.8864000000003</v>
      </c>
      <c r="L14" s="1330">
        <f t="shared" si="3"/>
        <v>4289.2992000000004</v>
      </c>
      <c r="M14" s="1330">
        <f t="shared" si="3"/>
        <v>5669.6405999999979</v>
      </c>
      <c r="N14" s="424"/>
      <c r="O14" s="399">
        <f>SUM(B14:M14)</f>
        <v>73375.156999999992</v>
      </c>
      <c r="P14" s="1073"/>
    </row>
    <row r="15" spans="1:30">
      <c r="A15" s="1072"/>
      <c r="B15" s="1070"/>
      <c r="C15" s="1070"/>
      <c r="D15" s="1070"/>
      <c r="E15" s="1070"/>
      <c r="F15" s="1070"/>
      <c r="G15" s="1070"/>
      <c r="H15" s="1070"/>
      <c r="I15" s="1070"/>
      <c r="J15" s="1070"/>
      <c r="K15" s="1070"/>
      <c r="L15" s="1070"/>
      <c r="M15" s="1070"/>
      <c r="N15" s="1070"/>
      <c r="O15" s="1071"/>
      <c r="P15" s="1073"/>
    </row>
    <row r="16" spans="1:30">
      <c r="A16" s="360" t="s">
        <v>1564</v>
      </c>
    </row>
    <row r="17" spans="1:30">
      <c r="A17" s="361" t="s">
        <v>49</v>
      </c>
      <c r="B17" s="1278">
        <f>SUM('[20]PT - YW Disp - Resi Reg'!C9)</f>
        <v>859.42000000000007</v>
      </c>
      <c r="C17" s="1278">
        <f>SUM('[20]PT - YW Disp - Resi Reg'!D9)</f>
        <v>604.19000000000005</v>
      </c>
      <c r="D17" s="1278">
        <f>SUM('[20]PT - YW Disp - Resi Reg'!E9)</f>
        <v>595.79999999999995</v>
      </c>
      <c r="E17" s="1278">
        <f>SUM('[20]PT - YW Disp - Resi Reg'!F9)</f>
        <v>499.4</v>
      </c>
      <c r="F17" s="1278">
        <f>SUM('[20]PT - YW Disp - Resi Reg'!G9)</f>
        <v>532.79</v>
      </c>
      <c r="G17" s="1278">
        <f>SUM('[20]PT - YW Disp - Resi Reg'!H9)</f>
        <v>658.32999999999993</v>
      </c>
      <c r="H17" s="1278">
        <f>SUM('[20]PT - YW Disp - Resi Reg'!I9)</f>
        <v>976.85999999999979</v>
      </c>
      <c r="I17" s="1278">
        <f>SUM('[20]PT - YW Disp - Resi Reg'!J9)</f>
        <v>440.7</v>
      </c>
      <c r="J17" s="1278">
        <f>SUM('[20]PT - YW Disp - Resi Reg'!K9)</f>
        <v>432.02000000000004</v>
      </c>
      <c r="K17" s="1278">
        <f>SUM('[20]PT - YW Disp - Resi Reg'!L9)</f>
        <v>298.38000000000005</v>
      </c>
      <c r="L17" s="1278">
        <f>SUM('[20]PT - YW Disp - Resi Reg'!M9)</f>
        <v>531.53</v>
      </c>
      <c r="M17" s="1278">
        <f>SUM('[20]PT - YW Disp - Resi Reg'!N9)</f>
        <v>742.08999999999992</v>
      </c>
      <c r="N17" s="424"/>
      <c r="O17" s="399">
        <f>SUM(B17:N17)</f>
        <v>7171.51</v>
      </c>
      <c r="P17" s="1069"/>
      <c r="R17" s="1170"/>
      <c r="S17" s="1170"/>
      <c r="T17" s="1170"/>
      <c r="U17" s="1170"/>
      <c r="V17" s="1170"/>
      <c r="W17" s="1170"/>
      <c r="X17" s="1170"/>
      <c r="Y17" s="1170"/>
      <c r="Z17" s="1170"/>
      <c r="AA17" s="1170"/>
      <c r="AB17" s="1170"/>
      <c r="AC17" s="1170"/>
      <c r="AD17" s="1170"/>
    </row>
    <row r="18" spans="1:30">
      <c r="A18" s="361" t="s">
        <v>459</v>
      </c>
      <c r="B18" s="1044">
        <f>+B13</f>
        <v>36.770000000000003</v>
      </c>
      <c r="C18" s="1044">
        <f t="shared" ref="C18:M18" si="4">+C13</f>
        <v>36.770000000000003</v>
      </c>
      <c r="D18" s="1044">
        <f t="shared" si="4"/>
        <v>36.770000000000003</v>
      </c>
      <c r="E18" s="1044">
        <f t="shared" si="4"/>
        <v>36.770000000000003</v>
      </c>
      <c r="F18" s="1044">
        <f t="shared" si="4"/>
        <v>36.770000000000003</v>
      </c>
      <c r="G18" s="1044">
        <f t="shared" si="4"/>
        <v>36.770000000000003</v>
      </c>
      <c r="H18" s="1044">
        <f t="shared" si="4"/>
        <v>39.54</v>
      </c>
      <c r="I18" s="1044">
        <f t="shared" si="4"/>
        <v>39.54</v>
      </c>
      <c r="J18" s="1044">
        <f t="shared" si="4"/>
        <v>39.54</v>
      </c>
      <c r="K18" s="1044">
        <f t="shared" si="4"/>
        <v>39.54</v>
      </c>
      <c r="L18" s="1044">
        <f t="shared" si="4"/>
        <v>39.54</v>
      </c>
      <c r="M18" s="1044">
        <f t="shared" si="4"/>
        <v>39.54</v>
      </c>
      <c r="N18" s="424"/>
      <c r="O18" s="1044">
        <f>+O19/O17</f>
        <v>38.09158730867</v>
      </c>
      <c r="P18" s="1044"/>
      <c r="R18" s="1170"/>
      <c r="S18" s="1170"/>
      <c r="T18" s="1170"/>
      <c r="U18" s="1170"/>
      <c r="V18" s="1170"/>
      <c r="W18" s="1170"/>
      <c r="X18" s="1170"/>
      <c r="Y18" s="1170"/>
      <c r="Z18" s="1170"/>
      <c r="AA18" s="1170"/>
      <c r="AB18" s="1170"/>
      <c r="AC18" s="1170"/>
      <c r="AD18" s="1170"/>
    </row>
    <row r="19" spans="1:30">
      <c r="A19" s="361" t="s">
        <v>460</v>
      </c>
      <c r="B19" s="1330">
        <f>+B17*B18</f>
        <v>31600.873400000004</v>
      </c>
      <c r="C19" s="1330">
        <f t="shared" ref="C19:M19" si="5">+C17*C18</f>
        <v>22216.066300000002</v>
      </c>
      <c r="D19" s="1330">
        <f t="shared" si="5"/>
        <v>21907.565999999999</v>
      </c>
      <c r="E19" s="1330">
        <f t="shared" si="5"/>
        <v>18362.938000000002</v>
      </c>
      <c r="F19" s="1330">
        <f t="shared" si="5"/>
        <v>19590.688300000002</v>
      </c>
      <c r="G19" s="1330">
        <f t="shared" si="5"/>
        <v>24206.794099999999</v>
      </c>
      <c r="H19" s="1330">
        <f t="shared" si="5"/>
        <v>38625.044399999992</v>
      </c>
      <c r="I19" s="1330">
        <f t="shared" si="5"/>
        <v>17425.277999999998</v>
      </c>
      <c r="J19" s="1330">
        <f t="shared" si="5"/>
        <v>17082.070800000001</v>
      </c>
      <c r="K19" s="1330">
        <f t="shared" si="5"/>
        <v>11797.945200000002</v>
      </c>
      <c r="L19" s="1330">
        <f t="shared" si="5"/>
        <v>21016.696199999998</v>
      </c>
      <c r="M19" s="1330">
        <f t="shared" si="5"/>
        <v>29342.238599999997</v>
      </c>
      <c r="N19" s="424"/>
      <c r="O19" s="399">
        <f>SUM(B19:N19)</f>
        <v>273174.19929999998</v>
      </c>
      <c r="P19" s="1069"/>
      <c r="R19" s="1170"/>
      <c r="S19" s="1170"/>
      <c r="T19" s="1170"/>
      <c r="U19" s="1170"/>
      <c r="V19" s="1170"/>
      <c r="W19" s="1170"/>
      <c r="X19" s="1170"/>
      <c r="Y19" s="1170"/>
      <c r="Z19" s="1170"/>
      <c r="AA19" s="1170"/>
      <c r="AB19" s="1170"/>
      <c r="AC19" s="1170"/>
      <c r="AD19" s="1170"/>
    </row>
    <row r="20" spans="1:30">
      <c r="A20" s="1072"/>
      <c r="B20" s="1070"/>
      <c r="C20" s="1070"/>
      <c r="D20" s="1070"/>
      <c r="E20" s="1070"/>
      <c r="F20" s="1070"/>
      <c r="G20" s="1070"/>
      <c r="H20" s="1070"/>
      <c r="I20" s="1070"/>
      <c r="J20" s="1070"/>
      <c r="K20" s="1070"/>
      <c r="L20" s="1070"/>
      <c r="M20" s="1070"/>
      <c r="N20" s="1070"/>
      <c r="O20" s="1071"/>
      <c r="P20" s="1073"/>
    </row>
    <row r="21" spans="1:30">
      <c r="A21" s="360" t="s">
        <v>1565</v>
      </c>
      <c r="B21" s="424"/>
      <c r="C21" s="424"/>
      <c r="D21" s="424"/>
      <c r="E21" s="424"/>
      <c r="F21" s="424"/>
      <c r="G21" s="424"/>
      <c r="H21" s="424"/>
      <c r="I21" s="424"/>
      <c r="J21" s="424"/>
      <c r="K21" s="424"/>
      <c r="L21" s="424"/>
      <c r="M21" s="424"/>
      <c r="N21" s="424"/>
      <c r="O21" s="399"/>
      <c r="P21" s="1069"/>
      <c r="R21" s="1170"/>
      <c r="S21" s="1170"/>
      <c r="T21" s="1170"/>
      <c r="U21" s="1170"/>
      <c r="V21" s="1170"/>
      <c r="W21" s="1170"/>
      <c r="X21" s="1170"/>
      <c r="Y21" s="1170"/>
      <c r="Z21" s="1170"/>
      <c r="AA21" s="1170"/>
      <c r="AB21" s="1170"/>
      <c r="AC21" s="1170"/>
      <c r="AD21" s="1170"/>
    </row>
    <row r="22" spans="1:30">
      <c r="A22" s="361" t="s">
        <v>49</v>
      </c>
      <c r="B22" s="399">
        <f>+B7-B17</f>
        <v>4736.7999999999993</v>
      </c>
      <c r="C22" s="399">
        <f t="shared" ref="C22:M24" si="6">+C7-C17</f>
        <v>3927.450000000003</v>
      </c>
      <c r="D22" s="399">
        <f t="shared" si="6"/>
        <v>3533.6299999999983</v>
      </c>
      <c r="E22" s="399">
        <f t="shared" si="6"/>
        <v>2464.2300000000005</v>
      </c>
      <c r="F22" s="399">
        <f t="shared" si="6"/>
        <v>2746.58</v>
      </c>
      <c r="G22" s="399">
        <f t="shared" si="6"/>
        <v>3245.3499999999985</v>
      </c>
      <c r="H22" s="399">
        <f t="shared" si="6"/>
        <v>5173.8899999999967</v>
      </c>
      <c r="I22" s="399">
        <f t="shared" si="6"/>
        <v>2008.9299999999992</v>
      </c>
      <c r="J22" s="399">
        <f t="shared" si="6"/>
        <v>2090.8999999999992</v>
      </c>
      <c r="K22" s="399">
        <f t="shared" si="6"/>
        <v>1273.7100000000005</v>
      </c>
      <c r="L22" s="399">
        <f t="shared" si="6"/>
        <v>2527.6200000000008</v>
      </c>
      <c r="M22" s="399">
        <f t="shared" si="6"/>
        <v>3731.7300000000014</v>
      </c>
      <c r="N22" s="399"/>
      <c r="O22" s="399">
        <f>SUM(B22:M22)</f>
        <v>37460.82</v>
      </c>
      <c r="P22" s="1069"/>
    </row>
    <row r="23" spans="1:30">
      <c r="A23" s="361" t="s">
        <v>459</v>
      </c>
      <c r="B23" s="1044">
        <f>+B24/B22</f>
        <v>52.379084318527255</v>
      </c>
      <c r="C23" s="1044">
        <f t="shared" ref="C23:M23" si="7">+C24/C22</f>
        <v>52.428546181364489</v>
      </c>
      <c r="D23" s="1044">
        <f t="shared" si="7"/>
        <v>45.284609311105051</v>
      </c>
      <c r="E23" s="1044">
        <f t="shared" si="7"/>
        <v>37.176303348307613</v>
      </c>
      <c r="F23" s="1044">
        <f t="shared" si="7"/>
        <v>38.945500112867649</v>
      </c>
      <c r="G23" s="1044">
        <f t="shared" si="7"/>
        <v>38.684988029026158</v>
      </c>
      <c r="H23" s="1044">
        <f t="shared" si="7"/>
        <v>48.337397122861169</v>
      </c>
      <c r="I23" s="1044">
        <f t="shared" si="7"/>
        <v>42.304023534916624</v>
      </c>
      <c r="J23" s="1044">
        <f t="shared" si="7"/>
        <v>40.519115787459967</v>
      </c>
      <c r="K23" s="1044">
        <f t="shared" si="7"/>
        <v>35.64614771023232</v>
      </c>
      <c r="L23" s="1044">
        <f t="shared" si="7"/>
        <v>36.402823130059062</v>
      </c>
      <c r="M23" s="1044">
        <f t="shared" si="7"/>
        <v>38.281218469717814</v>
      </c>
      <c r="N23" s="1044"/>
      <c r="O23" s="1044">
        <f>+O24/O22</f>
        <v>43.731908716894083</v>
      </c>
      <c r="P23" s="1069"/>
    </row>
    <row r="24" spans="1:30">
      <c r="A24" s="361" t="s">
        <v>460</v>
      </c>
      <c r="B24" s="399">
        <f>+B9-B19</f>
        <v>248109.24659999987</v>
      </c>
      <c r="C24" s="399">
        <f t="shared" si="6"/>
        <v>205910.49370000011</v>
      </c>
      <c r="D24" s="399">
        <f t="shared" si="6"/>
        <v>160019.05400000006</v>
      </c>
      <c r="E24" s="399">
        <f t="shared" si="6"/>
        <v>91610.962000000087</v>
      </c>
      <c r="F24" s="399">
        <f t="shared" si="6"/>
        <v>106966.93170000002</v>
      </c>
      <c r="G24" s="399">
        <f t="shared" si="6"/>
        <v>125546.3259</v>
      </c>
      <c r="H24" s="399">
        <f t="shared" si="6"/>
        <v>250092.3756</v>
      </c>
      <c r="I24" s="399">
        <f t="shared" si="6"/>
        <v>84985.822000000015</v>
      </c>
      <c r="J24" s="399">
        <f t="shared" si="6"/>
        <v>84721.419200000018</v>
      </c>
      <c r="K24" s="399">
        <f t="shared" si="6"/>
        <v>45402.854800000023</v>
      </c>
      <c r="L24" s="399">
        <f t="shared" si="6"/>
        <v>92012.503799999919</v>
      </c>
      <c r="M24" s="399">
        <f t="shared" si="6"/>
        <v>142855.17140000011</v>
      </c>
      <c r="N24" s="399"/>
      <c r="O24" s="399">
        <f>SUM(B24:M24)</f>
        <v>1638233.1607000001</v>
      </c>
      <c r="P24" s="1069"/>
    </row>
    <row r="25" spans="1:30">
      <c r="B25" s="424"/>
      <c r="C25" s="424"/>
      <c r="D25" s="424"/>
      <c r="E25" s="424"/>
      <c r="F25" s="424"/>
      <c r="G25" s="424"/>
      <c r="H25" s="424"/>
      <c r="I25" s="424"/>
      <c r="J25" s="424"/>
      <c r="K25" s="424"/>
      <c r="L25" s="424"/>
      <c r="M25" s="424"/>
      <c r="N25" s="424"/>
      <c r="O25" s="399"/>
      <c r="P25" s="1069"/>
    </row>
    <row r="28" spans="1:30">
      <c r="A28" s="1170" t="s">
        <v>1561</v>
      </c>
    </row>
  </sheetData>
  <customSheetViews>
    <customSheetView guid="{3B54C4DD-9207-4EC3-9D58-6DDE29113D77}" fitToPage="1" showRuler="0">
      <selection activeCell="M8" sqref="M8"/>
      <pageMargins left="0.75" right="0.75" top="1" bottom="1" header="0.5" footer="0.5"/>
      <pageSetup scale="77" orientation="landscape" r:id="rId1"/>
      <headerFooter alignWithMargins="0"/>
    </customSheetView>
    <customSheetView guid="{F69ABAD1-EF76-489D-B027-1BD1F4CFE8A6}" fitToPage="1">
      <selection activeCell="M12" sqref="B12:M13"/>
      <pageMargins left="0.75" right="0.75" top="1" bottom="1" header="0.5" footer="0.5"/>
      <pageSetup scale="77" orientation="landscape" r:id="rId2"/>
      <headerFooter alignWithMargins="0"/>
    </customSheetView>
  </customSheetViews>
  <phoneticPr fontId="6" type="noConversion"/>
  <pageMargins left="0.75" right="0.75" top="1" bottom="1" header="0.5" footer="0.5"/>
  <pageSetup scale="74" orientation="landscape" horizontalDpi="4294967295" verticalDpi="4294967295" r:id="rId3"/>
  <headerFooter alignWithMargins="0"/>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R56"/>
  <sheetViews>
    <sheetView showGridLines="0" topLeftCell="C1" zoomScale="75" zoomScaleNormal="75" workbookViewId="0">
      <selection activeCell="E31" sqref="E31"/>
    </sheetView>
  </sheetViews>
  <sheetFormatPr defaultColWidth="16.33203125" defaultRowHeight="15"/>
  <cols>
    <col min="1" max="1" width="13.33203125" style="82" bestFit="1" customWidth="1"/>
    <col min="2" max="2" width="16.33203125" style="82"/>
    <col min="3" max="3" width="27" style="82" customWidth="1"/>
    <col min="4" max="4" width="16.33203125" style="82"/>
    <col min="5" max="5" width="27.6640625" style="82" customWidth="1"/>
    <col min="6" max="6" width="33.1640625" style="82" customWidth="1"/>
    <col min="7" max="8" width="22" style="82" bestFit="1" customWidth="1"/>
    <col min="9" max="9" width="16.33203125" style="82" customWidth="1"/>
    <col min="10" max="10" width="22" style="82" bestFit="1" customWidth="1"/>
    <col min="11" max="25" width="16.33203125" style="82"/>
    <col min="26" max="26" width="16.33203125" style="677"/>
    <col min="27" max="16384" width="16.33203125" style="82"/>
  </cols>
  <sheetData>
    <row r="1" spans="1:44" ht="18">
      <c r="A1" s="83"/>
      <c r="B1" s="80" t="str">
        <f>Summary!C3</f>
        <v>Eastside</v>
      </c>
      <c r="C1" s="83"/>
      <c r="D1" s="83"/>
      <c r="E1" s="83"/>
      <c r="F1" s="108" t="s">
        <v>266</v>
      </c>
      <c r="G1" s="83"/>
      <c r="H1" s="83"/>
      <c r="I1" s="83"/>
      <c r="J1" s="83"/>
      <c r="K1" s="83"/>
      <c r="L1" s="83"/>
      <c r="M1" s="79"/>
      <c r="N1" s="79"/>
      <c r="O1" s="79"/>
      <c r="P1" s="79"/>
      <c r="Q1" s="79"/>
      <c r="R1" s="79"/>
      <c r="S1" s="79"/>
      <c r="T1" s="79"/>
      <c r="U1" s="79"/>
      <c r="V1" s="79"/>
      <c r="W1" s="79"/>
      <c r="X1" s="79"/>
      <c r="Y1" s="79"/>
      <c r="Z1" s="676"/>
      <c r="AA1" s="79"/>
      <c r="AB1" s="79"/>
      <c r="AC1" s="79"/>
      <c r="AD1" s="79"/>
      <c r="AE1" s="79"/>
      <c r="AF1" s="79"/>
      <c r="AG1" s="79"/>
      <c r="AH1" s="79"/>
      <c r="AI1" s="79"/>
      <c r="AJ1" s="79"/>
      <c r="AK1" s="79"/>
      <c r="AL1" s="79"/>
      <c r="AM1" s="79"/>
      <c r="AN1" s="79"/>
      <c r="AO1" s="79"/>
      <c r="AP1" s="79"/>
      <c r="AQ1" s="79"/>
      <c r="AR1" s="79"/>
    </row>
    <row r="2" spans="1:44">
      <c r="A2" s="83"/>
      <c r="B2" s="83" t="s">
        <v>200</v>
      </c>
      <c r="C2" s="83"/>
      <c r="D2" s="83"/>
      <c r="E2" s="83"/>
      <c r="F2" s="83"/>
      <c r="G2" s="83"/>
      <c r="H2" s="83"/>
      <c r="I2" s="83"/>
      <c r="J2" s="83"/>
      <c r="K2" s="83"/>
      <c r="L2" s="83"/>
      <c r="M2" s="79"/>
      <c r="N2" s="79"/>
      <c r="O2" s="79"/>
      <c r="P2" s="79"/>
      <c r="Q2" s="79"/>
      <c r="R2" s="79"/>
      <c r="S2" s="79"/>
      <c r="T2" s="79"/>
      <c r="U2" s="79"/>
      <c r="V2" s="79"/>
      <c r="W2" s="79"/>
      <c r="X2" s="79"/>
      <c r="Y2" s="79"/>
      <c r="Z2" s="680" t="s">
        <v>629</v>
      </c>
      <c r="AA2" s="679" t="s">
        <v>627</v>
      </c>
      <c r="AB2" s="679"/>
      <c r="AC2" s="679"/>
      <c r="AD2" s="679"/>
      <c r="AE2" s="84" t="s">
        <v>201</v>
      </c>
      <c r="AF2" s="84" t="s">
        <v>202</v>
      </c>
      <c r="AG2" s="79"/>
      <c r="AH2" s="79"/>
      <c r="AI2" s="79" t="s">
        <v>203</v>
      </c>
      <c r="AJ2" s="79"/>
      <c r="AK2" s="79"/>
      <c r="AL2" s="79"/>
      <c r="AM2" s="79"/>
      <c r="AN2" s="79"/>
      <c r="AO2" s="79"/>
      <c r="AP2" s="79"/>
      <c r="AQ2" s="79"/>
      <c r="AR2" s="79"/>
    </row>
    <row r="3" spans="1:44">
      <c r="A3" s="83"/>
      <c r="B3" s="83" t="str">
        <f>"For the test period ended "&amp;TEXT(Summary!C5,"mmmm dd, yyyy")</f>
        <v>For the test period ended April 30, 2014</v>
      </c>
      <c r="C3" s="83"/>
      <c r="D3" s="83"/>
      <c r="E3" s="83"/>
      <c r="F3" s="83"/>
      <c r="G3" s="83"/>
      <c r="H3" s="83"/>
      <c r="I3" s="83"/>
      <c r="J3" s="83"/>
      <c r="K3" s="83"/>
      <c r="L3" s="83"/>
      <c r="M3" s="79"/>
      <c r="N3" s="79"/>
      <c r="O3" s="79"/>
      <c r="P3" s="79"/>
      <c r="Q3" s="79"/>
      <c r="R3" s="79"/>
      <c r="S3" s="79"/>
      <c r="T3" s="79"/>
      <c r="U3" s="79"/>
      <c r="V3" s="79"/>
      <c r="W3" s="79"/>
      <c r="X3" s="79"/>
      <c r="Y3" s="79"/>
      <c r="Z3" s="680" t="s">
        <v>630</v>
      </c>
      <c r="AA3" s="679" t="s">
        <v>628</v>
      </c>
      <c r="AB3" s="679"/>
      <c r="AC3" s="679"/>
      <c r="AD3" s="679"/>
      <c r="AE3" s="84"/>
      <c r="AF3" s="84"/>
      <c r="AG3" s="79"/>
      <c r="AH3" s="79"/>
      <c r="AI3" s="79"/>
      <c r="AJ3" s="79"/>
      <c r="AK3" s="79"/>
      <c r="AL3" s="79"/>
      <c r="AM3" s="79"/>
      <c r="AN3" s="79"/>
      <c r="AO3" s="79"/>
      <c r="AP3" s="79"/>
      <c r="AQ3" s="79"/>
      <c r="AR3" s="79"/>
    </row>
    <row r="4" spans="1:44">
      <c r="A4" s="83"/>
      <c r="B4" s="83"/>
      <c r="C4" s="83"/>
      <c r="D4" s="83"/>
      <c r="E4" s="83"/>
      <c r="F4" s="83"/>
      <c r="G4" s="83"/>
      <c r="H4" s="83"/>
      <c r="I4" s="83"/>
      <c r="J4" s="83" t="s">
        <v>267</v>
      </c>
      <c r="K4" s="83"/>
      <c r="L4" s="83"/>
      <c r="M4" s="79"/>
      <c r="N4" s="79" t="s">
        <v>204</v>
      </c>
      <c r="O4" s="79"/>
      <c r="P4" s="79"/>
      <c r="Q4" s="79"/>
      <c r="R4" s="79"/>
      <c r="S4" s="79"/>
      <c r="T4" s="79"/>
      <c r="U4" s="84" t="s">
        <v>205</v>
      </c>
      <c r="V4" s="84" t="s">
        <v>206</v>
      </c>
      <c r="W4" s="84" t="s">
        <v>207</v>
      </c>
      <c r="X4" s="84" t="s">
        <v>208</v>
      </c>
      <c r="Y4" s="84" t="s">
        <v>209</v>
      </c>
      <c r="Z4" s="676"/>
      <c r="AA4" s="84" t="s">
        <v>210</v>
      </c>
      <c r="AB4" s="79" t="s">
        <v>211</v>
      </c>
      <c r="AC4" s="84" t="s">
        <v>212</v>
      </c>
      <c r="AD4" s="84" t="s">
        <v>213</v>
      </c>
      <c r="AE4" s="84" t="s">
        <v>214</v>
      </c>
      <c r="AF4" s="79"/>
      <c r="AG4" s="79"/>
      <c r="AH4" s="79"/>
      <c r="AI4" s="79" t="s">
        <v>215</v>
      </c>
      <c r="AJ4" s="79"/>
      <c r="AK4" s="79"/>
      <c r="AL4" s="79"/>
      <c r="AM4" s="79"/>
      <c r="AN4" s="79"/>
      <c r="AO4" s="79"/>
      <c r="AP4" s="79"/>
      <c r="AQ4" s="79"/>
      <c r="AR4" s="79"/>
    </row>
    <row r="5" spans="1:44">
      <c r="A5" s="109"/>
      <c r="B5" s="83" t="s">
        <v>216</v>
      </c>
      <c r="C5" s="83" t="s">
        <v>217</v>
      </c>
      <c r="D5" s="83"/>
      <c r="E5" s="110">
        <f>E7+E6</f>
        <v>5959681.6434587883</v>
      </c>
      <c r="F5" s="83" t="s">
        <v>218</v>
      </c>
      <c r="G5" s="83"/>
      <c r="H5" s="83"/>
      <c r="I5" s="83"/>
      <c r="J5" s="83" t="s">
        <v>268</v>
      </c>
      <c r="K5" s="83"/>
      <c r="L5" s="121">
        <v>0.56200000000000006</v>
      </c>
      <c r="M5" s="79"/>
      <c r="N5" s="79" t="s">
        <v>219</v>
      </c>
      <c r="O5" s="79"/>
      <c r="P5" s="79"/>
      <c r="Q5" s="79" t="s">
        <v>220</v>
      </c>
      <c r="R5" s="79"/>
      <c r="S5" s="79"/>
      <c r="T5" s="79"/>
      <c r="U5" s="87">
        <f>$E$8*1.25</f>
        <v>6839727.2347108098</v>
      </c>
      <c r="V5" s="88">
        <f>100*(+U5/$E$9)</f>
        <v>331.93513499650163</v>
      </c>
      <c r="W5" s="89">
        <f>EXP(5.7226-(0.68367*LN(+V5)))</f>
        <v>5.7773029833744758</v>
      </c>
      <c r="X5" s="89">
        <f>(+W5*V5)/100</f>
        <v>19.176898457020982</v>
      </c>
      <c r="Y5" s="88">
        <f>100*((((X5/100)-((X5/100)-0.03574)*$E$21)-0.03574-0.00619)/0.344)</f>
        <v>29.58780736121663</v>
      </c>
      <c r="Z5" s="676">
        <f>+$E$20</f>
        <v>0.25</v>
      </c>
      <c r="AA5" s="88">
        <f>Y5+Z5</f>
        <v>29.83780736121663</v>
      </c>
      <c r="AB5" s="88">
        <f>100*($E$17*$E$19+($E$18*(AA5/100))/(1-$E$21))</f>
        <v>25.250488864549087</v>
      </c>
      <c r="AC5" s="89">
        <f>AB5/V5</f>
        <v>7.6070551750465371E-2</v>
      </c>
      <c r="AD5" s="87">
        <f>$E$8/(1-AC5)</f>
        <v>5922293.9566818858</v>
      </c>
      <c r="AE5" s="79" t="str">
        <f>IF(AD5=$U$5,"yes","not yet")</f>
        <v>not yet</v>
      </c>
      <c r="AF5" s="88">
        <f>100*(1-AC5)</f>
        <v>92.39294482495346</v>
      </c>
      <c r="AG5" s="79"/>
      <c r="AH5" s="79"/>
      <c r="AI5" s="79">
        <v>0</v>
      </c>
      <c r="AJ5" s="79">
        <v>1</v>
      </c>
      <c r="AK5" s="79"/>
      <c r="AL5" s="79"/>
      <c r="AM5" s="79"/>
      <c r="AN5" s="79"/>
      <c r="AO5" s="79"/>
      <c r="AP5" s="79"/>
      <c r="AQ5" s="79"/>
      <c r="AR5" s="79"/>
    </row>
    <row r="6" spans="1:44">
      <c r="A6" s="83" t="s">
        <v>11</v>
      </c>
      <c r="B6" s="83" t="s">
        <v>216</v>
      </c>
      <c r="C6" s="83" t="s">
        <v>221</v>
      </c>
      <c r="D6" s="83"/>
      <c r="E6" s="110">
        <f>SUM('LG Garbage:LG MF Recycle'!E6)</f>
        <v>448875.42345878825</v>
      </c>
      <c r="F6" s="111" t="s">
        <v>218</v>
      </c>
      <c r="G6" s="119">
        <f>+E6/E7</f>
        <v>8.1453675839610315E-2</v>
      </c>
      <c r="H6" s="1150">
        <f>+E6/12</f>
        <v>37406.285288232357</v>
      </c>
      <c r="I6" s="83"/>
      <c r="J6" s="83" t="s">
        <v>269</v>
      </c>
      <c r="K6" s="83"/>
      <c r="L6" s="121">
        <v>9.4E-2</v>
      </c>
      <c r="M6" s="79"/>
      <c r="N6" s="79" t="s">
        <v>222</v>
      </c>
      <c r="O6" s="79"/>
      <c r="P6" s="79"/>
      <c r="Q6" s="79" t="s">
        <v>223</v>
      </c>
      <c r="R6" s="79"/>
      <c r="S6" s="79"/>
      <c r="T6" s="79"/>
      <c r="U6" s="87">
        <f>$E$8*1.25</f>
        <v>6839727.2347108098</v>
      </c>
      <c r="V6" s="88">
        <f>100*(+U6/$E$9)</f>
        <v>331.93513499650163</v>
      </c>
      <c r="W6" s="89">
        <f>EXP(5.70827-(0.68367*LN(+V6)))</f>
        <v>5.6951045897209092</v>
      </c>
      <c r="X6" s="89">
        <f>(+W6*V6)/100</f>
        <v>18.90405310808206</v>
      </c>
      <c r="Y6" s="88">
        <f>100*((((X6/100)-((X6/100)-0.03574)*$E$21)-0.03574-0.00619)/0.344)</f>
        <v>29.038944043002289</v>
      </c>
      <c r="Z6" s="676">
        <f>+$E$20</f>
        <v>0.25</v>
      </c>
      <c r="AA6" s="88">
        <f>Y6+Z6</f>
        <v>29.288944043002289</v>
      </c>
      <c r="AB6" s="88">
        <f>100*($E$17*$E$19+($E$18*(AA6/100))/(1-$E$21))</f>
        <v>24.830389680479009</v>
      </c>
      <c r="AC6" s="89">
        <f>AB6/V6</f>
        <v>7.4804945492560476E-2</v>
      </c>
      <c r="AD6" s="87">
        <f>$E$8/(1-AC6)</f>
        <v>5914192.6463082377</v>
      </c>
      <c r="AE6" s="79" t="str">
        <f>IF(AD6=$U$6,"yes","not yet")</f>
        <v>not yet</v>
      </c>
      <c r="AF6" s="88">
        <f>100*(1-AC6)</f>
        <v>92.519505450743949</v>
      </c>
      <c r="AG6" s="79"/>
      <c r="AH6" s="79"/>
      <c r="AI6" s="79">
        <v>50</v>
      </c>
      <c r="AJ6" s="79">
        <v>2</v>
      </c>
      <c r="AK6" s="79"/>
      <c r="AL6" s="79"/>
      <c r="AM6" s="79"/>
      <c r="AN6" s="79"/>
      <c r="AO6" s="79"/>
      <c r="AP6" s="79"/>
      <c r="AQ6" s="79"/>
      <c r="AR6" s="79"/>
    </row>
    <row r="7" spans="1:44">
      <c r="A7" s="83"/>
      <c r="B7" s="112" t="s">
        <v>224</v>
      </c>
      <c r="C7" s="83" t="s">
        <v>13</v>
      </c>
      <c r="D7" s="112" t="s">
        <v>225</v>
      </c>
      <c r="E7" s="110">
        <f>SUM('LG Garbage:LG MF Recycle'!E7)</f>
        <v>5510806.2199999997</v>
      </c>
      <c r="F7" s="83" t="s">
        <v>226</v>
      </c>
      <c r="G7" s="83"/>
      <c r="H7" s="83"/>
      <c r="I7" s="83"/>
      <c r="J7" s="83" t="s">
        <v>270</v>
      </c>
      <c r="K7" s="83"/>
      <c r="L7" s="121">
        <v>0.34399999999999997</v>
      </c>
      <c r="M7" s="79"/>
      <c r="N7" s="79" t="s">
        <v>227</v>
      </c>
      <c r="O7" s="79"/>
      <c r="P7" s="79"/>
      <c r="Q7" s="79" t="s">
        <v>228</v>
      </c>
      <c r="R7" s="79"/>
      <c r="S7" s="79"/>
      <c r="T7" s="79"/>
      <c r="U7" s="87">
        <f>$E$8*1.25</f>
        <v>6839727.2347108098</v>
      </c>
      <c r="V7" s="88">
        <f>100*(+U7/$E$9)</f>
        <v>331.93513499650163</v>
      </c>
      <c r="W7" s="89">
        <f>EXP(5.6985-(0.68367*LN(V7)))</f>
        <v>5.6397343419764292</v>
      </c>
      <c r="X7" s="89">
        <f>(+W7*V7)/100</f>
        <v>18.720259801483522</v>
      </c>
      <c r="Y7" s="88">
        <f>100*((((X7/100)-((X7/100)-0.03574)*$E$21)-0.03574-0.00619)/0.344)</f>
        <v>28.669220298333137</v>
      </c>
      <c r="Z7" s="676">
        <f>+$E$20</f>
        <v>0.25</v>
      </c>
      <c r="AA7" s="88">
        <f>Y7+Z7</f>
        <v>28.919220298333137</v>
      </c>
      <c r="AB7" s="88">
        <f>100*($E$17*$E$19+($E$18*(AA7/100))/(1-$E$21))</f>
        <v>24.547403664994931</v>
      </c>
      <c r="AC7" s="89">
        <f>AB7/V7</f>
        <v>7.3952411410903043E-2</v>
      </c>
      <c r="AD7" s="87">
        <f>$E$8/(1-AC7)</f>
        <v>5908747.9468580205</v>
      </c>
      <c r="AE7" s="79" t="str">
        <f>IF(AD7=$U$7,"yes","not yet")</f>
        <v>not yet</v>
      </c>
      <c r="AF7" s="88">
        <f>100*(1-AC7)</f>
        <v>92.60475885890969</v>
      </c>
      <c r="AG7" s="79"/>
      <c r="AH7" s="79"/>
      <c r="AI7" s="79">
        <v>125</v>
      </c>
      <c r="AJ7" s="79">
        <v>3</v>
      </c>
      <c r="AK7" s="79"/>
      <c r="AL7" s="79"/>
      <c r="AM7" s="79"/>
      <c r="AN7" s="79"/>
      <c r="AO7" s="79"/>
      <c r="AP7" s="79"/>
      <c r="AQ7" s="79"/>
      <c r="AR7" s="79"/>
    </row>
    <row r="8" spans="1:44">
      <c r="A8" s="83"/>
      <c r="B8" s="112" t="s">
        <v>224</v>
      </c>
      <c r="C8" s="83" t="s">
        <v>53</v>
      </c>
      <c r="D8" s="112" t="s">
        <v>225</v>
      </c>
      <c r="E8" s="113">
        <f>SUM('LG Garbage:LG MF Recycle'!E8)</f>
        <v>5471781.787768648</v>
      </c>
      <c r="F8" s="83" t="s">
        <v>226</v>
      </c>
      <c r="G8" s="83"/>
      <c r="H8" s="83"/>
      <c r="I8" s="83"/>
      <c r="J8" s="83" t="s">
        <v>271</v>
      </c>
      <c r="K8" s="83"/>
      <c r="L8" s="121">
        <v>6.3799999999999996E-2</v>
      </c>
      <c r="M8" s="79"/>
      <c r="N8" s="79" t="s">
        <v>229</v>
      </c>
      <c r="O8" s="79"/>
      <c r="P8" s="79"/>
      <c r="Q8" s="79" t="s">
        <v>230</v>
      </c>
      <c r="R8" s="79"/>
      <c r="S8" s="79"/>
      <c r="T8" s="79"/>
      <c r="U8" s="87">
        <f>$E$8*1.25</f>
        <v>6839727.2347108098</v>
      </c>
      <c r="V8" s="88">
        <f>100*(+U8/$E$9)</f>
        <v>331.93513499650163</v>
      </c>
      <c r="W8" s="89">
        <f>EXP(5.6922-(0.68367*LN(V8)))</f>
        <v>5.6043157014865939</v>
      </c>
      <c r="X8" s="89">
        <f>(+W8*V8)/100</f>
        <v>18.602692889359663</v>
      </c>
      <c r="Y8" s="88">
        <f>100*((((X8/100)-((X8/100)-0.03574)*$E$21)-0.03574-0.00619)/0.344)</f>
        <v>28.432719416967693</v>
      </c>
      <c r="Z8" s="676">
        <f>+$E$20</f>
        <v>0.25</v>
      </c>
      <c r="AA8" s="88">
        <f>Y8+Z8</f>
        <v>28.682719416967693</v>
      </c>
      <c r="AB8" s="88">
        <f>100*($E$17*$E$19+($E$18*(AA8/100))/(1-$E$21))</f>
        <v>24.366386234978453</v>
      </c>
      <c r="AC8" s="89">
        <f>AB8/V8</f>
        <v>7.3407071641377331E-2</v>
      </c>
      <c r="AD8" s="87">
        <f>$E$8/(1-AC8)</f>
        <v>5905270.394693627</v>
      </c>
      <c r="AE8" s="79" t="str">
        <f>IF(AD8=$U$8,"yes","not yet")</f>
        <v>not yet</v>
      </c>
      <c r="AF8" s="88">
        <f>100*(1-AC8)</f>
        <v>92.659292835862274</v>
      </c>
      <c r="AG8" s="79"/>
      <c r="AH8" s="79"/>
      <c r="AI8" s="79">
        <v>401</v>
      </c>
      <c r="AJ8" s="79">
        <v>4</v>
      </c>
      <c r="AK8" s="79"/>
      <c r="AL8" s="79"/>
      <c r="AM8" s="79"/>
      <c r="AN8" s="79"/>
      <c r="AO8" s="79"/>
      <c r="AP8" s="79"/>
      <c r="AQ8" s="79"/>
      <c r="AR8" s="79"/>
    </row>
    <row r="9" spans="1:44">
      <c r="A9" s="83"/>
      <c r="B9" s="112" t="s">
        <v>224</v>
      </c>
      <c r="C9" s="83" t="s">
        <v>231</v>
      </c>
      <c r="D9" s="83"/>
      <c r="E9" s="122">
        <f>SUM('LG Garbage:LG MF Recycle'!E9)</f>
        <v>2060561.3909425093</v>
      </c>
      <c r="F9" s="83" t="s">
        <v>226</v>
      </c>
      <c r="G9" s="83"/>
      <c r="H9" s="83"/>
      <c r="I9" s="83"/>
      <c r="J9" s="83" t="s">
        <v>272</v>
      </c>
      <c r="K9" s="83"/>
      <c r="L9" s="121">
        <v>6.59E-2</v>
      </c>
      <c r="M9" s="79"/>
      <c r="N9" s="79"/>
      <c r="O9" s="79"/>
      <c r="P9" s="79"/>
      <c r="Q9" s="79"/>
      <c r="R9" s="79"/>
      <c r="S9" s="79"/>
      <c r="T9" s="79"/>
      <c r="U9" s="79"/>
      <c r="V9" s="79"/>
      <c r="W9" s="79"/>
      <c r="X9" s="79"/>
      <c r="Y9" s="79"/>
      <c r="Z9" s="676"/>
      <c r="AA9" s="79"/>
      <c r="AB9" s="79"/>
      <c r="AC9" s="79"/>
      <c r="AD9" s="79"/>
      <c r="AE9" s="79"/>
      <c r="AF9" s="79"/>
      <c r="AG9" s="79"/>
      <c r="AH9" s="79"/>
      <c r="AI9" s="79"/>
      <c r="AJ9" s="79"/>
      <c r="AK9" s="79"/>
      <c r="AL9" s="79"/>
      <c r="AM9" s="79"/>
      <c r="AN9" s="79"/>
      <c r="AO9" s="79"/>
      <c r="AP9" s="79"/>
      <c r="AQ9" s="79"/>
      <c r="AR9" s="79"/>
    </row>
    <row r="10" spans="1:44">
      <c r="A10" s="83"/>
      <c r="B10" s="83"/>
      <c r="C10" s="83" t="s">
        <v>232</v>
      </c>
      <c r="D10" s="83"/>
      <c r="E10" s="114">
        <f>$V$5</f>
        <v>331.93513499650163</v>
      </c>
      <c r="F10" s="83" t="s">
        <v>233</v>
      </c>
      <c r="G10" s="83"/>
      <c r="H10" s="83"/>
      <c r="I10" s="83"/>
      <c r="J10" s="83"/>
      <c r="K10" s="83"/>
      <c r="L10" s="83"/>
      <c r="M10" s="79"/>
      <c r="N10" s="79"/>
      <c r="O10" s="79"/>
      <c r="P10" s="79"/>
      <c r="Q10" s="79"/>
      <c r="R10" s="79"/>
      <c r="S10" s="79"/>
      <c r="T10" s="79"/>
      <c r="U10" s="79"/>
      <c r="V10" s="84" t="s">
        <v>234</v>
      </c>
      <c r="W10" s="84" t="s">
        <v>207</v>
      </c>
      <c r="X10" s="84" t="s">
        <v>208</v>
      </c>
      <c r="Y10" s="84" t="s">
        <v>209</v>
      </c>
      <c r="Z10" s="676"/>
      <c r="AA10" s="79"/>
      <c r="AB10" s="79"/>
      <c r="AC10" s="79"/>
      <c r="AD10" s="79"/>
      <c r="AE10" s="79"/>
      <c r="AF10" s="79"/>
      <c r="AG10" s="79"/>
      <c r="AH10" s="79"/>
      <c r="AI10" s="79" t="s">
        <v>235</v>
      </c>
      <c r="AJ10" s="79"/>
      <c r="AK10" s="79"/>
      <c r="AL10" s="79"/>
      <c r="AM10" s="79"/>
      <c r="AN10" s="79"/>
      <c r="AO10" s="79"/>
      <c r="AP10" s="79"/>
      <c r="AQ10" s="79"/>
      <c r="AR10" s="79"/>
    </row>
    <row r="11" spans="1:44">
      <c r="A11" s="83"/>
      <c r="B11" s="83"/>
      <c r="C11" s="83" t="s">
        <v>236</v>
      </c>
      <c r="D11" s="83"/>
      <c r="E11" s="114">
        <f>HLOOKUP($AJ$34,$AJ$28:$AR$32,$E$12+1)</f>
        <v>288.8555044350079</v>
      </c>
      <c r="F11" s="83" t="s">
        <v>233</v>
      </c>
      <c r="G11" s="119"/>
      <c r="H11" s="83"/>
      <c r="I11" s="83"/>
      <c r="J11" s="83"/>
      <c r="K11" s="83"/>
      <c r="L11" s="83"/>
      <c r="M11" s="79"/>
      <c r="N11" s="79"/>
      <c r="O11" s="79"/>
      <c r="P11" s="79"/>
      <c r="Q11" s="79"/>
      <c r="R11" s="79"/>
      <c r="S11" s="79"/>
      <c r="T11" s="79"/>
      <c r="U11" s="79"/>
      <c r="V11" s="88">
        <f>100*(+AD5/$E$9)</f>
        <v>287.41167250411326</v>
      </c>
      <c r="W11" s="95">
        <f>EXP(5.7226-(0.68367*LN(+V11)))</f>
        <v>6.3751131548175444</v>
      </c>
      <c r="X11" s="89">
        <f>(+W11*V11)/100</f>
        <v>18.322819342290842</v>
      </c>
      <c r="Y11" s="88">
        <f>100*((((X11/100)-((X11/100)-0.03574)*$E$21)-0.03574-0.00619)/0.344)</f>
        <v>27.869717979259491</v>
      </c>
      <c r="Z11" s="676">
        <f>+$E$20</f>
        <v>0.25</v>
      </c>
      <c r="AA11" s="88">
        <f>Y11+Z11</f>
        <v>28.119717979259491</v>
      </c>
      <c r="AB11" s="88">
        <f>100*($E$17*$E$19+($E$18*(AA11/100))/(1-$E$21))</f>
        <v>23.935465754846945</v>
      </c>
      <c r="AC11" s="89">
        <f>AB11/V11</f>
        <v>8.3279379526607064E-2</v>
      </c>
      <c r="AD11" s="87">
        <f>$E$8/(1-AC11)</f>
        <v>5968865.1761133391</v>
      </c>
      <c r="AE11" s="79" t="str">
        <f>IF(OR(OR(AD11=AD5,AD11=(AD5+1)),AD11=(AD8189-1)),"yes","not yet")</f>
        <v>not yet</v>
      </c>
      <c r="AF11" s="88">
        <f>100*(1-AC11)</f>
        <v>91.672062047339296</v>
      </c>
      <c r="AG11" s="79"/>
      <c r="AH11" s="79"/>
      <c r="AI11" s="79"/>
      <c r="AJ11" s="79"/>
      <c r="AK11" s="79"/>
      <c r="AL11" s="79"/>
      <c r="AM11" s="79"/>
      <c r="AN11" s="79"/>
      <c r="AO11" s="79"/>
      <c r="AP11" s="79"/>
      <c r="AQ11" s="79"/>
      <c r="AR11" s="79"/>
    </row>
    <row r="12" spans="1:44">
      <c r="A12" s="83"/>
      <c r="B12" s="83"/>
      <c r="C12" s="83" t="s">
        <v>237</v>
      </c>
      <c r="D12" s="83"/>
      <c r="E12" s="83">
        <f>VLOOKUP(E10,$AI$5:$AJ$8,2)</f>
        <v>3</v>
      </c>
      <c r="F12" s="83" t="s">
        <v>233</v>
      </c>
      <c r="G12" s="83"/>
      <c r="H12" s="83"/>
      <c r="I12" s="83"/>
      <c r="J12" s="83"/>
      <c r="K12" s="83"/>
      <c r="L12" s="83"/>
      <c r="M12" s="79"/>
      <c r="N12" s="79"/>
      <c r="O12" s="79"/>
      <c r="P12" s="79"/>
      <c r="Q12" s="79"/>
      <c r="R12" s="79"/>
      <c r="S12" s="79"/>
      <c r="T12" s="79"/>
      <c r="U12" s="79"/>
      <c r="V12" s="88">
        <f>100*(+AD6/$E$9)</f>
        <v>287.01851215425626</v>
      </c>
      <c r="W12" s="95">
        <f>EXP(5.70827-(0.68367*LN(+V12)))</f>
        <v>6.2902932843012289</v>
      </c>
      <c r="X12" s="89">
        <f>(+W12*V12)/100</f>
        <v>18.054306194740487</v>
      </c>
      <c r="Y12" s="88">
        <f>100*((((X12/100)-((X12/100)-0.03574)*$E$21)-0.03574-0.00619)/0.344)</f>
        <v>27.329569438257028</v>
      </c>
      <c r="Z12" s="676">
        <f>+$E$20</f>
        <v>0.25</v>
      </c>
      <c r="AA12" s="88">
        <f>Y12+Z12</f>
        <v>27.579569438257028</v>
      </c>
      <c r="AB12" s="88">
        <f>100*($E$17*$E$19+($E$18*(AA12/100))/(1-$E$21))</f>
        <v>23.522036848557445</v>
      </c>
      <c r="AC12" s="89">
        <f>AB12/V12</f>
        <v>8.1953030388213E-2</v>
      </c>
      <c r="AD12" s="87">
        <f>$E$8/(1-AC12)</f>
        <v>5960241.6530850176</v>
      </c>
      <c r="AE12" s="79" t="str">
        <f>IF(OR(OR(AD12=AD6,AD12=(AD6+1)),AD12=(AD6-1)),"yes","not yet")</f>
        <v>not yet</v>
      </c>
      <c r="AF12" s="88">
        <f>100*(1-AC12)</f>
        <v>91.804696961178706</v>
      </c>
      <c r="AG12" s="79"/>
      <c r="AH12" s="79"/>
      <c r="AI12" s="79"/>
      <c r="AJ12" s="79"/>
      <c r="AK12" s="79"/>
      <c r="AL12" s="79"/>
      <c r="AM12" s="79"/>
      <c r="AN12" s="79"/>
      <c r="AO12" s="79"/>
      <c r="AP12" s="79"/>
      <c r="AQ12" s="79"/>
      <c r="AR12" s="79"/>
    </row>
    <row r="13" spans="1:44">
      <c r="A13" s="83"/>
      <c r="B13" s="83"/>
      <c r="C13" s="83"/>
      <c r="D13" s="83"/>
      <c r="E13" s="83"/>
      <c r="F13" s="83"/>
      <c r="G13" s="83"/>
      <c r="H13" s="83"/>
      <c r="I13" s="83"/>
      <c r="J13" s="83"/>
      <c r="K13" s="83"/>
      <c r="L13" s="83"/>
      <c r="M13" s="79"/>
      <c r="N13" s="79"/>
      <c r="O13" s="79"/>
      <c r="P13" s="79"/>
      <c r="Q13" s="79"/>
      <c r="R13" s="79"/>
      <c r="S13" s="79"/>
      <c r="T13" s="79"/>
      <c r="U13" s="79"/>
      <c r="V13" s="88">
        <f>100*(+AD7/$E$9)</f>
        <v>286.75427836466133</v>
      </c>
      <c r="W13" s="95">
        <f>EXP(5.6985-(0.68367*LN(V13)))</f>
        <v>6.2330600004037189</v>
      </c>
      <c r="X13" s="89">
        <f>(+W13*V13)/100</f>
        <v>17.873566224194043</v>
      </c>
      <c r="Y13" s="88">
        <f>100*((((X13/100)-((X13/100)-0.03574)*$E$21)-0.03574-0.00619)/0.344)</f>
        <v>26.965987869599651</v>
      </c>
      <c r="Z13" s="676">
        <f>+$E$20</f>
        <v>0.25</v>
      </c>
      <c r="AA13" s="88">
        <f>Y13+Z13</f>
        <v>27.215987869599651</v>
      </c>
      <c r="AB13" s="88">
        <f>100*($E$17*$E$19+($E$18*(AA13/100))/(1-$E$21))</f>
        <v>23.24375204564366</v>
      </c>
      <c r="AC13" s="89">
        <f>AB13/V13</f>
        <v>8.1058082823388292E-2</v>
      </c>
      <c r="AD13" s="87">
        <f>$E$8/(1-AC13)</f>
        <v>5954437.0383933904</v>
      </c>
      <c r="AE13" s="79" t="str">
        <f>IF(OR(OR(AD13=AD7,AD13=(AD7+1)),AD13=(AD7-1)),"yes","not yet")</f>
        <v>not yet</v>
      </c>
      <c r="AF13" s="88">
        <f>100*(1-AC13)</f>
        <v>91.894191717661172</v>
      </c>
      <c r="AG13" s="79"/>
      <c r="AH13" s="79"/>
      <c r="AI13" s="79"/>
      <c r="AJ13" s="79">
        <v>1</v>
      </c>
      <c r="AK13" s="79">
        <v>2</v>
      </c>
      <c r="AL13" s="79">
        <v>3</v>
      </c>
      <c r="AM13" s="79">
        <v>4</v>
      </c>
      <c r="AN13" s="79">
        <v>5</v>
      </c>
      <c r="AO13" s="79">
        <v>6</v>
      </c>
      <c r="AP13" s="79">
        <v>7</v>
      </c>
      <c r="AQ13" s="79">
        <v>8</v>
      </c>
      <c r="AR13" s="79">
        <v>9</v>
      </c>
    </row>
    <row r="14" spans="1:44">
      <c r="A14" s="83"/>
      <c r="B14" s="83"/>
      <c r="C14" s="83" t="s">
        <v>238</v>
      </c>
      <c r="D14" s="83"/>
      <c r="E14" s="83"/>
      <c r="F14" s="83"/>
      <c r="G14" s="83"/>
      <c r="H14" s="83"/>
      <c r="I14" s="83"/>
      <c r="J14" s="83"/>
      <c r="K14" s="83"/>
      <c r="L14" s="83"/>
      <c r="M14" s="79"/>
      <c r="N14" s="79"/>
      <c r="O14" s="79"/>
      <c r="P14" s="79"/>
      <c r="Q14" s="79"/>
      <c r="R14" s="79"/>
      <c r="S14" s="79"/>
      <c r="T14" s="79"/>
      <c r="U14" s="79"/>
      <c r="V14" s="88">
        <f>100*(+AD8/$E$9)</f>
        <v>286.58551114521913</v>
      </c>
      <c r="W14" s="95">
        <f>EXP(5.6922-(0.68367*LN(V14)))</f>
        <v>6.1964086341583018</v>
      </c>
      <c r="X14" s="89">
        <f>(+W14*V14)/100</f>
        <v>17.758009356849062</v>
      </c>
      <c r="Y14" s="88">
        <f>100*((((X14/100)-((X14/100)-0.03574)*$E$21)-0.03574-0.00619)/0.344)</f>
        <v>26.733530450405681</v>
      </c>
      <c r="Z14" s="676">
        <f>+$E$20</f>
        <v>0.25</v>
      </c>
      <c r="AA14" s="88">
        <f>Y14+Z14</f>
        <v>26.983530450405681</v>
      </c>
      <c r="AB14" s="88">
        <f>100*($E$17*$E$19+($E$18*(AA14/100))/(1-$E$21))</f>
        <v>23.065829475681916</v>
      </c>
      <c r="AC14" s="89">
        <f>AB14/V14</f>
        <v>8.0484981196393968E-2</v>
      </c>
      <c r="AD14" s="87">
        <f>$E$8/(1-AC14)</f>
        <v>5950725.8455528654</v>
      </c>
      <c r="AE14" s="79" t="str">
        <f>IF(OR(OR(AD14=AD8,AD14=(AD8+1)),AD14=(AD8-1)),"yes","not yet")</f>
        <v>not yet</v>
      </c>
      <c r="AF14" s="88">
        <f>100*(1-AC14)</f>
        <v>91.95150188036061</v>
      </c>
      <c r="AG14" s="79"/>
      <c r="AH14" s="79"/>
      <c r="AI14" s="79"/>
      <c r="AJ14" s="79" t="str">
        <f>AE5</f>
        <v>not yet</v>
      </c>
      <c r="AK14" s="79" t="str">
        <f>AE11</f>
        <v>not yet</v>
      </c>
      <c r="AL14" s="79" t="str">
        <f>AE17</f>
        <v>not yet</v>
      </c>
      <c r="AM14" s="79" t="str">
        <f>AE23</f>
        <v>not yet</v>
      </c>
      <c r="AN14" s="79" t="str">
        <f>AE29</f>
        <v>not yet</v>
      </c>
      <c r="AO14" s="79" t="str">
        <f>AE35</f>
        <v>not yet</v>
      </c>
      <c r="AP14" s="79" t="str">
        <f>AE41</f>
        <v>yes</v>
      </c>
      <c r="AQ14" s="79" t="str">
        <f>AE47</f>
        <v>yes</v>
      </c>
      <c r="AR14" s="79" t="str">
        <f>AE53</f>
        <v>yes</v>
      </c>
    </row>
    <row r="15" spans="1:44">
      <c r="A15" s="83"/>
      <c r="B15" s="83"/>
      <c r="C15" s="83" t="s">
        <v>239</v>
      </c>
      <c r="D15" s="83"/>
      <c r="E15" s="112" t="s">
        <v>216</v>
      </c>
      <c r="F15" s="83" t="s">
        <v>240</v>
      </c>
      <c r="G15" s="83"/>
      <c r="H15" s="114">
        <f>HLOOKUP($AJ$25,$AJ$19:$AR$23,$E$12+1)</f>
        <v>91.931127452784111</v>
      </c>
      <c r="I15" s="83" t="s">
        <v>218</v>
      </c>
      <c r="J15" s="83"/>
      <c r="K15" s="83"/>
      <c r="L15" s="83"/>
      <c r="M15" s="79"/>
      <c r="N15" s="79"/>
      <c r="O15" s="79"/>
      <c r="P15" s="79"/>
      <c r="Q15" s="79"/>
      <c r="R15" s="79"/>
      <c r="S15" s="79"/>
      <c r="T15" s="79"/>
      <c r="U15" s="79"/>
      <c r="V15" s="79"/>
      <c r="W15" s="79"/>
      <c r="X15" s="79"/>
      <c r="Y15" s="79"/>
      <c r="Z15" s="676"/>
      <c r="AA15" s="79"/>
      <c r="AB15" s="79"/>
      <c r="AC15" s="79"/>
      <c r="AD15" s="79"/>
      <c r="AE15" s="79"/>
      <c r="AF15" s="79"/>
      <c r="AG15" s="79"/>
      <c r="AH15" s="79"/>
      <c r="AI15" s="79"/>
      <c r="AJ15" s="79" t="str">
        <f>AE6</f>
        <v>not yet</v>
      </c>
      <c r="AK15" s="79" t="str">
        <f>AE12</f>
        <v>not yet</v>
      </c>
      <c r="AL15" s="79" t="str">
        <f>AE18</f>
        <v>not yet</v>
      </c>
      <c r="AM15" s="79" t="str">
        <f>AE24</f>
        <v>not yet</v>
      </c>
      <c r="AN15" s="79" t="str">
        <f>AE30</f>
        <v>not yet</v>
      </c>
      <c r="AO15" s="79" t="str">
        <f>AE36</f>
        <v>not yet</v>
      </c>
      <c r="AP15" s="79" t="str">
        <f>AE42</f>
        <v>yes</v>
      </c>
      <c r="AQ15" s="79" t="str">
        <f>AE48</f>
        <v>yes</v>
      </c>
      <c r="AR15" s="79" t="str">
        <f>AE54</f>
        <v>yes</v>
      </c>
    </row>
    <row r="16" spans="1:44">
      <c r="A16" s="83"/>
      <c r="B16" s="83"/>
      <c r="C16" s="115" t="s">
        <v>225</v>
      </c>
      <c r="D16" s="115" t="s">
        <v>225</v>
      </c>
      <c r="E16" s="83"/>
      <c r="F16" s="83"/>
      <c r="G16" s="83"/>
      <c r="H16" s="115" t="s">
        <v>241</v>
      </c>
      <c r="I16" s="83"/>
      <c r="J16" s="83"/>
      <c r="K16" s="83"/>
      <c r="L16" s="83"/>
      <c r="M16" s="79"/>
      <c r="N16" s="79"/>
      <c r="O16" s="79"/>
      <c r="P16" s="79"/>
      <c r="Q16" s="79"/>
      <c r="R16" s="79"/>
      <c r="S16" s="79"/>
      <c r="T16" s="79"/>
      <c r="U16" s="79"/>
      <c r="V16" s="79" t="s">
        <v>242</v>
      </c>
      <c r="W16" s="84" t="s">
        <v>207</v>
      </c>
      <c r="X16" s="84" t="s">
        <v>208</v>
      </c>
      <c r="Y16" s="84" t="s">
        <v>209</v>
      </c>
      <c r="Z16" s="676"/>
      <c r="AA16" s="79"/>
      <c r="AB16" s="79"/>
      <c r="AC16" s="79"/>
      <c r="AD16" s="79"/>
      <c r="AE16" s="79"/>
      <c r="AF16" s="79"/>
      <c r="AG16" s="79"/>
      <c r="AH16" s="79"/>
      <c r="AI16" s="79"/>
      <c r="AJ16" s="79" t="str">
        <f>AE7</f>
        <v>not yet</v>
      </c>
      <c r="AK16" s="79" t="str">
        <f>AE13</f>
        <v>not yet</v>
      </c>
      <c r="AL16" s="79" t="str">
        <f>AE19</f>
        <v>not yet</v>
      </c>
      <c r="AM16" s="79" t="str">
        <f>AE25</f>
        <v>not yet</v>
      </c>
      <c r="AN16" s="79" t="str">
        <f>AE31</f>
        <v>not yet</v>
      </c>
      <c r="AO16" s="79" t="str">
        <f>AE37</f>
        <v>not yet</v>
      </c>
      <c r="AP16" s="79" t="str">
        <f>AE43</f>
        <v>yes</v>
      </c>
      <c r="AQ16" s="79" t="str">
        <f>AE49</f>
        <v>yes</v>
      </c>
      <c r="AR16" s="79" t="str">
        <f>AE55</f>
        <v>yes</v>
      </c>
    </row>
    <row r="17" spans="1:44">
      <c r="A17" s="83"/>
      <c r="B17" s="112" t="s">
        <v>224</v>
      </c>
      <c r="C17" s="83" t="s">
        <v>243</v>
      </c>
      <c r="D17" s="83"/>
      <c r="E17" s="123">
        <f>'Cap Struct.'!B40</f>
        <v>0.47034420824062401</v>
      </c>
      <c r="F17" s="83" t="s">
        <v>244</v>
      </c>
      <c r="G17" s="83"/>
      <c r="H17" s="83"/>
      <c r="I17" s="83"/>
      <c r="J17" s="83"/>
      <c r="K17" s="83"/>
      <c r="L17" s="83"/>
      <c r="M17" s="79"/>
      <c r="N17" s="79"/>
      <c r="O17" s="79"/>
      <c r="P17" s="79"/>
      <c r="Q17" s="79"/>
      <c r="R17" s="79"/>
      <c r="S17" s="79"/>
      <c r="T17" s="79"/>
      <c r="U17" s="79"/>
      <c r="V17" s="88">
        <f>100*(+AD11/$E$9)</f>
        <v>289.6717953830609</v>
      </c>
      <c r="W17" s="95">
        <f>EXP(5.7226-(0.68367*LN(+V17)))</f>
        <v>6.341064675732146</v>
      </c>
      <c r="X17" s="89">
        <f>(+W17*V17)/100</f>
        <v>18.368275892594376</v>
      </c>
      <c r="Y17" s="88">
        <f>100*((((X17/100)-((X17/100)-0.03574)*$E$21)-0.03574-0.00619)/0.344)</f>
        <v>27.961159644404969</v>
      </c>
      <c r="Z17" s="676">
        <f>+$E$20</f>
        <v>0.25</v>
      </c>
      <c r="AA17" s="88">
        <f>Y17+Z17</f>
        <v>28.211159644404969</v>
      </c>
      <c r="AB17" s="88">
        <f>100*($E$17*$E$19+($E$18*(AA17/100))/(1-$E$21))</f>
        <v>24.005455072119229</v>
      </c>
      <c r="AC17" s="89">
        <f>AB17/V17</f>
        <v>8.2871219962490666E-2</v>
      </c>
      <c r="AD17" s="87">
        <f>$E$8/(1-AC17)</f>
        <v>5966208.788633653</v>
      </c>
      <c r="AE17" s="79" t="str">
        <f>IF(OR(OR(AD17=AD11,AD17=(AD11+1)),AD17=(AD2-1)),"yes","not yet")</f>
        <v>not yet</v>
      </c>
      <c r="AF17" s="88">
        <f>100*(1-AC17)</f>
        <v>91.71287800375093</v>
      </c>
      <c r="AG17" s="79"/>
      <c r="AH17" s="79"/>
      <c r="AI17" s="79"/>
      <c r="AJ17" s="79" t="str">
        <f>AE8</f>
        <v>not yet</v>
      </c>
      <c r="AK17" s="79" t="str">
        <f>AE14</f>
        <v>not yet</v>
      </c>
      <c r="AL17" s="79" t="str">
        <f>AE20</f>
        <v>not yet</v>
      </c>
      <c r="AM17" s="79" t="str">
        <f>AE26</f>
        <v>not yet</v>
      </c>
      <c r="AN17" s="79" t="str">
        <f>AE32</f>
        <v>not yet</v>
      </c>
      <c r="AO17" s="79" t="str">
        <f>AE38</f>
        <v>not yet</v>
      </c>
      <c r="AP17" s="79" t="str">
        <f>AE44</f>
        <v>yes</v>
      </c>
      <c r="AQ17" s="79" t="str">
        <f>AE50</f>
        <v>yes</v>
      </c>
      <c r="AR17" s="79" t="str">
        <f>AE56</f>
        <v>yes</v>
      </c>
    </row>
    <row r="18" spans="1:44">
      <c r="A18" s="83"/>
      <c r="B18" s="112" t="s">
        <v>224</v>
      </c>
      <c r="C18" s="83" t="s">
        <v>245</v>
      </c>
      <c r="D18" s="83"/>
      <c r="E18" s="123">
        <f>1-E17</f>
        <v>0.52965579175937605</v>
      </c>
      <c r="F18" s="83" t="s">
        <v>246</v>
      </c>
      <c r="G18" s="83"/>
      <c r="H18" s="99">
        <v>1.4999999999999999E-2</v>
      </c>
      <c r="I18" s="83" t="s">
        <v>224</v>
      </c>
      <c r="J18" s="83"/>
      <c r="K18" s="83"/>
      <c r="L18" s="83"/>
      <c r="M18" s="79"/>
      <c r="N18" s="79"/>
      <c r="O18" s="79"/>
      <c r="P18" s="79"/>
      <c r="Q18" s="79"/>
      <c r="R18" s="79"/>
      <c r="S18" s="79"/>
      <c r="T18" s="79"/>
      <c r="U18" s="79"/>
      <c r="V18" s="88">
        <f>100*(+AD12/$E$9)</f>
        <v>289.25329181086801</v>
      </c>
      <c r="W18" s="95">
        <f>EXP(5.70827-(0.68367*LN(+V18)))</f>
        <v>6.2570268693364142</v>
      </c>
      <c r="X18" s="89">
        <f>(+W18*V18)/100</f>
        <v>18.098656189046078</v>
      </c>
      <c r="Y18" s="88">
        <f>100*((((X18/100)-((X18/100)-0.03574)*$E$21)-0.03574-0.00619)/0.344)</f>
        <v>27.418785124476415</v>
      </c>
      <c r="Z18" s="676">
        <f>+$E$20</f>
        <v>0.25</v>
      </c>
      <c r="AA18" s="88">
        <f>Y18+Z18</f>
        <v>27.668785124476415</v>
      </c>
      <c r="AB18" s="88">
        <f>100*($E$17*$E$19+($E$18*(AA18/100))/(1-$E$21))</f>
        <v>23.590322404802944</v>
      </c>
      <c r="AC18" s="89">
        <f>AB18/V18</f>
        <v>8.1555934098851257E-2</v>
      </c>
      <c r="AD18" s="87">
        <f>$E$8/(1-AC18)</f>
        <v>5957664.6971962368</v>
      </c>
      <c r="AE18" s="79" t="str">
        <f>IF(OR(OR(AD18=AD12,AD18=(AD12+1)),AD18=(AD12-1)),"yes","not yet")</f>
        <v>not yet</v>
      </c>
      <c r="AF18" s="88">
        <f>100*(1-AC18)</f>
        <v>91.844406590114886</v>
      </c>
      <c r="AG18" s="79"/>
      <c r="AH18" s="79"/>
      <c r="AI18" s="79"/>
      <c r="AJ18" s="79"/>
      <c r="AK18" s="79"/>
      <c r="AL18" s="79"/>
      <c r="AM18" s="79"/>
      <c r="AN18" s="79"/>
      <c r="AO18" s="79"/>
      <c r="AP18" s="79"/>
      <c r="AQ18" s="79"/>
      <c r="AR18" s="79"/>
    </row>
    <row r="19" spans="1:44">
      <c r="A19" s="83"/>
      <c r="B19" s="112" t="s">
        <v>224</v>
      </c>
      <c r="C19" s="83" t="s">
        <v>247</v>
      </c>
      <c r="D19" s="83"/>
      <c r="E19" s="124">
        <f>'Cap Struct.'!F9</f>
        <v>5.129593479716732E-2</v>
      </c>
      <c r="F19" s="83" t="s">
        <v>248</v>
      </c>
      <c r="G19" s="83"/>
      <c r="H19" s="99">
        <v>4.2750000000000002E-3</v>
      </c>
      <c r="I19" s="83" t="s">
        <v>224</v>
      </c>
      <c r="J19" s="83"/>
      <c r="K19" s="83"/>
      <c r="L19" s="83"/>
      <c r="M19" s="79"/>
      <c r="N19" s="79"/>
      <c r="O19" s="79"/>
      <c r="P19" s="79"/>
      <c r="Q19" s="79"/>
      <c r="R19" s="79"/>
      <c r="S19" s="79"/>
      <c r="T19" s="79"/>
      <c r="U19" s="79"/>
      <c r="V19" s="88">
        <f>100*(+AD13/$E$9)</f>
        <v>288.97159116767716</v>
      </c>
      <c r="W19" s="95">
        <f>EXP(5.6985-(0.68367*LN(V19)))</f>
        <v>6.2003222996568992</v>
      </c>
      <c r="X19" s="89">
        <f>(+W19*V19)/100</f>
        <v>17.917170006842852</v>
      </c>
      <c r="Y19" s="88">
        <f>100*((((X19/100)-((X19/100)-0.03574)*$E$21)-0.03574-0.00619)/0.344)</f>
        <v>27.053702455625743</v>
      </c>
      <c r="Z19" s="676">
        <f>+$E$20</f>
        <v>0.25</v>
      </c>
      <c r="AA19" s="88">
        <f>Y19+Z19</f>
        <v>27.303702455625743</v>
      </c>
      <c r="AB19" s="88">
        <f>100*($E$17*$E$19+($E$18*(AA19/100))/(1-$E$21))</f>
        <v>23.310888661988312</v>
      </c>
      <c r="AC19" s="89">
        <f>AB19/V19</f>
        <v>8.0668444146338433E-2</v>
      </c>
      <c r="AD19" s="87">
        <f>$E$8/(1-AC19)</f>
        <v>5951913.3798118439</v>
      </c>
      <c r="AE19" s="79" t="str">
        <f>IF(OR(OR(AD19=AD13,AD19=(AD13+1)),AD19=(AD13-1)),"yes","not yet")</f>
        <v>not yet</v>
      </c>
      <c r="AF19" s="88">
        <f>100*(1-AC19)</f>
        <v>91.933155585366151</v>
      </c>
      <c r="AG19" s="79"/>
      <c r="AH19" s="79"/>
      <c r="AI19" s="79"/>
      <c r="AJ19" s="79" t="str">
        <f>HLOOKUP(1,$AJ$13:$AR$17,$E$12+1)</f>
        <v>not yet</v>
      </c>
      <c r="AK19" s="79" t="str">
        <f>HLOOKUP(2,$AJ$13:$AR$17,$E$12+1)</f>
        <v>not yet</v>
      </c>
      <c r="AL19" s="79" t="str">
        <f>HLOOKUP(3,$AJ$13:$AR$17,$E$12+1)</f>
        <v>not yet</v>
      </c>
      <c r="AM19" s="79" t="str">
        <f>HLOOKUP(4,$AJ$13:$AR$17,$E$12+1)</f>
        <v>not yet</v>
      </c>
      <c r="AN19" s="79" t="str">
        <f>HLOOKUP(5,$AJ$13:$AR$17,$E$12+1)</f>
        <v>not yet</v>
      </c>
      <c r="AO19" s="79" t="str">
        <f>HLOOKUP(6,$AJ$13:$AR$17,$E$12+1)</f>
        <v>not yet</v>
      </c>
      <c r="AP19" s="79" t="str">
        <f>HLOOKUP(7,$AJ$13:$AR$17,$E$12+1)</f>
        <v>yes</v>
      </c>
      <c r="AQ19" s="79" t="str">
        <f>HLOOKUP(8,$AJ$13:$AR$17,$E$12+1)</f>
        <v>yes</v>
      </c>
      <c r="AR19" s="79" t="str">
        <f>HLOOKUP(9,$AJ$13:$AR$17,$E$12+1)</f>
        <v>yes</v>
      </c>
    </row>
    <row r="20" spans="1:44">
      <c r="A20" s="83"/>
      <c r="B20" s="83"/>
      <c r="C20" s="83"/>
      <c r="D20" s="83"/>
      <c r="E20" s="675">
        <v>0.25</v>
      </c>
      <c r="F20" s="83" t="s">
        <v>249</v>
      </c>
      <c r="G20" s="83"/>
      <c r="H20" s="99">
        <v>0</v>
      </c>
      <c r="I20" s="83" t="s">
        <v>224</v>
      </c>
      <c r="J20" s="83"/>
      <c r="K20" s="83"/>
      <c r="L20" s="83"/>
      <c r="M20" s="79"/>
      <c r="N20" s="79"/>
      <c r="O20" s="79"/>
      <c r="P20" s="79"/>
      <c r="Q20" s="79"/>
      <c r="R20" s="79"/>
      <c r="S20" s="79"/>
      <c r="T20" s="79"/>
      <c r="U20" s="79"/>
      <c r="V20" s="88">
        <f>100*(+AD14/$E$9)</f>
        <v>288.79148525785871</v>
      </c>
      <c r="W20" s="95">
        <f>EXP(5.6922-(0.68367*LN(V20)))</f>
        <v>6.1640098473548859</v>
      </c>
      <c r="X20" s="89">
        <f>(+W20*V20)/100</f>
        <v>17.801135589616845</v>
      </c>
      <c r="Y20" s="88">
        <f>100*((((X20/100)-((X20/100)-0.03574)*$E$21)-0.03574-0.00619)/0.344)</f>
        <v>26.820284383764122</v>
      </c>
      <c r="Z20" s="676">
        <f>+$E$20</f>
        <v>0.25</v>
      </c>
      <c r="AA20" s="88">
        <f>Y20+Z20</f>
        <v>27.070284383764122</v>
      </c>
      <c r="AB20" s="88">
        <f>100*($E$17*$E$19+($E$18*(AA20/100))/(1-$E$21))</f>
        <v>23.132230809874414</v>
      </c>
      <c r="AC20" s="89">
        <f>AB20/V20</f>
        <v>8.0100113717756952E-2</v>
      </c>
      <c r="AD20" s="87">
        <f>$E$8/(1-AC20)</f>
        <v>5948236.1823988743</v>
      </c>
      <c r="AE20" s="79" t="str">
        <f>IF(OR(OR(AD20=AD14,AD20=(AD14+1)),AD20=(AD14-1)),"yes","not yet")</f>
        <v>not yet</v>
      </c>
      <c r="AF20" s="88">
        <f>100*(1-AC20)</f>
        <v>91.98998862822431</v>
      </c>
      <c r="AG20" s="79"/>
      <c r="AH20" s="79"/>
      <c r="AI20" s="79">
        <v>1</v>
      </c>
      <c r="AJ20" s="88">
        <f>AF5</f>
        <v>92.39294482495346</v>
      </c>
      <c r="AK20" s="88">
        <f>AF11</f>
        <v>91.672062047339296</v>
      </c>
      <c r="AL20" s="88">
        <f>AF17</f>
        <v>91.71287800375093</v>
      </c>
      <c r="AM20" s="88">
        <f>AF23</f>
        <v>91.710563554019757</v>
      </c>
      <c r="AN20" s="88">
        <f>AF29</f>
        <v>91.710694782619711</v>
      </c>
      <c r="AO20" s="88">
        <f>AF35</f>
        <v>91.710687341961815</v>
      </c>
      <c r="AP20" s="88">
        <f>AF41</f>
        <v>91.710687501142971</v>
      </c>
      <c r="AQ20" s="88">
        <f>AF47</f>
        <v>91.710687501142971</v>
      </c>
      <c r="AR20" s="88">
        <f>AF53</f>
        <v>91.710687501142971</v>
      </c>
    </row>
    <row r="21" spans="1:44">
      <c r="A21" s="83"/>
      <c r="B21" s="112" t="s">
        <v>224</v>
      </c>
      <c r="C21" s="83" t="s">
        <v>250</v>
      </c>
      <c r="D21" s="83"/>
      <c r="E21" s="678">
        <f>'Cap Struct.'!F18</f>
        <v>0.308</v>
      </c>
      <c r="F21" s="83" t="s">
        <v>251</v>
      </c>
      <c r="G21" s="83"/>
      <c r="H21" s="99">
        <f>(Proforma!I282)/Proforma!I20</f>
        <v>1.5137446158343015E-3</v>
      </c>
      <c r="I21" s="83" t="s">
        <v>224</v>
      </c>
      <c r="J21" s="83"/>
      <c r="K21" s="83"/>
      <c r="L21" s="83"/>
      <c r="M21" s="79"/>
      <c r="N21" s="79"/>
      <c r="O21" s="79"/>
      <c r="P21" s="79"/>
      <c r="Q21" s="79"/>
      <c r="R21" s="79"/>
      <c r="S21" s="79"/>
      <c r="T21" s="79"/>
      <c r="U21" s="79"/>
      <c r="V21" s="79"/>
      <c r="W21" s="79"/>
      <c r="X21" s="79"/>
      <c r="Y21" s="79"/>
      <c r="Z21" s="676"/>
      <c r="AA21" s="79"/>
      <c r="AB21" s="79"/>
      <c r="AC21" s="79"/>
      <c r="AD21" s="79"/>
      <c r="AE21" s="79"/>
      <c r="AF21" s="79"/>
      <c r="AG21" s="79"/>
      <c r="AH21" s="79"/>
      <c r="AI21" s="79">
        <v>2</v>
      </c>
      <c r="AJ21" s="88">
        <f>AF6</f>
        <v>92.519505450743949</v>
      </c>
      <c r="AK21" s="88">
        <f>AF12</f>
        <v>91.804696961178706</v>
      </c>
      <c r="AL21" s="88">
        <f>AF18</f>
        <v>91.844406590114886</v>
      </c>
      <c r="AM21" s="88">
        <f>AF24</f>
        <v>91.842197306503365</v>
      </c>
      <c r="AN21" s="88">
        <f>AF30</f>
        <v>91.842320211897203</v>
      </c>
      <c r="AO21" s="88">
        <f>AF36</f>
        <v>91.842313374474543</v>
      </c>
      <c r="AP21" s="88">
        <f>AF42</f>
        <v>91.842313342554675</v>
      </c>
      <c r="AQ21" s="88">
        <f>AF48</f>
        <v>91.842313342554675</v>
      </c>
      <c r="AR21" s="88">
        <f>AF54</f>
        <v>91.842313342554675</v>
      </c>
    </row>
    <row r="22" spans="1:44">
      <c r="A22" s="83"/>
      <c r="B22" s="83"/>
      <c r="C22" s="83"/>
      <c r="D22" s="83"/>
      <c r="E22" s="83"/>
      <c r="F22" s="83"/>
      <c r="G22" s="83"/>
      <c r="H22" s="115" t="s">
        <v>225</v>
      </c>
      <c r="I22" s="83"/>
      <c r="J22" s="83"/>
      <c r="K22" s="83"/>
      <c r="L22" s="83"/>
      <c r="M22" s="79"/>
      <c r="N22" s="79"/>
      <c r="O22" s="79"/>
      <c r="P22" s="79"/>
      <c r="Q22" s="79"/>
      <c r="R22" s="79"/>
      <c r="S22" s="79"/>
      <c r="T22" s="79"/>
      <c r="U22" s="79"/>
      <c r="V22" s="79" t="s">
        <v>252</v>
      </c>
      <c r="W22" s="84" t="s">
        <v>207</v>
      </c>
      <c r="X22" s="84" t="s">
        <v>208</v>
      </c>
      <c r="Y22" s="84" t="s">
        <v>209</v>
      </c>
      <c r="Z22" s="676"/>
      <c r="AA22" s="79"/>
      <c r="AB22" s="79"/>
      <c r="AC22" s="79"/>
      <c r="AD22" s="79"/>
      <c r="AE22" s="79"/>
      <c r="AF22" s="79"/>
      <c r="AG22" s="79"/>
      <c r="AH22" s="79"/>
      <c r="AI22" s="79">
        <v>3</v>
      </c>
      <c r="AJ22" s="88">
        <f>AF7</f>
        <v>92.60475885890969</v>
      </c>
      <c r="AK22" s="88">
        <f>AF13</f>
        <v>91.894191717661172</v>
      </c>
      <c r="AL22" s="88">
        <f>AF19</f>
        <v>91.933155585366151</v>
      </c>
      <c r="AM22" s="88">
        <f>AF25</f>
        <v>91.931015818612806</v>
      </c>
      <c r="AN22" s="88">
        <f>AF31</f>
        <v>91.931133317897491</v>
      </c>
      <c r="AO22" s="88">
        <f>AF37</f>
        <v>91.931126865725062</v>
      </c>
      <c r="AP22" s="88">
        <f>AF43</f>
        <v>91.931127452784111</v>
      </c>
      <c r="AQ22" s="88">
        <f>AF49</f>
        <v>91.931127452784111</v>
      </c>
      <c r="AR22" s="88">
        <f>AF55</f>
        <v>91.931127452784111</v>
      </c>
    </row>
    <row r="23" spans="1:44">
      <c r="A23" s="83"/>
      <c r="B23" s="83"/>
      <c r="C23" s="83"/>
      <c r="D23" s="83"/>
      <c r="E23" s="83"/>
      <c r="F23" s="83" t="s">
        <v>253</v>
      </c>
      <c r="G23" s="83"/>
      <c r="H23" s="116">
        <f>SUM(H18:H21)</f>
        <v>2.0788744615834302E-2</v>
      </c>
      <c r="I23" s="83"/>
      <c r="J23" s="83"/>
      <c r="K23" s="83"/>
      <c r="L23" s="83"/>
      <c r="M23" s="79"/>
      <c r="N23" s="79"/>
      <c r="O23" s="79"/>
      <c r="P23" s="79"/>
      <c r="Q23" s="79"/>
      <c r="R23" s="79"/>
      <c r="S23" s="79"/>
      <c r="T23" s="79"/>
      <c r="U23" s="79"/>
      <c r="V23" s="88">
        <f>100*(+AD17/$E$9)</f>
        <v>289.54287966662736</v>
      </c>
      <c r="W23" s="95">
        <f>EXP(5.7226-(0.68367*LN(+V23)))</f>
        <v>6.3429947370396427</v>
      </c>
      <c r="X23" s="89">
        <f>(+W23*V23)/100</f>
        <v>18.365689618727199</v>
      </c>
      <c r="Y23" s="88">
        <f>100*((((X23/100)-((X23/100)-0.03574)*$E$21)-0.03574-0.00619)/0.344)</f>
        <v>27.955957023718668</v>
      </c>
      <c r="Z23" s="676">
        <f>+$E$20</f>
        <v>0.25</v>
      </c>
      <c r="AA23" s="88">
        <f>Y23+Z23</f>
        <v>28.205957023718668</v>
      </c>
      <c r="AB23" s="88">
        <f>100*($E$17*$E$19+($E$18*(AA23/100))/(1-$E$21))</f>
        <v>24.00147299382613</v>
      </c>
      <c r="AC23" s="89">
        <f>AB23/V23</f>
        <v>8.2894364459802444E-2</v>
      </c>
      <c r="AD23" s="87">
        <f>$E$8/(1-AC23)</f>
        <v>5966359.3546076464</v>
      </c>
      <c r="AE23" s="79" t="str">
        <f>IF(OR(OR(AD23=AD17,AD23=(AD17+1)),AD23=(AD9-1)),"yes","not yet")</f>
        <v>not yet</v>
      </c>
      <c r="AF23" s="88">
        <f>100*(1-AC23)</f>
        <v>91.710563554019757</v>
      </c>
      <c r="AG23" s="79"/>
      <c r="AH23" s="79"/>
      <c r="AI23" s="79">
        <v>4</v>
      </c>
      <c r="AJ23" s="88">
        <f>AF8</f>
        <v>92.659292835862274</v>
      </c>
      <c r="AK23" s="88">
        <f>AF14</f>
        <v>91.95150188036061</v>
      </c>
      <c r="AL23" s="88">
        <f>AF20</f>
        <v>91.98998862822431</v>
      </c>
      <c r="AM23" s="88">
        <f>AF26</f>
        <v>91.987892762369071</v>
      </c>
      <c r="AN23" s="88">
        <f>AF32</f>
        <v>91.988006887302021</v>
      </c>
      <c r="AO23" s="88">
        <f>AF38</f>
        <v>91.988000672897698</v>
      </c>
      <c r="AP23" s="88">
        <f>AF44</f>
        <v>91.988001238732025</v>
      </c>
      <c r="AQ23" s="88">
        <f>AF50</f>
        <v>91.988001238732025</v>
      </c>
      <c r="AR23" s="88">
        <f>AF56</f>
        <v>91.988001238732025</v>
      </c>
    </row>
    <row r="24" spans="1:44">
      <c r="A24" s="83"/>
      <c r="B24" s="83"/>
      <c r="C24" s="83"/>
      <c r="D24" s="83"/>
      <c r="E24" s="83"/>
      <c r="F24" s="83"/>
      <c r="G24" s="83"/>
      <c r="H24" s="83"/>
      <c r="I24" s="83"/>
      <c r="J24" s="83"/>
      <c r="K24" s="83"/>
      <c r="L24" s="83"/>
      <c r="M24" s="79"/>
      <c r="N24" s="79"/>
      <c r="O24" s="79"/>
      <c r="P24" s="79"/>
      <c r="Q24" s="79"/>
      <c r="R24" s="79"/>
      <c r="S24" s="79"/>
      <c r="T24" s="79"/>
      <c r="U24" s="79"/>
      <c r="V24" s="88">
        <f>100*(+AD18/$E$9)</f>
        <v>289.12823094638185</v>
      </c>
      <c r="W24" s="95">
        <f>EXP(5.70827-(0.68367*LN(+V24)))</f>
        <v>6.2588770569262824</v>
      </c>
      <c r="X24" s="89">
        <f>(+W24*V24)/100</f>
        <v>18.096180511799929</v>
      </c>
      <c r="Y24" s="88">
        <f>100*((((X24/100)-((X24/100)-0.03574)*$E$21)-0.03574-0.00619)/0.344)</f>
        <v>27.413804983039398</v>
      </c>
      <c r="Z24" s="676">
        <f>+$E$20</f>
        <v>0.25</v>
      </c>
      <c r="AA24" s="88">
        <f>Y24+Z24</f>
        <v>27.663804983039398</v>
      </c>
      <c r="AB24" s="88">
        <f>100*($E$17*$E$19+($E$18*(AA24/100))/(1-$E$21))</f>
        <v>23.586510611803092</v>
      </c>
      <c r="AC24" s="89">
        <f>AB24/V24</f>
        <v>8.1578026934966283E-2</v>
      </c>
      <c r="AD24" s="87">
        <f>$E$8/(1-AC24)</f>
        <v>5957808.010089051</v>
      </c>
      <c r="AE24" s="79" t="str">
        <f>IF(OR(OR(AD24=AD18,AD24=(AD18+1)),AD24=(AD18-1)),"yes","not yet")</f>
        <v>not yet</v>
      </c>
      <c r="AF24" s="88">
        <f>100*(1-AC24)</f>
        <v>91.842197306503365</v>
      </c>
      <c r="AG24" s="79"/>
      <c r="AH24" s="79"/>
      <c r="AI24" s="79"/>
      <c r="AJ24" s="79"/>
      <c r="AK24" s="79"/>
      <c r="AL24" s="79"/>
      <c r="AM24" s="79"/>
      <c r="AN24" s="79"/>
      <c r="AO24" s="79"/>
      <c r="AP24" s="79"/>
      <c r="AQ24" s="79"/>
      <c r="AR24" s="79"/>
    </row>
    <row r="25" spans="1:44">
      <c r="A25" s="83"/>
      <c r="B25" s="83"/>
      <c r="C25" s="83"/>
      <c r="D25" s="83"/>
      <c r="E25" s="83"/>
      <c r="F25" s="83" t="s">
        <v>254</v>
      </c>
      <c r="G25" s="83"/>
      <c r="H25" s="117">
        <f>((+H15/100)-H23)</f>
        <v>0.89852252991200676</v>
      </c>
      <c r="I25" s="83"/>
      <c r="J25" s="83"/>
      <c r="K25" s="83"/>
      <c r="L25" s="83"/>
      <c r="M25" s="79"/>
      <c r="N25" s="79"/>
      <c r="O25" s="79"/>
      <c r="P25" s="79"/>
      <c r="Q25" s="79"/>
      <c r="R25" s="79"/>
      <c r="S25" s="79"/>
      <c r="T25" s="79"/>
      <c r="U25" s="79"/>
      <c r="V25" s="88">
        <f>100*(+AD19/$E$9)</f>
        <v>288.84911684623063</v>
      </c>
      <c r="W25" s="95">
        <f>EXP(5.6985-(0.68367*LN(V25)))</f>
        <v>6.2021195379589056</v>
      </c>
      <c r="X25" s="89">
        <f>(+W25*V25)/100</f>
        <v>17.914767511141818</v>
      </c>
      <c r="Y25" s="88">
        <f>100*((((X25/100)-((X25/100)-0.03574)*$E$21)-0.03574-0.00619)/0.344)</f>
        <v>27.048869528227154</v>
      </c>
      <c r="Z25" s="676">
        <f>+$E$20</f>
        <v>0.25</v>
      </c>
      <c r="AA25" s="88">
        <f>Y25+Z25</f>
        <v>27.298869528227154</v>
      </c>
      <c r="AB25" s="88">
        <f>100*($E$17*$E$19+($E$18*(AA25/100))/(1-$E$21))</f>
        <v>23.30718954639898</v>
      </c>
      <c r="AC25" s="89">
        <f>AB25/V25</f>
        <v>8.068984181387201E-2</v>
      </c>
      <c r="AD25" s="87">
        <f>$E$8/(1-AC25)</f>
        <v>5952051.9152805926</v>
      </c>
      <c r="AE25" s="79" t="str">
        <f>IF(OR(OR(AD25=AD19,AD25=(AD19+1)),AD25=(AD19-1)),"yes","not yet")</f>
        <v>not yet</v>
      </c>
      <c r="AF25" s="88">
        <f>100*(1-AC25)</f>
        <v>91.931015818612806</v>
      </c>
      <c r="AG25" s="79"/>
      <c r="AH25" s="79"/>
      <c r="AI25" s="79"/>
      <c r="AJ25" s="79" t="s">
        <v>255</v>
      </c>
      <c r="AK25" s="79"/>
      <c r="AL25" s="79"/>
      <c r="AM25" s="79"/>
      <c r="AN25" s="79"/>
      <c r="AO25" s="79"/>
      <c r="AP25" s="79"/>
      <c r="AQ25" s="79"/>
      <c r="AR25" s="79"/>
    </row>
    <row r="26" spans="1:44">
      <c r="A26" s="83"/>
      <c r="B26" s="83"/>
      <c r="C26" s="83"/>
      <c r="D26" s="83"/>
      <c r="E26" s="83"/>
      <c r="F26" s="83"/>
      <c r="G26" s="83"/>
      <c r="H26" s="83"/>
      <c r="I26" s="83"/>
      <c r="J26" s="83"/>
      <c r="K26" s="83"/>
      <c r="L26" s="83"/>
      <c r="M26" s="79"/>
      <c r="N26" s="79"/>
      <c r="O26" s="79"/>
      <c r="P26" s="79"/>
      <c r="Q26" s="79"/>
      <c r="R26" s="79"/>
      <c r="S26" s="79"/>
      <c r="T26" s="79"/>
      <c r="U26" s="79"/>
      <c r="V26" s="88">
        <f>100*(+AD20/$E$9)</f>
        <v>288.67066075027867</v>
      </c>
      <c r="W26" s="95">
        <f>EXP(5.6922-(0.68367*LN(V26)))</f>
        <v>6.1657735829843885</v>
      </c>
      <c r="X26" s="89">
        <f>(+W26*V26)/100</f>
        <v>17.798779342367165</v>
      </c>
      <c r="Y26" s="88">
        <f>100*((((X26/100)-((X26/100)-0.03574)*$E$21)-0.03574-0.00619)/0.344)</f>
        <v>26.815544491040932</v>
      </c>
      <c r="Z26" s="676">
        <f>+$E$20</f>
        <v>0.25</v>
      </c>
      <c r="AA26" s="88">
        <f>Y26+Z26</f>
        <v>27.065544491040932</v>
      </c>
      <c r="AB26" s="88">
        <f>100*($E$17*$E$19+($E$18*(AA26/100))/(1-$E$21))</f>
        <v>23.128602902890087</v>
      </c>
      <c r="AC26" s="89">
        <f>AB26/V26</f>
        <v>8.0121072376309235E-2</v>
      </c>
      <c r="AD26" s="87">
        <f>$E$8/(1-AC26)</f>
        <v>5948371.7078983635</v>
      </c>
      <c r="AE26" s="79" t="str">
        <f>IF(OR(OR(AD26=AD20,AD26=(AD20+1)),AD26=(AD20-1)),"yes","not yet")</f>
        <v>not yet</v>
      </c>
      <c r="AF26" s="88">
        <f>100*(1-AC26)</f>
        <v>91.987892762369071</v>
      </c>
      <c r="AG26" s="79"/>
      <c r="AH26" s="79"/>
      <c r="AI26" s="79"/>
      <c r="AJ26" s="88">
        <f>HLOOKUP($AJ$25,$AJ$19:$AR$23,$E$12+1)</f>
        <v>91.931127452784111</v>
      </c>
      <c r="AK26" s="79"/>
      <c r="AL26" s="79"/>
      <c r="AM26" s="79"/>
      <c r="AN26" s="79"/>
      <c r="AO26" s="79"/>
      <c r="AP26" s="79"/>
      <c r="AQ26" s="79"/>
      <c r="AR26" s="79"/>
    </row>
    <row r="27" spans="1:44">
      <c r="A27" s="83"/>
      <c r="B27" s="83"/>
      <c r="C27" s="83"/>
      <c r="D27" s="83"/>
      <c r="E27" s="83"/>
      <c r="F27" s="83"/>
      <c r="G27" s="83"/>
      <c r="H27" s="118"/>
      <c r="I27" s="83"/>
      <c r="J27" s="83"/>
      <c r="K27" s="83"/>
      <c r="L27" s="83"/>
      <c r="M27" s="79"/>
      <c r="N27" s="79"/>
      <c r="O27" s="79"/>
      <c r="P27" s="79"/>
      <c r="Q27" s="79"/>
      <c r="R27" s="79"/>
      <c r="S27" s="79"/>
      <c r="T27" s="79"/>
      <c r="U27" s="79"/>
      <c r="V27" s="79"/>
      <c r="W27" s="79"/>
      <c r="X27" s="79"/>
      <c r="Y27" s="79"/>
      <c r="Z27" s="676"/>
      <c r="AA27" s="79"/>
      <c r="AB27" s="79"/>
      <c r="AC27" s="79"/>
      <c r="AD27" s="79"/>
      <c r="AE27" s="79"/>
      <c r="AF27" s="79"/>
      <c r="AG27" s="79"/>
      <c r="AH27" s="79"/>
      <c r="AI27" s="79"/>
      <c r="AJ27" s="79"/>
      <c r="AK27" s="79"/>
      <c r="AL27" s="79"/>
      <c r="AM27" s="79"/>
      <c r="AN27" s="79"/>
      <c r="AO27" s="79"/>
      <c r="AP27" s="79"/>
      <c r="AQ27" s="79"/>
      <c r="AR27" s="79"/>
    </row>
    <row r="28" spans="1:44">
      <c r="A28" s="83"/>
      <c r="B28" s="83"/>
      <c r="C28" s="83"/>
      <c r="D28" s="83"/>
      <c r="E28" s="119"/>
      <c r="F28" s="83"/>
      <c r="G28" s="83"/>
      <c r="H28" s="83"/>
      <c r="I28" s="83"/>
      <c r="J28" s="83"/>
      <c r="K28" s="83"/>
      <c r="L28" s="83"/>
      <c r="M28" s="79"/>
      <c r="N28" s="79"/>
      <c r="O28" s="79"/>
      <c r="P28" s="79"/>
      <c r="Q28" s="79"/>
      <c r="R28" s="79"/>
      <c r="S28" s="79"/>
      <c r="T28" s="79"/>
      <c r="U28" s="79"/>
      <c r="V28" s="79" t="s">
        <v>259</v>
      </c>
      <c r="W28" s="84" t="s">
        <v>207</v>
      </c>
      <c r="X28" s="84" t="s">
        <v>208</v>
      </c>
      <c r="Y28" s="84" t="s">
        <v>209</v>
      </c>
      <c r="Z28" s="676"/>
      <c r="AA28" s="79"/>
      <c r="AB28" s="79"/>
      <c r="AC28" s="79"/>
      <c r="AD28" s="79"/>
      <c r="AE28" s="79"/>
      <c r="AF28" s="79"/>
      <c r="AG28" s="79"/>
      <c r="AH28" s="79"/>
      <c r="AI28" s="79"/>
      <c r="AJ28" s="79" t="str">
        <f>HLOOKUP(1,$AJ$13:$AR$17,$E$12+1)</f>
        <v>not yet</v>
      </c>
      <c r="AK28" s="79" t="str">
        <f>HLOOKUP(2,$AJ$13:$AR$17,$E$12+1)</f>
        <v>not yet</v>
      </c>
      <c r="AL28" s="79" t="str">
        <f>HLOOKUP(3,$AJ$13:$AR$17,$E$12+1)</f>
        <v>not yet</v>
      </c>
      <c r="AM28" s="79" t="str">
        <f>HLOOKUP(4,$AJ$13:$AR$17,$E$12+1)</f>
        <v>not yet</v>
      </c>
      <c r="AN28" s="79" t="str">
        <f>HLOOKUP(5,$AJ$13:$AR$17,$E$12+1)</f>
        <v>not yet</v>
      </c>
      <c r="AO28" s="79" t="str">
        <f>HLOOKUP(6,$AJ$13:$AR$17,$E$12+1)</f>
        <v>not yet</v>
      </c>
      <c r="AP28" s="79" t="str">
        <f>HLOOKUP(7,$AJ$13:$AR$17,$E$12+1)</f>
        <v>yes</v>
      </c>
      <c r="AQ28" s="79" t="str">
        <f>HLOOKUP(8,$AJ$13:$AR$17,$E$12+1)</f>
        <v>yes</v>
      </c>
      <c r="AR28" s="79" t="str">
        <f>HLOOKUP(9,$AJ$13:$AR$17,$E$12+1)</f>
        <v>yes</v>
      </c>
    </row>
    <row r="29" spans="1:44" ht="15.75">
      <c r="A29" s="83"/>
      <c r="B29" s="83"/>
      <c r="C29" s="2079" t="s">
        <v>2469</v>
      </c>
      <c r="D29" s="2072"/>
      <c r="E29" s="2073" t="s">
        <v>2155</v>
      </c>
      <c r="F29" s="2074" t="s">
        <v>18</v>
      </c>
      <c r="G29" s="2074" t="s">
        <v>15</v>
      </c>
      <c r="H29" s="2074" t="s">
        <v>16</v>
      </c>
      <c r="I29" s="2074" t="s">
        <v>148</v>
      </c>
      <c r="J29" s="2074" t="s">
        <v>2156</v>
      </c>
      <c r="L29" s="83"/>
      <c r="M29" s="79"/>
      <c r="N29" s="79"/>
      <c r="O29" s="79"/>
      <c r="P29" s="79"/>
      <c r="Q29" s="79"/>
      <c r="R29" s="79"/>
      <c r="S29" s="79"/>
      <c r="T29" s="79"/>
      <c r="U29" s="79"/>
      <c r="V29" s="88">
        <f>100*(+AD23/$E$9)</f>
        <v>289.55018670317844</v>
      </c>
      <c r="W29" s="95">
        <f>EXP(5.7226-(0.68367*LN(+V29)))</f>
        <v>6.3428853010831476</v>
      </c>
      <c r="X29" s="89">
        <f>(+W29*V29)/100</f>
        <v>18.365836231654715</v>
      </c>
      <c r="Y29" s="88">
        <f>100*((((X29/100)-((X29/100)-0.03574)*$E$21)-0.03574-0.00619)/0.344)</f>
        <v>27.95625195437519</v>
      </c>
      <c r="Z29" s="676">
        <f>+$E$20</f>
        <v>0.25</v>
      </c>
      <c r="AA29" s="88">
        <f>Y29+Z29</f>
        <v>28.20625195437519</v>
      </c>
      <c r="AB29" s="88">
        <f>100*($E$17*$E$19+($E$18*(AA29/100))/(1-$E$21))</f>
        <v>24.001698733320922</v>
      </c>
      <c r="AC29" s="89">
        <f>AB29/V29</f>
        <v>8.2893052173802828E-2</v>
      </c>
      <c r="AD29" s="87">
        <f>$E$8/(1-AC29)</f>
        <v>5966350.8173592165</v>
      </c>
      <c r="AE29" s="79" t="str">
        <f>IF(OR(OR(AD29=AD23,AD29=(AD23+1)),AD29=(AD15-1)),"yes","not yet")</f>
        <v>not yet</v>
      </c>
      <c r="AF29" s="88">
        <f>100*(1-AC29)</f>
        <v>91.710694782619711</v>
      </c>
      <c r="AG29" s="79"/>
      <c r="AH29" s="79"/>
      <c r="AI29" s="79">
        <v>1</v>
      </c>
      <c r="AJ29" s="88">
        <f>V5</f>
        <v>331.93513499650163</v>
      </c>
      <c r="AK29" s="88">
        <f>V11</f>
        <v>287.41167250411326</v>
      </c>
      <c r="AL29" s="88">
        <f>V17</f>
        <v>289.6717953830609</v>
      </c>
      <c r="AM29" s="88">
        <f>V23</f>
        <v>289.54287966662736</v>
      </c>
      <c r="AN29" s="88">
        <f>V29</f>
        <v>289.55018670317844</v>
      </c>
      <c r="AO29" s="88">
        <f>V35</f>
        <v>289.54977238655255</v>
      </c>
      <c r="AP29" s="88">
        <f>V41</f>
        <v>289.54978125019448</v>
      </c>
      <c r="AQ29" s="88">
        <f>V47</f>
        <v>289.54978125019448</v>
      </c>
      <c r="AR29" s="88">
        <f>V53</f>
        <v>289.54978125019448</v>
      </c>
    </row>
    <row r="30" spans="1:44">
      <c r="A30" s="83"/>
      <c r="B30" s="83"/>
      <c r="C30" s="2072" t="s">
        <v>217</v>
      </c>
      <c r="D30" s="2072"/>
      <c r="E30" s="2078">
        <v>5960003.5291731441</v>
      </c>
      <c r="F30" s="2078">
        <v>3551024.7535157711</v>
      </c>
      <c r="G30" s="2078">
        <v>1233032.804032597</v>
      </c>
      <c r="H30" s="2078">
        <v>1029694.7766778852</v>
      </c>
      <c r="I30" s="2078">
        <v>146251.19494689128</v>
      </c>
      <c r="J30" s="2134">
        <f>SUM(F30:I30)</f>
        <v>5960003.5291731451</v>
      </c>
      <c r="L30" s="83"/>
      <c r="M30" s="79"/>
      <c r="N30" s="79"/>
      <c r="O30" s="79"/>
      <c r="P30" s="79"/>
      <c r="Q30" s="79"/>
      <c r="R30" s="79"/>
      <c r="S30" s="79"/>
      <c r="T30" s="79"/>
      <c r="U30" s="79"/>
      <c r="V30" s="88">
        <f>100*(+AD24/$E$9)</f>
        <v>289.13518598753927</v>
      </c>
      <c r="W30" s="95">
        <f>EXP(5.70827-(0.68367*LN(+V30)))</f>
        <v>6.258774126598758</v>
      </c>
      <c r="X30" s="89">
        <f>(+W30*V30)/100</f>
        <v>18.096318211481304</v>
      </c>
      <c r="Y30" s="88">
        <f>100*((((X30/100)-((X30/100)-0.03574)*$E$21)-0.03574-0.00619)/0.344)</f>
        <v>27.414081983561239</v>
      </c>
      <c r="Z30" s="676">
        <f>+$E$20</f>
        <v>0.25</v>
      </c>
      <c r="AA30" s="88">
        <f>Y30+Z30</f>
        <v>27.664081983561239</v>
      </c>
      <c r="AB30" s="88">
        <f>100*($E$17*$E$19+($E$18*(AA30/100))/(1-$E$21))</f>
        <v>23.586722627598924</v>
      </c>
      <c r="AC30" s="89">
        <f>AB30/V30</f>
        <v>8.1576797881027979E-2</v>
      </c>
      <c r="AD30" s="87">
        <f>$E$8/(1-AC30)</f>
        <v>5957800.0372205721</v>
      </c>
      <c r="AE30" s="79" t="str">
        <f>IF(OR(OR(AD30=AD24,AD30=(AD24+1)),AD30=(AD24-1)),"yes","not yet")</f>
        <v>not yet</v>
      </c>
      <c r="AF30" s="88">
        <f>100*(1-AC30)</f>
        <v>91.842320211897203</v>
      </c>
      <c r="AG30" s="79"/>
      <c r="AH30" s="79"/>
      <c r="AI30" s="79">
        <v>2</v>
      </c>
      <c r="AJ30" s="88">
        <f>V6</f>
        <v>331.93513499650163</v>
      </c>
      <c r="AK30" s="88">
        <f>V12</f>
        <v>287.01851215425626</v>
      </c>
      <c r="AL30" s="88">
        <f>V18</f>
        <v>289.25329181086801</v>
      </c>
      <c r="AM30" s="88">
        <f>V24</f>
        <v>289.12823094638185</v>
      </c>
      <c r="AN30" s="88">
        <f>V30</f>
        <v>289.13518598753927</v>
      </c>
      <c r="AO30" s="88">
        <f>V36</f>
        <v>289.13479906053419</v>
      </c>
      <c r="AP30" s="88">
        <f>V42</f>
        <v>289.13479725420251</v>
      </c>
      <c r="AQ30" s="88">
        <f>V48</f>
        <v>289.13479725420251</v>
      </c>
      <c r="AR30" s="88">
        <f>V54</f>
        <v>289.13479725420251</v>
      </c>
    </row>
    <row r="31" spans="1:44">
      <c r="A31" s="83"/>
      <c r="B31" s="83"/>
      <c r="C31" s="2072" t="s">
        <v>221</v>
      </c>
      <c r="D31" s="2072"/>
      <c r="E31" s="2078">
        <v>449197.30917314452</v>
      </c>
      <c r="F31" s="2078">
        <v>186451.79032777107</v>
      </c>
      <c r="G31" s="2078">
        <v>96670.724032596816</v>
      </c>
      <c r="H31" s="2078">
        <v>137143.41667788531</v>
      </c>
      <c r="I31" s="2078">
        <v>28931.378134891253</v>
      </c>
      <c r="J31" s="2134">
        <f>SUM(F31:I31)</f>
        <v>449197.30917314452</v>
      </c>
      <c r="L31" s="83"/>
      <c r="M31" s="79"/>
      <c r="N31" s="79"/>
      <c r="O31" s="79"/>
      <c r="P31" s="79"/>
      <c r="Q31" s="79"/>
      <c r="R31" s="79"/>
      <c r="S31" s="79"/>
      <c r="T31" s="79"/>
      <c r="U31" s="79"/>
      <c r="V31" s="88">
        <f>100*(+AD25/$E$9)</f>
        <v>288.85584003678241</v>
      </c>
      <c r="W31" s="95">
        <f>EXP(5.6985-(0.68367*LN(V31)))</f>
        <v>6.2020208458288639</v>
      </c>
      <c r="X31" s="89">
        <f>(+W31*V31)/100</f>
        <v>17.914899413475322</v>
      </c>
      <c r="Y31" s="88">
        <f>100*((((X31/100)-((X31/100)-0.03574)*$E$21)-0.03574-0.00619)/0.344)</f>
        <v>27.04913486664222</v>
      </c>
      <c r="Z31" s="676">
        <f>+$E$20</f>
        <v>0.25</v>
      </c>
      <c r="AA31" s="88">
        <f>Y31+Z31</f>
        <v>27.29913486664222</v>
      </c>
      <c r="AB31" s="88">
        <f>100*($E$17*$E$19+($E$18*(AA31/100))/(1-$E$21))</f>
        <v>23.307392636035274</v>
      </c>
      <c r="AC31" s="89">
        <f>AB31/V31</f>
        <v>8.0688666821025157E-2</v>
      </c>
      <c r="AD31" s="87">
        <f>$E$8/(1-AC31)</f>
        <v>5952044.3078268692</v>
      </c>
      <c r="AE31" s="79" t="str">
        <f>IF(OR(OR(AD31=AD25,AD31=(AD25+1)),AD31=(AD25-1)),"yes","not yet")</f>
        <v>not yet</v>
      </c>
      <c r="AF31" s="88">
        <f>100*(1-AC31)</f>
        <v>91.931133317897491</v>
      </c>
      <c r="AG31" s="79"/>
      <c r="AH31" s="79"/>
      <c r="AI31" s="79">
        <v>3</v>
      </c>
      <c r="AJ31" s="88">
        <f>V7</f>
        <v>331.93513499650163</v>
      </c>
      <c r="AK31" s="88">
        <f>V13</f>
        <v>286.75427836466133</v>
      </c>
      <c r="AL31" s="88">
        <f>V19</f>
        <v>288.97159116767716</v>
      </c>
      <c r="AM31" s="88">
        <f>V25</f>
        <v>288.84911684623063</v>
      </c>
      <c r="AN31" s="88">
        <f>V31</f>
        <v>288.85584003678241</v>
      </c>
      <c r="AO31" s="88">
        <f>V37</f>
        <v>288.85547084352481</v>
      </c>
      <c r="AP31" s="88">
        <f>V43</f>
        <v>288.8555044350079</v>
      </c>
      <c r="AQ31" s="88">
        <f>V49</f>
        <v>288.8555044350079</v>
      </c>
      <c r="AR31" s="88">
        <f>V55</f>
        <v>288.8555044350079</v>
      </c>
    </row>
    <row r="32" spans="1:44">
      <c r="A32" s="83"/>
      <c r="B32" s="83"/>
      <c r="C32" s="2072" t="s">
        <v>13</v>
      </c>
      <c r="D32" s="2072" t="s">
        <v>225</v>
      </c>
      <c r="E32" s="2078">
        <v>5510806.2199999997</v>
      </c>
      <c r="F32" s="2078">
        <v>3364572.963188</v>
      </c>
      <c r="G32" s="2078">
        <v>1136362.08</v>
      </c>
      <c r="H32" s="2078">
        <v>892551.35999999987</v>
      </c>
      <c r="I32" s="2078">
        <v>117319.81681200003</v>
      </c>
      <c r="J32" s="2134">
        <f>SUM(F32:I32)</f>
        <v>5510806.2199999997</v>
      </c>
      <c r="L32" s="83"/>
      <c r="M32" s="79"/>
      <c r="N32" s="79"/>
      <c r="O32" s="79"/>
      <c r="P32" s="79"/>
      <c r="Q32" s="79"/>
      <c r="R32" s="79"/>
      <c r="S32" s="79"/>
      <c r="T32" s="79"/>
      <c r="U32" s="79"/>
      <c r="V32" s="88">
        <f>100*(+AD26/$E$9)</f>
        <v>288.67723786562618</v>
      </c>
      <c r="W32" s="95">
        <f>EXP(5.6922-(0.68367*LN(V32)))</f>
        <v>6.165677541563177</v>
      </c>
      <c r="X32" s="89">
        <f>(+W32*V32)/100</f>
        <v>17.798907622685824</v>
      </c>
      <c r="Y32" s="88">
        <f>100*((((X32/100)-((X32/100)-0.03574)*$E$21)-0.03574-0.00619)/0.344)</f>
        <v>26.815802543309864</v>
      </c>
      <c r="Z32" s="676">
        <f>+$E$20</f>
        <v>0.25</v>
      </c>
      <c r="AA32" s="88">
        <f>Y32+Z32</f>
        <v>27.065802543309864</v>
      </c>
      <c r="AB32" s="88">
        <f>100*($E$17*$E$19+($E$18*(AA32/100))/(1-$E$21))</f>
        <v>23.128800415720743</v>
      </c>
      <c r="AC32" s="89">
        <f>AB32/V32</f>
        <v>8.0119931126979835E-2</v>
      </c>
      <c r="AD32" s="87">
        <f>$E$8/(1-AC32)</f>
        <v>5948364.3280502148</v>
      </c>
      <c r="AE32" s="79" t="str">
        <f>IF(OR(OR(AD32=AD26,AD32=(AD26+1)),AD32=(AD26-1)),"yes","not yet")</f>
        <v>not yet</v>
      </c>
      <c r="AF32" s="88">
        <f>100*(1-AC32)</f>
        <v>91.988006887302021</v>
      </c>
      <c r="AG32" s="79"/>
      <c r="AH32" s="79"/>
      <c r="AI32" s="79">
        <v>4</v>
      </c>
      <c r="AJ32" s="88">
        <f>V8</f>
        <v>331.93513499650163</v>
      </c>
      <c r="AK32" s="88">
        <f>V14</f>
        <v>286.58551114521913</v>
      </c>
      <c r="AL32" s="88">
        <f>V20</f>
        <v>288.79148525785871</v>
      </c>
      <c r="AM32" s="88">
        <f>V26</f>
        <v>288.67066075027867</v>
      </c>
      <c r="AN32" s="88">
        <f>V32</f>
        <v>288.67723786562618</v>
      </c>
      <c r="AO32" s="88">
        <f>V38</f>
        <v>288.67687971817276</v>
      </c>
      <c r="AP32" s="88">
        <f>V44</f>
        <v>288.67691232820749</v>
      </c>
      <c r="AQ32" s="88">
        <f>V50</f>
        <v>288.67691232820749</v>
      </c>
      <c r="AR32" s="88">
        <f>V56</f>
        <v>288.67691232820749</v>
      </c>
    </row>
    <row r="33" spans="1:44">
      <c r="A33" s="83"/>
      <c r="B33" s="83"/>
      <c r="C33" s="2072" t="s">
        <v>53</v>
      </c>
      <c r="D33" s="2072" t="s">
        <v>225</v>
      </c>
      <c r="E33" s="2078">
        <v>5486899.7333500683</v>
      </c>
      <c r="F33" s="2078">
        <v>3293235.2933568172</v>
      </c>
      <c r="G33" s="2078">
        <v>1118601.2205922932</v>
      </c>
      <c r="H33" s="2078">
        <v>936223.76773660653</v>
      </c>
      <c r="I33" s="2078">
        <v>138839.45166435174</v>
      </c>
      <c r="J33" s="2134">
        <f>SUM(F33:I33)</f>
        <v>5486899.7333500683</v>
      </c>
      <c r="L33" s="83"/>
      <c r="M33" s="79"/>
      <c r="N33" s="79"/>
      <c r="O33" s="79"/>
      <c r="P33" s="79"/>
      <c r="Q33" s="79"/>
      <c r="R33" s="79"/>
      <c r="S33" s="79"/>
      <c r="T33" s="79"/>
      <c r="U33" s="79"/>
      <c r="V33" s="79"/>
      <c r="W33" s="79"/>
      <c r="X33" s="79"/>
      <c r="Y33" s="79"/>
      <c r="Z33" s="676"/>
      <c r="AA33" s="79"/>
      <c r="AB33" s="79"/>
      <c r="AC33" s="79"/>
      <c r="AD33" s="79"/>
      <c r="AE33" s="79"/>
      <c r="AF33" s="79"/>
      <c r="AG33" s="79"/>
      <c r="AH33" s="79"/>
      <c r="AI33" s="79"/>
      <c r="AJ33" s="79"/>
      <c r="AK33" s="79"/>
      <c r="AL33" s="79"/>
      <c r="AM33" s="79"/>
      <c r="AN33" s="79"/>
      <c r="AO33" s="79"/>
      <c r="AP33" s="79"/>
      <c r="AQ33" s="79"/>
      <c r="AR33" s="79"/>
    </row>
    <row r="34" spans="1:44">
      <c r="A34" s="83"/>
      <c r="B34" s="83"/>
      <c r="C34" s="2072" t="s">
        <v>231</v>
      </c>
      <c r="D34" s="2072"/>
      <c r="E34" s="2078">
        <v>1973018.7083094008</v>
      </c>
      <c r="F34" s="2078">
        <v>1024811.5498838058</v>
      </c>
      <c r="G34" s="2078">
        <v>518356.11273705174</v>
      </c>
      <c r="H34" s="2078">
        <v>408431.60007676564</v>
      </c>
      <c r="I34" s="2078">
        <v>21419.445611777781</v>
      </c>
      <c r="J34" s="2134">
        <f>SUM(F34:I34)</f>
        <v>1973018.7083094008</v>
      </c>
      <c r="L34" s="83"/>
      <c r="M34" s="79"/>
      <c r="N34" s="79"/>
      <c r="O34" s="79"/>
      <c r="P34" s="79"/>
      <c r="Q34" s="79"/>
      <c r="R34" s="79"/>
      <c r="S34" s="79"/>
      <c r="T34" s="79"/>
      <c r="U34" s="79"/>
      <c r="V34" s="79" t="s">
        <v>260</v>
      </c>
      <c r="W34" s="84" t="s">
        <v>207</v>
      </c>
      <c r="X34" s="84" t="s">
        <v>208</v>
      </c>
      <c r="Y34" s="84" t="s">
        <v>209</v>
      </c>
      <c r="Z34" s="676"/>
      <c r="AA34" s="79"/>
      <c r="AB34" s="79"/>
      <c r="AC34" s="79"/>
      <c r="AD34" s="79"/>
      <c r="AE34" s="79"/>
      <c r="AF34" s="79"/>
      <c r="AG34" s="79"/>
      <c r="AH34" s="79"/>
      <c r="AI34" s="79"/>
      <c r="AJ34" s="79" t="s">
        <v>255</v>
      </c>
      <c r="AK34" s="79"/>
      <c r="AL34" s="79"/>
      <c r="AM34" s="79"/>
      <c r="AN34" s="79"/>
      <c r="AO34" s="79"/>
      <c r="AP34" s="79"/>
      <c r="AQ34" s="79"/>
      <c r="AR34" s="79"/>
    </row>
    <row r="35" spans="1:44">
      <c r="A35" s="79"/>
      <c r="B35" s="79"/>
      <c r="C35" s="90"/>
      <c r="D35" s="79"/>
      <c r="E35" s="2076">
        <f t="shared" ref="E35:J35" si="0">+E31/E32</f>
        <v>8.1512085753061472E-2</v>
      </c>
      <c r="F35" s="2076">
        <f t="shared" si="0"/>
        <v>5.5416182786865255E-2</v>
      </c>
      <c r="G35" s="2076">
        <f t="shared" si="0"/>
        <v>8.507035366104157E-2</v>
      </c>
      <c r="H35" s="2076">
        <f t="shared" si="0"/>
        <v>0.15365324935237937</v>
      </c>
      <c r="I35" s="2076">
        <f t="shared" si="0"/>
        <v>0.2466026535078259</v>
      </c>
      <c r="J35" s="2076">
        <f t="shared" si="0"/>
        <v>8.1512085753061472E-2</v>
      </c>
      <c r="K35" s="79"/>
      <c r="L35" s="79"/>
      <c r="M35" s="79"/>
      <c r="N35" s="79"/>
      <c r="O35" s="79"/>
      <c r="P35" s="79"/>
      <c r="Q35" s="79"/>
      <c r="R35" s="79"/>
      <c r="S35" s="79"/>
      <c r="T35" s="79"/>
      <c r="U35" s="79"/>
      <c r="V35" s="88">
        <f>100*(+AD29/$E$9)</f>
        <v>289.54977238655255</v>
      </c>
      <c r="W35" s="95">
        <f>EXP(5.7226-(0.68367*LN(+V35)))</f>
        <v>6.342891506092152</v>
      </c>
      <c r="X35" s="89">
        <f>(+W35*V35)/100</f>
        <v>18.3658279186158</v>
      </c>
      <c r="Y35" s="88">
        <f>100*((((X35/100)-((X35/100)-0.03574)*$E$21)-0.03574-0.00619)/0.344)</f>
        <v>27.956235231634107</v>
      </c>
      <c r="Z35" s="676">
        <f>+$E$20</f>
        <v>0.25</v>
      </c>
      <c r="AA35" s="88">
        <f>Y35+Z35</f>
        <v>28.206235231634107</v>
      </c>
      <c r="AB35" s="88">
        <f>100*($E$17*$E$19+($E$18*(AA35/100))/(1-$E$21))</f>
        <v>24.001685933759259</v>
      </c>
      <c r="AC35" s="89">
        <f>AB35/V35</f>
        <v>8.2893126580381865E-2</v>
      </c>
      <c r="AD35" s="87">
        <f>ROUND($E$8/(1-AC35),0)</f>
        <v>5966351</v>
      </c>
      <c r="AE35" s="79" t="str">
        <f>IF(OR(OR(AD35=AD29,AD35=(AD29+1)),AD35=(AD21-1)),"yes","not yet")</f>
        <v>not yet</v>
      </c>
      <c r="AF35" s="88">
        <f>100*(1-AC35)</f>
        <v>91.710687341961815</v>
      </c>
      <c r="AG35" s="79"/>
      <c r="AH35" s="79"/>
      <c r="AI35" s="79"/>
      <c r="AJ35" s="88">
        <f>HLOOKUP($AJ$34,$AJ$28:$AR$32,$E$12+1)</f>
        <v>288.8555044350079</v>
      </c>
      <c r="AK35" s="79"/>
      <c r="AL35" s="79"/>
      <c r="AM35" s="79"/>
      <c r="AN35" s="79"/>
      <c r="AO35" s="79"/>
      <c r="AP35" s="79"/>
      <c r="AQ35" s="79"/>
      <c r="AR35" s="79"/>
    </row>
    <row r="36" spans="1:44">
      <c r="A36" s="79"/>
      <c r="B36" s="79"/>
      <c r="E36" s="2076"/>
      <c r="K36" s="79"/>
      <c r="L36" s="79"/>
      <c r="M36" s="79"/>
      <c r="N36" s="79"/>
      <c r="O36" s="79"/>
      <c r="P36" s="79"/>
      <c r="Q36" s="79"/>
      <c r="R36" s="79"/>
      <c r="S36" s="79"/>
      <c r="T36" s="79"/>
      <c r="U36" s="79"/>
      <c r="V36" s="88">
        <f>100*(+AD30/$E$9)</f>
        <v>289.13479906053419</v>
      </c>
      <c r="W36" s="95">
        <f>EXP(5.70827-(0.68367*LN(+V36)))</f>
        <v>6.2587798527707319</v>
      </c>
      <c r="X36" s="89">
        <f>(+W36*V36)/100</f>
        <v>18.096310550949855</v>
      </c>
      <c r="Y36" s="88">
        <f>100*((((X36/100)-((X36/100)-0.03574)*$E$21)-0.03574-0.00619)/0.344)</f>
        <v>27.414066573422392</v>
      </c>
      <c r="Z36" s="676">
        <f>+$E$20</f>
        <v>0.25</v>
      </c>
      <c r="AA36" s="88">
        <f>Y36+Z36</f>
        <v>27.664066573422392</v>
      </c>
      <c r="AB36" s="88">
        <f>100*($E$17*$E$19+($E$18*(AA36/100))/(1-$E$21))</f>
        <v>23.586710832701101</v>
      </c>
      <c r="AC36" s="89">
        <f>AB36/V36</f>
        <v>8.1576866255254565E-2</v>
      </c>
      <c r="AD36" s="87">
        <f>ROUND($E$8/(1-AC36),0)</f>
        <v>5957800</v>
      </c>
      <c r="AE36" s="79" t="str">
        <f>IF(OR(OR(AD36=AD30,AD36=(AD30+1)),AD36=(AD30-1)),"yes","not yet")</f>
        <v>not yet</v>
      </c>
      <c r="AF36" s="88">
        <f>100*(1-AC36)</f>
        <v>91.842313374474543</v>
      </c>
      <c r="AG36" s="79"/>
      <c r="AH36" s="79"/>
      <c r="AI36" s="79"/>
      <c r="AJ36" s="79"/>
      <c r="AK36" s="79"/>
      <c r="AL36" s="79"/>
      <c r="AM36" s="79"/>
      <c r="AN36" s="79"/>
      <c r="AO36" s="79"/>
      <c r="AP36" s="79"/>
      <c r="AQ36" s="79"/>
      <c r="AR36" s="79"/>
    </row>
    <row r="37" spans="1:44" ht="15.75">
      <c r="A37" s="79"/>
      <c r="B37" s="79"/>
      <c r="C37" s="2080" t="s">
        <v>2470</v>
      </c>
      <c r="D37" s="79"/>
      <c r="E37" s="88"/>
      <c r="F37" s="104"/>
      <c r="G37" s="79"/>
      <c r="H37" s="79"/>
      <c r="I37" s="79"/>
      <c r="J37" s="79"/>
      <c r="K37" s="79"/>
      <c r="L37" s="79"/>
      <c r="M37" s="79"/>
      <c r="N37" s="79"/>
      <c r="O37" s="79"/>
      <c r="P37" s="79"/>
      <c r="Q37" s="79"/>
      <c r="R37" s="79"/>
      <c r="S37" s="79"/>
      <c r="T37" s="79"/>
      <c r="U37" s="79"/>
      <c r="V37" s="88">
        <f>100*(+AD31/$E$9)</f>
        <v>288.85547084352481</v>
      </c>
      <c r="W37" s="95">
        <f>EXP(5.6985-(0.68367*LN(V37)))</f>
        <v>6.2020262652490024</v>
      </c>
      <c r="X37" s="89">
        <f>(+W37*V37)/100</f>
        <v>17.914892170324084</v>
      </c>
      <c r="Y37" s="88">
        <f>100*((((X37/100)-((X37/100)-0.03574)*$E$21)-0.03574-0.00619)/0.344)</f>
        <v>27.049120296117056</v>
      </c>
      <c r="Z37" s="676">
        <f>+$E$20</f>
        <v>0.25</v>
      </c>
      <c r="AA37" s="88">
        <f>Y37+Z37</f>
        <v>27.299120296117056</v>
      </c>
      <c r="AB37" s="88">
        <f>100*($E$17*$E$19+($E$18*(AA37/100))/(1-$E$21))</f>
        <v>23.307381483776545</v>
      </c>
      <c r="AC37" s="89">
        <f>AB37/V37</f>
        <v>8.0688731342749356E-2</v>
      </c>
      <c r="AD37" s="87">
        <f>ROUND($E$8/(1-AC37),0)</f>
        <v>5952045</v>
      </c>
      <c r="AE37" s="79" t="str">
        <f>IF(OR(OR(AD37=AD31,AD37=(AD31+1)),AD37=(AD31-1)),"yes","not yet")</f>
        <v>not yet</v>
      </c>
      <c r="AF37" s="88">
        <f>100*(1-AC37)</f>
        <v>91.931126865725062</v>
      </c>
      <c r="AG37" s="79"/>
      <c r="AH37" s="79"/>
      <c r="AI37" s="79"/>
      <c r="AJ37" s="79" t="str">
        <f>HLOOKUP(1,$AJ$13:$AR$17,$E$12+1)</f>
        <v>not yet</v>
      </c>
      <c r="AK37" s="79" t="str">
        <f>HLOOKUP(2,$AJ$13:$AR$17,$E$12+1)</f>
        <v>not yet</v>
      </c>
      <c r="AL37" s="79" t="str">
        <f>HLOOKUP(3,$AJ$13:$AR$17,$E$12+1)</f>
        <v>not yet</v>
      </c>
      <c r="AM37" s="79" t="str">
        <f>HLOOKUP(4,$AJ$13:$AR$17,$E$12+1)</f>
        <v>not yet</v>
      </c>
      <c r="AN37" s="79" t="str">
        <f>HLOOKUP(5,$AJ$13:$AR$17,$E$12+1)</f>
        <v>not yet</v>
      </c>
      <c r="AO37" s="79" t="str">
        <f>HLOOKUP(6,$AJ$13:$AR$17,$E$12+1)</f>
        <v>not yet</v>
      </c>
      <c r="AP37" s="79" t="str">
        <f>HLOOKUP(7,$AJ$13:$AR$17,$E$12+1)</f>
        <v>yes</v>
      </c>
      <c r="AQ37" s="79" t="str">
        <f>HLOOKUP(8,$AJ$13:$AR$17,$E$12+1)</f>
        <v>yes</v>
      </c>
      <c r="AR37" s="79" t="str">
        <f>HLOOKUP(9,$AJ$13:$AR$17,$E$12+1)</f>
        <v>yes</v>
      </c>
    </row>
    <row r="38" spans="1:44">
      <c r="A38" s="79"/>
      <c r="B38" s="79"/>
      <c r="C38" s="2072" t="s">
        <v>217</v>
      </c>
      <c r="D38" s="79"/>
      <c r="E38" s="526">
        <f>+E5</f>
        <v>5959681.6434587883</v>
      </c>
      <c r="F38" s="526">
        <f>+'LG Garbage'!E5</f>
        <v>3529545.6459223749</v>
      </c>
      <c r="G38" s="526">
        <f>+' LG recycle'!E5</f>
        <v>1238277.2218699718</v>
      </c>
      <c r="H38" s="526">
        <f>+'LG Yardwaste'!E5</f>
        <v>1032190.1120877792</v>
      </c>
      <c r="I38" s="526">
        <f>+'LG MF Recycle'!E5</f>
        <v>159668.66357866229</v>
      </c>
      <c r="J38" s="526">
        <f>SUM(F38:I38)</f>
        <v>5959681.6434587883</v>
      </c>
      <c r="K38" s="79"/>
      <c r="L38" s="79"/>
      <c r="M38" s="79"/>
      <c r="N38" s="79"/>
      <c r="O38" s="79"/>
      <c r="P38" s="79"/>
      <c r="Q38" s="79"/>
      <c r="R38" s="79"/>
      <c r="S38" s="79"/>
      <c r="T38" s="79"/>
      <c r="U38" s="79"/>
      <c r="V38" s="88">
        <f>100*(+AD32/$E$9)</f>
        <v>288.67687971817276</v>
      </c>
      <c r="W38" s="95">
        <f>EXP(5.6922-(0.68367*LN(V38)))</f>
        <v>6.1656827712672024</v>
      </c>
      <c r="X38" s="89">
        <f>(+W38*V38)/100</f>
        <v>17.798900637415123</v>
      </c>
      <c r="Y38" s="88">
        <f>100*((((X38/100)-((X38/100)-0.03574)*$E$21)-0.03574-0.00619)/0.344)</f>
        <v>26.815788491544378</v>
      </c>
      <c r="Z38" s="676">
        <f>+$E$20</f>
        <v>0.25</v>
      </c>
      <c r="AA38" s="88">
        <f>Y38+Z38</f>
        <v>27.065788491544378</v>
      </c>
      <c r="AB38" s="88">
        <f>100*($E$17*$E$19+($E$18*(AA38/100))/(1-$E$21))</f>
        <v>23.128789660519917</v>
      </c>
      <c r="AC38" s="89">
        <f>AB38/V38</f>
        <v>8.0119993271022996E-2</v>
      </c>
      <c r="AD38" s="87">
        <f>ROUND($E$8/(1-AC38),0)</f>
        <v>5948365</v>
      </c>
      <c r="AE38" s="79" t="str">
        <f>IF(OR(OR(AD38=AD32,AD38=(AD32+1)),AD38=(AD32-1)),"yes","not yet")</f>
        <v>not yet</v>
      </c>
      <c r="AF38" s="88">
        <f>100*(1-AC38)</f>
        <v>91.988000672897698</v>
      </c>
      <c r="AG38" s="79"/>
      <c r="AH38" s="79"/>
      <c r="AI38" s="79">
        <v>1</v>
      </c>
      <c r="AJ38" s="87">
        <f>AD5</f>
        <v>5922293.9566818858</v>
      </c>
      <c r="AK38" s="87">
        <f>AD11</f>
        <v>5968865.1761133391</v>
      </c>
      <c r="AL38" s="87">
        <f>AD17</f>
        <v>5966208.788633653</v>
      </c>
      <c r="AM38" s="87">
        <f>AD23</f>
        <v>5966359.3546076464</v>
      </c>
      <c r="AN38" s="87">
        <f>AD29</f>
        <v>5966350.8173592165</v>
      </c>
      <c r="AO38" s="87">
        <f>AD35</f>
        <v>5966351</v>
      </c>
      <c r="AP38" s="87">
        <f>AD41</f>
        <v>5966351</v>
      </c>
      <c r="AQ38" s="87">
        <f>AD47</f>
        <v>5966351</v>
      </c>
      <c r="AR38" s="87">
        <f>AD53</f>
        <v>5966351</v>
      </c>
    </row>
    <row r="39" spans="1:44">
      <c r="A39" s="79"/>
      <c r="B39" s="79"/>
      <c r="C39" s="2072" t="s">
        <v>221</v>
      </c>
      <c r="D39" s="79"/>
      <c r="E39" s="526">
        <f>+E6</f>
        <v>448875.42345878825</v>
      </c>
      <c r="F39" s="526">
        <f>+'LG Garbage'!E6</f>
        <v>164972.68273437498</v>
      </c>
      <c r="G39" s="526">
        <f>+' LG recycle'!E6</f>
        <v>101915.14186997172</v>
      </c>
      <c r="H39" s="526">
        <f>+'LG Yardwaste'!E6</f>
        <v>139638.75208777931</v>
      </c>
      <c r="I39" s="526">
        <f>+'LG MF Recycle'!E6</f>
        <v>42348.84676666226</v>
      </c>
      <c r="J39" s="526">
        <f>SUM(F39:I39)</f>
        <v>448875.42345878825</v>
      </c>
      <c r="K39" s="79"/>
      <c r="L39" s="79"/>
      <c r="M39" s="79"/>
      <c r="N39" s="79"/>
      <c r="O39" s="79"/>
      <c r="P39" s="79"/>
      <c r="Q39" s="79"/>
      <c r="R39" s="79"/>
      <c r="S39" s="79"/>
      <c r="T39" s="79"/>
      <c r="U39" s="79"/>
      <c r="V39" s="79"/>
      <c r="W39" s="79"/>
      <c r="X39" s="79"/>
      <c r="Y39" s="79"/>
      <c r="Z39" s="676"/>
      <c r="AA39" s="79"/>
      <c r="AB39" s="79"/>
      <c r="AC39" s="79"/>
      <c r="AD39" s="79"/>
      <c r="AE39" s="79"/>
      <c r="AF39" s="79"/>
      <c r="AG39" s="79"/>
      <c r="AH39" s="79"/>
      <c r="AI39" s="79">
        <v>2</v>
      </c>
      <c r="AJ39" s="87">
        <f>AD6</f>
        <v>5914192.6463082377</v>
      </c>
      <c r="AK39" s="87">
        <f>AD12</f>
        <v>5960241.6530850176</v>
      </c>
      <c r="AL39" s="87">
        <f>AD18</f>
        <v>5957664.6971962368</v>
      </c>
      <c r="AM39" s="87">
        <f>AD24</f>
        <v>5957808.010089051</v>
      </c>
      <c r="AN39" s="87">
        <f>AD30</f>
        <v>5957800.0372205721</v>
      </c>
      <c r="AO39" s="87">
        <f>AD36</f>
        <v>5957800</v>
      </c>
      <c r="AP39" s="87">
        <f>AD42</f>
        <v>5957800</v>
      </c>
      <c r="AQ39" s="87">
        <f>AD48</f>
        <v>5957800</v>
      </c>
      <c r="AR39" s="87">
        <f>AD54</f>
        <v>5957800</v>
      </c>
    </row>
    <row r="40" spans="1:44">
      <c r="A40" s="79"/>
      <c r="B40" s="79"/>
      <c r="C40" s="2072" t="s">
        <v>13</v>
      </c>
      <c r="D40" s="79"/>
      <c r="E40" s="526">
        <f>+E7</f>
        <v>5510806.2199999997</v>
      </c>
      <c r="F40" s="526">
        <f>+'LG Garbage'!E7</f>
        <v>3364572.963188</v>
      </c>
      <c r="G40" s="526">
        <f>+' LG recycle'!E7</f>
        <v>1136362.08</v>
      </c>
      <c r="H40" s="526">
        <f>+'LG Yardwaste'!E7</f>
        <v>892551.35999999987</v>
      </c>
      <c r="I40" s="526">
        <f>+'LG MF Recycle'!E7</f>
        <v>117319.81681200003</v>
      </c>
      <c r="J40" s="526">
        <f>SUM(F40:I40)</f>
        <v>5510806.2199999997</v>
      </c>
      <c r="K40" s="79"/>
      <c r="L40" s="79"/>
      <c r="M40" s="79"/>
      <c r="N40" s="79"/>
      <c r="O40" s="79"/>
      <c r="P40" s="79"/>
      <c r="Q40" s="79"/>
      <c r="R40" s="79"/>
      <c r="S40" s="79"/>
      <c r="T40" s="79"/>
      <c r="U40" s="79"/>
      <c r="V40" s="79" t="s">
        <v>261</v>
      </c>
      <c r="W40" s="84" t="s">
        <v>207</v>
      </c>
      <c r="X40" s="84" t="s">
        <v>208</v>
      </c>
      <c r="Y40" s="84" t="s">
        <v>209</v>
      </c>
      <c r="Z40" s="676"/>
      <c r="AA40" s="79"/>
      <c r="AB40" s="79"/>
      <c r="AC40" s="79"/>
      <c r="AD40" s="79"/>
      <c r="AE40" s="79"/>
      <c r="AF40" s="79"/>
      <c r="AG40" s="79"/>
      <c r="AH40" s="79"/>
      <c r="AI40" s="79">
        <v>3</v>
      </c>
      <c r="AJ40" s="87">
        <f>AD7</f>
        <v>5908747.9468580205</v>
      </c>
      <c r="AK40" s="87">
        <f>AD13</f>
        <v>5954437.0383933904</v>
      </c>
      <c r="AL40" s="87">
        <f>AD19</f>
        <v>5951913.3798118439</v>
      </c>
      <c r="AM40" s="87">
        <f>AD25</f>
        <v>5952051.9152805926</v>
      </c>
      <c r="AN40" s="87">
        <f>AD31</f>
        <v>5952044.3078268692</v>
      </c>
      <c r="AO40" s="87">
        <f>AD37</f>
        <v>5952045</v>
      </c>
      <c r="AP40" s="87">
        <f>AD43</f>
        <v>5952045</v>
      </c>
      <c r="AQ40" s="87">
        <f>AD49</f>
        <v>5952045</v>
      </c>
      <c r="AR40" s="87">
        <f>AD55</f>
        <v>5952045</v>
      </c>
    </row>
    <row r="41" spans="1:44">
      <c r="A41" s="79"/>
      <c r="B41" s="79"/>
      <c r="C41" s="2072" t="s">
        <v>53</v>
      </c>
      <c r="D41" s="79"/>
      <c r="E41" s="526">
        <f>+E8</f>
        <v>5471781.787768648</v>
      </c>
      <c r="F41" s="526">
        <f>+'LG Garbage'!E8</f>
        <v>3261899.0675095823</v>
      </c>
      <c r="G41" s="526">
        <f>+' LG recycle'!E8</f>
        <v>1121385.1778043676</v>
      </c>
      <c r="H41" s="526">
        <f>+'LG Yardwaste'!E8</f>
        <v>936805.85592823348</v>
      </c>
      <c r="I41" s="526">
        <f>+'LG MF Recycle'!E8</f>
        <v>151691.68652646407</v>
      </c>
      <c r="J41" s="526">
        <f>SUM(F41:I41)</f>
        <v>5471781.787768648</v>
      </c>
      <c r="K41" s="79"/>
      <c r="L41" s="79"/>
      <c r="M41" s="79"/>
      <c r="N41" s="79"/>
      <c r="O41" s="79"/>
      <c r="P41" s="79"/>
      <c r="Q41" s="79"/>
      <c r="R41" s="79"/>
      <c r="S41" s="79"/>
      <c r="T41" s="79"/>
      <c r="U41" s="79"/>
      <c r="V41" s="88">
        <f>100*(+AD35/$E$9)</f>
        <v>289.54978125019448</v>
      </c>
      <c r="W41" s="95">
        <f>EXP(5.7226-(0.68367*LN(+V41)))</f>
        <v>6.342891373345747</v>
      </c>
      <c r="X41" s="89">
        <f>(+W41*V41)/100</f>
        <v>18.365828096460067</v>
      </c>
      <c r="Y41" s="88">
        <f>100*((((X41/100)-((X41/100)-0.03574)*$E$21)-0.03574-0.00619)/0.344)</f>
        <v>27.956235589390598</v>
      </c>
      <c r="Z41" s="676">
        <f>+$E$20</f>
        <v>0.25</v>
      </c>
      <c r="AA41" s="88">
        <f>Y41+Z41</f>
        <v>28.206235589390598</v>
      </c>
      <c r="AB41" s="88">
        <f>100*($E$17*$E$19+($E$18*(AA41/100))/(1-$E$21))</f>
        <v>24.001686207585557</v>
      </c>
      <c r="AC41" s="89">
        <f>AB41/V41</f>
        <v>8.2893124988570294E-2</v>
      </c>
      <c r="AD41" s="87">
        <f>ROUND($E$8/(1-AC41),0)</f>
        <v>5966351</v>
      </c>
      <c r="AE41" s="79" t="str">
        <f>IF(OR(OR(AD41=AD35,AD41=(AD35+1)),AD41=(AD27-1)),"yes","not yet")</f>
        <v>yes</v>
      </c>
      <c r="AF41" s="88">
        <f>100*(1-AC41)</f>
        <v>91.710687501142971</v>
      </c>
      <c r="AG41" s="79"/>
      <c r="AH41" s="79"/>
      <c r="AI41" s="79">
        <v>4</v>
      </c>
      <c r="AJ41" s="87">
        <f>AD8</f>
        <v>5905270.394693627</v>
      </c>
      <c r="AK41" s="87">
        <f>AD14</f>
        <v>5950725.8455528654</v>
      </c>
      <c r="AL41" s="87">
        <f>AD20</f>
        <v>5948236.1823988743</v>
      </c>
      <c r="AM41" s="87">
        <f>AD26</f>
        <v>5948371.7078983635</v>
      </c>
      <c r="AN41" s="87">
        <f>AD32</f>
        <v>5948364.3280502148</v>
      </c>
      <c r="AO41" s="87">
        <f>AD38</f>
        <v>5948365</v>
      </c>
      <c r="AP41" s="87">
        <f>AD44</f>
        <v>5948365</v>
      </c>
      <c r="AQ41" s="87">
        <f>AD50</f>
        <v>5948365</v>
      </c>
      <c r="AR41" s="87">
        <f>AD56</f>
        <v>5948365</v>
      </c>
    </row>
    <row r="42" spans="1:44">
      <c r="A42" s="79"/>
      <c r="B42" s="79"/>
      <c r="C42" s="2072" t="s">
        <v>231</v>
      </c>
      <c r="D42" s="96"/>
      <c r="E42" s="526">
        <f>+E9</f>
        <v>2060561.3909425093</v>
      </c>
      <c r="F42" s="526">
        <f>+'LG Garbage'!E9</f>
        <v>1082997.110268815</v>
      </c>
      <c r="G42" s="526">
        <f>+' LG recycle'!E9</f>
        <v>534492.94502091035</v>
      </c>
      <c r="H42" s="526">
        <f>+'LG Yardwaste'!E9</f>
        <v>421356.95351776667</v>
      </c>
      <c r="I42" s="526">
        <f>+'LG MF Recycle'!E9</f>
        <v>21714.382135017277</v>
      </c>
      <c r="J42" s="526">
        <f>SUM(F42:I42)</f>
        <v>2060561.3909425093</v>
      </c>
      <c r="K42" s="79"/>
      <c r="L42" s="79"/>
      <c r="M42" s="79"/>
      <c r="N42" s="79"/>
      <c r="O42" s="79"/>
      <c r="P42" s="79"/>
      <c r="Q42" s="79"/>
      <c r="R42" s="79"/>
      <c r="S42" s="79"/>
      <c r="T42" s="79"/>
      <c r="U42" s="79"/>
      <c r="V42" s="88">
        <f>100*(+AD36/$E$9)</f>
        <v>289.13479725420251</v>
      </c>
      <c r="W42" s="95">
        <f>EXP(5.70827-(0.68367*LN(+V42)))</f>
        <v>6.2587798795028418</v>
      </c>
      <c r="X42" s="89">
        <f>(+W42*V42)/100</f>
        <v>18.096310515187362</v>
      </c>
      <c r="Y42" s="88">
        <f>100*((((X42/100)-((X42/100)-0.03574)*$E$21)-0.03574-0.00619)/0.344)</f>
        <v>27.414066501481553</v>
      </c>
      <c r="Z42" s="676">
        <f>+$E$20</f>
        <v>0.25</v>
      </c>
      <c r="AA42" s="88">
        <f>Y42+Z42</f>
        <v>27.664066501481553</v>
      </c>
      <c r="AB42" s="88">
        <f>100*($E$17*$E$19+($E$18*(AA42/100))/(1-$E$21))</f>
        <v>23.586710777637691</v>
      </c>
      <c r="AC42" s="89">
        <f>AB42/V42</f>
        <v>8.1576866574453316E-2</v>
      </c>
      <c r="AD42" s="87">
        <f>ROUND($E$8/(1-AC42),0)</f>
        <v>5957800</v>
      </c>
      <c r="AE42" s="79" t="str">
        <f>IF(OR(OR(AD42=AD36,AD42=(AD36+1)),AD42=(AD36-1)),"yes","not yet")</f>
        <v>yes</v>
      </c>
      <c r="AF42" s="88">
        <f>100*(1-AC42)</f>
        <v>91.842313342554675</v>
      </c>
      <c r="AG42" s="79"/>
      <c r="AH42" s="79"/>
      <c r="AI42" s="79"/>
      <c r="AJ42" s="79"/>
      <c r="AK42" s="79"/>
      <c r="AL42" s="79"/>
      <c r="AM42" s="79"/>
      <c r="AN42" s="79"/>
      <c r="AO42" s="79"/>
      <c r="AP42" s="79"/>
      <c r="AQ42" s="79"/>
      <c r="AR42" s="79"/>
    </row>
    <row r="43" spans="1:44">
      <c r="A43" s="79"/>
      <c r="B43" s="79"/>
      <c r="C43" s="90"/>
      <c r="D43" s="79"/>
      <c r="E43" s="2075">
        <f t="shared" ref="E43:J43" si="1">+E39/E40</f>
        <v>8.1453675839610315E-2</v>
      </c>
      <c r="F43" s="2075">
        <f t="shared" si="1"/>
        <v>4.9032279739316474E-2</v>
      </c>
      <c r="G43" s="2075">
        <f t="shared" si="1"/>
        <v>8.9685447678764241E-2</v>
      </c>
      <c r="H43" s="2075">
        <f t="shared" si="1"/>
        <v>0.15644898248519765</v>
      </c>
      <c r="I43" s="2077">
        <f t="shared" si="1"/>
        <v>0.36096925410755171</v>
      </c>
      <c r="J43" s="2075">
        <f t="shared" si="1"/>
        <v>8.1453675839610315E-2</v>
      </c>
      <c r="K43" s="79"/>
      <c r="L43" s="79"/>
      <c r="M43" s="79"/>
      <c r="N43" s="79"/>
      <c r="O43" s="79"/>
      <c r="P43" s="79"/>
      <c r="Q43" s="79"/>
      <c r="R43" s="79"/>
      <c r="S43" s="79"/>
      <c r="T43" s="79"/>
      <c r="U43" s="79"/>
      <c r="V43" s="88">
        <f>100*(+AD37/$E$9)</f>
        <v>288.8555044350079</v>
      </c>
      <c r="W43" s="95">
        <f>EXP(5.6985-(0.68367*LN(V43)))</f>
        <v>6.2020257721562002</v>
      </c>
      <c r="X43" s="89">
        <f>(+W43*V43)/100</f>
        <v>17.914892829350986</v>
      </c>
      <c r="Y43" s="88">
        <f>100*((((X43/100)-((X43/100)-0.03574)*$E$21)-0.03574-0.00619)/0.344)</f>
        <v>27.049121621833965</v>
      </c>
      <c r="Z43" s="676">
        <f>+$E$20</f>
        <v>0.25</v>
      </c>
      <c r="AA43" s="88">
        <f>Y43+Z43</f>
        <v>27.299121621833965</v>
      </c>
      <c r="AB43" s="88">
        <f>100*($E$17*$E$19+($E$18*(AA43/100))/(1-$E$21))</f>
        <v>23.307382498478336</v>
      </c>
      <c r="AC43" s="89">
        <f>AB43/V43</f>
        <v>8.0688725472158926E-2</v>
      </c>
      <c r="AD43" s="87">
        <f>ROUND($E$8/(1-AC43),0)</f>
        <v>5952045</v>
      </c>
      <c r="AE43" s="79" t="str">
        <f>IF(OR(OR(AD43=AD37,AD43=(AD37+1)),AD43=(AD37-1)),"yes","not yet")</f>
        <v>yes</v>
      </c>
      <c r="AF43" s="88">
        <f>100*(1-AC43)</f>
        <v>91.931127452784111</v>
      </c>
      <c r="AG43" s="79"/>
      <c r="AH43" s="79"/>
      <c r="AI43" s="79"/>
      <c r="AJ43" s="79" t="s">
        <v>255</v>
      </c>
      <c r="AK43" s="79"/>
      <c r="AL43" s="79"/>
      <c r="AM43" s="79"/>
      <c r="AN43" s="79"/>
      <c r="AO43" s="79"/>
      <c r="AP43" s="79"/>
      <c r="AQ43" s="79"/>
      <c r="AR43" s="79"/>
    </row>
    <row r="44" spans="1:44">
      <c r="A44" s="79"/>
      <c r="B44" s="79"/>
      <c r="C44" s="90"/>
      <c r="D44" s="79"/>
      <c r="E44" s="98"/>
      <c r="F44" s="104"/>
      <c r="G44" s="79"/>
      <c r="H44" s="95"/>
      <c r="I44" s="79"/>
      <c r="J44" s="79"/>
      <c r="K44" s="79"/>
      <c r="L44" s="79"/>
      <c r="M44" s="79"/>
      <c r="N44" s="79"/>
      <c r="O44" s="79"/>
      <c r="P44" s="79"/>
      <c r="Q44" s="79"/>
      <c r="R44" s="79"/>
      <c r="S44" s="79"/>
      <c r="T44" s="79"/>
      <c r="U44" s="79"/>
      <c r="V44" s="88">
        <f>100*(+AD38/$E$9)</f>
        <v>288.67691232820749</v>
      </c>
      <c r="W44" s="95">
        <f>EXP(5.6922-(0.68367*LN(V44)))</f>
        <v>6.1656822950918464</v>
      </c>
      <c r="X44" s="89">
        <f>(+W44*V44)/100</f>
        <v>17.798901273438101</v>
      </c>
      <c r="Y44" s="88">
        <f>100*((((X44/100)-((X44/100)-0.03574)*$E$21)-0.03574-0.00619)/0.344)</f>
        <v>26.815789770985955</v>
      </c>
      <c r="Z44" s="676">
        <f>+$E$20</f>
        <v>0.25</v>
      </c>
      <c r="AA44" s="88">
        <f>Y44+Z44</f>
        <v>27.065789770985955</v>
      </c>
      <c r="AB44" s="88">
        <f>100*($E$17*$E$19+($E$18*(AA44/100))/(1-$E$21))</f>
        <v>23.128790639802634</v>
      </c>
      <c r="AC44" s="89">
        <f>AB44/V44</f>
        <v>8.0119987612679786E-2</v>
      </c>
      <c r="AD44" s="87">
        <f>ROUND($E$8/(1-AC44),0)</f>
        <v>5948365</v>
      </c>
      <c r="AE44" s="79" t="str">
        <f>IF(OR(OR(AD44=AD38,AD44=(AD38+1)),AD44=(AD38-1)),"yes","not yet")</f>
        <v>yes</v>
      </c>
      <c r="AF44" s="88">
        <f>100*(1-AC44)</f>
        <v>91.988001238732025</v>
      </c>
      <c r="AG44" s="79"/>
      <c r="AH44" s="79"/>
      <c r="AI44" s="79"/>
      <c r="AJ44" s="87">
        <f>HLOOKUP($AJ$34,$AJ$37:$AR$41,$E$12+1)</f>
        <v>5952045</v>
      </c>
      <c r="AK44" s="79"/>
      <c r="AL44" s="79"/>
      <c r="AM44" s="79"/>
      <c r="AN44" s="79"/>
      <c r="AO44" s="79"/>
      <c r="AP44" s="79"/>
      <c r="AQ44" s="79"/>
      <c r="AR44" s="79"/>
    </row>
    <row r="45" spans="1:44" ht="15.75">
      <c r="A45" s="79"/>
      <c r="B45" s="79"/>
      <c r="C45" s="2080" t="s">
        <v>2471</v>
      </c>
      <c r="D45" s="79"/>
      <c r="E45" s="98"/>
      <c r="F45" s="79"/>
      <c r="G45" s="79"/>
      <c r="H45" s="95"/>
      <c r="I45" s="79"/>
      <c r="J45" s="79"/>
      <c r="K45" s="79"/>
      <c r="L45" s="79"/>
      <c r="M45" s="79"/>
      <c r="N45" s="79"/>
      <c r="O45" s="79"/>
      <c r="P45" s="79"/>
      <c r="Q45" s="79"/>
      <c r="R45" s="79"/>
      <c r="S45" s="79"/>
      <c r="T45" s="79"/>
      <c r="U45" s="79"/>
      <c r="V45" s="79"/>
      <c r="W45" s="79"/>
      <c r="X45" s="79"/>
      <c r="Y45" s="79"/>
      <c r="Z45" s="676"/>
      <c r="AA45" s="79"/>
      <c r="AB45" s="79"/>
      <c r="AC45" s="79"/>
      <c r="AD45" s="79"/>
      <c r="AE45" s="79"/>
      <c r="AF45" s="79"/>
      <c r="AG45" s="79"/>
      <c r="AH45" s="79"/>
      <c r="AI45" s="79"/>
      <c r="AJ45" s="79"/>
      <c r="AK45" s="79"/>
      <c r="AL45" s="79"/>
      <c r="AM45" s="79"/>
      <c r="AN45" s="79"/>
      <c r="AO45" s="79"/>
      <c r="AP45" s="79"/>
      <c r="AQ45" s="79"/>
      <c r="AR45" s="79"/>
    </row>
    <row r="46" spans="1:44">
      <c r="A46" s="79"/>
      <c r="B46" s="79"/>
      <c r="C46" s="2072" t="s">
        <v>217</v>
      </c>
      <c r="D46" s="79"/>
      <c r="E46" s="526">
        <f t="shared" ref="E46:J46" si="2">+E38-E30</f>
        <v>-321.88571435585618</v>
      </c>
      <c r="F46" s="526">
        <f t="shared" si="2"/>
        <v>-21479.107593396213</v>
      </c>
      <c r="G46" s="526">
        <f t="shared" si="2"/>
        <v>5244.4178373748437</v>
      </c>
      <c r="H46" s="526">
        <f t="shared" si="2"/>
        <v>2495.3354098940035</v>
      </c>
      <c r="I46" s="526">
        <f t="shared" si="2"/>
        <v>13417.468631771015</v>
      </c>
      <c r="J46" s="526">
        <f t="shared" si="2"/>
        <v>-321.8857143567875</v>
      </c>
      <c r="K46" s="79"/>
      <c r="L46" s="79"/>
      <c r="M46" s="79"/>
      <c r="N46" s="79"/>
      <c r="O46" s="79"/>
      <c r="P46" s="79"/>
      <c r="Q46" s="79"/>
      <c r="R46" s="79"/>
      <c r="S46" s="79"/>
      <c r="T46" s="79"/>
      <c r="U46" s="79"/>
      <c r="V46" s="79" t="s">
        <v>262</v>
      </c>
      <c r="W46" s="84" t="s">
        <v>207</v>
      </c>
      <c r="X46" s="84" t="s">
        <v>208</v>
      </c>
      <c r="Y46" s="84" t="s">
        <v>209</v>
      </c>
      <c r="Z46" s="676"/>
      <c r="AA46" s="79"/>
      <c r="AB46" s="79"/>
      <c r="AC46" s="79"/>
      <c r="AD46" s="79"/>
      <c r="AE46" s="79"/>
      <c r="AF46" s="79"/>
      <c r="AG46" s="79"/>
      <c r="AH46" s="79"/>
      <c r="AI46" s="79"/>
      <c r="AJ46" s="79"/>
      <c r="AK46" s="79"/>
      <c r="AL46" s="79"/>
      <c r="AM46" s="79"/>
      <c r="AN46" s="79"/>
      <c r="AO46" s="79"/>
      <c r="AP46" s="79"/>
      <c r="AQ46" s="79"/>
      <c r="AR46" s="79"/>
    </row>
    <row r="47" spans="1:44">
      <c r="A47" s="79"/>
      <c r="B47" s="79"/>
      <c r="C47" s="2072" t="s">
        <v>221</v>
      </c>
      <c r="D47" s="79"/>
      <c r="E47" s="526">
        <f t="shared" ref="E47:J50" si="3">+E39-E31</f>
        <v>-321.88571435626363</v>
      </c>
      <c r="F47" s="526">
        <f t="shared" si="3"/>
        <v>-21479.107593396096</v>
      </c>
      <c r="G47" s="526">
        <f t="shared" si="3"/>
        <v>5244.4178373749019</v>
      </c>
      <c r="H47" s="526">
        <f t="shared" si="3"/>
        <v>2495.3354098940035</v>
      </c>
      <c r="I47" s="526">
        <f t="shared" si="3"/>
        <v>13417.468631771007</v>
      </c>
      <c r="J47" s="526">
        <f t="shared" si="3"/>
        <v>-321.88571435626363</v>
      </c>
      <c r="K47" s="79"/>
      <c r="L47" s="79"/>
      <c r="M47" s="79"/>
      <c r="N47" s="79"/>
      <c r="O47" s="79"/>
      <c r="P47" s="79"/>
      <c r="Q47" s="79"/>
      <c r="R47" s="79"/>
      <c r="S47" s="79"/>
      <c r="T47" s="79"/>
      <c r="U47" s="79"/>
      <c r="V47" s="88">
        <f>100*(+AD41/$E$9)</f>
        <v>289.54978125019448</v>
      </c>
      <c r="W47" s="95">
        <f>EXP(5.7226-(0.68367*LN(+V47)))</f>
        <v>6.342891373345747</v>
      </c>
      <c r="X47" s="89">
        <f>(+W47*V47)/100</f>
        <v>18.365828096460067</v>
      </c>
      <c r="Y47" s="88">
        <f>100*((((X47/100)-((X47/100)-0.03574)*$E$21)-0.03574-0.00619)/0.344)</f>
        <v>27.956235589390598</v>
      </c>
      <c r="Z47" s="676">
        <f>+$E$20</f>
        <v>0.25</v>
      </c>
      <c r="AA47" s="88">
        <f>Y47+Z47</f>
        <v>28.206235589390598</v>
      </c>
      <c r="AB47" s="88">
        <f>100*($E$17*$E$19+($E$18*(AA47/100))/(1-$E$21))</f>
        <v>24.001686207585557</v>
      </c>
      <c r="AC47" s="89">
        <f>AB47/V47</f>
        <v>8.2893124988570294E-2</v>
      </c>
      <c r="AD47" s="87">
        <f>ROUND($E$8/(1-AC47),0)</f>
        <v>5966351</v>
      </c>
      <c r="AE47" s="79" t="str">
        <f>IF(OR(OR(AD47=AD41,AD47=(AD41+1)),AD47=(AD33-1)),"yes","not yet")</f>
        <v>yes</v>
      </c>
      <c r="AF47" s="88">
        <f>100*(1-AC47)</f>
        <v>91.710687501142971</v>
      </c>
      <c r="AG47" s="79"/>
      <c r="AH47" s="79"/>
      <c r="AI47" s="79"/>
      <c r="AJ47" s="79"/>
      <c r="AK47" s="79"/>
      <c r="AL47" s="79"/>
      <c r="AM47" s="79"/>
      <c r="AN47" s="79"/>
      <c r="AO47" s="79"/>
      <c r="AP47" s="79"/>
      <c r="AQ47" s="79"/>
      <c r="AR47" s="79"/>
    </row>
    <row r="48" spans="1:44">
      <c r="A48" s="79"/>
      <c r="B48" s="79"/>
      <c r="C48" s="2072" t="s">
        <v>13</v>
      </c>
      <c r="D48" s="79"/>
      <c r="E48" s="526">
        <f t="shared" si="3"/>
        <v>0</v>
      </c>
      <c r="F48" s="526">
        <f t="shared" si="3"/>
        <v>0</v>
      </c>
      <c r="G48" s="526">
        <f t="shared" si="3"/>
        <v>0</v>
      </c>
      <c r="H48" s="526">
        <f t="shared" si="3"/>
        <v>0</v>
      </c>
      <c r="I48" s="526">
        <f t="shared" si="3"/>
        <v>0</v>
      </c>
      <c r="J48" s="526">
        <f t="shared" si="3"/>
        <v>0</v>
      </c>
      <c r="K48" s="79"/>
      <c r="L48" s="79"/>
      <c r="M48" s="79"/>
      <c r="N48" s="79"/>
      <c r="O48" s="79"/>
      <c r="P48" s="79"/>
      <c r="Q48" s="79"/>
      <c r="R48" s="79"/>
      <c r="S48" s="79"/>
      <c r="T48" s="79"/>
      <c r="U48" s="79"/>
      <c r="V48" s="88">
        <f>100*(+AD42/$E$9)</f>
        <v>289.13479725420251</v>
      </c>
      <c r="W48" s="95">
        <f>EXP(5.70827-(0.68367*LN(+V48)))</f>
        <v>6.2587798795028418</v>
      </c>
      <c r="X48" s="89">
        <f>(+W48*V48)/100</f>
        <v>18.096310515187362</v>
      </c>
      <c r="Y48" s="88">
        <f>100*((((X48/100)-((X48/100)-0.03574)*$E$21)-0.03574-0.00619)/0.344)</f>
        <v>27.414066501481553</v>
      </c>
      <c r="Z48" s="676">
        <f>+$E$20</f>
        <v>0.25</v>
      </c>
      <c r="AA48" s="88">
        <f>Y48+Z48</f>
        <v>27.664066501481553</v>
      </c>
      <c r="AB48" s="88">
        <f>100*($E$17*$E$19+($E$18*(AA48/100))/(1-$E$21))</f>
        <v>23.586710777637691</v>
      </c>
      <c r="AC48" s="89">
        <f>AB48/V48</f>
        <v>8.1576866574453316E-2</v>
      </c>
      <c r="AD48" s="87">
        <f>ROUND($E$8/(1-AC48),0)</f>
        <v>5957800</v>
      </c>
      <c r="AE48" s="79" t="str">
        <f>IF(OR(OR(AD48=AD42,AD48=(AD42+1)),AD48=(AD42-1)),"yes","not yet")</f>
        <v>yes</v>
      </c>
      <c r="AF48" s="88">
        <f>100*(1-AC48)</f>
        <v>91.842313342554675</v>
      </c>
      <c r="AG48" s="79"/>
      <c r="AH48" s="79"/>
      <c r="AI48" s="79"/>
      <c r="AJ48" s="79"/>
      <c r="AK48" s="79"/>
      <c r="AL48" s="79"/>
      <c r="AM48" s="79"/>
      <c r="AN48" s="79"/>
      <c r="AO48" s="79"/>
      <c r="AP48" s="79"/>
      <c r="AQ48" s="79"/>
      <c r="AR48" s="79"/>
    </row>
    <row r="49" spans="1:44">
      <c r="A49" s="79"/>
      <c r="B49" s="79"/>
      <c r="C49" s="2072" t="s">
        <v>53</v>
      </c>
      <c r="D49" s="79"/>
      <c r="E49" s="526">
        <f t="shared" si="3"/>
        <v>-15117.945581420325</v>
      </c>
      <c r="F49" s="526">
        <f t="shared" si="3"/>
        <v>-31336.225847234949</v>
      </c>
      <c r="G49" s="526">
        <f t="shared" si="3"/>
        <v>2783.9572120744269</v>
      </c>
      <c r="H49" s="526">
        <f t="shared" si="3"/>
        <v>582.08819162694272</v>
      </c>
      <c r="I49" s="526">
        <f t="shared" si="3"/>
        <v>12852.234862112324</v>
      </c>
      <c r="J49" s="526">
        <f t="shared" si="3"/>
        <v>-15117.945581420325</v>
      </c>
      <c r="K49" s="79"/>
      <c r="L49" s="79"/>
      <c r="M49" s="79"/>
      <c r="N49" s="79"/>
      <c r="O49" s="79"/>
      <c r="P49" s="79"/>
      <c r="Q49" s="79"/>
      <c r="R49" s="79"/>
      <c r="S49" s="79"/>
      <c r="T49" s="79"/>
      <c r="U49" s="79"/>
      <c r="V49" s="88">
        <f>100*(+AD43/$E$9)</f>
        <v>288.8555044350079</v>
      </c>
      <c r="W49" s="95">
        <f>EXP(5.6985-(0.68367*LN(V49)))</f>
        <v>6.2020257721562002</v>
      </c>
      <c r="X49" s="89">
        <f>(+W49*V49)/100</f>
        <v>17.914892829350986</v>
      </c>
      <c r="Y49" s="88">
        <f>100*((((X49/100)-((X49/100)-0.03574)*$E$21)-0.03574-0.00619)/0.344)</f>
        <v>27.049121621833965</v>
      </c>
      <c r="Z49" s="676">
        <f>+$E$20</f>
        <v>0.25</v>
      </c>
      <c r="AA49" s="88">
        <f>Y49+Z49</f>
        <v>27.299121621833965</v>
      </c>
      <c r="AB49" s="88">
        <f>100*($E$17*$E$19+($E$18*(AA49/100))/(1-$E$21))</f>
        <v>23.307382498478336</v>
      </c>
      <c r="AC49" s="89">
        <f>AB49/V49</f>
        <v>8.0688725472158926E-2</v>
      </c>
      <c r="AD49" s="87">
        <f>ROUND($E$8/(1-AC49),0)</f>
        <v>5952045</v>
      </c>
      <c r="AE49" s="79" t="str">
        <f>IF(OR(OR(AD49=AD43,AD49=(AD43+1)),AD49=(AD43-1)),"yes","not yet")</f>
        <v>yes</v>
      </c>
      <c r="AF49" s="88">
        <f>100*(1-AC49)</f>
        <v>91.931127452784111</v>
      </c>
      <c r="AG49" s="79"/>
      <c r="AH49" s="79"/>
      <c r="AI49" s="79"/>
      <c r="AJ49" s="79"/>
      <c r="AK49" s="79"/>
      <c r="AL49" s="79"/>
      <c r="AM49" s="79"/>
      <c r="AN49" s="79"/>
      <c r="AO49" s="79"/>
      <c r="AP49" s="79"/>
      <c r="AQ49" s="79"/>
      <c r="AR49" s="79"/>
    </row>
    <row r="50" spans="1:44">
      <c r="A50" s="79"/>
      <c r="B50" s="79"/>
      <c r="C50" s="2072" t="s">
        <v>231</v>
      </c>
      <c r="D50" s="79"/>
      <c r="E50" s="526">
        <f t="shared" si="3"/>
        <v>87542.682633108459</v>
      </c>
      <c r="F50" s="526">
        <f t="shared" si="3"/>
        <v>58185.560385009157</v>
      </c>
      <c r="G50" s="526">
        <f t="shared" si="3"/>
        <v>16136.832283858617</v>
      </c>
      <c r="H50" s="526">
        <f t="shared" si="3"/>
        <v>12925.353441001032</v>
      </c>
      <c r="I50" s="526">
        <f t="shared" si="3"/>
        <v>294.93652323949573</v>
      </c>
      <c r="J50" s="526">
        <f t="shared" si="3"/>
        <v>87542.682633108459</v>
      </c>
      <c r="K50" s="79"/>
      <c r="L50" s="79"/>
      <c r="M50" s="79"/>
      <c r="N50" s="79"/>
      <c r="O50" s="79"/>
      <c r="P50" s="79"/>
      <c r="Q50" s="79"/>
      <c r="R50" s="79"/>
      <c r="S50" s="79"/>
      <c r="T50" s="79"/>
      <c r="U50" s="79"/>
      <c r="V50" s="88">
        <f>100*(+AD44/$E$9)</f>
        <v>288.67691232820749</v>
      </c>
      <c r="W50" s="95">
        <f>EXP(5.6922-(0.68367*LN(V50)))</f>
        <v>6.1656822950918464</v>
      </c>
      <c r="X50" s="89">
        <f>(+W50*V50)/100</f>
        <v>17.798901273438101</v>
      </c>
      <c r="Y50" s="88">
        <f>100*((((X50/100)-((X50/100)-0.03574)*$E$21)-0.03574-0.00619)/0.344)</f>
        <v>26.815789770985955</v>
      </c>
      <c r="Z50" s="676">
        <f>+$E$20</f>
        <v>0.25</v>
      </c>
      <c r="AA50" s="88">
        <f>Y50+Z50</f>
        <v>27.065789770985955</v>
      </c>
      <c r="AB50" s="88">
        <f>100*($E$17*$E$19+($E$18*(AA50/100))/(1-$E$21))</f>
        <v>23.128790639802634</v>
      </c>
      <c r="AC50" s="89">
        <f>AB50/V50</f>
        <v>8.0119987612679786E-2</v>
      </c>
      <c r="AD50" s="87">
        <f>ROUND($E$8/(1-AC50),0)</f>
        <v>5948365</v>
      </c>
      <c r="AE50" s="79" t="str">
        <f>IF(OR(OR(AD50=AD44,AD50=(AD44+1)),AD50=(AD44-1)),"yes","not yet")</f>
        <v>yes</v>
      </c>
      <c r="AF50" s="88">
        <f>100*(1-AC50)</f>
        <v>91.988001238732025</v>
      </c>
      <c r="AG50" s="79"/>
      <c r="AH50" s="79"/>
      <c r="AI50" s="79"/>
      <c r="AJ50" s="79"/>
      <c r="AK50" s="79"/>
      <c r="AL50" s="79"/>
      <c r="AM50" s="79"/>
      <c r="AN50" s="79"/>
      <c r="AO50" s="79"/>
      <c r="AP50" s="79"/>
      <c r="AQ50" s="79"/>
      <c r="AR50" s="79"/>
    </row>
    <row r="51" spans="1:44">
      <c r="A51" s="79"/>
      <c r="B51" s="79"/>
      <c r="C51" s="79"/>
      <c r="D51" s="79"/>
      <c r="E51" s="100">
        <f t="shared" ref="E51:J51" si="4">+E43-E35</f>
        <v>-5.8409913451157314E-5</v>
      </c>
      <c r="F51" s="100">
        <f t="shared" si="4"/>
        <v>-6.3839030475487807E-3</v>
      </c>
      <c r="G51" s="100">
        <f t="shared" si="4"/>
        <v>4.6150940177226707E-3</v>
      </c>
      <c r="H51" s="100">
        <f t="shared" si="4"/>
        <v>2.7957331328182788E-3</v>
      </c>
      <c r="I51" s="100">
        <f t="shared" si="4"/>
        <v>0.11436660059972581</v>
      </c>
      <c r="J51" s="100">
        <f t="shared" si="4"/>
        <v>-5.8409913451157314E-5</v>
      </c>
      <c r="K51" s="79"/>
      <c r="L51" s="79"/>
      <c r="M51" s="79"/>
      <c r="N51" s="79"/>
      <c r="O51" s="79"/>
      <c r="P51" s="79"/>
      <c r="Q51" s="79"/>
      <c r="R51" s="79"/>
      <c r="S51" s="79"/>
      <c r="T51" s="79"/>
      <c r="U51" s="79"/>
      <c r="V51" s="79"/>
      <c r="W51" s="79"/>
      <c r="X51" s="79"/>
      <c r="Y51" s="79"/>
      <c r="Z51" s="676"/>
      <c r="AA51" s="79"/>
      <c r="AB51" s="79"/>
      <c r="AC51" s="79"/>
      <c r="AD51" s="79"/>
      <c r="AE51" s="79"/>
      <c r="AF51" s="79"/>
      <c r="AG51" s="79"/>
      <c r="AH51" s="79"/>
      <c r="AI51" s="79"/>
      <c r="AJ51" s="79"/>
      <c r="AK51" s="79"/>
      <c r="AL51" s="79"/>
      <c r="AM51" s="79"/>
      <c r="AN51" s="79"/>
      <c r="AO51" s="79"/>
      <c r="AP51" s="79"/>
      <c r="AQ51" s="79"/>
      <c r="AR51" s="79"/>
    </row>
    <row r="52" spans="1:44">
      <c r="A52" s="79"/>
      <c r="B52" s="79"/>
      <c r="C52" s="79"/>
      <c r="D52" s="79"/>
      <c r="E52" s="79"/>
      <c r="F52" s="79"/>
      <c r="G52" s="79"/>
      <c r="H52" s="79"/>
      <c r="I52" s="79"/>
      <c r="J52" s="79"/>
      <c r="K52" s="79"/>
      <c r="L52" s="79"/>
      <c r="M52" s="79"/>
      <c r="N52" s="79"/>
      <c r="O52" s="79"/>
      <c r="P52" s="79"/>
      <c r="Q52" s="79"/>
      <c r="R52" s="79"/>
      <c r="S52" s="79"/>
      <c r="T52" s="79"/>
      <c r="U52" s="79"/>
      <c r="V52" s="79" t="s">
        <v>263</v>
      </c>
      <c r="W52" s="84" t="s">
        <v>207</v>
      </c>
      <c r="X52" s="84" t="s">
        <v>208</v>
      </c>
      <c r="Y52" s="84" t="s">
        <v>209</v>
      </c>
      <c r="Z52" s="676"/>
      <c r="AA52" s="79"/>
      <c r="AB52" s="79"/>
      <c r="AC52" s="79"/>
      <c r="AD52" s="79"/>
      <c r="AE52" s="79"/>
      <c r="AF52" s="79"/>
      <c r="AG52" s="79"/>
      <c r="AH52" s="79"/>
      <c r="AI52" s="79"/>
      <c r="AJ52" s="79"/>
      <c r="AK52" s="79"/>
      <c r="AL52" s="79"/>
      <c r="AM52" s="79"/>
      <c r="AN52" s="79"/>
      <c r="AO52" s="79"/>
      <c r="AP52" s="79"/>
      <c r="AQ52" s="79"/>
      <c r="AR52" s="79"/>
    </row>
    <row r="53" spans="1:44">
      <c r="A53" s="79"/>
      <c r="B53" s="79"/>
      <c r="C53" s="79"/>
      <c r="D53" s="79"/>
      <c r="E53" s="79"/>
      <c r="F53" s="79"/>
      <c r="G53" s="79"/>
      <c r="H53" s="79"/>
      <c r="I53" s="79"/>
      <c r="J53" s="79"/>
      <c r="K53" s="79"/>
      <c r="L53" s="79"/>
      <c r="M53" s="79"/>
      <c r="N53" s="79"/>
      <c r="O53" s="79"/>
      <c r="P53" s="79"/>
      <c r="Q53" s="79"/>
      <c r="R53" s="79"/>
      <c r="S53" s="79"/>
      <c r="T53" s="79"/>
      <c r="U53" s="79"/>
      <c r="V53" s="88">
        <f>100*(+AD47/$E$9)</f>
        <v>289.54978125019448</v>
      </c>
      <c r="W53" s="95">
        <f>EXP(5.7226-(0.68367*LN(+V53)))</f>
        <v>6.342891373345747</v>
      </c>
      <c r="X53" s="89">
        <f>(+W53*V53)/100</f>
        <v>18.365828096460067</v>
      </c>
      <c r="Y53" s="88">
        <f>100*((((X53/100)-((X53/100)-0.03574)*$E$21)-0.03574-0.00619)/0.344)</f>
        <v>27.956235589390598</v>
      </c>
      <c r="Z53" s="676">
        <f>+$E$20</f>
        <v>0.25</v>
      </c>
      <c r="AA53" s="88">
        <f>Y53+Z53</f>
        <v>28.206235589390598</v>
      </c>
      <c r="AB53" s="88">
        <f>100*($E$17*$E$19+($E$18*(AA53/100))/(1-$E$21))</f>
        <v>24.001686207585557</v>
      </c>
      <c r="AC53" s="89">
        <f>AB53/V53</f>
        <v>8.2893124988570294E-2</v>
      </c>
      <c r="AD53" s="87">
        <f>ROUND($E$8/(1-AC53),0)</f>
        <v>5966351</v>
      </c>
      <c r="AE53" s="79" t="str">
        <f>IF(OR(OR(AD53=AD47,AD53=(AD47+1)),AD53=(AD39-1)),"yes","not yet")</f>
        <v>yes</v>
      </c>
      <c r="AF53" s="88">
        <f>100*(1-AC53)</f>
        <v>91.710687501142971</v>
      </c>
      <c r="AG53" s="79"/>
      <c r="AH53" s="79"/>
      <c r="AI53" s="79"/>
      <c r="AJ53" s="79"/>
      <c r="AK53" s="79"/>
      <c r="AL53" s="79"/>
      <c r="AM53" s="79"/>
      <c r="AN53" s="79"/>
      <c r="AO53" s="79"/>
      <c r="AP53" s="79"/>
      <c r="AQ53" s="79"/>
      <c r="AR53" s="79"/>
    </row>
    <row r="54" spans="1:44">
      <c r="A54" s="79"/>
      <c r="B54" s="79"/>
      <c r="C54" s="79"/>
      <c r="D54" s="79"/>
      <c r="E54" s="79"/>
      <c r="F54" s="79"/>
      <c r="G54" s="79"/>
      <c r="H54" s="79"/>
      <c r="I54" s="79"/>
      <c r="J54" s="79"/>
      <c r="K54" s="79"/>
      <c r="L54" s="79"/>
      <c r="M54" s="79"/>
      <c r="N54" s="79"/>
      <c r="O54" s="79"/>
      <c r="P54" s="79"/>
      <c r="Q54" s="79"/>
      <c r="R54" s="79"/>
      <c r="S54" s="79"/>
      <c r="T54" s="79"/>
      <c r="U54" s="79"/>
      <c r="V54" s="88">
        <f>100*(+AD48/$E$9)</f>
        <v>289.13479725420251</v>
      </c>
      <c r="W54" s="95">
        <f>EXP(5.70827-(0.68367*LN(+V54)))</f>
        <v>6.2587798795028418</v>
      </c>
      <c r="X54" s="89">
        <f>(+W54*V54)/100</f>
        <v>18.096310515187362</v>
      </c>
      <c r="Y54" s="88">
        <f>100*((((X54/100)-((X54/100)-0.03574)*$E$21)-0.03574-0.00619)/0.344)</f>
        <v>27.414066501481553</v>
      </c>
      <c r="Z54" s="676">
        <f>+$E$20</f>
        <v>0.25</v>
      </c>
      <c r="AA54" s="88">
        <f>Y54+Z54</f>
        <v>27.664066501481553</v>
      </c>
      <c r="AB54" s="88">
        <f>100*($E$17*$E$19+($E$18*(AA54/100))/(1-$E$21))</f>
        <v>23.586710777637691</v>
      </c>
      <c r="AC54" s="89">
        <f>AB54/V54</f>
        <v>8.1576866574453316E-2</v>
      </c>
      <c r="AD54" s="87">
        <f>ROUND($E$8/(1-AC54),0)</f>
        <v>5957800</v>
      </c>
      <c r="AE54" s="79" t="str">
        <f>IF(OR(OR(AD54=AD48,AD54=(AD48+1)),AD54=(AD48-1)),"yes","not yet")</f>
        <v>yes</v>
      </c>
      <c r="AF54" s="88">
        <f>100*(1-AC54)</f>
        <v>91.842313342554675</v>
      </c>
      <c r="AG54" s="79"/>
      <c r="AH54" s="79"/>
      <c r="AI54" s="79"/>
      <c r="AJ54" s="79"/>
      <c r="AK54" s="79"/>
      <c r="AL54" s="79"/>
      <c r="AM54" s="79"/>
      <c r="AN54" s="79"/>
      <c r="AO54" s="79"/>
      <c r="AP54" s="79"/>
      <c r="AQ54" s="79"/>
      <c r="AR54" s="79"/>
    </row>
    <row r="55" spans="1:44">
      <c r="A55" s="79"/>
      <c r="B55" s="79"/>
      <c r="C55" s="79"/>
      <c r="D55" s="79"/>
      <c r="E55" s="79"/>
      <c r="F55" s="79"/>
      <c r="G55" s="79"/>
      <c r="H55" s="79"/>
      <c r="I55" s="79"/>
      <c r="J55" s="79"/>
      <c r="K55" s="79"/>
      <c r="L55" s="79"/>
      <c r="M55" s="79"/>
      <c r="N55" s="79"/>
      <c r="O55" s="79"/>
      <c r="P55" s="79"/>
      <c r="Q55" s="79"/>
      <c r="R55" s="79"/>
      <c r="S55" s="79"/>
      <c r="T55" s="79"/>
      <c r="U55" s="79"/>
      <c r="V55" s="88">
        <f>100*(+AD49/$E$9)</f>
        <v>288.8555044350079</v>
      </c>
      <c r="W55" s="95">
        <f>EXP(5.6985-(0.68367*LN(V55)))</f>
        <v>6.2020257721562002</v>
      </c>
      <c r="X55" s="89">
        <f>(+W55*V55)/100</f>
        <v>17.914892829350986</v>
      </c>
      <c r="Y55" s="88">
        <f>100*((((X55/100)-((X55/100)-0.03574)*$E$21)-0.03574-0.00619)/0.344)</f>
        <v>27.049121621833965</v>
      </c>
      <c r="Z55" s="676">
        <f>+$E$20</f>
        <v>0.25</v>
      </c>
      <c r="AA55" s="88">
        <f>Y55+Z55</f>
        <v>27.299121621833965</v>
      </c>
      <c r="AB55" s="88">
        <f>100*($E$17*$E$19+($E$18*(AA55/100))/(1-$E$21))</f>
        <v>23.307382498478336</v>
      </c>
      <c r="AC55" s="89">
        <f>AB55/V55</f>
        <v>8.0688725472158926E-2</v>
      </c>
      <c r="AD55" s="87">
        <f>ROUND($E$8/(1-AC55),0)</f>
        <v>5952045</v>
      </c>
      <c r="AE55" s="79" t="str">
        <f>IF(OR(OR(AD55=AD49,AD55=(AD49+1)),AD55=(AD49-1)),"yes","not yet")</f>
        <v>yes</v>
      </c>
      <c r="AF55" s="88">
        <f>100*(1-AC55)</f>
        <v>91.931127452784111</v>
      </c>
      <c r="AG55" s="79"/>
      <c r="AH55" s="79"/>
      <c r="AI55" s="79"/>
      <c r="AJ55" s="79"/>
      <c r="AK55" s="79"/>
      <c r="AL55" s="79"/>
      <c r="AM55" s="79"/>
      <c r="AN55" s="79"/>
      <c r="AO55" s="79"/>
      <c r="AP55" s="79"/>
      <c r="AQ55" s="79"/>
      <c r="AR55" s="79"/>
    </row>
    <row r="56" spans="1:44">
      <c r="A56" s="79"/>
      <c r="B56" s="79"/>
      <c r="C56" s="79"/>
      <c r="D56" s="79"/>
      <c r="E56" s="79"/>
      <c r="F56" s="79"/>
      <c r="G56" s="79"/>
      <c r="H56" s="79"/>
      <c r="I56" s="79"/>
      <c r="J56" s="79"/>
      <c r="K56" s="79"/>
      <c r="L56" s="79"/>
      <c r="M56" s="79"/>
      <c r="N56" s="79"/>
      <c r="O56" s="79"/>
      <c r="P56" s="79"/>
      <c r="Q56" s="79"/>
      <c r="R56" s="79"/>
      <c r="S56" s="79"/>
      <c r="T56" s="79"/>
      <c r="U56" s="79"/>
      <c r="V56" s="88">
        <f>100*(+AD50/$E$9)</f>
        <v>288.67691232820749</v>
      </c>
      <c r="W56" s="95">
        <f>EXP(5.6922-(0.68367*LN(V56)))</f>
        <v>6.1656822950918464</v>
      </c>
      <c r="X56" s="89">
        <f>(+W56*V56)/100</f>
        <v>17.798901273438101</v>
      </c>
      <c r="Y56" s="88">
        <f>100*((((X56/100)-((X56/100)-0.03574)*$E$21)-0.03574-0.00619)/0.344)</f>
        <v>26.815789770985955</v>
      </c>
      <c r="Z56" s="676">
        <f>+$E$20</f>
        <v>0.25</v>
      </c>
      <c r="AA56" s="88">
        <f>Y56+Z56</f>
        <v>27.065789770985955</v>
      </c>
      <c r="AB56" s="88">
        <f>100*($E$17*$E$19+($E$18*(AA56/100))/(1-$E$21))</f>
        <v>23.128790639802634</v>
      </c>
      <c r="AC56" s="89">
        <f>AB56/V56</f>
        <v>8.0119987612679786E-2</v>
      </c>
      <c r="AD56" s="87">
        <f>ROUND($E$8/(1-AC56),0)</f>
        <v>5948365</v>
      </c>
      <c r="AE56" s="79" t="str">
        <f>IF(OR(OR(AD56=AD50,AD56=(AD50+1)),AD56=(AD50-1)),"yes","not yet")</f>
        <v>yes</v>
      </c>
      <c r="AF56" s="88">
        <f>100*(1-AC56)</f>
        <v>91.988001238732025</v>
      </c>
      <c r="AG56" s="79"/>
      <c r="AH56" s="79"/>
      <c r="AI56" s="79"/>
      <c r="AJ56" s="79"/>
      <c r="AK56" s="79"/>
      <c r="AL56" s="79"/>
      <c r="AM56" s="79"/>
      <c r="AN56" s="79"/>
      <c r="AO56" s="79"/>
      <c r="AP56" s="79"/>
      <c r="AQ56" s="79"/>
      <c r="AR56" s="79"/>
    </row>
  </sheetData>
  <customSheetViews>
    <customSheetView guid="{3B54C4DD-9207-4EC3-9D58-6DDE29113D77}" scale="75" showPageBreaks="1" showGridLines="0" fitToPage="1" printArea="1" showRuler="0">
      <selection activeCell="E9" sqref="E9"/>
      <pageMargins left="0.75" right="0.75" top="1" bottom="1" header="0.5" footer="0.5"/>
      <pageSetup scale="85" orientation="landscape" horizontalDpi="1200" verticalDpi="1200" r:id="rId1"/>
      <headerFooter alignWithMargins="0">
        <oddHeader>&amp;L&amp;12&amp;A</oddHeader>
      </headerFooter>
    </customSheetView>
    <customSheetView guid="{F69ABAD1-EF76-489D-B027-1BD1F4CFE8A6}" scale="75" showGridLines="0" fitToPage="1">
      <selection activeCell="E9" sqref="E9"/>
      <pageMargins left="0.75" right="0.75" top="1" bottom="1" header="0.5" footer="0.5"/>
      <pageSetup scale="85" orientation="landscape" horizontalDpi="1200" verticalDpi="1200" r:id="rId2"/>
      <headerFooter alignWithMargins="0">
        <oddHeader>&amp;L&amp;12&amp;A</oddHeader>
      </headerFooter>
    </customSheetView>
  </customSheetViews>
  <phoneticPr fontId="0" type="noConversion"/>
  <pageMargins left="0.75" right="0.75" top="1" bottom="1" header="0.5" footer="0.5"/>
  <pageSetup scale="87" orientation="landscape" r:id="rId3"/>
  <headerFooter alignWithMargins="0">
    <oddHeader>&amp;L&amp;12&amp;A</oddHead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indexed="58"/>
    <pageSetUpPr fitToPage="1"/>
  </sheetPr>
  <dimension ref="A1:N29"/>
  <sheetViews>
    <sheetView showGridLines="0" workbookViewId="0">
      <selection activeCell="B29" sqref="B29:M29"/>
    </sheetView>
  </sheetViews>
  <sheetFormatPr defaultColWidth="10.6640625" defaultRowHeight="12.75"/>
  <cols>
    <col min="1" max="1" width="31.6640625" style="361" bestFit="1" customWidth="1"/>
    <col min="2" max="13" width="12.5" style="361" customWidth="1"/>
    <col min="14" max="14" width="13.33203125" style="361" bestFit="1" customWidth="1"/>
    <col min="15" max="15" width="11.6640625" style="361" bestFit="1" customWidth="1"/>
    <col min="16" max="16384" width="10.6640625" style="361"/>
  </cols>
  <sheetData>
    <row r="1" spans="1:14">
      <c r="A1" s="361" t="s">
        <v>461</v>
      </c>
    </row>
    <row r="3" spans="1:14">
      <c r="A3" s="361" t="s">
        <v>425</v>
      </c>
      <c r="B3" s="361">
        <f t="shared" ref="B3:M3" si="0">MONTH(B$4)</f>
        <v>5</v>
      </c>
      <c r="C3" s="361">
        <f t="shared" si="0"/>
        <v>6</v>
      </c>
      <c r="D3" s="361">
        <f t="shared" si="0"/>
        <v>7</v>
      </c>
      <c r="E3" s="361">
        <f t="shared" si="0"/>
        <v>8</v>
      </c>
      <c r="F3" s="361">
        <f t="shared" si="0"/>
        <v>9</v>
      </c>
      <c r="G3" s="361">
        <f t="shared" si="0"/>
        <v>10</v>
      </c>
      <c r="H3" s="361">
        <f t="shared" si="0"/>
        <v>11</v>
      </c>
      <c r="I3" s="361">
        <f t="shared" si="0"/>
        <v>12</v>
      </c>
      <c r="J3" s="361">
        <f t="shared" si="0"/>
        <v>1</v>
      </c>
      <c r="K3" s="361">
        <f t="shared" si="0"/>
        <v>2</v>
      </c>
      <c r="L3" s="361">
        <f t="shared" si="0"/>
        <v>3</v>
      </c>
      <c r="M3" s="361">
        <f t="shared" si="0"/>
        <v>4</v>
      </c>
    </row>
    <row r="4" spans="1:14">
      <c r="B4" s="425">
        <f>Disposal!F7</f>
        <v>41425</v>
      </c>
      <c r="C4" s="425">
        <f>Disposal!G7</f>
        <v>41455</v>
      </c>
      <c r="D4" s="425">
        <f>Disposal!H7</f>
        <v>41486</v>
      </c>
      <c r="E4" s="425">
        <f>Disposal!I7</f>
        <v>41517</v>
      </c>
      <c r="F4" s="425">
        <f>Disposal!J7</f>
        <v>41547</v>
      </c>
      <c r="G4" s="425">
        <f>Disposal!K7</f>
        <v>41578</v>
      </c>
      <c r="H4" s="425">
        <f>Disposal!L7</f>
        <v>41608</v>
      </c>
      <c r="I4" s="425">
        <f>Disposal!M7</f>
        <v>41639</v>
      </c>
      <c r="J4" s="425">
        <f>Disposal!N7</f>
        <v>41670</v>
      </c>
      <c r="K4" s="425">
        <f>Disposal!O7</f>
        <v>41698</v>
      </c>
      <c r="L4" s="425">
        <f>Disposal!P7</f>
        <v>41729</v>
      </c>
      <c r="M4" s="425">
        <f>Disposal!Q7</f>
        <v>41759</v>
      </c>
    </row>
    <row r="5" spans="1:14">
      <c r="N5" s="431"/>
    </row>
    <row r="6" spans="1:14">
      <c r="A6" s="362" t="s">
        <v>462</v>
      </c>
      <c r="B6" s="1271">
        <f>'Roll-off Stats'!N58+'Roll-off Stats'!N67+'Roll-off Stats'!N72</f>
        <v>4108</v>
      </c>
      <c r="C6" s="1271">
        <f>'Roll-off Stats'!M58+'Roll-off Stats'!M67+'Roll-off Stats'!M72</f>
        <v>3880</v>
      </c>
      <c r="D6" s="1271">
        <f>'Roll-off Stats'!L58+'Roll-off Stats'!L67+'Roll-off Stats'!L72</f>
        <v>4315</v>
      </c>
      <c r="E6" s="1271">
        <f>'Roll-off Stats'!K58+'Roll-off Stats'!K67+'Roll-off Stats'!K72</f>
        <v>4365</v>
      </c>
      <c r="F6" s="1271">
        <f>'Roll-off Stats'!J58+'Roll-off Stats'!J67+'Roll-off Stats'!J72</f>
        <v>4012</v>
      </c>
      <c r="G6" s="1271">
        <f>'Roll-off Stats'!I58+'Roll-off Stats'!I67+'Roll-off Stats'!I72</f>
        <v>5559</v>
      </c>
      <c r="H6" s="1271">
        <f>'Roll-off Stats'!H58+'Roll-off Stats'!H67+'Roll-off Stats'!H72</f>
        <v>4383</v>
      </c>
      <c r="I6" s="1271">
        <f>'Roll-off Stats'!G58+'Roll-off Stats'!G67+'Roll-off Stats'!G72</f>
        <v>4088</v>
      </c>
      <c r="J6" s="1271">
        <f>'Roll-off Stats'!F58+'Roll-off Stats'!F67+'Roll-off Stats'!F72</f>
        <v>4181</v>
      </c>
      <c r="K6" s="1271">
        <f>'Roll-off Stats'!E58+'Roll-off Stats'!E67+'Roll-off Stats'!E72</f>
        <v>3532</v>
      </c>
      <c r="L6" s="1271">
        <f>'Roll-off Stats'!D58+'Roll-off Stats'!D67+'Roll-off Stats'!D72</f>
        <v>4034</v>
      </c>
      <c r="M6" s="1271">
        <f>'Roll-off Stats'!C58+'Roll-off Stats'!C67+'Roll-off Stats'!C72</f>
        <v>4302</v>
      </c>
      <c r="N6" s="1274">
        <f>SUM(B6:M6)</f>
        <v>50759</v>
      </c>
    </row>
    <row r="7" spans="1:14">
      <c r="A7" s="362" t="s">
        <v>463</v>
      </c>
      <c r="B7" s="1271">
        <f>[21]Summary!$J$19*(SUM('[19]PT Revenue x LOB &amp; CC'!C65)/SUM('[19]PT Revenue x LOB &amp; CC'!$O$65))</f>
        <v>110.8435434115674</v>
      </c>
      <c r="C7" s="1271">
        <f>[21]Summary!$J$19*(SUM('[19]PT Revenue x LOB &amp; CC'!D65)/SUM('[19]PT Revenue x LOB &amp; CC'!$O$65))</f>
        <v>114.34516508467013</v>
      </c>
      <c r="D7" s="1271">
        <f>[21]Summary!$J$19*(SUM('[19]PT Revenue x LOB &amp; CC'!E65)/SUM('[19]PT Revenue x LOB &amp; CC'!$O$65))</f>
        <v>100.41244887789065</v>
      </c>
      <c r="E7" s="1271">
        <f>[21]Summary!$J$19*(SUM('[19]PT Revenue x LOB &amp; CC'!F65)/SUM('[19]PT Revenue x LOB &amp; CC'!$O$65))</f>
        <v>123.60987785877725</v>
      </c>
      <c r="F7" s="1271">
        <f>[21]Summary!$J$19*(SUM('[19]PT Revenue x LOB &amp; CC'!G65)/SUM('[19]PT Revenue x LOB &amp; CC'!$O$65))</f>
        <v>106.93044925942105</v>
      </c>
      <c r="G7" s="1271">
        <f>[21]Summary!$J$19*(SUM('[19]PT Revenue x LOB &amp; CC'!H65)/SUM('[19]PT Revenue x LOB &amp; CC'!$O$65))</f>
        <v>87.706460251965936</v>
      </c>
      <c r="H7" s="1271">
        <f>[21]Summary!$J$19*(SUM('[19]PT Revenue x LOB &amp; CC'!I65)/SUM('[19]PT Revenue x LOB &amp; CC'!$O$65))</f>
        <v>106.95860195358431</v>
      </c>
      <c r="I7" s="1271">
        <f>[21]Summary!$J$19*(SUM('[19]PT Revenue x LOB &amp; CC'!J65)/SUM('[19]PT Revenue x LOB &amp; CC'!$O$65))</f>
        <v>124.77417423359402</v>
      </c>
      <c r="J7" s="1271">
        <f>[21]Summary!$J$19*(SUM('[19]PT Revenue x LOB &amp; CC'!K65)/SUM('[19]PT Revenue x LOB &amp; CC'!$O$65))</f>
        <v>105.31727381655674</v>
      </c>
      <c r="K7" s="1271">
        <f>[21]Summary!$J$19*(SUM('[19]PT Revenue x LOB &amp; CC'!L65)/SUM('[19]PT Revenue x LOB &amp; CC'!$O$65))</f>
        <v>96.383615871962036</v>
      </c>
      <c r="L7" s="1271">
        <f>[21]Summary!$J$19*(SUM('[19]PT Revenue x LOB &amp; CC'!M65)/SUM('[19]PT Revenue x LOB &amp; CC'!$O$65))</f>
        <v>89.447756520582487</v>
      </c>
      <c r="M7" s="1271">
        <f>[21]Summary!$J$19*(SUM('[19]PT Revenue x LOB &amp; CC'!N65)/SUM('[19]PT Revenue x LOB &amp; CC'!$O$65))</f>
        <v>85.689762859428214</v>
      </c>
      <c r="N7" s="1274">
        <f>SUM(B7:M7)</f>
        <v>1252.4191300000002</v>
      </c>
    </row>
    <row r="8" spans="1:14" ht="13.5" thickBot="1">
      <c r="A8" s="362" t="s">
        <v>464</v>
      </c>
      <c r="B8" s="399">
        <f t="shared" ref="B8:M8" si="1">B6-B7</f>
        <v>3997.1564565884328</v>
      </c>
      <c r="C8" s="399">
        <f t="shared" si="1"/>
        <v>3765.65483491533</v>
      </c>
      <c r="D8" s="399">
        <f t="shared" si="1"/>
        <v>4214.5875511221093</v>
      </c>
      <c r="E8" s="399">
        <f t="shared" si="1"/>
        <v>4241.3901221412225</v>
      </c>
      <c r="F8" s="399">
        <f t="shared" si="1"/>
        <v>3905.069550740579</v>
      </c>
      <c r="G8" s="399">
        <f t="shared" si="1"/>
        <v>5471.2935397480342</v>
      </c>
      <c r="H8" s="399">
        <f t="shared" si="1"/>
        <v>4276.0413980464155</v>
      </c>
      <c r="I8" s="399">
        <f t="shared" si="1"/>
        <v>3963.2258257664062</v>
      </c>
      <c r="J8" s="399">
        <f t="shared" si="1"/>
        <v>4075.6827261834433</v>
      </c>
      <c r="K8" s="399">
        <f t="shared" si="1"/>
        <v>3435.6163841280381</v>
      </c>
      <c r="L8" s="399">
        <f t="shared" si="1"/>
        <v>3944.5522434794175</v>
      </c>
      <c r="M8" s="399">
        <f t="shared" si="1"/>
        <v>4216.3102371405721</v>
      </c>
      <c r="N8" s="1275">
        <f>SUM(N6:N7)</f>
        <v>52011.419130000002</v>
      </c>
    </row>
    <row r="9" spans="1:14" ht="13.5" thickTop="1">
      <c r="A9" s="362"/>
      <c r="N9" s="375"/>
    </row>
    <row r="10" spans="1:14">
      <c r="A10" s="362" t="s">
        <v>450</v>
      </c>
      <c r="B10" s="1270">
        <f>('Roll-off Stats'!N48+'Roll-off Stats'!N53)*'Roll-off Stats'!N61</f>
        <v>243381.00000000003</v>
      </c>
      <c r="C10" s="1270">
        <f>('Roll-off Stats'!M48+'Roll-off Stats'!M53)*'Roll-off Stats'!M61</f>
        <v>228985.09999999998</v>
      </c>
      <c r="D10" s="1270">
        <f>('Roll-off Stats'!L48+'Roll-off Stats'!L53)*'Roll-off Stats'!L61</f>
        <v>253970.4</v>
      </c>
      <c r="E10" s="1270">
        <f>('Roll-off Stats'!K48+'Roll-off Stats'!K53)*'Roll-off Stats'!K61</f>
        <v>246896</v>
      </c>
      <c r="F10" s="1270">
        <f>('Roll-off Stats'!J48+'Roll-off Stats'!J53)*'Roll-off Stats'!J61</f>
        <v>230130.6</v>
      </c>
      <c r="G10" s="1270">
        <f>('Roll-off Stats'!I48+'Roll-off Stats'!I53)*'Roll-off Stats'!I61</f>
        <v>256810.24000000002</v>
      </c>
      <c r="H10" s="1270">
        <f>('Roll-off Stats'!H48+'Roll-off Stats'!H53)*'Roll-off Stats'!H61</f>
        <v>224380.6</v>
      </c>
      <c r="I10" s="1270">
        <f>('Roll-off Stats'!G48+'Roll-off Stats'!G53)*'Roll-off Stats'!G61</f>
        <v>235025</v>
      </c>
      <c r="J10" s="1270">
        <f>('Roll-off Stats'!F48+'Roll-off Stats'!F53)*'Roll-off Stats'!F61</f>
        <v>233849.16</v>
      </c>
      <c r="K10" s="1270">
        <f>('Roll-off Stats'!E48+'Roll-off Stats'!E53)*'Roll-off Stats'!E61</f>
        <v>208524.55</v>
      </c>
      <c r="L10" s="1270">
        <f>('Roll-off Stats'!D48+'Roll-off Stats'!D53)*'Roll-off Stats'!D61</f>
        <v>217243.00999999998</v>
      </c>
      <c r="M10" s="1270">
        <f>('Roll-off Stats'!C48+'Roll-off Stats'!C53)*'Roll-off Stats'!C61</f>
        <v>225939.4</v>
      </c>
      <c r="N10" s="1276">
        <f>SUM(B10:M10)</f>
        <v>2805135.0599999996</v>
      </c>
    </row>
    <row r="11" spans="1:14">
      <c r="A11" s="598" t="s">
        <v>558</v>
      </c>
      <c r="B11" s="1270">
        <f>('Roll-off Stats'!N67+'Roll-off Stats'!N72)*'Roll-off Stats'!N82</f>
        <v>110011.1</v>
      </c>
      <c r="C11" s="1270">
        <f>('Roll-off Stats'!M67+'Roll-off Stats'!M72)*'Roll-off Stats'!M82</f>
        <v>100999.92</v>
      </c>
      <c r="D11" s="1270">
        <f>('Roll-off Stats'!L67+'Roll-off Stats'!L72)*'Roll-off Stats'!L82</f>
        <v>130962.99999999999</v>
      </c>
      <c r="E11" s="1270">
        <f>('Roll-off Stats'!K67+'Roll-off Stats'!K72)*'Roll-off Stats'!K82</f>
        <v>112113.21</v>
      </c>
      <c r="F11" s="1270">
        <f>('Roll-off Stats'!J67+'Roll-off Stats'!J72)*'Roll-off Stats'!J82</f>
        <v>106336.68</v>
      </c>
      <c r="G11" s="1270">
        <f>('Roll-off Stats'!I67+'Roll-off Stats'!I72)*'Roll-off Stats'!I82</f>
        <v>122963.75</v>
      </c>
      <c r="H11" s="1270">
        <f>('Roll-off Stats'!H67+'Roll-off Stats'!H72)*'Roll-off Stats'!H82</f>
        <v>116400.64</v>
      </c>
      <c r="I11" s="1270">
        <f>('Roll-off Stats'!G67+'Roll-off Stats'!G72)*'Roll-off Stats'!G82</f>
        <v>104039</v>
      </c>
      <c r="J11" s="1270">
        <f>('Roll-off Stats'!F67+'Roll-off Stats'!F72)*'Roll-off Stats'!F82</f>
        <v>101813.76000000001</v>
      </c>
      <c r="K11" s="1270">
        <f>('Roll-off Stats'!E67+'Roll-off Stats'!E72)*'Roll-off Stats'!E82</f>
        <v>95773.950000000012</v>
      </c>
      <c r="L11" s="1270">
        <f>('Roll-off Stats'!D67+'Roll-off Stats'!D72)*'Roll-off Stats'!D82</f>
        <v>101649.78</v>
      </c>
      <c r="M11" s="1270">
        <f>('Roll-off Stats'!C67+'Roll-off Stats'!C72)*'Roll-off Stats'!C82</f>
        <v>130506.59</v>
      </c>
      <c r="N11" s="1276">
        <f>SUM(B11:M11)</f>
        <v>1333571.3800000001</v>
      </c>
    </row>
    <row r="12" spans="1:14" ht="13.5" thickBot="1">
      <c r="A12" s="598"/>
      <c r="B12" s="421"/>
      <c r="C12" s="421"/>
      <c r="D12" s="421"/>
      <c r="E12" s="421"/>
      <c r="F12" s="421"/>
      <c r="G12" s="421"/>
      <c r="H12" s="421"/>
      <c r="I12" s="421"/>
      <c r="J12" s="421"/>
      <c r="K12" s="421"/>
      <c r="L12" s="421"/>
      <c r="M12" s="421"/>
      <c r="N12" s="1277">
        <f>SUM(N10:N11)</f>
        <v>4138706.4399999995</v>
      </c>
    </row>
    <row r="13" spans="1:14" ht="13.5" thickTop="1">
      <c r="A13" s="598"/>
      <c r="B13" s="421"/>
      <c r="C13" s="421"/>
      <c r="D13" s="421"/>
      <c r="E13" s="421"/>
      <c r="F13" s="421"/>
      <c r="G13" s="421"/>
      <c r="H13" s="421"/>
      <c r="I13" s="421"/>
      <c r="J13" s="421"/>
      <c r="K13" s="421"/>
      <c r="L13" s="421"/>
      <c r="M13" s="421"/>
      <c r="N13" s="375"/>
    </row>
    <row r="14" spans="1:14">
      <c r="A14" s="362" t="s">
        <v>465</v>
      </c>
      <c r="B14" s="421">
        <f>B7*Disposal!F103</f>
        <v>13320.068611768054</v>
      </c>
      <c r="C14" s="421">
        <f>C7*Disposal!G103</f>
        <v>13740.858488224809</v>
      </c>
      <c r="D14" s="421">
        <f>D7*Disposal!H103</f>
        <v>12066.56398165612</v>
      </c>
      <c r="E14" s="421">
        <f>E7*Disposal!I103</f>
        <v>14854.199022289262</v>
      </c>
      <c r="F14" s="421">
        <f>F7*Disposal!J103</f>
        <v>12849.832087504628</v>
      </c>
      <c r="G14" s="421">
        <f>G7*Disposal!K103</f>
        <v>10539.685328478747</v>
      </c>
      <c r="H14" s="421">
        <f>H7*Disposal!L103</f>
        <v>12853.215196762227</v>
      </c>
      <c r="I14" s="421">
        <f>I7*Disposal!M103</f>
        <v>14994.112517650994</v>
      </c>
      <c r="J14" s="421">
        <f>J7*Disposal!N103</f>
        <v>12655.976794535623</v>
      </c>
      <c r="K14" s="421">
        <f>K7*Disposal!O103</f>
        <v>11582.419119333677</v>
      </c>
      <c r="L14" s="421">
        <f>L7*Disposal!P103</f>
        <v>10748.936901078398</v>
      </c>
      <c r="M14" s="421">
        <f>M7*Disposal!Q103</f>
        <v>10297.338802817489</v>
      </c>
    </row>
    <row r="15" spans="1:14">
      <c r="A15" s="362" t="s">
        <v>466</v>
      </c>
      <c r="B15" s="804">
        <f>B10+B11-B14</f>
        <v>340072.03138823196</v>
      </c>
      <c r="C15" s="804">
        <f t="shared" ref="C15:M15" si="2">C10+C11-C14</f>
        <v>316244.16151177516</v>
      </c>
      <c r="D15" s="804">
        <f t="shared" si="2"/>
        <v>372866.83601834386</v>
      </c>
      <c r="E15" s="804">
        <f t="shared" si="2"/>
        <v>344155.01097771077</v>
      </c>
      <c r="F15" s="804">
        <f t="shared" si="2"/>
        <v>323617.44791249541</v>
      </c>
      <c r="G15" s="804">
        <f t="shared" si="2"/>
        <v>369234.30467152124</v>
      </c>
      <c r="H15" s="804">
        <f t="shared" si="2"/>
        <v>327928.02480323776</v>
      </c>
      <c r="I15" s="804">
        <f t="shared" si="2"/>
        <v>324069.887482349</v>
      </c>
      <c r="J15" s="804">
        <f t="shared" si="2"/>
        <v>323006.9432054644</v>
      </c>
      <c r="K15" s="804">
        <f t="shared" si="2"/>
        <v>292716.08088066633</v>
      </c>
      <c r="L15" s="804">
        <f t="shared" si="2"/>
        <v>308143.85309892159</v>
      </c>
      <c r="M15" s="804">
        <f t="shared" si="2"/>
        <v>346148.65119718248</v>
      </c>
    </row>
    <row r="16" spans="1:14">
      <c r="A16" s="362"/>
    </row>
    <row r="17" spans="1:14">
      <c r="A17" s="362" t="s">
        <v>467</v>
      </c>
      <c r="B17" s="426">
        <f>B14/B7</f>
        <v>120.17</v>
      </c>
      <c r="C17" s="426">
        <f t="shared" ref="C17:M17" si="3">C14/C7</f>
        <v>120.17</v>
      </c>
      <c r="D17" s="426">
        <f t="shared" si="3"/>
        <v>120.17</v>
      </c>
      <c r="E17" s="426">
        <f t="shared" si="3"/>
        <v>120.17</v>
      </c>
      <c r="F17" s="426">
        <f t="shared" si="3"/>
        <v>120.17</v>
      </c>
      <c r="G17" s="426">
        <f t="shared" si="3"/>
        <v>120.17</v>
      </c>
      <c r="H17" s="426">
        <f t="shared" si="3"/>
        <v>120.17</v>
      </c>
      <c r="I17" s="426">
        <f t="shared" si="3"/>
        <v>120.17</v>
      </c>
      <c r="J17" s="426">
        <f t="shared" si="3"/>
        <v>120.17</v>
      </c>
      <c r="K17" s="426">
        <f t="shared" si="3"/>
        <v>120.17</v>
      </c>
      <c r="L17" s="426">
        <f t="shared" si="3"/>
        <v>120.17</v>
      </c>
      <c r="M17" s="426">
        <f t="shared" si="3"/>
        <v>120.17</v>
      </c>
    </row>
    <row r="18" spans="1:14">
      <c r="A18" s="362" t="s">
        <v>468</v>
      </c>
      <c r="B18" s="410">
        <f>B15/B8</f>
        <v>85.078488941231726</v>
      </c>
      <c r="C18" s="410">
        <f t="shared" ref="C18:M18" si="4">C15/C8</f>
        <v>83.981186639716498</v>
      </c>
      <c r="D18" s="410">
        <f t="shared" si="4"/>
        <v>88.470539879773114</v>
      </c>
      <c r="E18" s="410">
        <f t="shared" si="4"/>
        <v>81.142031519601787</v>
      </c>
      <c r="F18" s="410">
        <f t="shared" si="4"/>
        <v>82.871109901518352</v>
      </c>
      <c r="G18" s="410">
        <f t="shared" si="4"/>
        <v>67.485742080752146</v>
      </c>
      <c r="H18" s="410">
        <f t="shared" si="4"/>
        <v>76.689628157729587</v>
      </c>
      <c r="I18" s="410">
        <f t="shared" si="4"/>
        <v>81.76922076341198</v>
      </c>
      <c r="J18" s="410">
        <f t="shared" si="4"/>
        <v>79.252229603243677</v>
      </c>
      <c r="K18" s="410">
        <f t="shared" si="4"/>
        <v>85.200455508643131</v>
      </c>
      <c r="L18" s="410">
        <f t="shared" si="4"/>
        <v>78.118841906150934</v>
      </c>
      <c r="M18" s="410">
        <f t="shared" si="4"/>
        <v>82.097528817503346</v>
      </c>
    </row>
    <row r="22" spans="1:14">
      <c r="A22" s="362" t="s">
        <v>1068</v>
      </c>
      <c r="B22" s="361" t="s">
        <v>1569</v>
      </c>
    </row>
    <row r="23" spans="1:14">
      <c r="A23" s="362" t="s">
        <v>772</v>
      </c>
      <c r="B23" s="361" t="s">
        <v>1566</v>
      </c>
    </row>
    <row r="26" spans="1:14">
      <c r="A26" s="361" t="s">
        <v>1584</v>
      </c>
      <c r="B26" s="1328" t="e">
        <f>COUNTIFS([22]Detail!$A$2:$A$65536,B$3)</f>
        <v>#VALUE!</v>
      </c>
      <c r="C26" s="1328" t="e">
        <f>COUNTIFS([22]Detail!$A$2:$A$65536,C$3)</f>
        <v>#VALUE!</v>
      </c>
      <c r="D26" s="1328" t="e">
        <f>COUNTIFS([22]Detail!$A$2:$A$65536,D$3)</f>
        <v>#VALUE!</v>
      </c>
      <c r="E26" s="1328" t="e">
        <f>COUNTIFS([22]Detail!$A$2:$A$65536,E$3)</f>
        <v>#VALUE!</v>
      </c>
      <c r="F26" s="1328" t="e">
        <f>COUNTIFS([22]Detail!$A$2:$A$65536,F$3)</f>
        <v>#VALUE!</v>
      </c>
      <c r="G26" s="1328" t="e">
        <f>COUNTIFS([22]Detail!$A$2:$A$65536,G$3)</f>
        <v>#VALUE!</v>
      </c>
      <c r="H26" s="1328" t="e">
        <f>COUNTIFS([22]Detail!$A$2:$A$65536,H$3)</f>
        <v>#VALUE!</v>
      </c>
      <c r="I26" s="1328" t="e">
        <f>COUNTIFS([22]Detail!$A$2:$A$65536,I$3)</f>
        <v>#VALUE!</v>
      </c>
      <c r="J26" s="1328" t="e">
        <f>COUNTIFS([22]Detail!$A$2:$A$65536,J$3)</f>
        <v>#VALUE!</v>
      </c>
      <c r="K26" s="1328" t="e">
        <f>COUNTIFS([22]Detail!$A$2:$A$65536,K$3)</f>
        <v>#VALUE!</v>
      </c>
      <c r="L26" s="1328" t="e">
        <f>COUNTIFS([22]Detail!$A$2:$A$65536,L$3)</f>
        <v>#VALUE!</v>
      </c>
      <c r="M26" s="1328" t="e">
        <f>COUNTIFS([22]Detail!$A$2:$A$65536,M$3)</f>
        <v>#VALUE!</v>
      </c>
      <c r="N26" s="428" t="e">
        <f>SUM(B26:M26)</f>
        <v>#VALUE!</v>
      </c>
    </row>
    <row r="27" spans="1:14">
      <c r="A27" s="361" t="s">
        <v>1585</v>
      </c>
      <c r="B27" s="1328" t="e">
        <f>SUMIFS([22]Detail!$T$2:$T$65536,[22]Detail!$A$2:$A$65536,B$3)</f>
        <v>#VALUE!</v>
      </c>
      <c r="C27" s="1328" t="e">
        <f>SUMIFS([22]Detail!$T$2:$T$65536,[22]Detail!$A$2:$A$65536,C$3)</f>
        <v>#VALUE!</v>
      </c>
      <c r="D27" s="1328" t="e">
        <f>SUMIFS([22]Detail!$T$2:$T$65536,[22]Detail!$A$2:$A$65536,D$3)</f>
        <v>#VALUE!</v>
      </c>
      <c r="E27" s="1328" t="e">
        <f>SUMIFS([22]Detail!$T$2:$T$65536,[22]Detail!$A$2:$A$65536,E$3)</f>
        <v>#VALUE!</v>
      </c>
      <c r="F27" s="1328" t="e">
        <f>SUMIFS([22]Detail!$T$2:$T$65536,[22]Detail!$A$2:$A$65536,F$3)</f>
        <v>#VALUE!</v>
      </c>
      <c r="G27" s="1328" t="e">
        <f>SUMIFS([22]Detail!$T$2:$T$65536,[22]Detail!$A$2:$A$65536,G$3)</f>
        <v>#VALUE!</v>
      </c>
      <c r="H27" s="1328" t="e">
        <f>SUMIFS([22]Detail!$T$2:$T$65536,[22]Detail!$A$2:$A$65536,H$3)</f>
        <v>#VALUE!</v>
      </c>
      <c r="I27" s="1328" t="e">
        <f>SUMIFS([22]Detail!$T$2:$T$65536,[22]Detail!$A$2:$A$65536,I$3)</f>
        <v>#VALUE!</v>
      </c>
      <c r="J27" s="1328" t="e">
        <f>SUMIFS([22]Detail!$T$2:$T$65536,[22]Detail!$A$2:$A$65536,J$3)</f>
        <v>#VALUE!</v>
      </c>
      <c r="K27" s="1328" t="e">
        <f>SUMIFS([22]Detail!$T$2:$T$65536,[22]Detail!$A$2:$A$65536,K$3)</f>
        <v>#VALUE!</v>
      </c>
      <c r="L27" s="1328" t="e">
        <f>SUMIFS([22]Detail!$T$2:$T$65536,[22]Detail!$A$2:$A$65536,L$3)</f>
        <v>#VALUE!</v>
      </c>
      <c r="M27" s="1328" t="e">
        <f>SUMIFS([22]Detail!$T$2:$T$65536,[22]Detail!$A$2:$A$65536,M$3)</f>
        <v>#VALUE!</v>
      </c>
      <c r="N27" s="428" t="e">
        <f>SUM(B27:M27)</f>
        <v>#VALUE!</v>
      </c>
    </row>
    <row r="28" spans="1:14" s="1332" customFormat="1">
      <c r="A28" s="1332" t="s">
        <v>1587</v>
      </c>
      <c r="B28" s="1333" t="e">
        <f>+B27/B26</f>
        <v>#VALUE!</v>
      </c>
      <c r="C28" s="1333" t="e">
        <f t="shared" ref="C28:N28" si="5">+C27/C26</f>
        <v>#VALUE!</v>
      </c>
      <c r="D28" s="1333" t="e">
        <f t="shared" si="5"/>
        <v>#VALUE!</v>
      </c>
      <c r="E28" s="1333" t="e">
        <f t="shared" si="5"/>
        <v>#VALUE!</v>
      </c>
      <c r="F28" s="1333" t="e">
        <f t="shared" si="5"/>
        <v>#VALUE!</v>
      </c>
      <c r="G28" s="1333" t="e">
        <f t="shared" si="5"/>
        <v>#VALUE!</v>
      </c>
      <c r="H28" s="1333" t="e">
        <f t="shared" si="5"/>
        <v>#VALUE!</v>
      </c>
      <c r="I28" s="1333" t="e">
        <f t="shared" si="5"/>
        <v>#VALUE!</v>
      </c>
      <c r="J28" s="1333" t="e">
        <f t="shared" si="5"/>
        <v>#VALUE!</v>
      </c>
      <c r="K28" s="1333" t="e">
        <f t="shared" si="5"/>
        <v>#VALUE!</v>
      </c>
      <c r="L28" s="1333" t="e">
        <f t="shared" si="5"/>
        <v>#VALUE!</v>
      </c>
      <c r="M28" s="1333" t="e">
        <f t="shared" si="5"/>
        <v>#VALUE!</v>
      </c>
      <c r="N28" s="1333" t="e">
        <f t="shared" si="5"/>
        <v>#VALUE!</v>
      </c>
    </row>
    <row r="29" spans="1:14">
      <c r="A29" s="361" t="s">
        <v>1586</v>
      </c>
      <c r="B29" s="1329" t="e">
        <f>SUMIFS([22]Detail!$AG$2:$AG$65536,[22]Detail!$A$2:$A$65536,B$3,[22]Detail!$E$2:$E$65536,"20")</f>
        <v>#VALUE!</v>
      </c>
      <c r="C29" s="1329" t="e">
        <f>SUMIFS([22]Detail!$AG$2:$AG$65536,[22]Detail!$A$2:$A$65536,C$3,[22]Detail!$E$2:$E$65536,"20")</f>
        <v>#VALUE!</v>
      </c>
      <c r="D29" s="1329" t="e">
        <f>SUMIFS([22]Detail!$AG$2:$AG$65536,[22]Detail!$A$2:$A$65536,D$3,[22]Detail!$E$2:$E$65536,"20")</f>
        <v>#VALUE!</v>
      </c>
      <c r="E29" s="1329" t="e">
        <f>SUMIFS([22]Detail!$AG$2:$AG$65536,[22]Detail!$A$2:$A$65536,E$3,[22]Detail!$E$2:$E$65536,"20")</f>
        <v>#VALUE!</v>
      </c>
      <c r="F29" s="1329" t="e">
        <f>SUMIFS([22]Detail!$AG$2:$AG$65536,[22]Detail!$A$2:$A$65536,F$3,[22]Detail!$E$2:$E$65536,"20")</f>
        <v>#VALUE!</v>
      </c>
      <c r="G29" s="1329" t="e">
        <f>SUMIFS([22]Detail!$AG$2:$AG$65536,[22]Detail!$A$2:$A$65536,G$3,[22]Detail!$E$2:$E$65536,"20")</f>
        <v>#VALUE!</v>
      </c>
      <c r="H29" s="1329" t="e">
        <f>SUMIFS([22]Detail!$AG$2:$AG$65536,[22]Detail!$A$2:$A$65536,H$3,[22]Detail!$E$2:$E$65536,"20")</f>
        <v>#VALUE!</v>
      </c>
      <c r="I29" s="1329" t="e">
        <f>SUMIFS([22]Detail!$AG$2:$AG$65536,[22]Detail!$A$2:$A$65536,I$3,[22]Detail!$E$2:$E$65536,"20")</f>
        <v>#VALUE!</v>
      </c>
      <c r="J29" s="1329" t="e">
        <f>SUMIFS([22]Detail!$AG$2:$AG$65536,[22]Detail!$A$2:$A$65536,J$3,[22]Detail!$E$2:$E$65536,"20")</f>
        <v>#VALUE!</v>
      </c>
      <c r="K29" s="1329" t="e">
        <f>SUMIFS([22]Detail!$AG$2:$AG$65536,[22]Detail!$A$2:$A$65536,K$3,[22]Detail!$E$2:$E$65536,"20")</f>
        <v>#VALUE!</v>
      </c>
      <c r="L29" s="1329" t="e">
        <f>SUMIFS([22]Detail!$AG$2:$AG$65536,[22]Detail!$A$2:$A$65536,L$3,[22]Detail!$E$2:$E$65536,"20")</f>
        <v>#VALUE!</v>
      </c>
      <c r="M29" s="1329" t="e">
        <f>SUMIFS([22]Detail!$AG$2:$AG$65536,[22]Detail!$A$2:$A$65536,M$3,[22]Detail!$E$2:$E$65536,"20")</f>
        <v>#VALUE!</v>
      </c>
      <c r="N29" s="1044" t="e">
        <f>SUM(B29:M29)</f>
        <v>#VALUE!</v>
      </c>
    </row>
  </sheetData>
  <customSheetViews>
    <customSheetView guid="{3B54C4DD-9207-4EC3-9D58-6DDE29113D77}" showGridLines="0" fitToPage="1" showRuler="0">
      <selection activeCell="B7" sqref="B7"/>
      <pageMargins left="0.75" right="0.75" top="1" bottom="1" header="0.5" footer="0.5"/>
      <pageSetup scale="83" orientation="landscape" r:id="rId1"/>
      <headerFooter alignWithMargins="0"/>
    </customSheetView>
    <customSheetView guid="{F69ABAD1-EF76-489D-B027-1BD1F4CFE8A6}" showGridLines="0" fitToPage="1">
      <selection activeCell="M11" sqref="B11:M11"/>
      <pageMargins left="0.75" right="0.75" top="1" bottom="1" header="0.5" footer="0.5"/>
      <pageSetup scale="83" orientation="landscape" r:id="rId2"/>
      <headerFooter alignWithMargins="0"/>
    </customSheetView>
  </customSheetViews>
  <phoneticPr fontId="6" type="noConversion"/>
  <pageMargins left="0.75" right="0.75" top="1" bottom="1" header="0.5" footer="0.5"/>
  <pageSetup scale="78" orientation="landscape" r:id="rId3"/>
  <headerFooter alignWithMargins="0"/>
  <legacy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P31"/>
  <sheetViews>
    <sheetView topLeftCell="A10" workbookViewId="0">
      <selection activeCell="M21" sqref="M21"/>
    </sheetView>
  </sheetViews>
  <sheetFormatPr defaultRowHeight="11.25"/>
  <cols>
    <col min="2" max="3" width="17" customWidth="1"/>
    <col min="4" max="4" width="19.6640625" customWidth="1"/>
    <col min="7" max="7" width="18.33203125" bestFit="1" customWidth="1"/>
    <col min="8" max="8" width="16.33203125" bestFit="1" customWidth="1"/>
    <col min="9" max="9" width="14.1640625" bestFit="1" customWidth="1"/>
    <col min="10" max="10" width="11.5" bestFit="1" customWidth="1"/>
    <col min="11" max="11" width="6.1640625" bestFit="1" customWidth="1"/>
    <col min="12" max="13" width="14.1640625" bestFit="1" customWidth="1"/>
    <col min="14" max="14" width="11.5" bestFit="1" customWidth="1"/>
    <col min="15" max="15" width="10.5" bestFit="1" customWidth="1"/>
    <col min="16" max="16" width="13.33203125" bestFit="1" customWidth="1"/>
  </cols>
  <sheetData>
    <row r="2" spans="1:16" ht="12.75">
      <c r="A2" s="1522"/>
      <c r="B2" s="2216" t="s">
        <v>1816</v>
      </c>
      <c r="C2" s="2216"/>
      <c r="D2" s="2216"/>
      <c r="G2" s="2214" t="s">
        <v>1743</v>
      </c>
      <c r="H2" s="2215"/>
      <c r="I2" s="2215"/>
      <c r="J2" s="2215"/>
      <c r="K2" s="2215"/>
      <c r="L2" s="2215"/>
      <c r="M2" s="2215"/>
      <c r="N2" s="2215"/>
      <c r="O2" s="2215"/>
      <c r="P2" s="2215"/>
    </row>
    <row r="3" spans="1:16" ht="78.75">
      <c r="A3" s="1522"/>
      <c r="B3" s="1523"/>
      <c r="C3" s="1523"/>
      <c r="D3" s="1523"/>
      <c r="G3" s="1434" t="s">
        <v>1750</v>
      </c>
      <c r="H3" s="1434" t="s">
        <v>1751</v>
      </c>
      <c r="I3" s="1435" t="s">
        <v>1752</v>
      </c>
      <c r="J3" s="1435" t="s">
        <v>1753</v>
      </c>
      <c r="K3" s="1435"/>
      <c r="L3" s="1435" t="s">
        <v>1754</v>
      </c>
      <c r="M3" s="1435" t="s">
        <v>1755</v>
      </c>
      <c r="N3" s="1435" t="s">
        <v>1756</v>
      </c>
      <c r="O3" s="1435" t="s">
        <v>1827</v>
      </c>
      <c r="P3" s="1435" t="s">
        <v>1757</v>
      </c>
    </row>
    <row r="4" spans="1:16" ht="51">
      <c r="B4" s="1524" t="s">
        <v>1817</v>
      </c>
      <c r="C4" s="1524" t="s">
        <v>1818</v>
      </c>
      <c r="D4" s="1524" t="s">
        <v>1819</v>
      </c>
      <c r="G4" s="1439">
        <f>'Staff Fuel Detail'!$H$5</f>
        <v>1116011.03</v>
      </c>
      <c r="H4" s="1440">
        <f>'Staff Fuel Detail'!$I$5</f>
        <v>420447.39999999997</v>
      </c>
      <c r="I4" s="1440">
        <f>'Staff Fuel Detail'!$J$5</f>
        <v>1536458.43</v>
      </c>
      <c r="J4" s="1440">
        <f>'Staff Fuel Detail'!$K$5</f>
        <v>94153</v>
      </c>
      <c r="K4" s="1440">
        <f>'Staff Fuel Detail'!$L$5</f>
        <v>0</v>
      </c>
      <c r="L4" s="1440">
        <f>'Staff Fuel Detail'!$M$5</f>
        <v>1442305.43</v>
      </c>
      <c r="M4" s="1440">
        <f>'Staff Fuel Detail'!$N$5</f>
        <v>1452791.53</v>
      </c>
      <c r="N4" s="1440">
        <f>'Staff Fuel Detail'!$O$5</f>
        <v>10486.100000000093</v>
      </c>
      <c r="O4" s="1440">
        <f>'Staff Fuel Detail'!$P$5</f>
        <v>7733.09</v>
      </c>
      <c r="P4" s="1440">
        <f>'Staff Fuel Detail'!$Q$5</f>
        <v>2753.010000000093</v>
      </c>
    </row>
    <row r="5" spans="1:16">
      <c r="B5" s="1525">
        <f>'Staff Fuel Detail'!H50</f>
        <v>16522.464333333333</v>
      </c>
      <c r="C5" s="1525">
        <f>'Staff Fuel Detail'!I50</f>
        <v>623.97283333333326</v>
      </c>
      <c r="D5" s="1525">
        <f>'Staff CNG Detail'!D101</f>
        <v>15921.985570833334</v>
      </c>
    </row>
    <row r="6" spans="1:16">
      <c r="B6" s="1441"/>
      <c r="C6" s="1441"/>
      <c r="D6" s="1441"/>
    </row>
    <row r="7" spans="1:16">
      <c r="B7" s="1441"/>
      <c r="C7" s="1441"/>
      <c r="D7" s="1441"/>
    </row>
    <row r="8" spans="1:16" ht="38.25">
      <c r="B8" s="1524" t="s">
        <v>1820</v>
      </c>
      <c r="C8" s="1524" t="s">
        <v>1821</v>
      </c>
      <c r="D8" s="1524" t="s">
        <v>1822</v>
      </c>
    </row>
    <row r="9" spans="1:16">
      <c r="B9" s="1440">
        <f>'Staff Fuel Detail'!J54</f>
        <v>3.5556623790567894</v>
      </c>
      <c r="C9" s="1440">
        <f>'Staff Fuel Detail'!K54</f>
        <v>3.5742942781758464</v>
      </c>
      <c r="D9" s="1440">
        <f>'Staff CNG Detail'!G102</f>
        <v>2.8357954508331353</v>
      </c>
    </row>
    <row r="10" spans="1:16">
      <c r="B10" s="1441"/>
      <c r="C10" s="1441"/>
      <c r="D10" s="1441"/>
    </row>
    <row r="11" spans="1:16" ht="12.75">
      <c r="B11" s="2216" t="s">
        <v>1823</v>
      </c>
      <c r="C11" s="2216"/>
      <c r="D11" s="2216"/>
    </row>
    <row r="12" spans="1:16">
      <c r="B12" s="1440">
        <f>B9*B5</f>
        <v>58748.304839340948</v>
      </c>
      <c r="C12" s="1440">
        <f>C9*C5</f>
        <v>2230.262527920504</v>
      </c>
      <c r="D12" s="1440">
        <f>D9*D5</f>
        <v>45151.494249999989</v>
      </c>
    </row>
    <row r="13" spans="1:16">
      <c r="B13" s="1441"/>
      <c r="C13" s="1441"/>
      <c r="D13" s="1441"/>
    </row>
    <row r="14" spans="1:16">
      <c r="B14" s="2217" t="s">
        <v>1824</v>
      </c>
      <c r="C14" s="2218"/>
      <c r="D14" s="1440">
        <f>SUM(B12:D12)</f>
        <v>106130.06161726144</v>
      </c>
    </row>
    <row r="15" spans="1:16">
      <c r="B15" s="2217" t="s">
        <v>1825</v>
      </c>
      <c r="C15" s="2218"/>
      <c r="D15" s="1440">
        <f>D14*12</f>
        <v>1273560.7394071373</v>
      </c>
    </row>
    <row r="18" spans="2:4" ht="12.75">
      <c r="B18" s="2219" t="s">
        <v>1826</v>
      </c>
      <c r="C18" s="2219"/>
      <c r="D18" s="2219"/>
    </row>
    <row r="19" spans="2:4">
      <c r="B19" s="1471"/>
      <c r="C19" s="1471"/>
      <c r="D19" s="1471"/>
    </row>
    <row r="20" spans="2:4" ht="51">
      <c r="B20" s="1463" t="s">
        <v>1817</v>
      </c>
      <c r="C20" s="1463" t="s">
        <v>1818</v>
      </c>
      <c r="D20" s="1463" t="s">
        <v>1819</v>
      </c>
    </row>
    <row r="21" spans="2:4">
      <c r="B21" s="1469">
        <f>'Staff Fuel Detail'!H60</f>
        <v>19707.180083333333</v>
      </c>
      <c r="C21" s="1469">
        <f>'Staff Fuel Detail'!I60</f>
        <v>595.30166666666685</v>
      </c>
      <c r="D21" s="1469">
        <f>'Staff CNG Detail'!D115</f>
        <v>14001.242041733332</v>
      </c>
    </row>
    <row r="22" spans="2:4">
      <c r="B22" s="1471"/>
      <c r="C22" s="1471"/>
      <c r="D22" s="1471"/>
    </row>
    <row r="23" spans="2:4">
      <c r="B23" s="1471"/>
      <c r="C23" s="1471"/>
      <c r="D23" s="1471"/>
    </row>
    <row r="24" spans="2:4" ht="38.25">
      <c r="B24" s="1463" t="s">
        <v>1820</v>
      </c>
      <c r="C24" s="1463" t="s">
        <v>1821</v>
      </c>
      <c r="D24" s="1463" t="s">
        <v>1822</v>
      </c>
    </row>
    <row r="25" spans="2:4">
      <c r="B25" s="1470">
        <f>'Staff Fuel Detail'!J64</f>
        <v>3.7234398570139611</v>
      </c>
      <c r="C25" s="1470">
        <f>'Staff Fuel Detail'!K64</f>
        <v>3.6380715551321661</v>
      </c>
      <c r="D25" s="1470">
        <f>'Staff CNG Detail'!G116</f>
        <v>2.9693938134972098</v>
      </c>
    </row>
    <row r="26" spans="2:4">
      <c r="B26" s="1471"/>
      <c r="C26" s="1471"/>
      <c r="D26" s="1471"/>
    </row>
    <row r="27" spans="2:4" ht="12.75">
      <c r="B27" s="2219" t="s">
        <v>1823</v>
      </c>
      <c r="C27" s="2219"/>
      <c r="D27" s="2219"/>
    </row>
    <row r="28" spans="2:4">
      <c r="B28" s="1470">
        <f>B25*B21</f>
        <v>73378.49979163504</v>
      </c>
      <c r="C28" s="1470">
        <f>C25*C21</f>
        <v>2165.750060222771</v>
      </c>
      <c r="D28" s="1470">
        <f>D25*D21</f>
        <v>41575.201500000003</v>
      </c>
    </row>
    <row r="29" spans="2:4">
      <c r="B29" s="1471"/>
      <c r="C29" s="1471"/>
      <c r="D29" s="1471"/>
    </row>
    <row r="30" spans="2:4">
      <c r="B30" s="2212" t="s">
        <v>1824</v>
      </c>
      <c r="C30" s="2213"/>
      <c r="D30" s="1470">
        <f>SUM(B28:D28)</f>
        <v>117119.4513518578</v>
      </c>
    </row>
    <row r="31" spans="2:4">
      <c r="B31" s="2212" t="s">
        <v>1825</v>
      </c>
      <c r="C31" s="2213"/>
      <c r="D31" s="1470">
        <f>D30*12</f>
        <v>1405433.4162222936</v>
      </c>
    </row>
  </sheetData>
  <mergeCells count="9">
    <mergeCell ref="B30:C30"/>
    <mergeCell ref="B31:C31"/>
    <mergeCell ref="G2:P2"/>
    <mergeCell ref="B2:D2"/>
    <mergeCell ref="B11:D11"/>
    <mergeCell ref="B14:C14"/>
    <mergeCell ref="B15:C15"/>
    <mergeCell ref="B18:D18"/>
    <mergeCell ref="B27:D27"/>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indexed="16"/>
    <pageSetUpPr fitToPage="1"/>
  </sheetPr>
  <dimension ref="A1:T33"/>
  <sheetViews>
    <sheetView showGridLines="0" zoomScale="85" zoomScaleNormal="100" workbookViewId="0">
      <selection activeCell="C10" sqref="C10"/>
    </sheetView>
  </sheetViews>
  <sheetFormatPr defaultColWidth="10.6640625" defaultRowHeight="12.75"/>
  <cols>
    <col min="1" max="1" width="10.83203125" style="432" bestFit="1" customWidth="1"/>
    <col min="2" max="2" width="8.33203125" style="428" bestFit="1" customWidth="1"/>
    <col min="3" max="3" width="13.83203125" style="429" customWidth="1"/>
    <col min="4" max="4" width="14.5" style="430" bestFit="1" customWidth="1"/>
    <col min="5" max="5" width="17" style="430" customWidth="1"/>
    <col min="6" max="6" width="13.83203125" style="429" customWidth="1"/>
    <col min="7" max="7" width="14.5" style="431" customWidth="1"/>
    <col min="8" max="8" width="13.83203125" style="428" customWidth="1"/>
    <col min="9" max="9" width="14.1640625" style="429" customWidth="1"/>
    <col min="10" max="10" width="11.83203125" style="432" bestFit="1" customWidth="1"/>
    <col min="11" max="11" width="16.33203125" style="432" bestFit="1" customWidth="1"/>
    <col min="12" max="12" width="15.33203125" style="432" customWidth="1"/>
    <col min="13" max="13" width="16.6640625" style="432" bestFit="1" customWidth="1"/>
    <col min="14" max="14" width="17.83203125" style="432" bestFit="1" customWidth="1"/>
    <col min="15" max="15" width="17.6640625" style="432" bestFit="1" customWidth="1"/>
    <col min="16" max="16" width="16.6640625" style="432" bestFit="1" customWidth="1"/>
    <col min="17" max="17" width="14.5" style="432" bestFit="1" customWidth="1"/>
    <col min="18" max="18" width="15.6640625" style="432" bestFit="1" customWidth="1"/>
    <col min="19" max="19" width="17" style="432" customWidth="1"/>
    <col min="20" max="20" width="16.6640625" style="432" bestFit="1" customWidth="1"/>
    <col min="21" max="16384" width="10.6640625" style="432"/>
  </cols>
  <sheetData>
    <row r="1" spans="1:20" ht="18">
      <c r="A1" s="427" t="str">
        <f>Summary!C3&amp;" Disposal"</f>
        <v>Eastside Disposal</v>
      </c>
    </row>
    <row r="2" spans="1:20">
      <c r="A2" s="433" t="s">
        <v>469</v>
      </c>
      <c r="M2" s="434" t="s">
        <v>24</v>
      </c>
      <c r="N2" s="434" t="s">
        <v>470</v>
      </c>
    </row>
    <row r="3" spans="1:20">
      <c r="A3" s="433" t="str">
        <f>TEXT(B8,"m/d/yyyy")&amp;" - "&amp;TEXT(B19,"m/d/yyyy")</f>
        <v>5/31/2013 - 4/30/2014</v>
      </c>
    </row>
    <row r="5" spans="1:20">
      <c r="B5" s="432"/>
      <c r="C5" s="2223" t="s">
        <v>471</v>
      </c>
      <c r="D5" s="2224"/>
      <c r="E5" s="2225"/>
      <c r="F5" s="2226" t="s">
        <v>472</v>
      </c>
      <c r="G5" s="2227"/>
      <c r="H5" s="2228"/>
      <c r="I5" s="2220" t="s">
        <v>1381</v>
      </c>
      <c r="J5" s="2221" t="s">
        <v>1381</v>
      </c>
      <c r="K5" s="2222"/>
      <c r="L5" s="687" t="s">
        <v>473</v>
      </c>
      <c r="M5" s="688"/>
      <c r="N5" s="435"/>
      <c r="O5" s="435"/>
    </row>
    <row r="6" spans="1:20" s="445" customFormat="1" ht="38.25">
      <c r="A6" s="436" t="s">
        <v>581</v>
      </c>
      <c r="B6" s="436" t="s">
        <v>425</v>
      </c>
      <c r="C6" s="437" t="s">
        <v>474</v>
      </c>
      <c r="D6" s="438" t="s">
        <v>475</v>
      </c>
      <c r="E6" s="439" t="s">
        <v>476</v>
      </c>
      <c r="F6" s="440" t="s">
        <v>477</v>
      </c>
      <c r="G6" s="441" t="s">
        <v>478</v>
      </c>
      <c r="H6" s="442" t="s">
        <v>479</v>
      </c>
      <c r="I6" s="443" t="s">
        <v>1382</v>
      </c>
      <c r="J6" s="441" t="s">
        <v>1383</v>
      </c>
      <c r="K6" s="444" t="s">
        <v>1384</v>
      </c>
      <c r="L6" s="689" t="s">
        <v>1385</v>
      </c>
      <c r="M6" s="689" t="s">
        <v>480</v>
      </c>
      <c r="N6" s="444" t="s">
        <v>583</v>
      </c>
      <c r="O6" s="1045" t="s">
        <v>1385</v>
      </c>
      <c r="P6" s="622" t="s">
        <v>1386</v>
      </c>
      <c r="Q6" s="622" t="s">
        <v>481</v>
      </c>
      <c r="R6" s="1219" t="s">
        <v>1047</v>
      </c>
      <c r="S6" s="1218" t="s">
        <v>579</v>
      </c>
      <c r="T6" s="1218" t="s">
        <v>580</v>
      </c>
    </row>
    <row r="7" spans="1:20">
      <c r="B7" s="446"/>
      <c r="C7" s="447"/>
      <c r="D7" s="448"/>
      <c r="E7" s="449"/>
      <c r="F7" s="450"/>
      <c r="G7" s="451"/>
      <c r="H7" s="452"/>
      <c r="I7" s="453"/>
      <c r="J7" s="454"/>
      <c r="K7" s="455"/>
      <c r="L7" s="455"/>
      <c r="M7" s="455"/>
      <c r="N7" s="455"/>
      <c r="O7" s="455"/>
      <c r="P7" s="455"/>
      <c r="Q7" s="455"/>
    </row>
    <row r="8" spans="1:20">
      <c r="A8" s="477" t="s">
        <v>582</v>
      </c>
      <c r="B8" s="456">
        <v>41425</v>
      </c>
      <c r="C8" s="457">
        <f>'Fuel Detail'!C41</f>
        <v>25835.405999999999</v>
      </c>
      <c r="D8" s="458">
        <f>E8/C8</f>
        <v>3.8689161687646787</v>
      </c>
      <c r="E8" s="459">
        <f>'Fuel Detail'!D41</f>
        <v>99955.01999999999</v>
      </c>
      <c r="F8" s="457">
        <f>'Fuel Detail'!G41</f>
        <v>480.89199999999994</v>
      </c>
      <c r="G8" s="458">
        <f t="shared" ref="G8:G23" si="0">+H8/F8</f>
        <v>3.8780640975520493</v>
      </c>
      <c r="H8" s="459">
        <f>'Fuel Detail'!H41</f>
        <v>1864.9299999999998</v>
      </c>
      <c r="I8" s="457">
        <f>'CNG Detail'!E7</f>
        <v>31107.187050359713</v>
      </c>
      <c r="J8" s="460">
        <f>K8/I8</f>
        <v>0.76642513388957512</v>
      </c>
      <c r="K8" s="459">
        <f>'CNG Detail'!C7</f>
        <v>23841.33</v>
      </c>
      <c r="L8" s="690">
        <f t="shared" ref="L8:L22" si="1">C8+F8+I8</f>
        <v>57423.485050359712</v>
      </c>
      <c r="M8" s="692">
        <f t="shared" ref="M8:M23" si="2">+N8/L8</f>
        <v>2.1883255586071892</v>
      </c>
      <c r="N8" s="475">
        <f t="shared" ref="N8:N22" si="3">+H8+E8+K8</f>
        <v>125661.27999999998</v>
      </c>
      <c r="O8" s="461">
        <f>'Roll-off Stats'!N$18+'Comm Stats'!N$19+'Resi Stats'!N$17</f>
        <v>57981</v>
      </c>
      <c r="P8" s="461">
        <f>M8*O8</f>
        <v>126881.30421360343</v>
      </c>
      <c r="Q8" s="461">
        <f>'Income Statement'!N$94</f>
        <v>125151</v>
      </c>
      <c r="R8" s="1221">
        <f t="shared" ref="R8:R18" si="4">+Q8-P8</f>
        <v>-1730.3042136034346</v>
      </c>
      <c r="S8" s="1221"/>
      <c r="T8" s="1221">
        <f>IF(ISBLANK(S8),P8,O8*S8)</f>
        <v>126881.30421360343</v>
      </c>
    </row>
    <row r="9" spans="1:20">
      <c r="A9" s="477" t="s">
        <v>582</v>
      </c>
      <c r="B9" s="462">
        <f t="shared" ref="B9:B22" si="5">EOMONTH(B8,1)</f>
        <v>41455</v>
      </c>
      <c r="C9" s="457">
        <f>'Fuel Detail'!C42</f>
        <v>23414.561000000002</v>
      </c>
      <c r="D9" s="458">
        <f t="shared" ref="D9:D22" si="6">E9/C9</f>
        <v>3.7687407421390473</v>
      </c>
      <c r="E9" s="459">
        <f>'Fuel Detail'!D42</f>
        <v>88243.41</v>
      </c>
      <c r="F9" s="457">
        <f>'Fuel Detail'!G42</f>
        <v>523.87599999999998</v>
      </c>
      <c r="G9" s="458">
        <f t="shared" si="0"/>
        <v>3.8467309057868659</v>
      </c>
      <c r="H9" s="459">
        <f>'Fuel Detail'!H42</f>
        <v>2015.21</v>
      </c>
      <c r="I9" s="457">
        <f>'CNG Detail'!E8</f>
        <v>28047.719424460436</v>
      </c>
      <c r="J9" s="460">
        <f t="shared" ref="J9:J19" si="7">K9/I9</f>
        <v>0.85068663298135483</v>
      </c>
      <c r="K9" s="459">
        <f>'CNG Detail'!C8</f>
        <v>23859.819999999992</v>
      </c>
      <c r="L9" s="690">
        <f t="shared" si="1"/>
        <v>51986.156424460438</v>
      </c>
      <c r="M9" s="692">
        <f t="shared" si="2"/>
        <v>2.1951697884382386</v>
      </c>
      <c r="N9" s="475">
        <f t="shared" si="3"/>
        <v>114118.44</v>
      </c>
      <c r="O9" s="461">
        <f>'Roll-off Stats'!M$18+'Comm Stats'!M$19+'Resi Stats'!M$17</f>
        <v>48148</v>
      </c>
      <c r="P9" s="461">
        <f t="shared" ref="P9:P22" si="8">M9*O9</f>
        <v>105693.03497372431</v>
      </c>
      <c r="Q9" s="461">
        <f>'Income Statement'!M$94</f>
        <v>111394</v>
      </c>
      <c r="R9" s="1221">
        <f t="shared" si="4"/>
        <v>5700.9650262756913</v>
      </c>
      <c r="S9" s="1221"/>
      <c r="T9" s="1221">
        <f t="shared" ref="T9:T22" si="9">IF(ISBLANK(S9),P9,O9*S9)</f>
        <v>105693.03497372431</v>
      </c>
    </row>
    <row r="10" spans="1:20">
      <c r="A10" s="477" t="s">
        <v>582</v>
      </c>
      <c r="B10" s="462">
        <f t="shared" si="5"/>
        <v>41486</v>
      </c>
      <c r="C10" s="457">
        <f>'Fuel Detail'!C43</f>
        <v>27379.214999999997</v>
      </c>
      <c r="D10" s="458">
        <f t="shared" si="6"/>
        <v>3.8972154607062333</v>
      </c>
      <c r="E10" s="459">
        <f>'Fuel Detail'!D43</f>
        <v>106702.7</v>
      </c>
      <c r="F10" s="457">
        <f>'Fuel Detail'!G43</f>
        <v>605.851</v>
      </c>
      <c r="G10" s="458">
        <f t="shared" si="0"/>
        <v>3.8539839003319298</v>
      </c>
      <c r="H10" s="459">
        <f>'Fuel Detail'!H43</f>
        <v>2334.94</v>
      </c>
      <c r="I10" s="457">
        <f>'CNG Detail'!E9</f>
        <v>31820.654676258993</v>
      </c>
      <c r="J10" s="460">
        <f t="shared" si="7"/>
        <v>0.70412127682327519</v>
      </c>
      <c r="K10" s="459">
        <f>'CNG Detail'!C9</f>
        <v>22405.600000000006</v>
      </c>
      <c r="L10" s="690">
        <f t="shared" si="1"/>
        <v>59805.720676258992</v>
      </c>
      <c r="M10" s="692">
        <f t="shared" si="2"/>
        <v>2.1978372388743552</v>
      </c>
      <c r="N10" s="475">
        <f t="shared" si="3"/>
        <v>131443.24</v>
      </c>
      <c r="O10" s="461">
        <f>'Roll-off Stats'!L$18+'Comm Stats'!L$19+'Resi Stats'!L$17</f>
        <v>59441</v>
      </c>
      <c r="P10" s="461">
        <f t="shared" si="8"/>
        <v>130641.64331593055</v>
      </c>
      <c r="Q10" s="461">
        <f>'Income Statement'!L$94</f>
        <v>129253</v>
      </c>
      <c r="R10" s="1221">
        <f t="shared" si="4"/>
        <v>-1388.6433159305452</v>
      </c>
      <c r="S10" s="1222"/>
      <c r="T10" s="1221">
        <f t="shared" si="9"/>
        <v>130641.64331593055</v>
      </c>
    </row>
    <row r="11" spans="1:20">
      <c r="A11" s="477" t="s">
        <v>582</v>
      </c>
      <c r="B11" s="462">
        <f t="shared" si="5"/>
        <v>41517</v>
      </c>
      <c r="C11" s="457">
        <f>'Fuel Detail'!C44</f>
        <v>24797.717000000001</v>
      </c>
      <c r="D11" s="458">
        <f t="shared" si="6"/>
        <v>3.9286862576905768</v>
      </c>
      <c r="E11" s="459">
        <f>'Fuel Detail'!D44</f>
        <v>97422.45</v>
      </c>
      <c r="F11" s="457">
        <f>'Fuel Detail'!G44</f>
        <v>553.85399999999993</v>
      </c>
      <c r="G11" s="458">
        <f t="shared" si="0"/>
        <v>3.7700188136223631</v>
      </c>
      <c r="H11" s="459">
        <f>'Fuel Detail'!H44</f>
        <v>2088.04</v>
      </c>
      <c r="I11" s="457">
        <f>'CNG Detail'!E10</f>
        <v>30907.690647482017</v>
      </c>
      <c r="J11" s="460">
        <f t="shared" si="7"/>
        <v>0.56302653596727681</v>
      </c>
      <c r="K11" s="459">
        <f>'CNG Detail'!C10</f>
        <v>17401.849999999999</v>
      </c>
      <c r="L11" s="690">
        <f t="shared" si="1"/>
        <v>56259.261647482017</v>
      </c>
      <c r="M11" s="692">
        <f t="shared" si="2"/>
        <v>2.0780994377879933</v>
      </c>
      <c r="N11" s="475">
        <f t="shared" si="3"/>
        <v>116912.34</v>
      </c>
      <c r="O11" s="461">
        <f>'Roll-off Stats'!K$18+'Comm Stats'!K$19+'Resi Stats'!K$17</f>
        <v>56779</v>
      </c>
      <c r="P11" s="461">
        <f t="shared" si="8"/>
        <v>117992.40797816447</v>
      </c>
      <c r="Q11" s="461">
        <f>'Income Statement'!K$94</f>
        <v>119199</v>
      </c>
      <c r="R11" s="1221">
        <f t="shared" si="4"/>
        <v>1206.5920218355313</v>
      </c>
      <c r="S11" s="1221"/>
      <c r="T11" s="1221">
        <f t="shared" si="9"/>
        <v>117992.40797816447</v>
      </c>
    </row>
    <row r="12" spans="1:20">
      <c r="A12" s="477" t="s">
        <v>582</v>
      </c>
      <c r="B12" s="462">
        <f t="shared" si="5"/>
        <v>41547</v>
      </c>
      <c r="C12" s="457">
        <f>'Fuel Detail'!C45</f>
        <v>23498.733</v>
      </c>
      <c r="D12" s="458">
        <f t="shared" si="6"/>
        <v>3.9293105717657206</v>
      </c>
      <c r="E12" s="459">
        <f>'Fuel Detail'!D45</f>
        <v>92333.82</v>
      </c>
      <c r="F12" s="457">
        <f>'Fuel Detail'!G45</f>
        <v>638.47900000000004</v>
      </c>
      <c r="G12" s="458">
        <f t="shared" si="0"/>
        <v>3.6629865665119756</v>
      </c>
      <c r="H12" s="459">
        <f>'Fuel Detail'!H45</f>
        <v>2338.7399999999998</v>
      </c>
      <c r="I12" s="457">
        <f>'CNG Detail'!E11</f>
        <v>28312.920863309355</v>
      </c>
      <c r="J12" s="460">
        <f t="shared" si="7"/>
        <v>0.45542775548495035</v>
      </c>
      <c r="K12" s="459">
        <f>'CNG Detail'!C11</f>
        <v>12894.490000000002</v>
      </c>
      <c r="L12" s="690">
        <f t="shared" si="1"/>
        <v>52450.132863309351</v>
      </c>
      <c r="M12" s="692">
        <f t="shared" si="2"/>
        <v>2.0508441852822612</v>
      </c>
      <c r="N12" s="475">
        <f t="shared" si="3"/>
        <v>107567.05000000002</v>
      </c>
      <c r="O12" s="461">
        <f>'Roll-off Stats'!J$18+'Comm Stats'!J$19+'Resi Stats'!J$17</f>
        <v>52144</v>
      </c>
      <c r="P12" s="461">
        <f t="shared" si="8"/>
        <v>106939.21919735822</v>
      </c>
      <c r="Q12" s="461">
        <f>'Income Statement'!J$94</f>
        <v>112707</v>
      </c>
      <c r="R12" s="1221">
        <f t="shared" si="4"/>
        <v>5767.780802641777</v>
      </c>
      <c r="S12" s="1221"/>
      <c r="T12" s="1221">
        <f t="shared" si="9"/>
        <v>106939.21919735822</v>
      </c>
    </row>
    <row r="13" spans="1:20">
      <c r="A13" s="477" t="s">
        <v>582</v>
      </c>
      <c r="B13" s="462">
        <f t="shared" si="5"/>
        <v>41578</v>
      </c>
      <c r="C13" s="457">
        <f>'Fuel Detail'!C46</f>
        <v>23917.076999999997</v>
      </c>
      <c r="D13" s="458">
        <f t="shared" si="6"/>
        <v>3.9533827649591133</v>
      </c>
      <c r="E13" s="459">
        <f>'Fuel Detail'!D46</f>
        <v>94553.36</v>
      </c>
      <c r="F13" s="457">
        <f>'Fuel Detail'!G46</f>
        <v>728.07299999999998</v>
      </c>
      <c r="G13" s="458">
        <f t="shared" si="0"/>
        <v>3.4779754227941435</v>
      </c>
      <c r="H13" s="459">
        <f>'Fuel Detail'!H46</f>
        <v>2532.2200000000003</v>
      </c>
      <c r="I13" s="457">
        <f>'CNG Detail'!E12</f>
        <v>31180.748201438848</v>
      </c>
      <c r="J13" s="460">
        <f t="shared" si="7"/>
        <v>0.67101661143059121</v>
      </c>
      <c r="K13" s="459">
        <f>'CNG Detail'!C12</f>
        <v>20922.799999999996</v>
      </c>
      <c r="L13" s="690">
        <f t="shared" si="1"/>
        <v>55825.898201438846</v>
      </c>
      <c r="M13" s="692">
        <f t="shared" si="2"/>
        <v>2.1138644213871061</v>
      </c>
      <c r="N13" s="475">
        <f t="shared" si="3"/>
        <v>118008.38</v>
      </c>
      <c r="O13" s="461">
        <f>'Roll-off Stats'!I$18+'Comm Stats'!I$19+'Resi Stats'!I$17</f>
        <v>56502</v>
      </c>
      <c r="P13" s="461">
        <f t="shared" si="8"/>
        <v>119437.56753721427</v>
      </c>
      <c r="Q13" s="461">
        <f>'Income Statement'!I$94</f>
        <v>116960</v>
      </c>
      <c r="R13" s="1221">
        <f t="shared" si="4"/>
        <v>-2477.5675372142723</v>
      </c>
      <c r="S13" s="1221"/>
      <c r="T13" s="1221">
        <f t="shared" si="9"/>
        <v>119437.56753721427</v>
      </c>
    </row>
    <row r="14" spans="1:20">
      <c r="A14" s="477" t="s">
        <v>582</v>
      </c>
      <c r="B14" s="462">
        <f t="shared" si="5"/>
        <v>41608</v>
      </c>
      <c r="C14" s="457">
        <f>'Fuel Detail'!C47</f>
        <v>23869.487000000001</v>
      </c>
      <c r="D14" s="458">
        <f t="shared" si="6"/>
        <v>3.7560702498549716</v>
      </c>
      <c r="E14" s="459">
        <f>'Fuel Detail'!D47</f>
        <v>89655.47</v>
      </c>
      <c r="F14" s="457">
        <f>'Fuel Detail'!G47</f>
        <v>488.08199999999999</v>
      </c>
      <c r="G14" s="458">
        <f t="shared" si="0"/>
        <v>3.2585917940018279</v>
      </c>
      <c r="H14" s="459">
        <f>'Fuel Detail'!H47</f>
        <v>1590.46</v>
      </c>
      <c r="I14" s="457">
        <f>'CNG Detail'!E13</f>
        <v>30067.035971223024</v>
      </c>
      <c r="J14" s="460">
        <f t="shared" si="7"/>
        <v>0.83359330876473159</v>
      </c>
      <c r="K14" s="459">
        <f>'CNG Detail'!C13</f>
        <v>25063.680000000004</v>
      </c>
      <c r="L14" s="690">
        <f t="shared" si="1"/>
        <v>54424.604971223023</v>
      </c>
      <c r="M14" s="692">
        <f t="shared" si="2"/>
        <v>2.1370777070683133</v>
      </c>
      <c r="N14" s="475">
        <f t="shared" si="3"/>
        <v>116309.61000000002</v>
      </c>
      <c r="O14" s="461">
        <f>'Roll-off Stats'!H$18+'Comm Stats'!H$19+'Resi Stats'!H$17</f>
        <v>55446</v>
      </c>
      <c r="P14" s="461">
        <f t="shared" si="8"/>
        <v>118492.41054610971</v>
      </c>
      <c r="Q14" s="461">
        <f>'Income Statement'!H$94</f>
        <v>115985</v>
      </c>
      <c r="R14" s="1221">
        <f t="shared" si="4"/>
        <v>-2507.410546109706</v>
      </c>
      <c r="S14" s="1221"/>
      <c r="T14" s="1221">
        <f t="shared" si="9"/>
        <v>118492.41054610971</v>
      </c>
    </row>
    <row r="15" spans="1:20">
      <c r="A15" s="477" t="s">
        <v>582</v>
      </c>
      <c r="B15" s="462">
        <f t="shared" si="5"/>
        <v>41639</v>
      </c>
      <c r="C15" s="457">
        <f>'Fuel Detail'!C48</f>
        <v>22013.834999999999</v>
      </c>
      <c r="D15" s="458">
        <f t="shared" si="6"/>
        <v>3.8128853968424861</v>
      </c>
      <c r="E15" s="459">
        <f>'Fuel Detail'!D48</f>
        <v>83936.23000000001</v>
      </c>
      <c r="F15" s="457">
        <f>'Fuel Detail'!G48</f>
        <v>530.697</v>
      </c>
      <c r="G15" s="458">
        <f t="shared" si="0"/>
        <v>3.3157338368221416</v>
      </c>
      <c r="H15" s="459">
        <f>'Fuel Detail'!H48</f>
        <v>1759.65</v>
      </c>
      <c r="I15" s="457">
        <f>'CNG Detail'!E14</f>
        <v>29581.129496402878</v>
      </c>
      <c r="J15" s="460">
        <f t="shared" si="7"/>
        <v>0.83723848350725261</v>
      </c>
      <c r="K15" s="459">
        <f>'CNG Detail'!C14</f>
        <v>24766.460000000006</v>
      </c>
      <c r="L15" s="690">
        <f t="shared" si="1"/>
        <v>52125.661496402878</v>
      </c>
      <c r="M15" s="692">
        <f t="shared" si="2"/>
        <v>2.1191546894349318</v>
      </c>
      <c r="N15" s="475">
        <f t="shared" si="3"/>
        <v>110462.34000000001</v>
      </c>
      <c r="O15" s="461">
        <f>'Roll-off Stats'!G$18+'Comm Stats'!G$19+'Resi Stats'!G$17</f>
        <v>53282</v>
      </c>
      <c r="P15" s="461">
        <f t="shared" si="8"/>
        <v>112912.80016247203</v>
      </c>
      <c r="Q15" s="461">
        <f>'Income Statement'!G$94</f>
        <v>108683</v>
      </c>
      <c r="R15" s="1221">
        <f t="shared" si="4"/>
        <v>-4229.8001624720346</v>
      </c>
      <c r="S15" s="1221"/>
      <c r="T15" s="1221">
        <f t="shared" si="9"/>
        <v>112912.80016247203</v>
      </c>
    </row>
    <row r="16" spans="1:20">
      <c r="A16" s="477" t="s">
        <v>582</v>
      </c>
      <c r="B16" s="462">
        <f t="shared" si="5"/>
        <v>41670</v>
      </c>
      <c r="C16" s="457">
        <f>'Fuel Detail'!C49</f>
        <v>24151.618999999999</v>
      </c>
      <c r="D16" s="458">
        <f t="shared" si="6"/>
        <v>3.7972551653783544</v>
      </c>
      <c r="E16" s="459">
        <f>'Fuel Detail'!D49</f>
        <v>91709.86</v>
      </c>
      <c r="F16" s="457">
        <f>'Fuel Detail'!G49</f>
        <v>533.76099999999997</v>
      </c>
      <c r="G16" s="458">
        <f t="shared" si="0"/>
        <v>3.3621976877291528</v>
      </c>
      <c r="H16" s="459">
        <f>'Fuel Detail'!H49</f>
        <v>1794.6100000000001</v>
      </c>
      <c r="I16" s="457">
        <f>'CNG Detail'!E15</f>
        <v>29861.086330935257</v>
      </c>
      <c r="J16" s="460">
        <f t="shared" si="7"/>
        <v>1.4887485842718717</v>
      </c>
      <c r="K16" s="459">
        <f>'CNG Detail'!C15</f>
        <v>44455.65</v>
      </c>
      <c r="L16" s="690">
        <f t="shared" si="1"/>
        <v>54546.466330935255</v>
      </c>
      <c r="M16" s="692">
        <f t="shared" si="2"/>
        <v>2.5292219511157934</v>
      </c>
      <c r="N16" s="475">
        <f t="shared" si="3"/>
        <v>137960.12</v>
      </c>
      <c r="O16" s="461">
        <f>'Roll-off Stats'!F$18+'Comm Stats'!F$19+'Resi Stats'!F$17</f>
        <v>55529</v>
      </c>
      <c r="P16" s="461">
        <f t="shared" si="8"/>
        <v>140445.16572350889</v>
      </c>
      <c r="Q16" s="461">
        <f>'Income Statement'!F$94</f>
        <v>137199</v>
      </c>
      <c r="R16" s="1221">
        <f t="shared" si="4"/>
        <v>-3246.1657235088933</v>
      </c>
      <c r="S16" s="1221"/>
      <c r="T16" s="1221">
        <f t="shared" si="9"/>
        <v>140445.16572350889</v>
      </c>
    </row>
    <row r="17" spans="1:20">
      <c r="A17" s="477" t="s">
        <v>582</v>
      </c>
      <c r="B17" s="462">
        <f t="shared" si="5"/>
        <v>41698</v>
      </c>
      <c r="C17" s="457">
        <f>'Fuel Detail'!C50</f>
        <v>19538.64</v>
      </c>
      <c r="D17" s="458">
        <f t="shared" si="6"/>
        <v>3.8470374601302857</v>
      </c>
      <c r="E17" s="459">
        <f>'Fuel Detail'!D50</f>
        <v>75165.88</v>
      </c>
      <c r="F17" s="457">
        <f>'Fuel Detail'!G50</f>
        <v>420.72400000000005</v>
      </c>
      <c r="G17" s="458">
        <f t="shared" si="0"/>
        <v>3.320846921021857</v>
      </c>
      <c r="H17" s="459">
        <f>'Fuel Detail'!H50</f>
        <v>1397.1599999999999</v>
      </c>
      <c r="I17" s="457">
        <f>'CNG Detail'!E16</f>
        <v>26162.187050359717</v>
      </c>
      <c r="J17" s="460">
        <f t="shared" si="7"/>
        <v>1.5131212051882224</v>
      </c>
      <c r="K17" s="459">
        <f>'CNG Detail'!C16</f>
        <v>39586.559999999998</v>
      </c>
      <c r="L17" s="690">
        <f t="shared" si="1"/>
        <v>46121.551050359718</v>
      </c>
      <c r="M17" s="692">
        <f t="shared" si="2"/>
        <v>2.5183368155415518</v>
      </c>
      <c r="N17" s="475">
        <f t="shared" si="3"/>
        <v>116149.6</v>
      </c>
      <c r="O17" s="461">
        <f>'Roll-off Stats'!E$18+'Comm Stats'!E$19+'Resi Stats'!E$17</f>
        <v>47096</v>
      </c>
      <c r="P17" s="461">
        <f t="shared" si="8"/>
        <v>118603.59066474492</v>
      </c>
      <c r="Q17" s="461">
        <f>'Income Statement'!E$94</f>
        <v>116031</v>
      </c>
      <c r="R17" s="1221">
        <f t="shared" si="4"/>
        <v>-2572.5906647449156</v>
      </c>
      <c r="S17" s="1221"/>
      <c r="T17" s="1221">
        <f t="shared" si="9"/>
        <v>118603.59066474492</v>
      </c>
    </row>
    <row r="18" spans="1:20">
      <c r="A18" s="477" t="s">
        <v>582</v>
      </c>
      <c r="B18" s="462">
        <f t="shared" si="5"/>
        <v>41729</v>
      </c>
      <c r="C18" s="457">
        <f>'Fuel Detail'!C51</f>
        <v>21949.067000000003</v>
      </c>
      <c r="D18" s="458">
        <f t="shared" si="6"/>
        <v>3.8343953298789413</v>
      </c>
      <c r="E18" s="459">
        <f>'Fuel Detail'!D51</f>
        <v>84161.4</v>
      </c>
      <c r="F18" s="457">
        <f>'Fuel Detail'!G51</f>
        <v>479.32799999999997</v>
      </c>
      <c r="G18" s="458">
        <f t="shared" si="0"/>
        <v>3.5809091060818479</v>
      </c>
      <c r="H18" s="459">
        <f>'Fuel Detail'!H51</f>
        <v>1716.4299999999998</v>
      </c>
      <c r="I18" s="457">
        <f>'CNG Detail'!E17</f>
        <v>28462.374100719426</v>
      </c>
      <c r="J18" s="460">
        <f t="shared" si="7"/>
        <v>1.5875197142763264</v>
      </c>
      <c r="K18" s="459">
        <f>'CNG Detail'!C17</f>
        <v>45184.580000000016</v>
      </c>
      <c r="L18" s="690">
        <f t="shared" si="1"/>
        <v>50890.76910071943</v>
      </c>
      <c r="M18" s="692">
        <f t="shared" si="2"/>
        <v>2.5753670521388763</v>
      </c>
      <c r="N18" s="475">
        <f t="shared" si="3"/>
        <v>131062.41</v>
      </c>
      <c r="O18" s="461">
        <f>'Roll-off Stats'!D$18+'Comm Stats'!D$19+'Resi Stats'!D$17</f>
        <v>50791</v>
      </c>
      <c r="P18" s="461">
        <f t="shared" si="8"/>
        <v>130805.46794518566</v>
      </c>
      <c r="Q18" s="461">
        <f>'Income Statement'!D$94</f>
        <v>129980</v>
      </c>
      <c r="R18" s="1221">
        <f t="shared" si="4"/>
        <v>-825.46794518566458</v>
      </c>
      <c r="S18" s="1221"/>
      <c r="T18" s="1221">
        <f t="shared" si="9"/>
        <v>130805.46794518566</v>
      </c>
    </row>
    <row r="19" spans="1:20">
      <c r="A19" s="477" t="s">
        <v>582</v>
      </c>
      <c r="B19" s="462">
        <f t="shared" si="5"/>
        <v>41759</v>
      </c>
      <c r="C19" s="457">
        <f>'Fuel Detail'!C52</f>
        <v>23271.113000000001</v>
      </c>
      <c r="D19" s="458">
        <f t="shared" si="6"/>
        <v>3.8129426813405956</v>
      </c>
      <c r="E19" s="459">
        <f>'Fuel Detail'!D52</f>
        <v>88731.42</v>
      </c>
      <c r="F19" s="457">
        <f>'Fuel Detail'!G52</f>
        <v>526.02800000000002</v>
      </c>
      <c r="G19" s="458">
        <f t="shared" si="0"/>
        <v>3.8165648976860549</v>
      </c>
      <c r="H19" s="459">
        <f>'Fuel Detail'!H52</f>
        <v>2007.6200000000001</v>
      </c>
      <c r="I19" s="457">
        <f>'CNG Detail'!E18</f>
        <v>30002.856115107916</v>
      </c>
      <c r="J19" s="460">
        <f t="shared" si="7"/>
        <v>1.4354456733975209</v>
      </c>
      <c r="K19" s="459">
        <f>'CNG Detail'!C18</f>
        <v>43067.470000000008</v>
      </c>
      <c r="L19" s="690">
        <f t="shared" si="1"/>
        <v>53799.997115107915</v>
      </c>
      <c r="M19" s="692">
        <f t="shared" si="2"/>
        <v>2.4871099846662439</v>
      </c>
      <c r="N19" s="475">
        <f t="shared" si="3"/>
        <v>133806.51</v>
      </c>
      <c r="O19" s="461">
        <f>'Roll-off Stats'!C$18+'Comm Stats'!C$19+'Resi Stats'!C$17</f>
        <v>53816</v>
      </c>
      <c r="P19" s="461">
        <f t="shared" si="8"/>
        <v>133846.31093479859</v>
      </c>
      <c r="Q19" s="461">
        <f>'Income Statement'!C$94</f>
        <v>130249</v>
      </c>
      <c r="R19" s="1221">
        <f>+Q19-P19</f>
        <v>-3597.3109347985883</v>
      </c>
      <c r="S19" s="1221"/>
      <c r="T19" s="1221">
        <f t="shared" si="9"/>
        <v>133846.31093479859</v>
      </c>
    </row>
    <row r="20" spans="1:20">
      <c r="A20" s="477" t="s">
        <v>343</v>
      </c>
      <c r="B20" s="625">
        <f t="shared" si="5"/>
        <v>41790</v>
      </c>
      <c r="C20" s="1220">
        <f>'Fuel Detail'!C58</f>
        <v>24832.84</v>
      </c>
      <c r="D20" s="626">
        <f t="shared" si="6"/>
        <v>3.8609446201078894</v>
      </c>
      <c r="E20" s="1046">
        <f>'Fuel Detail'!D58</f>
        <v>95878.22</v>
      </c>
      <c r="F20" s="627">
        <f>'Fuel Detail'!G58</f>
        <v>765</v>
      </c>
      <c r="G20" s="626">
        <f>H20/F20</f>
        <v>3.9097777777777778</v>
      </c>
      <c r="H20" s="1046">
        <f>'Fuel Detail'!H58</f>
        <v>2990.98</v>
      </c>
      <c r="I20" s="627">
        <f>'CNG Detail'!B25</f>
        <v>46610</v>
      </c>
      <c r="J20" s="628">
        <f>K20/I20</f>
        <v>1.1122426517914612</v>
      </c>
      <c r="K20" s="1046">
        <f>'CNG Detail'!C25</f>
        <v>51841.630000000005</v>
      </c>
      <c r="L20" s="691">
        <f t="shared" si="1"/>
        <v>72207.839999999997</v>
      </c>
      <c r="M20" s="1231">
        <f t="shared" si="2"/>
        <v>2.0871809764701452</v>
      </c>
      <c r="N20" s="630">
        <f t="shared" si="3"/>
        <v>150710.83000000002</v>
      </c>
      <c r="O20" s="629">
        <v>56819</v>
      </c>
      <c r="P20" s="629">
        <f t="shared" si="8"/>
        <v>118591.53590205718</v>
      </c>
      <c r="Q20" s="629">
        <v>150293</v>
      </c>
      <c r="R20" s="1223">
        <f>+Q20-N20</f>
        <v>-417.8300000000163</v>
      </c>
      <c r="S20" s="1223"/>
      <c r="T20" s="1223">
        <f t="shared" si="9"/>
        <v>118591.53590205718</v>
      </c>
    </row>
    <row r="21" spans="1:20">
      <c r="A21" s="477" t="s">
        <v>343</v>
      </c>
      <c r="B21" s="625">
        <f t="shared" si="5"/>
        <v>41820</v>
      </c>
      <c r="C21" s="1220">
        <f>'Fuel Detail'!C59</f>
        <v>23608.1</v>
      </c>
      <c r="D21" s="626">
        <f t="shared" si="6"/>
        <v>3.9144192035784329</v>
      </c>
      <c r="E21" s="1046">
        <f>'Fuel Detail'!D59</f>
        <v>92412</v>
      </c>
      <c r="F21" s="627">
        <f>'Fuel Detail'!G59</f>
        <v>674.94</v>
      </c>
      <c r="G21" s="626">
        <f>H21/F21</f>
        <v>4.0015112454440391</v>
      </c>
      <c r="H21" s="1046">
        <f>'Fuel Detail'!H59</f>
        <v>2700.7799999999997</v>
      </c>
      <c r="I21" s="627">
        <f>'CNG Detail'!B26</f>
        <v>43800</v>
      </c>
      <c r="J21" s="628">
        <f>K21/I21</f>
        <v>1.1036965753424659</v>
      </c>
      <c r="K21" s="1046">
        <f>'CNG Detail'!C26</f>
        <v>48341.91</v>
      </c>
      <c r="L21" s="691">
        <f t="shared" si="1"/>
        <v>68083.039999999994</v>
      </c>
      <c r="M21" s="1231">
        <f t="shared" si="2"/>
        <v>2.1070547084854025</v>
      </c>
      <c r="N21" s="630">
        <f t="shared" si="3"/>
        <v>143454.69</v>
      </c>
      <c r="O21" s="629">
        <v>59965</v>
      </c>
      <c r="P21" s="629">
        <f t="shared" si="8"/>
        <v>126349.53559432716</v>
      </c>
      <c r="Q21" s="629">
        <v>142886</v>
      </c>
      <c r="R21" s="1223">
        <f>+Q21-N21</f>
        <v>-568.69000000000233</v>
      </c>
      <c r="S21" s="1223"/>
      <c r="T21" s="1223">
        <f t="shared" si="9"/>
        <v>126349.53559432716</v>
      </c>
    </row>
    <row r="22" spans="1:20">
      <c r="A22" s="477" t="s">
        <v>343</v>
      </c>
      <c r="B22" s="625">
        <f t="shared" si="5"/>
        <v>41851</v>
      </c>
      <c r="C22" s="1220">
        <f>'Fuel Detail'!C60</f>
        <v>20361.298999999999</v>
      </c>
      <c r="D22" s="1047">
        <f t="shared" si="6"/>
        <v>3.7695900443287043</v>
      </c>
      <c r="E22" s="1046">
        <f>'Fuel Detail'!D60</f>
        <v>76753.75</v>
      </c>
      <c r="F22" s="627">
        <f>'Fuel Detail'!G60</f>
        <v>697.66800000000001</v>
      </c>
      <c r="G22" s="1047">
        <f>H22/F22</f>
        <v>4.0198489826106396</v>
      </c>
      <c r="H22" s="1046">
        <f>'Fuel Detail'!H60</f>
        <v>2804.52</v>
      </c>
      <c r="I22" s="627">
        <f>'CNG Detail'!B27</f>
        <v>44230</v>
      </c>
      <c r="J22" s="628">
        <f>K22/I22</f>
        <v>1.3036699073027358</v>
      </c>
      <c r="K22" s="1046">
        <f>'CNG Detail'!C27</f>
        <v>57661.320000000007</v>
      </c>
      <c r="L22" s="691">
        <f t="shared" si="1"/>
        <v>65288.967000000004</v>
      </c>
      <c r="M22" s="1232">
        <f t="shared" si="2"/>
        <v>2.1017270804728772</v>
      </c>
      <c r="N22" s="630">
        <f t="shared" si="3"/>
        <v>137219.59000000003</v>
      </c>
      <c r="O22" s="629">
        <v>60458</v>
      </c>
      <c r="P22" s="629">
        <f t="shared" si="8"/>
        <v>127066.2158312292</v>
      </c>
      <c r="Q22" s="629">
        <v>135621</v>
      </c>
      <c r="R22" s="1223">
        <f>+Q22-N22</f>
        <v>-1598.5900000000256</v>
      </c>
      <c r="S22" s="1223"/>
      <c r="T22" s="1223">
        <f t="shared" si="9"/>
        <v>127066.2158312292</v>
      </c>
    </row>
    <row r="23" spans="1:20">
      <c r="A23" s="463"/>
      <c r="B23" s="463"/>
      <c r="C23" s="464">
        <f>SUM(C8:C22)</f>
        <v>352438.70899999997</v>
      </c>
      <c r="D23" s="465">
        <f>E23/C23</f>
        <v>3.8520598201374074</v>
      </c>
      <c r="E23" s="466">
        <f>SUM(E8:E22)</f>
        <v>1357614.99</v>
      </c>
      <c r="F23" s="467">
        <f>SUM(F7:F22)</f>
        <v>8647.2530000000006</v>
      </c>
      <c r="G23" s="464">
        <f t="shared" si="0"/>
        <v>3.6932295146215792</v>
      </c>
      <c r="H23" s="466">
        <f>SUM(H7:H22)</f>
        <v>31936.289999999997</v>
      </c>
      <c r="I23" s="468">
        <f>SUM(I7:I22)</f>
        <v>490153.58992805751</v>
      </c>
      <c r="J23" s="469">
        <f>AVERAGE(J7:J22)</f>
        <v>1.0150653366946407</v>
      </c>
      <c r="K23" s="470">
        <f>SUM(K7:K22)</f>
        <v>501295.15000000008</v>
      </c>
      <c r="L23" s="470">
        <f>SUM(L8:L22)</f>
        <v>851239.55192805757</v>
      </c>
      <c r="M23" s="470">
        <f t="shared" si="2"/>
        <v>2.2212859185375406</v>
      </c>
      <c r="N23" s="476">
        <f>SUM(N8:N22)</f>
        <v>1890846.43</v>
      </c>
      <c r="O23" s="470"/>
      <c r="P23" s="470">
        <f>SUM(P8:P22)</f>
        <v>1834698.2105204284</v>
      </c>
      <c r="Q23" s="476">
        <f>SUM(Q7:Q22)</f>
        <v>1881591</v>
      </c>
      <c r="R23" s="476">
        <f>SUM(R7:R22)</f>
        <v>-12485.033192815099</v>
      </c>
      <c r="S23" s="476"/>
      <c r="T23" s="476">
        <f>SUM(T7:T22)</f>
        <v>1834698.2105204284</v>
      </c>
    </row>
    <row r="24" spans="1:20" ht="13.5" thickBot="1">
      <c r="B24" s="432"/>
      <c r="C24" s="428"/>
      <c r="D24" s="429"/>
      <c r="F24" s="430"/>
      <c r="G24" s="429"/>
      <c r="H24" s="431"/>
      <c r="I24" s="428"/>
      <c r="J24" s="429"/>
      <c r="N24" s="381"/>
      <c r="P24" s="623"/>
      <c r="Q24" s="432">
        <f>(Q23-N23)/N23</f>
        <v>-4.8948607634941221E-3</v>
      </c>
      <c r="S24" s="1235">
        <f>+P23</f>
        <v>1834698.2105204284</v>
      </c>
    </row>
    <row r="25" spans="1:20" ht="13.5" thickBot="1">
      <c r="B25" s="472"/>
      <c r="C25" s="473"/>
      <c r="D25" s="431"/>
      <c r="F25" s="430"/>
      <c r="G25" s="429"/>
      <c r="H25" s="431"/>
      <c r="I25" s="428"/>
      <c r="J25" s="429"/>
      <c r="P25" s="624"/>
      <c r="S25" s="432">
        <f>+T23-S24</f>
        <v>0</v>
      </c>
    </row>
    <row r="26" spans="1:20">
      <c r="B26" s="432"/>
      <c r="C26" s="428"/>
      <c r="D26" s="429"/>
      <c r="F26" s="430"/>
      <c r="G26" s="429"/>
      <c r="H26" s="431"/>
      <c r="I26" s="428"/>
      <c r="J26" s="429"/>
    </row>
    <row r="27" spans="1:20">
      <c r="B27" s="432"/>
      <c r="C27" s="428"/>
      <c r="D27" s="429"/>
      <c r="F27" s="430"/>
      <c r="G27" s="429"/>
      <c r="H27" s="431"/>
      <c r="I27" s="428"/>
      <c r="J27" s="429"/>
    </row>
    <row r="28" spans="1:20">
      <c r="B28" s="432"/>
      <c r="C28" s="432"/>
      <c r="D28" s="432"/>
      <c r="E28" s="432"/>
      <c r="F28" s="432"/>
      <c r="G28" s="432"/>
      <c r="H28" s="432"/>
      <c r="I28" s="432"/>
    </row>
    <row r="29" spans="1:20">
      <c r="B29" s="432"/>
      <c r="C29" s="428"/>
      <c r="D29" s="429"/>
      <c r="F29" s="430"/>
      <c r="G29" s="429"/>
      <c r="H29" s="431"/>
      <c r="I29" s="428"/>
      <c r="J29" s="429"/>
    </row>
    <row r="30" spans="1:20">
      <c r="B30" s="432"/>
      <c r="C30" s="428"/>
      <c r="D30" s="429"/>
      <c r="F30" s="430"/>
      <c r="G30" s="429"/>
      <c r="H30" s="431"/>
      <c r="I30" s="428"/>
      <c r="J30" s="429"/>
    </row>
    <row r="31" spans="1:20">
      <c r="B31" s="432"/>
      <c r="C31" s="428"/>
      <c r="D31" s="429"/>
      <c r="F31" s="430"/>
      <c r="G31" s="429"/>
      <c r="H31" s="431"/>
      <c r="I31" s="428"/>
      <c r="J31" s="429"/>
    </row>
    <row r="32" spans="1:20">
      <c r="B32" s="432"/>
      <c r="C32" s="428"/>
      <c r="D32" s="429"/>
      <c r="F32" s="430"/>
      <c r="G32" s="429"/>
      <c r="H32" s="431"/>
      <c r="I32" s="428"/>
      <c r="J32" s="429"/>
    </row>
    <row r="33" spans="2:10">
      <c r="B33" s="432"/>
      <c r="C33" s="428"/>
      <c r="D33" s="429"/>
      <c r="F33" s="430"/>
      <c r="G33" s="429"/>
      <c r="H33" s="431"/>
      <c r="I33" s="428"/>
      <c r="J33" s="429"/>
    </row>
  </sheetData>
  <customSheetViews>
    <customSheetView guid="{3B54C4DD-9207-4EC3-9D58-6DDE29113D77}" scale="85" showGridLines="0" fitToPage="1" showRuler="0" topLeftCell="A4">
      <selection activeCell="N17" sqref="N17"/>
      <pageMargins left="0.25" right="0.25" top="1" bottom="1" header="0.5" footer="0.5"/>
      <pageSetup scale="71" orientation="landscape" r:id="rId1"/>
      <headerFooter alignWithMargins="0"/>
    </customSheetView>
    <customSheetView guid="{F69ABAD1-EF76-489D-B027-1BD1F4CFE8A6}" scale="85" showGridLines="0" fitToPage="1" topLeftCell="A4">
      <selection activeCell="N17" sqref="N17"/>
      <pageMargins left="0.25" right="0.25" top="1" bottom="1" header="0.5" footer="0.5"/>
      <pageSetup scale="71" orientation="landscape" r:id="rId2"/>
      <headerFooter alignWithMargins="0"/>
    </customSheetView>
  </customSheetViews>
  <mergeCells count="3">
    <mergeCell ref="I5:K5"/>
    <mergeCell ref="C5:E5"/>
    <mergeCell ref="F5:H5"/>
  </mergeCells>
  <phoneticPr fontId="6" type="noConversion"/>
  <pageMargins left="0.25" right="0.25" top="1" bottom="1" header="0.5" footer="0.5"/>
  <pageSetup scale="57" orientation="landscape" horizontalDpi="4294967295" verticalDpi="4294967295" r:id="rId3"/>
  <headerFooter alignWithMargins="0"/>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70"/>
  <sheetViews>
    <sheetView topLeftCell="A49" workbookViewId="0">
      <selection activeCell="H47" sqref="H47"/>
    </sheetView>
  </sheetViews>
  <sheetFormatPr defaultRowHeight="11.25"/>
  <cols>
    <col min="1" max="1" width="10.1640625" bestFit="1" customWidth="1"/>
    <col min="2" max="2" width="14.83203125" bestFit="1" customWidth="1"/>
    <col min="3" max="3" width="17.1640625" bestFit="1" customWidth="1"/>
    <col min="4" max="4" width="12" bestFit="1" customWidth="1"/>
    <col min="5" max="5" width="14.5" bestFit="1" customWidth="1"/>
    <col min="6" max="6" width="10.5" bestFit="1" customWidth="1"/>
    <col min="7" max="7" width="11.5" bestFit="1" customWidth="1"/>
    <col min="8" max="8" width="18.33203125" bestFit="1" customWidth="1"/>
    <col min="9" max="9" width="16.33203125" bestFit="1" customWidth="1"/>
    <col min="10" max="10" width="14.1640625" bestFit="1" customWidth="1"/>
    <col min="11" max="11" width="11.5" bestFit="1" customWidth="1"/>
    <col min="12" max="12" width="12.5" bestFit="1" customWidth="1"/>
    <col min="13" max="13" width="14.1640625" bestFit="1" customWidth="1"/>
    <col min="14" max="14" width="21.1640625" bestFit="1" customWidth="1"/>
    <col min="15" max="15" width="12.5" bestFit="1" customWidth="1"/>
    <col min="16" max="16" width="12.33203125" customWidth="1"/>
    <col min="17" max="17" width="13.6640625" customWidth="1"/>
    <col min="20" max="20" width="10.1640625" bestFit="1" customWidth="1"/>
    <col min="22" max="22" width="10.1640625" bestFit="1" customWidth="1"/>
  </cols>
  <sheetData>
    <row r="1" spans="1:17">
      <c r="A1" s="1430"/>
    </row>
    <row r="2" spans="1:17">
      <c r="A2" s="2231" t="s">
        <v>1741</v>
      </c>
      <c r="B2" s="2232"/>
      <c r="C2" s="2232"/>
      <c r="D2" s="2232"/>
      <c r="E2" s="2232"/>
      <c r="F2" s="2232"/>
      <c r="G2" s="2232"/>
      <c r="H2" s="1431"/>
    </row>
    <row r="3" spans="1:17">
      <c r="A3" s="2231" t="s">
        <v>1742</v>
      </c>
      <c r="B3" s="2232"/>
      <c r="C3" s="2232"/>
      <c r="D3" s="2232"/>
      <c r="E3" s="2232"/>
      <c r="F3" s="2232"/>
      <c r="G3" s="2232"/>
      <c r="H3" s="2214" t="s">
        <v>1743</v>
      </c>
      <c r="I3" s="2215"/>
      <c r="J3" s="2215"/>
      <c r="K3" s="2215"/>
      <c r="L3" s="2215"/>
      <c r="M3" s="2215"/>
      <c r="N3" s="2215"/>
      <c r="O3" s="2215"/>
      <c r="P3" s="2215"/>
      <c r="Q3" s="2215"/>
    </row>
    <row r="4" spans="1:17" ht="67.5">
      <c r="A4" s="1432" t="s">
        <v>1744</v>
      </c>
      <c r="B4" s="1433" t="s">
        <v>1745</v>
      </c>
      <c r="C4" s="1433" t="s">
        <v>1746</v>
      </c>
      <c r="D4" s="1433" t="s">
        <v>1747</v>
      </c>
      <c r="E4" s="1433" t="s">
        <v>1748</v>
      </c>
      <c r="F4" s="1433" t="s">
        <v>1749</v>
      </c>
      <c r="G4" s="1433" t="s">
        <v>27</v>
      </c>
      <c r="H4" s="1434" t="s">
        <v>1750</v>
      </c>
      <c r="I4" s="1434" t="s">
        <v>1751</v>
      </c>
      <c r="J4" s="1435" t="s">
        <v>1752</v>
      </c>
      <c r="K4" s="1435" t="s">
        <v>1753</v>
      </c>
      <c r="L4" s="1435"/>
      <c r="M4" s="1435" t="s">
        <v>1754</v>
      </c>
      <c r="N4" s="1435" t="s">
        <v>1755</v>
      </c>
      <c r="O4" s="1435" t="s">
        <v>1756</v>
      </c>
      <c r="P4" s="1435" t="s">
        <v>1827</v>
      </c>
      <c r="Q4" s="1435" t="s">
        <v>1757</v>
      </c>
    </row>
    <row r="5" spans="1:17">
      <c r="A5" s="1436">
        <v>41409</v>
      </c>
      <c r="B5" s="1437">
        <f>12267.3+408.335</f>
        <v>12675.634999999998</v>
      </c>
      <c r="C5" s="1437">
        <f>230.224+20.33</f>
        <v>250.55399999999997</v>
      </c>
      <c r="D5" s="1438">
        <f>39998.7+1306.96</f>
        <v>41305.659999999996</v>
      </c>
      <c r="E5" s="1438">
        <f>731.9+65.62</f>
        <v>797.52</v>
      </c>
      <c r="F5" s="1438">
        <f>3126+4847.74+37.57</f>
        <v>8011.3099999999995</v>
      </c>
      <c r="G5" s="1438">
        <f>F5+E5+D5</f>
        <v>50114.49</v>
      </c>
      <c r="H5" s="1439">
        <f>SUM(G5:G28)</f>
        <v>1116011.03</v>
      </c>
      <c r="I5" s="1440">
        <f>'Staff CNG Detail'!I55</f>
        <v>420447.39999999997</v>
      </c>
      <c r="J5" s="1440">
        <f>I5+H5</f>
        <v>1536458.43</v>
      </c>
      <c r="K5" s="1440">
        <v>94153</v>
      </c>
      <c r="L5" s="1440"/>
      <c r="M5" s="1440">
        <f>J5-K5</f>
        <v>1442305.43</v>
      </c>
      <c r="N5" s="1441">
        <v>1452791.53</v>
      </c>
      <c r="O5" s="1440">
        <f>N5-M5</f>
        <v>10486.100000000093</v>
      </c>
      <c r="P5" s="1441">
        <v>7733.09</v>
      </c>
      <c r="Q5" s="1440">
        <f>O5-P5</f>
        <v>2753.010000000093</v>
      </c>
    </row>
    <row r="6" spans="1:17">
      <c r="A6" s="1436">
        <v>41424</v>
      </c>
      <c r="B6" s="1437">
        <f>12918.7+241.071</f>
        <v>13159.771000000001</v>
      </c>
      <c r="C6" s="1437">
        <v>230.33799999999999</v>
      </c>
      <c r="D6" s="1438">
        <f>41829.84+777.33</f>
        <v>42607.17</v>
      </c>
      <c r="E6" s="1438">
        <v>797.65</v>
      </c>
      <c r="F6" s="1438">
        <f>3240.03+5021.84+38.77</f>
        <v>8300.6400000000012</v>
      </c>
      <c r="G6" s="1438">
        <f>F6+E6+D6</f>
        <v>51705.46</v>
      </c>
      <c r="H6" s="1442"/>
      <c r="I6" s="1189"/>
    </row>
    <row r="7" spans="1:17">
      <c r="A7" s="1436">
        <v>41440</v>
      </c>
      <c r="B7" s="1437">
        <f>11313.5+259.808</f>
        <v>11573.308000000001</v>
      </c>
      <c r="C7" s="1437">
        <f>256.769+24.247</f>
        <v>281.01600000000002</v>
      </c>
      <c r="D7" s="1438">
        <f>801.3+35107.94</f>
        <v>35909.240000000005</v>
      </c>
      <c r="E7" s="1438">
        <f>845.16+85.47</f>
        <v>930.63</v>
      </c>
      <c r="F7" s="1438">
        <f>2863.81+4445.81+34.33</f>
        <v>7343.9500000000007</v>
      </c>
      <c r="G7" s="1438">
        <f t="shared" ref="G7:G44" si="0">F7+E7+D7</f>
        <v>44183.820000000007</v>
      </c>
      <c r="H7" s="1442"/>
      <c r="I7" s="1189"/>
    </row>
    <row r="8" spans="1:17">
      <c r="A8" s="1436">
        <v>41455</v>
      </c>
      <c r="B8" s="1437">
        <f>11548+293.253</f>
        <v>11841.253000000001</v>
      </c>
      <c r="C8" s="1437">
        <f>220.149+22.711</f>
        <v>242.86</v>
      </c>
      <c r="D8" s="1438">
        <f>36883.75+911.52</f>
        <v>37795.269999999997</v>
      </c>
      <c r="E8" s="1438">
        <f>712.49+78.23</f>
        <v>790.72</v>
      </c>
      <c r="F8" s="1438">
        <f>2921.9+4531.94+34.97</f>
        <v>7488.81</v>
      </c>
      <c r="G8" s="1438">
        <f t="shared" si="0"/>
        <v>46074.799999999996</v>
      </c>
      <c r="H8" s="1442"/>
      <c r="I8" s="1189"/>
    </row>
    <row r="9" spans="1:17">
      <c r="A9" s="1436">
        <v>41470</v>
      </c>
      <c r="B9" s="1437">
        <f>13065.3+228.43</f>
        <v>13293.73</v>
      </c>
      <c r="C9" s="1437">
        <f>255.929+24.238+8.207</f>
        <v>288.37400000000002</v>
      </c>
      <c r="D9" s="1438">
        <f>42301.36+731.95</f>
        <v>43033.31</v>
      </c>
      <c r="E9" s="1438">
        <f>821+83.49+28.27</f>
        <v>932.76</v>
      </c>
      <c r="F9" s="1438">
        <f>3283.24+5093.74+39.31</f>
        <v>8416.2899999999991</v>
      </c>
      <c r="G9" s="1438">
        <f t="shared" si="0"/>
        <v>52382.36</v>
      </c>
      <c r="H9" s="1442"/>
      <c r="I9" s="1189"/>
    </row>
    <row r="10" spans="1:17">
      <c r="A10" s="1436">
        <v>41486</v>
      </c>
      <c r="B10" s="1437">
        <f>13705.3+380.185</f>
        <v>14085.484999999999</v>
      </c>
      <c r="C10" s="1437">
        <v>317.47699999999998</v>
      </c>
      <c r="D10" s="1438">
        <f>45425.93+1242.74</f>
        <v>46668.67</v>
      </c>
      <c r="E10" s="1438">
        <f>1062.3</f>
        <v>1062.3</v>
      </c>
      <c r="F10" s="1438">
        <f>3480.92+5401.67+41.72</f>
        <v>8924.31</v>
      </c>
      <c r="G10" s="1438">
        <f t="shared" si="0"/>
        <v>56655.28</v>
      </c>
      <c r="H10" s="1442"/>
      <c r="I10" s="1189"/>
    </row>
    <row r="11" spans="1:17">
      <c r="A11" s="1436">
        <v>41501</v>
      </c>
      <c r="B11" s="1437">
        <f>12441+90.056</f>
        <v>12531.056</v>
      </c>
      <c r="C11" s="1437">
        <v>244.93199999999999</v>
      </c>
      <c r="D11" s="1438">
        <f>40729.66+290.55</f>
        <v>41020.210000000006</v>
      </c>
      <c r="E11" s="1438">
        <f>801.91</f>
        <v>801.91</v>
      </c>
      <c r="F11" s="1438">
        <f>3089.85+4791.52+37.06</f>
        <v>7918.4300000000012</v>
      </c>
      <c r="G11" s="1438">
        <f t="shared" si="0"/>
        <v>49740.55000000001</v>
      </c>
      <c r="H11" s="1442"/>
      <c r="I11" s="1189"/>
    </row>
    <row r="12" spans="1:17">
      <c r="A12" s="1436">
        <v>41517</v>
      </c>
      <c r="B12" s="1437">
        <f>11977+289.661</f>
        <v>12266.661</v>
      </c>
      <c r="C12" s="1437">
        <f>289.78+19.142</f>
        <v>308.92199999999997</v>
      </c>
      <c r="D12" s="1438">
        <f>40055.27+948.97</f>
        <v>41004.239999999998</v>
      </c>
      <c r="E12" s="1438">
        <f>911.41+64.05</f>
        <v>975.45999999999992</v>
      </c>
      <c r="F12" s="1438">
        <f>3037.48+4716.34+36.42</f>
        <v>7790.24</v>
      </c>
      <c r="G12" s="1438">
        <f t="shared" si="0"/>
        <v>49769.939999999995</v>
      </c>
      <c r="H12" s="1442"/>
      <c r="I12" s="1189"/>
    </row>
    <row r="13" spans="1:17">
      <c r="A13" s="1436">
        <v>41532</v>
      </c>
      <c r="B13" s="1437">
        <f>11102.2+333.67</f>
        <v>11435.87</v>
      </c>
      <c r="C13" s="1437">
        <f>324.753</f>
        <v>324.75299999999999</v>
      </c>
      <c r="D13" s="1438">
        <f>37626.61+1119.59</f>
        <v>38746.199999999997</v>
      </c>
      <c r="E13" s="1438">
        <f>1003.72</f>
        <v>1003.72</v>
      </c>
      <c r="F13" s="1438">
        <f>2838.41+4410.74+34</f>
        <v>7283.15</v>
      </c>
      <c r="G13" s="1438">
        <f t="shared" si="0"/>
        <v>47033.069999999992</v>
      </c>
      <c r="H13" s="1442"/>
      <c r="I13" s="1189"/>
    </row>
    <row r="14" spans="1:17">
      <c r="A14" s="1436">
        <v>41547</v>
      </c>
      <c r="B14" s="1437">
        <f>11901.6+161.263</f>
        <v>12062.863000000001</v>
      </c>
      <c r="C14" s="1437">
        <v>313.726</v>
      </c>
      <c r="D14" s="1438">
        <f>38478.15+518.11</f>
        <v>38996.26</v>
      </c>
      <c r="E14" s="1438">
        <f>976.89</f>
        <v>976.89</v>
      </c>
      <c r="F14" s="1438">
        <f>2988.74+4641.77+35.83</f>
        <v>7666.34</v>
      </c>
      <c r="G14" s="1438">
        <f t="shared" si="0"/>
        <v>47639.490000000005</v>
      </c>
      <c r="H14" s="1442"/>
      <c r="I14" s="1189"/>
    </row>
    <row r="15" spans="1:17">
      <c r="A15" s="1436">
        <v>41562</v>
      </c>
      <c r="B15" s="1437">
        <f>11554.2+304.901</f>
        <v>11859.101000000001</v>
      </c>
      <c r="C15" s="1437">
        <f>331.313+23.855</f>
        <v>355.16800000000001</v>
      </c>
      <c r="D15" s="1438">
        <f>38427.67+1006.55</f>
        <v>39434.22</v>
      </c>
      <c r="E15" s="1438">
        <f>990.36+74.16</f>
        <v>1064.52</v>
      </c>
      <c r="F15" s="1438">
        <f>2946.74+4580.77+35.44</f>
        <v>7562.95</v>
      </c>
      <c r="G15" s="1438">
        <f t="shared" si="0"/>
        <v>48061.69</v>
      </c>
      <c r="H15" s="1442"/>
      <c r="I15" s="1189"/>
    </row>
    <row r="16" spans="1:17">
      <c r="A16" s="1436">
        <v>41578</v>
      </c>
      <c r="B16" s="1437">
        <f>11850.3+207.676</f>
        <v>12057.975999999999</v>
      </c>
      <c r="C16" s="1437">
        <f>353.015+19.89</f>
        <v>372.90499999999997</v>
      </c>
      <c r="D16" s="1438">
        <f>39583.38+684.55</f>
        <v>40267.93</v>
      </c>
      <c r="E16" s="1438">
        <f>995.61+63.65</f>
        <v>1059.26</v>
      </c>
      <c r="F16" s="1438">
        <f>2998.41+4662.24+36.05</f>
        <v>7696.7</v>
      </c>
      <c r="G16" s="1438">
        <f t="shared" si="0"/>
        <v>49023.89</v>
      </c>
      <c r="H16" s="1442"/>
      <c r="I16" s="1189"/>
    </row>
    <row r="17" spans="1:9">
      <c r="A17" s="1436">
        <v>41593</v>
      </c>
      <c r="B17" s="1437">
        <f>12483.3+263.763</f>
        <v>12747.063</v>
      </c>
      <c r="C17" s="1437">
        <v>287.88900000000001</v>
      </c>
      <c r="D17" s="1438">
        <f>38998+804.75</f>
        <v>39802.75</v>
      </c>
      <c r="E17" s="1438">
        <f>775.94</f>
        <v>775.94</v>
      </c>
      <c r="F17" s="1438">
        <f>3150.36+4888.62+37.81</f>
        <v>8076.79</v>
      </c>
      <c r="G17" s="1438">
        <f t="shared" si="0"/>
        <v>48655.479999999996</v>
      </c>
      <c r="H17" s="1442"/>
      <c r="I17" s="1189"/>
    </row>
    <row r="18" spans="1:9">
      <c r="A18" s="1436" t="s">
        <v>1758</v>
      </c>
      <c r="B18" s="1437">
        <f>10693.7+428.724</f>
        <v>11122.424000000001</v>
      </c>
      <c r="C18" s="1437">
        <f>200.193</f>
        <v>200.19300000000001</v>
      </c>
      <c r="D18" s="1438">
        <f>33693.37+1337.52</f>
        <v>35030.89</v>
      </c>
      <c r="E18" s="1438">
        <f>540.74</f>
        <v>540.74</v>
      </c>
      <c r="F18" s="1438">
        <f>2739.48+4246.5+32.84</f>
        <v>7018.82</v>
      </c>
      <c r="G18" s="1438">
        <f t="shared" si="0"/>
        <v>42590.45</v>
      </c>
      <c r="H18" s="1442"/>
      <c r="I18" s="1189"/>
    </row>
    <row r="19" spans="1:9">
      <c r="A19" s="1436">
        <v>41623</v>
      </c>
      <c r="B19" s="1437">
        <f>10678.2+352.739</f>
        <v>11030.939</v>
      </c>
      <c r="C19" s="1437">
        <f>279.742</f>
        <v>279.74200000000002</v>
      </c>
      <c r="D19" s="1438">
        <f>33894.17+1092.51</f>
        <v>34986.68</v>
      </c>
      <c r="E19" s="1438">
        <f>769.16</f>
        <v>769.16</v>
      </c>
      <c r="F19" s="1438">
        <f>2731.8+4241.87+32.81</f>
        <v>7006.4800000000005</v>
      </c>
      <c r="G19" s="1438">
        <f t="shared" si="0"/>
        <v>42762.32</v>
      </c>
      <c r="H19" s="1442"/>
      <c r="I19" s="1189"/>
    </row>
    <row r="20" spans="1:9">
      <c r="A20" s="1436">
        <v>41639</v>
      </c>
      <c r="B20" s="1437">
        <f>10761.6+221.296</f>
        <v>10982.896000000001</v>
      </c>
      <c r="C20" s="1437">
        <f>230.654+20.301</f>
        <v>250.95499999999998</v>
      </c>
      <c r="D20" s="1438">
        <f>34577.26+702.99</f>
        <v>35280.25</v>
      </c>
      <c r="E20" s="1438">
        <f>634.97+57.87</f>
        <v>692.84</v>
      </c>
      <c r="F20" s="1438">
        <f>2714.78+4213.14+32.55</f>
        <v>6960.47</v>
      </c>
      <c r="G20" s="1438">
        <f t="shared" si="0"/>
        <v>42933.56</v>
      </c>
      <c r="H20" s="1442"/>
      <c r="I20" s="1189"/>
    </row>
    <row r="21" spans="1:9">
      <c r="A21" s="1436">
        <v>41654</v>
      </c>
      <c r="B21" s="1437">
        <f>11759.8+223.348</f>
        <v>11983.147999999999</v>
      </c>
      <c r="C21" s="1437">
        <f>305.438</f>
        <v>305.43799999999999</v>
      </c>
      <c r="D21" s="1438">
        <f>36998.09+683.2</f>
        <v>37681.289999999994</v>
      </c>
      <c r="E21" s="1438">
        <f>871.21</f>
        <v>871.21</v>
      </c>
      <c r="F21" s="1438">
        <f>2967.85+4608.87+35.7</f>
        <v>7612.4199999999992</v>
      </c>
      <c r="G21" s="1438">
        <f t="shared" si="0"/>
        <v>46164.919999999991</v>
      </c>
      <c r="H21" s="1442"/>
      <c r="I21" s="1189"/>
    </row>
    <row r="22" spans="1:9">
      <c r="A22" s="1436">
        <v>41670</v>
      </c>
      <c r="B22" s="1437">
        <f>11802.6+365.871</f>
        <v>12168.471</v>
      </c>
      <c r="C22" s="1437">
        <f>228.323</f>
        <v>228.32300000000001</v>
      </c>
      <c r="D22" s="1438">
        <f>37884.92+1146.6</f>
        <v>39031.519999999997</v>
      </c>
      <c r="E22" s="1438">
        <v>624.02</v>
      </c>
      <c r="F22" s="1438">
        <f>2998.67+4649.37+35.97</f>
        <v>7684.01</v>
      </c>
      <c r="G22" s="1438">
        <f t="shared" si="0"/>
        <v>47339.549999999996</v>
      </c>
      <c r="H22" s="1442"/>
      <c r="I22" s="1189"/>
    </row>
    <row r="23" spans="1:9">
      <c r="A23" s="1436">
        <v>41685</v>
      </c>
      <c r="B23" s="1437">
        <f>9670.2+218.437</f>
        <v>9888.6370000000006</v>
      </c>
      <c r="C23" s="1437">
        <f>199.68</f>
        <v>199.68</v>
      </c>
      <c r="D23" s="1438">
        <f>30860.13+710.94</f>
        <v>31571.07</v>
      </c>
      <c r="E23" s="1438">
        <f>543.99</f>
        <v>543.99</v>
      </c>
      <c r="F23" s="1438">
        <f>2439.47+3783.55+29.28</f>
        <v>6252.3</v>
      </c>
      <c r="G23" s="1438">
        <f t="shared" si="0"/>
        <v>38367.360000000001</v>
      </c>
      <c r="H23" s="1442"/>
      <c r="I23" s="1189"/>
    </row>
    <row r="24" spans="1:9">
      <c r="A24" s="1436">
        <v>41698</v>
      </c>
      <c r="B24" s="1437">
        <f>9460.1+189.903</f>
        <v>9650.0030000000006</v>
      </c>
      <c r="C24" s="1437">
        <f>221.044</f>
        <v>221.04400000000001</v>
      </c>
      <c r="D24" s="1438">
        <f>30841.11+621.31</f>
        <v>31462.420000000002</v>
      </c>
      <c r="E24" s="1438">
        <f>617.19</f>
        <v>617.19000000000005</v>
      </c>
      <c r="F24" s="1438">
        <f>2385.37+3702.11+28.59</f>
        <v>6116.07</v>
      </c>
      <c r="G24" s="1438">
        <f t="shared" si="0"/>
        <v>38195.68</v>
      </c>
      <c r="H24" s="1442"/>
      <c r="I24" s="1189"/>
    </row>
    <row r="25" spans="1:9">
      <c r="A25" s="1436">
        <v>41713</v>
      </c>
      <c r="B25" s="1437">
        <f>10029.1+373.055</f>
        <v>10402.155000000001</v>
      </c>
      <c r="C25" s="1437">
        <v>236.09</v>
      </c>
      <c r="D25" s="1438">
        <f>32531.04+1194.86</f>
        <v>33725.9</v>
      </c>
      <c r="E25" s="1438">
        <v>695.35</v>
      </c>
      <c r="F25" s="1438">
        <f>2570.92+3989.82+30.93</f>
        <v>6591.67</v>
      </c>
      <c r="G25" s="1438">
        <f t="shared" si="0"/>
        <v>41012.92</v>
      </c>
      <c r="H25" s="1442"/>
      <c r="I25" s="1189"/>
    </row>
    <row r="26" spans="1:9">
      <c r="A26" s="1436">
        <v>41729</v>
      </c>
      <c r="B26" s="1437">
        <f>11154.9+392.012</f>
        <v>11546.912</v>
      </c>
      <c r="C26" s="1437">
        <v>243.238</v>
      </c>
      <c r="D26" s="1438">
        <f>35574.33+1231.83</f>
        <v>36806.160000000003</v>
      </c>
      <c r="E26" s="1438">
        <v>752.18</v>
      </c>
      <c r="F26" s="1438">
        <f>2850.46+4421.93+34.18</f>
        <v>7306.5700000000006</v>
      </c>
      <c r="G26" s="1438">
        <f t="shared" si="0"/>
        <v>44864.91</v>
      </c>
      <c r="H26" s="1442"/>
      <c r="I26" s="1189"/>
    </row>
    <row r="27" spans="1:9">
      <c r="A27" s="1436">
        <v>41744</v>
      </c>
      <c r="B27" s="1437">
        <f>11168.2+359.562</f>
        <v>11527.762000000001</v>
      </c>
      <c r="C27" s="1437">
        <v>202.23500000000001</v>
      </c>
      <c r="D27" s="1438">
        <f>35128.34+1111.61</f>
        <v>36239.949999999997</v>
      </c>
      <c r="E27" s="1438">
        <f>639.48</f>
        <v>639.48</v>
      </c>
      <c r="F27" s="1438">
        <f>2838.33+4399.28+34.05</f>
        <v>7271.66</v>
      </c>
      <c r="G27" s="1438">
        <f t="shared" si="0"/>
        <v>44151.09</v>
      </c>
      <c r="H27" s="1442"/>
      <c r="I27" s="1189"/>
    </row>
    <row r="28" spans="1:9">
      <c r="A28" s="1436">
        <v>41759</v>
      </c>
      <c r="B28" s="1437">
        <f>11375.7+367.651</f>
        <v>11743.351000000001</v>
      </c>
      <c r="C28" s="1437">
        <f>304.983+18.81</f>
        <v>323.79300000000001</v>
      </c>
      <c r="D28" s="1438">
        <f>36864.99+1176.43</f>
        <v>38041.42</v>
      </c>
      <c r="E28" s="1438">
        <f>1007.11+65.93</f>
        <v>1073.04</v>
      </c>
      <c r="F28" s="1438">
        <f>2912.92+4525.66+34.91</f>
        <v>7473.49</v>
      </c>
      <c r="G28" s="1438">
        <f t="shared" si="0"/>
        <v>46587.95</v>
      </c>
      <c r="H28" s="1442"/>
      <c r="I28" s="1189"/>
    </row>
    <row r="29" spans="1:9">
      <c r="A29" s="1436">
        <v>41774</v>
      </c>
      <c r="B29" s="1437">
        <f>11787.1+368.934</f>
        <v>12156.034</v>
      </c>
      <c r="C29" s="1437">
        <v>371.17399999999998</v>
      </c>
      <c r="D29" s="1438">
        <f>37865.99+1167.07</f>
        <v>39033.06</v>
      </c>
      <c r="E29" s="1438">
        <f>1242.39</f>
        <v>1242.3900000000001</v>
      </c>
      <c r="F29" s="1438">
        <f>3021.87+4698.27+36.3</f>
        <v>7756.4400000000005</v>
      </c>
      <c r="G29" s="1438">
        <f t="shared" si="0"/>
        <v>48031.89</v>
      </c>
      <c r="H29" s="1442"/>
    </row>
    <row r="30" spans="1:9">
      <c r="A30" s="1436">
        <v>41790</v>
      </c>
      <c r="B30" s="1437">
        <f>12165.4+511.406</f>
        <v>12676.806</v>
      </c>
      <c r="C30" s="1437">
        <v>393.83300000000003</v>
      </c>
      <c r="D30" s="1438">
        <f>39782.24+1643.12</f>
        <v>41425.360000000001</v>
      </c>
      <c r="E30" s="1438">
        <v>1319.49</v>
      </c>
      <c r="F30" s="1438">
        <f>3152.51+4901.92+38.03</f>
        <v>8092.46</v>
      </c>
      <c r="G30" s="1438">
        <f t="shared" si="0"/>
        <v>50837.31</v>
      </c>
      <c r="H30" s="1442"/>
    </row>
    <row r="31" spans="1:9">
      <c r="A31" s="1436">
        <v>41805</v>
      </c>
      <c r="B31" s="1437">
        <f>11371.9+363.425</f>
        <v>11735.324999999999</v>
      </c>
      <c r="C31" s="1437">
        <v>382.06900000000002</v>
      </c>
      <c r="D31" s="1438">
        <f>38083.75+1193.93</f>
        <v>39277.68</v>
      </c>
      <c r="E31" s="1438">
        <f>1323.36</f>
        <v>1323.36</v>
      </c>
      <c r="F31" s="1438">
        <f>2921.66+4544.51+35.25</f>
        <v>7501.42</v>
      </c>
      <c r="G31" s="1438">
        <f t="shared" si="0"/>
        <v>48102.46</v>
      </c>
      <c r="H31" s="1442"/>
    </row>
    <row r="32" spans="1:9">
      <c r="A32" s="1436">
        <v>41820</v>
      </c>
      <c r="B32" s="1437">
        <f>11465.4+407.371</f>
        <v>11872.770999999999</v>
      </c>
      <c r="C32" s="1437">
        <f>292.866</f>
        <v>292.86599999999999</v>
      </c>
      <c r="D32" s="1438">
        <f>37152.22+1322.76</f>
        <v>38474.980000000003</v>
      </c>
      <c r="E32" s="1438">
        <v>998.79</v>
      </c>
      <c r="F32" s="1438">
        <f>2938.65+4562.57+35.33</f>
        <v>7536.5499999999993</v>
      </c>
      <c r="G32" s="1438">
        <f t="shared" si="0"/>
        <v>47010.320000000007</v>
      </c>
      <c r="H32" s="1442"/>
    </row>
    <row r="33" spans="1:16">
      <c r="A33" s="1436">
        <v>41835</v>
      </c>
      <c r="B33" s="1437">
        <f>9650.5+398.877</f>
        <v>10049.377</v>
      </c>
      <c r="C33" s="1437">
        <v>319.99400000000003</v>
      </c>
      <c r="D33" s="1438">
        <f>30198.94+1237.93</f>
        <v>31436.87</v>
      </c>
      <c r="E33" s="1438">
        <v>1116.0999999999999</v>
      </c>
      <c r="F33" s="1438">
        <f>2500.56+3888.9+30.1</f>
        <v>6419.56</v>
      </c>
      <c r="G33" s="1438">
        <f t="shared" si="0"/>
        <v>38972.53</v>
      </c>
      <c r="H33" s="1442"/>
    </row>
    <row r="34" spans="1:16">
      <c r="A34" s="1436">
        <v>41851</v>
      </c>
      <c r="B34" s="1437">
        <f>9883.2+428.722</f>
        <v>10311.922</v>
      </c>
      <c r="C34" s="1437">
        <f>358.114+19.564</f>
        <v>377.678</v>
      </c>
      <c r="D34" s="1438">
        <f>31328.98+1344.6</f>
        <v>32673.579999999998</v>
      </c>
      <c r="E34" s="1438">
        <f>1228+69.15</f>
        <v>1297.1500000000001</v>
      </c>
      <c r="F34" s="1438">
        <f>2574.95+4009.11+30.95</f>
        <v>6615.0099999999993</v>
      </c>
      <c r="G34" s="1438">
        <f t="shared" si="0"/>
        <v>40585.74</v>
      </c>
      <c r="H34" s="1442"/>
    </row>
    <row r="35" spans="1:16">
      <c r="A35" s="1436">
        <v>41866</v>
      </c>
      <c r="B35" s="1437">
        <f>8262.2+298.495</f>
        <v>8560.6950000000015</v>
      </c>
      <c r="C35" s="1437">
        <f>255.599+22.41</f>
        <v>278.00900000000001</v>
      </c>
      <c r="D35" s="1438">
        <f>26443.27+941.39</f>
        <v>27384.66</v>
      </c>
      <c r="E35" s="1438">
        <f>859.42+78.07</f>
        <v>937.49</v>
      </c>
      <c r="F35" s="1438">
        <f>2131.2+3314.87+25.61</f>
        <v>5471.6799999999994</v>
      </c>
      <c r="G35" s="1438">
        <f t="shared" si="0"/>
        <v>33793.83</v>
      </c>
      <c r="H35" s="1442"/>
    </row>
    <row r="36" spans="1:16">
      <c r="A36" s="1436">
        <v>41882</v>
      </c>
      <c r="B36" s="1437">
        <f>8013.4+554.035</f>
        <v>8567.4349999999995</v>
      </c>
      <c r="C36" s="1437">
        <f>280.491+18.75</f>
        <v>299.24099999999999</v>
      </c>
      <c r="D36" s="1438">
        <f>26182.86+1788.98</f>
        <v>27971.84</v>
      </c>
      <c r="E36" s="1438">
        <f>914.15+64.22</f>
        <v>978.37</v>
      </c>
      <c r="F36" s="1438">
        <f>2136.68+3325.33+25.64</f>
        <v>5487.6500000000005</v>
      </c>
      <c r="G36" s="1438">
        <f t="shared" si="0"/>
        <v>34437.86</v>
      </c>
      <c r="H36" s="1442"/>
    </row>
    <row r="37" spans="1:16">
      <c r="A37" s="1436">
        <v>41897</v>
      </c>
      <c r="B37" s="1437">
        <f>8270.8+231.049</f>
        <v>8501.8490000000002</v>
      </c>
      <c r="C37" s="1437">
        <f>289.503+24.636+28.55</f>
        <v>342.68900000000002</v>
      </c>
      <c r="D37" s="1438">
        <f>28441.33+775.28</f>
        <v>29216.61</v>
      </c>
      <c r="E37" s="1438">
        <f>939.76+88.83+97.78</f>
        <v>1126.3699999999999</v>
      </c>
      <c r="F37" s="1438">
        <f>2128.66+3317.1+25.67</f>
        <v>5471.43</v>
      </c>
      <c r="G37" s="1438">
        <f t="shared" si="0"/>
        <v>35814.410000000003</v>
      </c>
      <c r="H37" s="1442"/>
    </row>
    <row r="38" spans="1:16">
      <c r="A38" s="1436">
        <v>41912</v>
      </c>
      <c r="B38" s="1437">
        <f>6975+230.024</f>
        <v>7205.0240000000003</v>
      </c>
      <c r="C38" s="1437">
        <v>297.548</v>
      </c>
      <c r="D38" s="1438">
        <f>21660.84+694.85</f>
        <v>22355.69</v>
      </c>
      <c r="E38" s="1438">
        <v>949.4</v>
      </c>
      <c r="F38" s="1438">
        <f>1805.35+2813.82+21.8</f>
        <v>4640.97</v>
      </c>
      <c r="G38" s="1438">
        <f t="shared" si="0"/>
        <v>27946.059999999998</v>
      </c>
      <c r="H38" s="1442"/>
    </row>
    <row r="39" spans="1:16">
      <c r="A39" s="1436">
        <v>41927</v>
      </c>
      <c r="B39" s="1437">
        <f>7079.2+303.248</f>
        <v>7382.4479999999994</v>
      </c>
      <c r="C39" s="1437">
        <f>303.269+14.92</f>
        <v>318.18900000000002</v>
      </c>
      <c r="D39" s="1438">
        <f>20728.69+916.23</f>
        <v>21644.92</v>
      </c>
      <c r="E39" s="1438">
        <f>929.65+45.51</f>
        <v>975.16</v>
      </c>
      <c r="F39" s="1438">
        <f>1852.13+2888.07+22.33</f>
        <v>4762.5300000000007</v>
      </c>
      <c r="G39" s="1438">
        <f t="shared" si="0"/>
        <v>27382.61</v>
      </c>
      <c r="H39" s="1442"/>
    </row>
    <row r="40" spans="1:16">
      <c r="A40" s="1436">
        <v>41943</v>
      </c>
      <c r="B40" s="1437">
        <f>7305.5+215.168</f>
        <v>7520.6679999999997</v>
      </c>
      <c r="C40" s="1437">
        <f>321.563+35.68</f>
        <v>357.24299999999999</v>
      </c>
      <c r="D40" s="1438">
        <f>20332.92+585.46</f>
        <v>20918.379999999997</v>
      </c>
      <c r="E40" s="1438">
        <f>884.98+102.79</f>
        <v>987.77</v>
      </c>
      <c r="F40" s="1438">
        <f>1892.93+2954.61+22.91</f>
        <v>4870.45</v>
      </c>
      <c r="G40" s="1438">
        <f t="shared" si="0"/>
        <v>26776.6</v>
      </c>
      <c r="H40" s="1442"/>
    </row>
    <row r="41" spans="1:16">
      <c r="A41" s="1436">
        <v>41958</v>
      </c>
      <c r="B41" s="1437">
        <f>7620.5+345.741</f>
        <v>7966.241</v>
      </c>
      <c r="C41" s="1437">
        <f>213.255+37.72</f>
        <v>250.97499999999999</v>
      </c>
      <c r="D41" s="1438">
        <f>21287.2+989.14</f>
        <v>22276.34</v>
      </c>
      <c r="E41" s="1438">
        <f>558.11+110.59</f>
        <v>668.7</v>
      </c>
      <c r="F41" s="1438">
        <f>1981.79+3081.82+23.87</f>
        <v>5087.4800000000005</v>
      </c>
      <c r="G41" s="1438">
        <f t="shared" si="0"/>
        <v>28032.52</v>
      </c>
      <c r="H41" s="1442"/>
    </row>
    <row r="42" spans="1:16">
      <c r="A42" s="1436">
        <v>41973</v>
      </c>
      <c r="B42" s="1437">
        <f>7066.8+301.848</f>
        <v>7368.6480000000001</v>
      </c>
      <c r="C42" s="1437">
        <f>235.819+89.35</f>
        <v>325.16899999999998</v>
      </c>
      <c r="D42" s="1438">
        <f>19451.96+894.48</f>
        <v>20346.439999999999</v>
      </c>
      <c r="E42" s="1438">
        <f>584.55+252.46</f>
        <v>837.01</v>
      </c>
      <c r="F42" s="1438">
        <f>1850.14+2885.5+22.23</f>
        <v>4757.87</v>
      </c>
      <c r="G42" s="1438">
        <f t="shared" si="0"/>
        <v>25941.32</v>
      </c>
      <c r="H42" s="1442"/>
    </row>
    <row r="43" spans="1:16">
      <c r="A43" s="1436">
        <v>41988</v>
      </c>
      <c r="B43" s="1437">
        <f>7344.5+300.649</f>
        <v>7645.1490000000003</v>
      </c>
      <c r="C43" s="1437">
        <f>205.675+15.27+60.33</f>
        <v>281.27500000000003</v>
      </c>
      <c r="D43" s="1438">
        <f>17304.51+713.53</f>
        <v>18018.039999999997</v>
      </c>
      <c r="E43" s="1438">
        <f>501.89+42.38+163.97</f>
        <v>708.24</v>
      </c>
      <c r="F43" s="1438">
        <f>1909.22+2972.72+23.01</f>
        <v>4904.95</v>
      </c>
      <c r="G43" s="1438">
        <f t="shared" si="0"/>
        <v>23631.229999999996</v>
      </c>
      <c r="H43" s="1443"/>
      <c r="I43" s="1443"/>
      <c r="J43" s="1443"/>
      <c r="K43" s="1443"/>
      <c r="L43" s="1443"/>
      <c r="M43" s="1443"/>
      <c r="N43" s="1443"/>
      <c r="O43" s="1443"/>
      <c r="P43" s="1443"/>
    </row>
    <row r="44" spans="1:16" ht="12.75">
      <c r="A44" s="1436">
        <v>42004</v>
      </c>
      <c r="B44" s="1437">
        <f>7879.4+175.93</f>
        <v>8055.33</v>
      </c>
      <c r="C44" s="1437">
        <f>158.177+105.46+32.19</f>
        <v>295.827</v>
      </c>
      <c r="D44" s="1438">
        <f>16303.6+390.15</f>
        <v>16693.75</v>
      </c>
      <c r="E44" s="1438">
        <f>355.05+266.85+78</f>
        <v>699.90000000000009</v>
      </c>
      <c r="F44" s="1438">
        <f>2011.57+3132.04+24.18</f>
        <v>5167.79</v>
      </c>
      <c r="G44" s="1438">
        <f t="shared" si="0"/>
        <v>22561.440000000002</v>
      </c>
      <c r="H44" s="2233"/>
      <c r="I44" s="2233"/>
      <c r="J44" s="2233"/>
      <c r="K44" s="2233"/>
      <c r="L44" s="2233"/>
      <c r="M44" s="2233"/>
      <c r="N44" s="2233"/>
      <c r="O44" s="2233"/>
      <c r="P44" s="1444"/>
    </row>
    <row r="45" spans="1:16" ht="12.75">
      <c r="A45" s="1430"/>
      <c r="B45" s="1445">
        <f t="shared" ref="B45:G45" si="1">SUM(B5:B44)</f>
        <v>431212.19199999992</v>
      </c>
      <c r="C45" s="1445">
        <f t="shared" si="1"/>
        <v>11693.424000000001</v>
      </c>
      <c r="D45" s="1445">
        <f t="shared" si="1"/>
        <v>1365596.8800000004</v>
      </c>
      <c r="E45" s="1445">
        <f t="shared" si="1"/>
        <v>35954.170000000006</v>
      </c>
      <c r="F45" s="1445">
        <f t="shared" si="1"/>
        <v>274318.11</v>
      </c>
      <c r="G45" s="1445">
        <f t="shared" si="1"/>
        <v>1675869.1600000004</v>
      </c>
      <c r="H45" s="1446"/>
      <c r="I45" s="1447"/>
      <c r="J45" s="1447"/>
      <c r="K45" s="1447"/>
      <c r="L45" s="1447"/>
      <c r="M45" s="1447"/>
      <c r="N45" s="1447"/>
      <c r="O45" s="1447"/>
      <c r="P45" s="1448"/>
    </row>
    <row r="46" spans="1:16" ht="12.75">
      <c r="A46" s="1430"/>
      <c r="B46" s="1449"/>
      <c r="C46" s="1449"/>
      <c r="D46" s="1449"/>
      <c r="E46" s="1449"/>
      <c r="F46" s="1449"/>
      <c r="G46" s="1449"/>
      <c r="H46" s="2234" t="s">
        <v>2480</v>
      </c>
      <c r="I46" s="2234"/>
      <c r="J46" s="2234"/>
      <c r="K46" s="2234"/>
      <c r="L46" s="2234"/>
      <c r="M46" s="2234"/>
      <c r="N46" s="2234"/>
      <c r="O46" s="2234"/>
    </row>
    <row r="47" spans="1:16" ht="51">
      <c r="A47" s="1430"/>
      <c r="H47" s="1450" t="s">
        <v>1759</v>
      </c>
      <c r="I47" s="1451" t="s">
        <v>1760</v>
      </c>
      <c r="J47" s="1451" t="s">
        <v>1761</v>
      </c>
      <c r="K47" s="1451" t="s">
        <v>1762</v>
      </c>
      <c r="L47" s="1451" t="s">
        <v>1763</v>
      </c>
      <c r="M47" s="1451" t="s">
        <v>1764</v>
      </c>
      <c r="N47" s="1451" t="s">
        <v>1765</v>
      </c>
      <c r="O47" s="1451" t="s">
        <v>1766</v>
      </c>
    </row>
    <row r="48" spans="1:16">
      <c r="A48" s="1430"/>
      <c r="H48" s="1452">
        <f>SUM(B33:B44)</f>
        <v>99134.785999999993</v>
      </c>
      <c r="I48" s="1452">
        <f>SUM(C33:C44)</f>
        <v>3743.8369999999995</v>
      </c>
      <c r="J48" s="1453">
        <f>SUM(D33:D44)</f>
        <v>290937.12</v>
      </c>
      <c r="K48" s="1453">
        <f>SUM(E33:E44)</f>
        <v>11281.66</v>
      </c>
      <c r="L48" s="1453">
        <f>SUM(F33:F44)</f>
        <v>63657.37</v>
      </c>
      <c r="M48" s="1454">
        <f>(0.243+0.375+0.00289919714)*H48</f>
        <v>61552.709036045708</v>
      </c>
      <c r="N48" s="1454">
        <f>(0.183+0.375+0.00289919714)*I48</f>
        <v>2099.915167523026</v>
      </c>
      <c r="O48" s="1455">
        <f>L48-M48-N48</f>
        <v>4.7457964312689001</v>
      </c>
    </row>
    <row r="49" spans="1:19" ht="51">
      <c r="A49" s="1430"/>
      <c r="H49" s="1450" t="s">
        <v>1767</v>
      </c>
      <c r="I49" s="1451" t="s">
        <v>1768</v>
      </c>
      <c r="J49" s="1451" t="s">
        <v>1769</v>
      </c>
      <c r="K49" s="1450" t="s">
        <v>1770</v>
      </c>
      <c r="L49" s="1451"/>
      <c r="M49" s="1450" t="s">
        <v>1771</v>
      </c>
      <c r="N49" s="1450" t="s">
        <v>1772</v>
      </c>
      <c r="O49" s="1456"/>
    </row>
    <row r="50" spans="1:19">
      <c r="A50" s="1430"/>
      <c r="H50" s="1452">
        <f>H48/6</f>
        <v>16522.464333333333</v>
      </c>
      <c r="I50" s="1457">
        <f>I48/6</f>
        <v>623.97283333333326</v>
      </c>
      <c r="J50" s="1453">
        <f>J48/6</f>
        <v>48489.52</v>
      </c>
      <c r="K50" s="1453">
        <f>K48/6</f>
        <v>1880.2766666666666</v>
      </c>
      <c r="L50" s="1456"/>
      <c r="M50" s="1454">
        <f>(0.243+0.375+0.00289919714)*H50</f>
        <v>10258.784839340951</v>
      </c>
      <c r="N50" s="1454">
        <f>(0.183+0.375+0.00289919714)*I50</f>
        <v>349.9858612538377</v>
      </c>
      <c r="O50" s="1456"/>
    </row>
    <row r="51" spans="1:19" ht="38.25">
      <c r="A51" s="1430"/>
      <c r="H51" s="1456"/>
      <c r="I51" s="1456"/>
      <c r="J51" s="1451" t="s">
        <v>1773</v>
      </c>
      <c r="K51" s="1451" t="s">
        <v>1774</v>
      </c>
      <c r="L51" s="1451"/>
      <c r="M51" s="1451" t="s">
        <v>1775</v>
      </c>
      <c r="N51" s="1451" t="s">
        <v>1776</v>
      </c>
      <c r="O51" s="1456"/>
      <c r="S51" s="1426"/>
    </row>
    <row r="52" spans="1:19">
      <c r="A52" s="1430"/>
      <c r="H52" s="1456"/>
      <c r="I52" s="1456"/>
      <c r="J52" s="1453">
        <f>J50/H50</f>
        <v>2.9347631819167894</v>
      </c>
      <c r="K52" s="1453">
        <f>K50/I50</f>
        <v>3.0133950810358465</v>
      </c>
      <c r="L52" s="1456"/>
      <c r="M52" s="1454">
        <f>(0.243+0.375+0.00289919714)</f>
        <v>0.62089919713999997</v>
      </c>
      <c r="N52" s="1454">
        <f>(0.183+0.375+0.00289919714)</f>
        <v>0.56089919714000003</v>
      </c>
      <c r="O52" s="1456"/>
      <c r="S52" s="1426"/>
    </row>
    <row r="53" spans="1:19" ht="63.75">
      <c r="A53" s="1430"/>
      <c r="H53" s="1456"/>
      <c r="I53" s="1456"/>
      <c r="J53" s="1458" t="s">
        <v>1777</v>
      </c>
      <c r="K53" s="1458" t="s">
        <v>1778</v>
      </c>
      <c r="L53" s="1451" t="s">
        <v>1779</v>
      </c>
      <c r="M53" s="1450" t="s">
        <v>1780</v>
      </c>
      <c r="N53" s="1459" t="s">
        <v>1781</v>
      </c>
      <c r="O53" s="1456"/>
      <c r="S53" s="1426"/>
    </row>
    <row r="54" spans="1:19">
      <c r="A54" s="1430"/>
      <c r="H54" s="1456"/>
      <c r="I54" s="1456"/>
      <c r="J54" s="1460">
        <f>J52+M52</f>
        <v>3.5556623790567894</v>
      </c>
      <c r="K54" s="1460">
        <f>K52+N52</f>
        <v>3.5742942781758464</v>
      </c>
      <c r="L54" s="1453">
        <f>J54*H50*12</f>
        <v>704979.65807209141</v>
      </c>
      <c r="M54" s="1453">
        <f>K54*I50*12</f>
        <v>26763.150335046048</v>
      </c>
      <c r="N54" s="1453">
        <f>M54+L54</f>
        <v>731742.8084071374</v>
      </c>
      <c r="O54" s="1456"/>
      <c r="S54" s="1426"/>
    </row>
    <row r="55" spans="1:19">
      <c r="A55" s="1430"/>
      <c r="H55" s="1461"/>
      <c r="I55" s="1461"/>
      <c r="J55" s="1461"/>
      <c r="K55" s="1461"/>
      <c r="L55" s="1461"/>
      <c r="M55" s="1461"/>
      <c r="N55" s="1461"/>
      <c r="O55" s="1461"/>
      <c r="S55" s="1426"/>
    </row>
    <row r="56" spans="1:19" ht="12.75">
      <c r="A56" s="1430"/>
      <c r="H56" s="2235" t="s">
        <v>1782</v>
      </c>
      <c r="I56" s="2235"/>
      <c r="J56" s="2235"/>
      <c r="K56" s="2235"/>
      <c r="L56" s="2235"/>
      <c r="M56" s="2235"/>
      <c r="N56" s="2235"/>
      <c r="O56" s="2235"/>
      <c r="S56" s="1426"/>
    </row>
    <row r="57" spans="1:19" ht="51">
      <c r="A57" s="1430"/>
      <c r="H57" s="1462" t="s">
        <v>1783</v>
      </c>
      <c r="I57" s="1463" t="s">
        <v>1784</v>
      </c>
      <c r="J57" s="1463" t="s">
        <v>1785</v>
      </c>
      <c r="K57" s="1463" t="s">
        <v>1786</v>
      </c>
      <c r="L57" s="1463" t="s">
        <v>1787</v>
      </c>
      <c r="M57" s="1463" t="s">
        <v>1764</v>
      </c>
      <c r="N57" s="1463" t="s">
        <v>1765</v>
      </c>
      <c r="O57" s="1463" t="s">
        <v>1766</v>
      </c>
      <c r="S57" s="1426"/>
    </row>
    <row r="58" spans="1:19">
      <c r="A58" s="1430"/>
      <c r="H58" s="1464">
        <f>SUM(B21:B44)</f>
        <v>236486.16099999999</v>
      </c>
      <c r="I58" s="1464">
        <f>SUM(C21:C44)</f>
        <v>7143.6200000000017</v>
      </c>
      <c r="J58" s="1465">
        <f>SUM(D21:D44)</f>
        <v>733707.92999999982</v>
      </c>
      <c r="K58" s="1465">
        <f>SUM(E21:E44)</f>
        <v>21982.150000000005</v>
      </c>
      <c r="L58" s="1465">
        <f>SUM(F21:F44)</f>
        <v>150852.43</v>
      </c>
      <c r="M58" s="1466">
        <f>(0.243+0.375+0.00289919714)*H58</f>
        <v>146834.06749962078</v>
      </c>
      <c r="N58" s="1466">
        <f>(0.183+0.375+0.00289919714)*I58</f>
        <v>4006.8507226732481</v>
      </c>
      <c r="O58" s="1465">
        <f>L58-M58-N58</f>
        <v>11.511777705963141</v>
      </c>
      <c r="S58" s="1426"/>
    </row>
    <row r="59" spans="1:19" ht="51">
      <c r="A59" s="1430"/>
      <c r="H59" s="1462" t="s">
        <v>1767</v>
      </c>
      <c r="I59" s="1463" t="s">
        <v>1768</v>
      </c>
      <c r="J59" s="1463" t="s">
        <v>1769</v>
      </c>
      <c r="K59" s="1462" t="s">
        <v>1770</v>
      </c>
      <c r="L59" s="1463"/>
      <c r="M59" s="1462" t="s">
        <v>1771</v>
      </c>
      <c r="N59" s="1462" t="s">
        <v>1772</v>
      </c>
      <c r="O59" s="1467"/>
      <c r="S59" s="1426"/>
    </row>
    <row r="60" spans="1:19">
      <c r="A60" s="1430"/>
      <c r="H60" s="1468">
        <f>H58/12</f>
        <v>19707.180083333333</v>
      </c>
      <c r="I60" s="1469">
        <f>I58/12</f>
        <v>595.30166666666685</v>
      </c>
      <c r="J60" s="1470">
        <f>J58/12</f>
        <v>61142.327499999985</v>
      </c>
      <c r="K60" s="1470">
        <f>K58/12</f>
        <v>1831.8458333333338</v>
      </c>
      <c r="L60" s="1471"/>
      <c r="M60" s="1466">
        <f>(0.243+0.375+0.00289919714)*H60</f>
        <v>12236.172291635065</v>
      </c>
      <c r="N60" s="1466">
        <f>(0.183+0.375+0.00289919714)*I60</f>
        <v>333.90422688943733</v>
      </c>
      <c r="O60" s="1471"/>
      <c r="S60" s="1426"/>
    </row>
    <row r="61" spans="1:19" ht="38.25">
      <c r="A61" s="1430"/>
      <c r="H61" s="1466"/>
      <c r="I61" s="1471"/>
      <c r="J61" s="1463" t="s">
        <v>1773</v>
      </c>
      <c r="K61" s="1463" t="s">
        <v>1774</v>
      </c>
      <c r="L61" s="1463"/>
      <c r="M61" s="1463" t="s">
        <v>1775</v>
      </c>
      <c r="N61" s="1463" t="s">
        <v>1776</v>
      </c>
      <c r="O61" s="1471"/>
      <c r="S61" s="1426"/>
    </row>
    <row r="62" spans="1:19">
      <c r="A62" s="1430"/>
      <c r="H62" s="1466"/>
      <c r="I62" s="1471"/>
      <c r="J62" s="1470">
        <f>J60/H60</f>
        <v>3.1025406598739611</v>
      </c>
      <c r="K62" s="1470">
        <f>K60/I60</f>
        <v>3.0771723579921662</v>
      </c>
      <c r="L62" s="1471"/>
      <c r="M62" s="1466">
        <f>(0.243+0.375+0.00289919714)</f>
        <v>0.62089919713999997</v>
      </c>
      <c r="N62" s="1466">
        <f>(0.183+0.375+0.00289919714)</f>
        <v>0.56089919714000003</v>
      </c>
      <c r="O62" s="1471"/>
      <c r="S62" s="1426"/>
    </row>
    <row r="63" spans="1:19" ht="63.75">
      <c r="A63" s="1430"/>
      <c r="H63" s="1466"/>
      <c r="I63" s="1471"/>
      <c r="J63" s="1472" t="s">
        <v>1777</v>
      </c>
      <c r="K63" s="1472" t="s">
        <v>1778</v>
      </c>
      <c r="L63" s="1463" t="s">
        <v>1779</v>
      </c>
      <c r="M63" s="1462" t="s">
        <v>1780</v>
      </c>
      <c r="N63" s="1473" t="s">
        <v>1781</v>
      </c>
      <c r="O63" s="1471"/>
      <c r="S63" s="1426"/>
    </row>
    <row r="64" spans="1:19" ht="12.75">
      <c r="A64" s="1430"/>
      <c r="H64" s="1462"/>
      <c r="I64" s="1462"/>
      <c r="J64" s="1474">
        <f>J62+M62</f>
        <v>3.7234398570139611</v>
      </c>
      <c r="K64" s="1474">
        <f>K62+N62</f>
        <v>3.6380715551321661</v>
      </c>
      <c r="L64" s="1474">
        <f>J64*H60*12</f>
        <v>880541.99749962054</v>
      </c>
      <c r="M64" s="1474">
        <f>K64*I60*12</f>
        <v>25989.000722673252</v>
      </c>
      <c r="N64" s="1474">
        <f>M64+L64</f>
        <v>906530.9982222938</v>
      </c>
      <c r="O64" s="1462"/>
      <c r="S64" s="1426"/>
    </row>
    <row r="65" spans="8:19">
      <c r="H65" s="1033" t="s">
        <v>2477</v>
      </c>
      <c r="S65" s="1426"/>
    </row>
    <row r="66" spans="8:19">
      <c r="H66" s="2229" t="s">
        <v>2479</v>
      </c>
      <c r="I66" s="2230"/>
      <c r="J66" s="2230"/>
      <c r="K66" s="2230"/>
      <c r="L66" s="2230"/>
      <c r="M66" s="2230"/>
      <c r="N66" s="2230"/>
      <c r="O66" s="2230"/>
      <c r="S66" s="1426"/>
    </row>
    <row r="67" spans="8:19">
      <c r="S67" s="1426"/>
    </row>
    <row r="68" spans="8:19">
      <c r="S68" s="1426"/>
    </row>
    <row r="69" spans="8:19">
      <c r="S69" s="1426"/>
    </row>
    <row r="70" spans="8:19">
      <c r="S70" s="1426"/>
    </row>
  </sheetData>
  <mergeCells count="7">
    <mergeCell ref="H66:O66"/>
    <mergeCell ref="A2:G2"/>
    <mergeCell ref="A3:G3"/>
    <mergeCell ref="H3:Q3"/>
    <mergeCell ref="H44:O44"/>
    <mergeCell ref="H46:O46"/>
    <mergeCell ref="H56:O5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16"/>
    <pageSetUpPr fitToPage="1"/>
  </sheetPr>
  <dimension ref="A1:L60"/>
  <sheetViews>
    <sheetView workbookViewId="0">
      <pane xSplit="1" ySplit="4" topLeftCell="B5" activePane="bottomRight" state="frozen"/>
      <selection activeCell="B41" sqref="B41"/>
      <selection pane="topRight" activeCell="B41" sqref="B41"/>
      <selection pane="bottomLeft" activeCell="B41" sqref="B41"/>
      <selection pane="bottomRight" activeCell="G3" sqref="G3"/>
    </sheetView>
  </sheetViews>
  <sheetFormatPr defaultColWidth="10.6640625" defaultRowHeight="12.75"/>
  <cols>
    <col min="1" max="1" width="10.6640625" style="432" customWidth="1"/>
    <col min="2" max="2" width="13.6640625" style="432" customWidth="1"/>
    <col min="3" max="10" width="16.1640625" style="432" customWidth="1"/>
    <col min="11" max="11" width="10.6640625" style="432" customWidth="1"/>
    <col min="12" max="12" width="19.5" style="432" customWidth="1"/>
    <col min="13" max="16384" width="10.6640625" style="432"/>
  </cols>
  <sheetData>
    <row r="1" spans="1:12" ht="18">
      <c r="A1" s="427" t="s">
        <v>1582</v>
      </c>
      <c r="D1" s="1373" t="s">
        <v>1703</v>
      </c>
    </row>
    <row r="2" spans="1:12">
      <c r="A2" s="433" t="s">
        <v>1387</v>
      </c>
    </row>
    <row r="4" spans="1:12">
      <c r="B4" s="723">
        <v>41395</v>
      </c>
      <c r="C4" s="432" t="s">
        <v>666</v>
      </c>
      <c r="D4" s="432" t="s">
        <v>667</v>
      </c>
      <c r="E4" s="432" t="s">
        <v>668</v>
      </c>
      <c r="F4" s="432" t="s">
        <v>669</v>
      </c>
      <c r="G4" s="432" t="s">
        <v>670</v>
      </c>
      <c r="H4" s="432" t="s">
        <v>671</v>
      </c>
      <c r="I4" s="432" t="s">
        <v>672</v>
      </c>
      <c r="J4" s="432" t="s">
        <v>673</v>
      </c>
      <c r="L4" s="432" t="s">
        <v>674</v>
      </c>
    </row>
    <row r="5" spans="1:12">
      <c r="A5" s="432">
        <f t="shared" ref="A5:A27" si="0">MONTH(B5)</f>
        <v>5</v>
      </c>
      <c r="B5" s="723">
        <f>B4+14</f>
        <v>41409</v>
      </c>
      <c r="C5" s="474">
        <f>12267.3+408.335</f>
        <v>12675.634999999998</v>
      </c>
      <c r="D5" s="474"/>
      <c r="E5" s="432">
        <f>230.224+20.33</f>
        <v>250.55399999999997</v>
      </c>
      <c r="G5" s="1044">
        <f>47615.95+1560.47</f>
        <v>49176.42</v>
      </c>
      <c r="H5" s="1044"/>
      <c r="I5" s="1044">
        <f>861.05+77.02</f>
        <v>938.06999999999994</v>
      </c>
      <c r="J5" s="1044"/>
      <c r="L5" s="1044">
        <f t="shared" ref="L5:L37" si="1">G5+H5+I5+J5</f>
        <v>50114.49</v>
      </c>
    </row>
    <row r="6" spans="1:12">
      <c r="A6" s="432">
        <f t="shared" si="0"/>
        <v>5</v>
      </c>
      <c r="B6" s="723">
        <f>EOMONTH(B5,0)</f>
        <v>41425</v>
      </c>
      <c r="C6" s="474">
        <f>12918.7+241.071</f>
        <v>13159.771000000001</v>
      </c>
      <c r="D6" s="474"/>
      <c r="E6" s="432">
        <f>230.338</f>
        <v>230.33799999999999</v>
      </c>
      <c r="G6" s="1044">
        <f>49851.59+927.01</f>
        <v>50778.6</v>
      </c>
      <c r="H6" s="1044"/>
      <c r="I6" s="1044">
        <f>926.86</f>
        <v>926.86</v>
      </c>
      <c r="J6" s="1044"/>
      <c r="L6" s="1044">
        <f t="shared" si="1"/>
        <v>51705.46</v>
      </c>
    </row>
    <row r="7" spans="1:12">
      <c r="A7" s="432">
        <f t="shared" si="0"/>
        <v>6</v>
      </c>
      <c r="B7" s="723">
        <f>B6+15</f>
        <v>41440</v>
      </c>
      <c r="C7" s="474">
        <f>11313.5+259.808</f>
        <v>11573.308000000001</v>
      </c>
      <c r="D7" s="474"/>
      <c r="E7" s="432">
        <f>256.769+24.247</f>
        <v>281.01600000000002</v>
      </c>
      <c r="G7" s="1044">
        <f>42132.94+962.63</f>
        <v>43095.57</v>
      </c>
      <c r="H7" s="1044"/>
      <c r="I7" s="1044">
        <f>989.18+99.07</f>
        <v>1088.25</v>
      </c>
      <c r="J7" s="1044"/>
      <c r="L7" s="1044">
        <f t="shared" si="1"/>
        <v>44183.82</v>
      </c>
    </row>
    <row r="8" spans="1:12">
      <c r="A8" s="432">
        <f t="shared" si="0"/>
        <v>6</v>
      </c>
      <c r="B8" s="723">
        <f>EOMONTH(B7,0)</f>
        <v>41455</v>
      </c>
      <c r="C8" s="474">
        <f>11548+293.253</f>
        <v>11841.253000000001</v>
      </c>
      <c r="D8" s="474"/>
      <c r="E8" s="432">
        <f>220.149+22.711</f>
        <v>242.86</v>
      </c>
      <c r="G8" s="1044">
        <f>44054.23+1093.61</f>
        <v>45147.840000000004</v>
      </c>
      <c r="H8" s="1044"/>
      <c r="I8" s="1044">
        <f>835.99+90.97</f>
        <v>926.96</v>
      </c>
      <c r="J8" s="1044"/>
      <c r="L8" s="1044">
        <f t="shared" si="1"/>
        <v>46074.8</v>
      </c>
    </row>
    <row r="9" spans="1:12">
      <c r="A9" s="432">
        <f t="shared" si="0"/>
        <v>7</v>
      </c>
      <c r="B9" s="723">
        <f>B8+15</f>
        <v>41470</v>
      </c>
      <c r="C9" s="474">
        <f>13065.3+228.43</f>
        <v>13293.73</v>
      </c>
      <c r="D9" s="474"/>
      <c r="E9" s="432">
        <f>255.929+24.238+8.207</f>
        <v>288.37400000000002</v>
      </c>
      <c r="G9" s="1044">
        <f>50414.04+873.77</f>
        <v>51287.81</v>
      </c>
      <c r="H9" s="1044"/>
      <c r="I9" s="1044">
        <f>964.59+97.09+32.87</f>
        <v>1094.55</v>
      </c>
      <c r="J9" s="1044"/>
      <c r="L9" s="1044">
        <f t="shared" si="1"/>
        <v>52382.36</v>
      </c>
    </row>
    <row r="10" spans="1:12">
      <c r="A10" s="432">
        <f t="shared" si="0"/>
        <v>7</v>
      </c>
      <c r="B10" s="723">
        <f>EOMONTH(B9,0)</f>
        <v>41486</v>
      </c>
      <c r="C10" s="474">
        <f>13705.3+380.185</f>
        <v>14085.484999999999</v>
      </c>
      <c r="D10" s="474"/>
      <c r="E10" s="432">
        <f>317.477</f>
        <v>317.47699999999998</v>
      </c>
      <c r="G10" s="1044">
        <f>53936.07+1478.82</f>
        <v>55414.89</v>
      </c>
      <c r="H10" s="1044"/>
      <c r="I10" s="1044">
        <f>1240.39</f>
        <v>1240.3900000000001</v>
      </c>
      <c r="J10" s="1044"/>
      <c r="L10" s="1044">
        <f t="shared" si="1"/>
        <v>56655.28</v>
      </c>
    </row>
    <row r="11" spans="1:12">
      <c r="A11" s="432">
        <f t="shared" si="0"/>
        <v>8</v>
      </c>
      <c r="B11" s="723">
        <f>B10+15</f>
        <v>41501</v>
      </c>
      <c r="C11" s="474">
        <f>12441+90.056</f>
        <v>12531.056</v>
      </c>
      <c r="D11" s="474"/>
      <c r="E11" s="432">
        <f>244.932</f>
        <v>244.93199999999999</v>
      </c>
      <c r="G11" s="1044">
        <f>48454.79+346.46</f>
        <v>48801.25</v>
      </c>
      <c r="H11" s="1044"/>
      <c r="I11" s="1044">
        <v>939.3</v>
      </c>
      <c r="J11" s="1044"/>
      <c r="L11" s="1044">
        <f t="shared" si="1"/>
        <v>49740.55</v>
      </c>
    </row>
    <row r="12" spans="1:12">
      <c r="A12" s="432">
        <f t="shared" si="0"/>
        <v>8</v>
      </c>
      <c r="B12" s="723">
        <f>EOMONTH(B11,0)</f>
        <v>41517</v>
      </c>
      <c r="C12" s="474">
        <f>11977+289.661</f>
        <v>12266.661</v>
      </c>
      <c r="D12" s="474"/>
      <c r="E12" s="432">
        <f>289.78+19.142</f>
        <v>308.92199999999997</v>
      </c>
      <c r="G12" s="1044">
        <f>47492.36+1128.84</f>
        <v>48621.2</v>
      </c>
      <c r="H12" s="1044"/>
      <c r="I12" s="1044">
        <f>1073.96+74.78</f>
        <v>1148.74</v>
      </c>
      <c r="J12" s="1044"/>
      <c r="L12" s="1044">
        <f t="shared" si="1"/>
        <v>49769.939999999995</v>
      </c>
    </row>
    <row r="13" spans="1:12">
      <c r="A13" s="432">
        <f t="shared" si="0"/>
        <v>9</v>
      </c>
      <c r="B13" s="723">
        <f>B12+15</f>
        <v>41532</v>
      </c>
      <c r="C13" s="474">
        <f>11102.2+333.67</f>
        <v>11435.87</v>
      </c>
      <c r="D13" s="474"/>
      <c r="E13" s="432">
        <f>324.753</f>
        <v>324.75299999999999</v>
      </c>
      <c r="G13" s="1044">
        <f>44520.42+1326.78</f>
        <v>45847.199999999997</v>
      </c>
      <c r="H13" s="1044"/>
      <c r="I13" s="1044">
        <v>1185.8699999999999</v>
      </c>
      <c r="J13" s="1044"/>
      <c r="L13" s="1044">
        <f t="shared" si="1"/>
        <v>47033.07</v>
      </c>
    </row>
    <row r="14" spans="1:12">
      <c r="A14" s="432">
        <f t="shared" si="0"/>
        <v>9</v>
      </c>
      <c r="B14" s="723">
        <f>EOMONTH(B13,0)</f>
        <v>41547</v>
      </c>
      <c r="C14" s="474">
        <f>11901.6+161.263</f>
        <v>12062.863000000001</v>
      </c>
      <c r="D14" s="474"/>
      <c r="E14" s="432">
        <f>313.726</f>
        <v>313.726</v>
      </c>
      <c r="G14" s="1044">
        <f>45868.37+618.25</f>
        <v>46486.62</v>
      </c>
      <c r="H14" s="1044"/>
      <c r="I14" s="1044">
        <f>1152.87</f>
        <v>1152.8699999999999</v>
      </c>
      <c r="J14" s="1044"/>
      <c r="L14" s="1044">
        <f t="shared" si="1"/>
        <v>47639.490000000005</v>
      </c>
    </row>
    <row r="15" spans="1:12">
      <c r="A15" s="432">
        <f t="shared" si="0"/>
        <v>10</v>
      </c>
      <c r="B15" s="723">
        <f>B14+15</f>
        <v>41562</v>
      </c>
      <c r="C15" s="474">
        <f>11554.2+304.901</f>
        <v>11859.101000000001</v>
      </c>
      <c r="D15" s="474"/>
      <c r="E15" s="432">
        <f>331.313+23.855</f>
        <v>355.16800000000001</v>
      </c>
      <c r="G15" s="1044">
        <f>45602.08+1195.88</f>
        <v>46797.96</v>
      </c>
      <c r="H15" s="1044"/>
      <c r="I15" s="1044">
        <f>1176.19+87.54</f>
        <v>1263.73</v>
      </c>
      <c r="J15" s="1044"/>
      <c r="L15" s="1044">
        <f t="shared" si="1"/>
        <v>48061.69</v>
      </c>
    </row>
    <row r="16" spans="1:12">
      <c r="A16" s="432">
        <f t="shared" si="0"/>
        <v>10</v>
      </c>
      <c r="B16" s="723">
        <f>EOMONTH(B15,0)</f>
        <v>41578</v>
      </c>
      <c r="C16" s="474">
        <f>11850.3+207.676</f>
        <v>12057.975999999999</v>
      </c>
      <c r="D16" s="474"/>
      <c r="E16" s="432">
        <f>353.015+19.89</f>
        <v>372.90499999999997</v>
      </c>
      <c r="G16" s="1044">
        <f>46941.92+813.48</f>
        <v>47755.4</v>
      </c>
      <c r="H16" s="1044"/>
      <c r="I16" s="1044">
        <f>1193.68+74.81</f>
        <v>1268.49</v>
      </c>
      <c r="J16" s="1044"/>
      <c r="L16" s="1044">
        <f t="shared" si="1"/>
        <v>49023.89</v>
      </c>
    </row>
    <row r="17" spans="1:12">
      <c r="A17" s="432">
        <f t="shared" si="0"/>
        <v>11</v>
      </c>
      <c r="B17" s="723">
        <f>B16+15</f>
        <v>41593</v>
      </c>
      <c r="C17" s="474">
        <f>12483.3+263.763</f>
        <v>12747.063</v>
      </c>
      <c r="D17" s="474"/>
      <c r="E17" s="432">
        <f>287.889</f>
        <v>287.88900000000001</v>
      </c>
      <c r="G17" s="1044">
        <f>46749.54+968.53</f>
        <v>47718.07</v>
      </c>
      <c r="H17" s="1044"/>
      <c r="I17" s="1044">
        <v>937.41</v>
      </c>
      <c r="J17" s="1044"/>
      <c r="L17" s="1044">
        <f t="shared" si="1"/>
        <v>48655.48</v>
      </c>
    </row>
    <row r="18" spans="1:12">
      <c r="A18" s="432">
        <f t="shared" si="0"/>
        <v>11</v>
      </c>
      <c r="B18" s="723">
        <f>EOMONTH(B17,0)</f>
        <v>41608</v>
      </c>
      <c r="C18" s="474">
        <f>10693.7+428.724</f>
        <v>11122.424000000001</v>
      </c>
      <c r="D18" s="474"/>
      <c r="E18" s="432">
        <f>200.193</f>
        <v>200.19300000000001</v>
      </c>
      <c r="G18" s="1044">
        <f>40333.66+1603.74</f>
        <v>41937.4</v>
      </c>
      <c r="H18" s="1044"/>
      <c r="I18" s="1044">
        <v>653.04999999999995</v>
      </c>
      <c r="J18" s="1044"/>
      <c r="L18" s="1044">
        <f t="shared" si="1"/>
        <v>42590.450000000004</v>
      </c>
    </row>
    <row r="19" spans="1:12">
      <c r="A19" s="432">
        <f t="shared" si="0"/>
        <v>12</v>
      </c>
      <c r="B19" s="723">
        <f>B18+15</f>
        <v>41623</v>
      </c>
      <c r="C19" s="474">
        <f>10678.2+352.739</f>
        <v>11030.939</v>
      </c>
      <c r="D19" s="474"/>
      <c r="E19" s="432">
        <v>279.74200000000002</v>
      </c>
      <c r="G19" s="1044">
        <f>40524.7+1311.54</f>
        <v>41836.239999999998</v>
      </c>
      <c r="H19" s="1044"/>
      <c r="I19" s="1044">
        <f>926.08</f>
        <v>926.08</v>
      </c>
      <c r="J19" s="1044"/>
      <c r="L19" s="1044">
        <f t="shared" si="1"/>
        <v>42762.32</v>
      </c>
    </row>
    <row r="20" spans="1:12">
      <c r="A20" s="432">
        <f t="shared" si="0"/>
        <v>12</v>
      </c>
      <c r="B20" s="723">
        <f>EOMONTH(B19,0)</f>
        <v>41639</v>
      </c>
      <c r="C20" s="474">
        <f>10761.6+221.296</f>
        <v>10982.896000000001</v>
      </c>
      <c r="D20" s="474"/>
      <c r="E20" s="432">
        <f>230.654+20.301</f>
        <v>250.95499999999998</v>
      </c>
      <c r="G20" s="1044">
        <f>41259.58+840.41</f>
        <v>42099.990000000005</v>
      </c>
      <c r="H20" s="1044"/>
      <c r="I20" s="1044">
        <f>764.31+69.26</f>
        <v>833.56999999999994</v>
      </c>
      <c r="J20" s="1044"/>
      <c r="L20" s="1044">
        <f t="shared" si="1"/>
        <v>42933.560000000005</v>
      </c>
    </row>
    <row r="21" spans="1:12">
      <c r="A21" s="432">
        <f t="shared" si="0"/>
        <v>1</v>
      </c>
      <c r="B21" s="723">
        <f>B20+15</f>
        <v>41654</v>
      </c>
      <c r="C21" s="474">
        <f>11759.8+223.348</f>
        <v>11983.147999999999</v>
      </c>
      <c r="D21" s="474"/>
      <c r="E21" s="432">
        <f>305.438</f>
        <v>305.43799999999999</v>
      </c>
      <c r="G21" s="1044">
        <f>44300.5+821.89</f>
        <v>45122.39</v>
      </c>
      <c r="H21" s="1044"/>
      <c r="I21" s="1044">
        <f>1042.53</f>
        <v>1042.53</v>
      </c>
      <c r="J21" s="1044"/>
      <c r="L21" s="1044">
        <f t="shared" si="1"/>
        <v>46164.92</v>
      </c>
    </row>
    <row r="22" spans="1:12">
      <c r="A22" s="432">
        <f t="shared" si="0"/>
        <v>1</v>
      </c>
      <c r="B22" s="723">
        <f>EOMONTH(B21,0)</f>
        <v>41670</v>
      </c>
      <c r="C22" s="474">
        <f>11802.6+365.871</f>
        <v>12168.471</v>
      </c>
      <c r="D22" s="474"/>
      <c r="E22" s="432">
        <f>228.323</f>
        <v>228.32300000000001</v>
      </c>
      <c r="G22" s="1044">
        <f>45213.69+1373.78</f>
        <v>46587.47</v>
      </c>
      <c r="H22" s="1044"/>
      <c r="I22" s="1044">
        <f>752.08</f>
        <v>752.08</v>
      </c>
      <c r="J22" s="1044"/>
      <c r="L22" s="1044">
        <f t="shared" si="1"/>
        <v>47339.55</v>
      </c>
    </row>
    <row r="23" spans="1:12">
      <c r="A23" s="432">
        <f t="shared" si="0"/>
        <v>2</v>
      </c>
      <c r="B23" s="723">
        <f>B22+15</f>
        <v>41685</v>
      </c>
      <c r="C23" s="474">
        <f>9670.2+218.437</f>
        <v>9888.6370000000006</v>
      </c>
      <c r="D23" s="474"/>
      <c r="E23" s="432">
        <v>199.68</v>
      </c>
      <c r="G23" s="1044">
        <f>36864.81+846.57</f>
        <v>37711.379999999997</v>
      </c>
      <c r="H23" s="1044"/>
      <c r="I23" s="1044">
        <v>655.98</v>
      </c>
      <c r="J23" s="1044"/>
      <c r="L23" s="1044">
        <f t="shared" si="1"/>
        <v>38367.360000000001</v>
      </c>
    </row>
    <row r="24" spans="1:12">
      <c r="A24" s="432">
        <f t="shared" si="0"/>
        <v>2</v>
      </c>
      <c r="B24" s="723">
        <f>EOMONTH(B23,0)</f>
        <v>41698</v>
      </c>
      <c r="C24" s="474">
        <f>9460.1+189.903</f>
        <v>9650.0030000000006</v>
      </c>
      <c r="D24" s="474"/>
      <c r="E24" s="432">
        <f>221.044</f>
        <v>221.04400000000001</v>
      </c>
      <c r="G24" s="1044">
        <f>36715.3+739.2</f>
        <v>37454.5</v>
      </c>
      <c r="H24" s="1044"/>
      <c r="I24" s="1044">
        <v>741.18</v>
      </c>
      <c r="J24" s="1044"/>
      <c r="L24" s="1044">
        <f t="shared" si="1"/>
        <v>38195.68</v>
      </c>
    </row>
    <row r="25" spans="1:12">
      <c r="A25" s="432">
        <f t="shared" si="0"/>
        <v>3</v>
      </c>
      <c r="B25" s="723">
        <f>B24+15</f>
        <v>41713</v>
      </c>
      <c r="C25" s="474">
        <f>10029.1+373.055</f>
        <v>10402.155000000001</v>
      </c>
      <c r="D25" s="474"/>
      <c r="E25" s="432">
        <v>236.09</v>
      </c>
      <c r="G25" s="1044">
        <f>38758.64+1426.47</f>
        <v>40185.11</v>
      </c>
      <c r="H25" s="1044"/>
      <c r="I25" s="1044">
        <v>827.81</v>
      </c>
      <c r="J25" s="1044"/>
      <c r="L25" s="1044">
        <f t="shared" si="1"/>
        <v>41012.92</v>
      </c>
    </row>
    <row r="26" spans="1:12">
      <c r="A26" s="432">
        <f t="shared" si="0"/>
        <v>3</v>
      </c>
      <c r="B26" s="723">
        <f>EOMONTH(B25,0)</f>
        <v>41729</v>
      </c>
      <c r="C26" s="474">
        <f>11154.9+392.012</f>
        <v>11546.912</v>
      </c>
      <c r="D26" s="474"/>
      <c r="E26" s="432">
        <v>243.238</v>
      </c>
      <c r="G26" s="1044">
        <f>42501.04+1475.25</f>
        <v>43976.29</v>
      </c>
      <c r="H26" s="1044"/>
      <c r="I26" s="1044">
        <v>888.62</v>
      </c>
      <c r="J26" s="1044"/>
      <c r="L26" s="1044">
        <f t="shared" si="1"/>
        <v>44864.91</v>
      </c>
    </row>
    <row r="27" spans="1:12">
      <c r="A27" s="432">
        <f t="shared" si="0"/>
        <v>4</v>
      </c>
      <c r="B27" s="723">
        <f>B26+15</f>
        <v>41744</v>
      </c>
      <c r="C27" s="474">
        <f>11168.2+359.562</f>
        <v>11527.762000000001</v>
      </c>
      <c r="D27" s="474"/>
      <c r="E27" s="432">
        <v>202.23500000000001</v>
      </c>
      <c r="G27" s="1044">
        <f>42063.29+1334.86</f>
        <v>43398.15</v>
      </c>
      <c r="H27" s="1044"/>
      <c r="I27" s="1044">
        <v>752.94</v>
      </c>
      <c r="J27" s="1044"/>
      <c r="L27" s="1044">
        <f t="shared" si="1"/>
        <v>44151.090000000004</v>
      </c>
    </row>
    <row r="28" spans="1:12">
      <c r="A28" s="432">
        <f>MONTH(B28)</f>
        <v>4</v>
      </c>
      <c r="B28" s="723">
        <f>EOMONTH(B27,0)</f>
        <v>41759</v>
      </c>
      <c r="C28" s="474">
        <f>11375.7+367.651</f>
        <v>11743.351000000001</v>
      </c>
      <c r="D28" s="474"/>
      <c r="E28" s="432">
        <f>304.983+18.81</f>
        <v>323.79300000000001</v>
      </c>
      <c r="G28" s="1044">
        <f>43928.57+1404.7</f>
        <v>45333.27</v>
      </c>
      <c r="H28" s="1044"/>
      <c r="I28" s="1044">
        <f>1178.21+76.47</f>
        <v>1254.68</v>
      </c>
      <c r="J28" s="1044"/>
      <c r="L28" s="1044">
        <f>G28+H28+I28+J28</f>
        <v>46587.95</v>
      </c>
    </row>
    <row r="29" spans="1:12">
      <c r="B29" s="723"/>
      <c r="C29" s="474"/>
      <c r="D29" s="474"/>
      <c r="G29" s="1044"/>
      <c r="H29" s="1044"/>
      <c r="I29" s="1044"/>
      <c r="J29" s="1044"/>
      <c r="L29" s="1044"/>
    </row>
    <row r="31" spans="1:12">
      <c r="A31" s="433" t="s">
        <v>140</v>
      </c>
    </row>
    <row r="32" spans="1:12">
      <c r="A32" s="477">
        <f t="shared" ref="A32:A37" si="2">MONTH(B32)</f>
        <v>5</v>
      </c>
      <c r="B32" s="1225">
        <f>B28+15</f>
        <v>41774</v>
      </c>
      <c r="C32" s="474">
        <f>11787.1+368.93</f>
        <v>12156.03</v>
      </c>
      <c r="D32" s="474"/>
      <c r="E32" s="432">
        <v>371.17</v>
      </c>
      <c r="G32" s="1044">
        <f>45185.14+1396.18</f>
        <v>46581.32</v>
      </c>
      <c r="H32" s="1044"/>
      <c r="I32" s="1044">
        <v>1450.57</v>
      </c>
      <c r="J32" s="1044"/>
      <c r="L32" s="1044">
        <f>G32+H32+I32+J32</f>
        <v>48031.89</v>
      </c>
    </row>
    <row r="33" spans="1:12">
      <c r="A33" s="477">
        <f t="shared" si="2"/>
        <v>5</v>
      </c>
      <c r="B33" s="1225">
        <f>EOMONTH(B32,0)</f>
        <v>41790</v>
      </c>
      <c r="C33" s="474">
        <f>12165.4+511.41</f>
        <v>12676.81</v>
      </c>
      <c r="D33" s="474"/>
      <c r="E33" s="432">
        <v>393.83</v>
      </c>
      <c r="G33" s="1044">
        <f>47336.21+1960.69</f>
        <v>49296.9</v>
      </c>
      <c r="H33" s="1044"/>
      <c r="I33" s="1044">
        <v>1540.41</v>
      </c>
      <c r="L33" s="1044">
        <f t="shared" si="1"/>
        <v>50837.310000000005</v>
      </c>
    </row>
    <row r="34" spans="1:12">
      <c r="A34" s="477">
        <f t="shared" si="2"/>
        <v>6</v>
      </c>
      <c r="B34" s="1225">
        <f>B33+15</f>
        <v>41805</v>
      </c>
      <c r="C34" s="474">
        <f>11465.4+407.37</f>
        <v>11872.77</v>
      </c>
      <c r="D34" s="474"/>
      <c r="E34" s="432">
        <v>292.87</v>
      </c>
      <c r="G34" s="1044">
        <f>44271.5+1575.76</f>
        <v>45847.26</v>
      </c>
      <c r="H34" s="1044"/>
      <c r="I34" s="1044">
        <f>1163.06</f>
        <v>1163.06</v>
      </c>
      <c r="L34" s="1044">
        <f t="shared" si="1"/>
        <v>47010.32</v>
      </c>
    </row>
    <row r="35" spans="1:12">
      <c r="A35" s="477">
        <f t="shared" si="2"/>
        <v>6</v>
      </c>
      <c r="B35" s="1225">
        <f>EOMONTH(B34,0)</f>
        <v>41820</v>
      </c>
      <c r="C35" s="474">
        <f>11371.9+363.43</f>
        <v>11735.33</v>
      </c>
      <c r="D35" s="474"/>
      <c r="E35" s="432">
        <v>382.07</v>
      </c>
      <c r="G35" s="1044">
        <f>45145.12+1419.62</f>
        <v>46564.740000000005</v>
      </c>
      <c r="H35" s="1044"/>
      <c r="I35" s="1044">
        <v>1537.72</v>
      </c>
      <c r="L35" s="1044">
        <f t="shared" si="1"/>
        <v>48102.460000000006</v>
      </c>
    </row>
    <row r="36" spans="1:12">
      <c r="A36" s="477">
        <f t="shared" si="2"/>
        <v>7</v>
      </c>
      <c r="B36" s="1225">
        <f>B35+15</f>
        <v>41835</v>
      </c>
      <c r="C36" s="474">
        <f>9650.5+398.877</f>
        <v>10049.377</v>
      </c>
      <c r="D36" s="474"/>
      <c r="E36" s="1224">
        <v>319.99400000000003</v>
      </c>
      <c r="G36" s="1044">
        <f>36191.33+1485.62</f>
        <v>37676.950000000004</v>
      </c>
      <c r="H36" s="1044"/>
      <c r="I36" s="1044">
        <v>1295.58</v>
      </c>
      <c r="L36" s="1044">
        <f t="shared" si="1"/>
        <v>38972.530000000006</v>
      </c>
    </row>
    <row r="37" spans="1:12">
      <c r="A37" s="477">
        <f t="shared" si="2"/>
        <v>7</v>
      </c>
      <c r="B37" s="1225">
        <f>EOMONTH(B36,0)</f>
        <v>41851</v>
      </c>
      <c r="C37" s="474">
        <f>9883.2+428.722</f>
        <v>10311.922</v>
      </c>
      <c r="D37" s="474"/>
      <c r="E37" s="1224">
        <f>358.114+19.56</f>
        <v>377.67399999999998</v>
      </c>
      <c r="G37" s="1044">
        <f>37465.98+1610.82</f>
        <v>39076.800000000003</v>
      </c>
      <c r="H37" s="1044"/>
      <c r="I37" s="1044">
        <f>1428.82+80.12</f>
        <v>1508.94</v>
      </c>
      <c r="L37" s="1044">
        <f t="shared" si="1"/>
        <v>40585.740000000005</v>
      </c>
    </row>
    <row r="39" spans="1:12">
      <c r="C39" s="2236" t="s">
        <v>675</v>
      </c>
      <c r="D39" s="2236"/>
      <c r="G39" s="2236" t="s">
        <v>676</v>
      </c>
      <c r="H39" s="2236"/>
    </row>
    <row r="40" spans="1:12">
      <c r="C40" s="432" t="s">
        <v>677</v>
      </c>
      <c r="D40" s="432" t="s">
        <v>678</v>
      </c>
      <c r="G40" s="432" t="s">
        <v>677</v>
      </c>
      <c r="H40" s="432" t="s">
        <v>678</v>
      </c>
    </row>
    <row r="41" spans="1:12">
      <c r="A41" s="432">
        <f>MONTH(B41)</f>
        <v>5</v>
      </c>
      <c r="B41" s="723">
        <f>+'WUTC Revenue'!C2</f>
        <v>41425</v>
      </c>
      <c r="C41" s="431">
        <f>SUMIF($A$5:$A$29,$A41,$C$5:$C$29)+SUMIF($A$5:$A$29,$A41,$D$5:$D$29)</f>
        <v>25835.405999999999</v>
      </c>
      <c r="D41" s="1044">
        <f t="shared" ref="D41:D52" si="3">SUMIF($A$5:$A$29,$A41,$G$5:$G$29)+SUMIF($A$5:$A$29,$A41,$H$5:$H$29)</f>
        <v>99955.01999999999</v>
      </c>
      <c r="E41" s="1044">
        <f>D41/C41</f>
        <v>3.8689161687646787</v>
      </c>
      <c r="G41" s="431">
        <f t="shared" ref="G41:G52" si="4">SUMIF($A$5:$A$29,$A41,$E$5:$E$29)+SUMIF($A$5:$A$29,$A41,$F$5:$F$29)</f>
        <v>480.89199999999994</v>
      </c>
      <c r="H41" s="1044">
        <f t="shared" ref="H41:H52" si="5">SUMIF($A$5:$A$29,$A41,$I$5:$I$29)+SUMIF($A$5:$A$29,$A41,$J$5:$J$29)</f>
        <v>1864.9299999999998</v>
      </c>
      <c r="I41" s="1044">
        <f>H41/G41</f>
        <v>3.8780640975520493</v>
      </c>
    </row>
    <row r="42" spans="1:12">
      <c r="A42" s="432">
        <f t="shared" ref="A42:A52" si="6">MONTH(B42)</f>
        <v>6</v>
      </c>
      <c r="B42" s="723">
        <f t="shared" ref="B42:B52" si="7">EOMONTH(B41,1)</f>
        <v>41455</v>
      </c>
      <c r="C42" s="431">
        <f t="shared" ref="C42:C52" si="8">SUMIF($A$5:$A$29,$A42,$C$5:$C$29)+SUMIF($A$5:$A$29,$A42,$D$5:$D$29)</f>
        <v>23414.561000000002</v>
      </c>
      <c r="D42" s="1044">
        <f t="shared" si="3"/>
        <v>88243.41</v>
      </c>
      <c r="E42" s="1044">
        <f t="shared" ref="E42:E52" si="9">D42/C42</f>
        <v>3.7687407421390473</v>
      </c>
      <c r="G42" s="431">
        <f t="shared" si="4"/>
        <v>523.87599999999998</v>
      </c>
      <c r="H42" s="1044">
        <f t="shared" si="5"/>
        <v>2015.21</v>
      </c>
      <c r="I42" s="1044">
        <f t="shared" ref="I42:I52" si="10">H42/G42</f>
        <v>3.8467309057868659</v>
      </c>
    </row>
    <row r="43" spans="1:12">
      <c r="A43" s="432">
        <f t="shared" si="6"/>
        <v>7</v>
      </c>
      <c r="B43" s="723">
        <f t="shared" si="7"/>
        <v>41486</v>
      </c>
      <c r="C43" s="431">
        <f t="shared" si="8"/>
        <v>27379.214999999997</v>
      </c>
      <c r="D43" s="1044">
        <f t="shared" si="3"/>
        <v>106702.7</v>
      </c>
      <c r="E43" s="1044">
        <f t="shared" si="9"/>
        <v>3.8972154607062333</v>
      </c>
      <c r="G43" s="431">
        <f t="shared" si="4"/>
        <v>605.851</v>
      </c>
      <c r="H43" s="1044">
        <f t="shared" si="5"/>
        <v>2334.94</v>
      </c>
      <c r="I43" s="1044">
        <f t="shared" si="10"/>
        <v>3.8539839003319298</v>
      </c>
    </row>
    <row r="44" spans="1:12">
      <c r="A44" s="432">
        <f t="shared" si="6"/>
        <v>8</v>
      </c>
      <c r="B44" s="723">
        <f t="shared" si="7"/>
        <v>41517</v>
      </c>
      <c r="C44" s="431">
        <f t="shared" si="8"/>
        <v>24797.717000000001</v>
      </c>
      <c r="D44" s="1044">
        <f t="shared" si="3"/>
        <v>97422.45</v>
      </c>
      <c r="E44" s="1044">
        <f t="shared" si="9"/>
        <v>3.9286862576905768</v>
      </c>
      <c r="G44" s="431">
        <f t="shared" si="4"/>
        <v>553.85399999999993</v>
      </c>
      <c r="H44" s="1044">
        <f t="shared" si="5"/>
        <v>2088.04</v>
      </c>
      <c r="I44" s="1044">
        <f t="shared" si="10"/>
        <v>3.7700188136223631</v>
      </c>
    </row>
    <row r="45" spans="1:12">
      <c r="A45" s="432">
        <f t="shared" si="6"/>
        <v>9</v>
      </c>
      <c r="B45" s="723">
        <f t="shared" si="7"/>
        <v>41547</v>
      </c>
      <c r="C45" s="431">
        <f t="shared" si="8"/>
        <v>23498.733</v>
      </c>
      <c r="D45" s="1044">
        <f t="shared" si="3"/>
        <v>92333.82</v>
      </c>
      <c r="E45" s="1044">
        <f t="shared" si="9"/>
        <v>3.9293105717657206</v>
      </c>
      <c r="G45" s="431">
        <f t="shared" si="4"/>
        <v>638.47900000000004</v>
      </c>
      <c r="H45" s="1044">
        <f t="shared" si="5"/>
        <v>2338.7399999999998</v>
      </c>
      <c r="I45" s="1044">
        <f t="shared" si="10"/>
        <v>3.6629865665119756</v>
      </c>
    </row>
    <row r="46" spans="1:12">
      <c r="A46" s="432">
        <f t="shared" si="6"/>
        <v>10</v>
      </c>
      <c r="B46" s="723">
        <f t="shared" si="7"/>
        <v>41578</v>
      </c>
      <c r="C46" s="431">
        <f t="shared" si="8"/>
        <v>23917.076999999997</v>
      </c>
      <c r="D46" s="1044">
        <f t="shared" si="3"/>
        <v>94553.36</v>
      </c>
      <c r="E46" s="1044">
        <f t="shared" si="9"/>
        <v>3.9533827649591133</v>
      </c>
      <c r="G46" s="431">
        <f t="shared" si="4"/>
        <v>728.07299999999998</v>
      </c>
      <c r="H46" s="1044">
        <f t="shared" si="5"/>
        <v>2532.2200000000003</v>
      </c>
      <c r="I46" s="1044">
        <f t="shared" si="10"/>
        <v>3.4779754227941435</v>
      </c>
    </row>
    <row r="47" spans="1:12">
      <c r="A47" s="432">
        <f t="shared" si="6"/>
        <v>11</v>
      </c>
      <c r="B47" s="723">
        <f t="shared" si="7"/>
        <v>41608</v>
      </c>
      <c r="C47" s="431">
        <f t="shared" si="8"/>
        <v>23869.487000000001</v>
      </c>
      <c r="D47" s="1044">
        <f t="shared" si="3"/>
        <v>89655.47</v>
      </c>
      <c r="E47" s="1044">
        <f t="shared" si="9"/>
        <v>3.7560702498549716</v>
      </c>
      <c r="G47" s="431">
        <f t="shared" si="4"/>
        <v>488.08199999999999</v>
      </c>
      <c r="H47" s="1044">
        <f t="shared" si="5"/>
        <v>1590.46</v>
      </c>
      <c r="I47" s="1044">
        <f t="shared" si="10"/>
        <v>3.2585917940018279</v>
      </c>
    </row>
    <row r="48" spans="1:12">
      <c r="A48" s="432">
        <f t="shared" si="6"/>
        <v>12</v>
      </c>
      <c r="B48" s="723">
        <f t="shared" si="7"/>
        <v>41639</v>
      </c>
      <c r="C48" s="431">
        <f t="shared" si="8"/>
        <v>22013.834999999999</v>
      </c>
      <c r="D48" s="1044">
        <f t="shared" si="3"/>
        <v>83936.23000000001</v>
      </c>
      <c r="E48" s="1044">
        <f t="shared" si="9"/>
        <v>3.8128853968424861</v>
      </c>
      <c r="G48" s="431">
        <f t="shared" si="4"/>
        <v>530.697</v>
      </c>
      <c r="H48" s="1044">
        <f t="shared" si="5"/>
        <v>1759.65</v>
      </c>
      <c r="I48" s="1044">
        <f t="shared" si="10"/>
        <v>3.3157338368221416</v>
      </c>
    </row>
    <row r="49" spans="1:9">
      <c r="A49" s="432">
        <f t="shared" si="6"/>
        <v>1</v>
      </c>
      <c r="B49" s="723">
        <f t="shared" si="7"/>
        <v>41670</v>
      </c>
      <c r="C49" s="431">
        <f t="shared" si="8"/>
        <v>24151.618999999999</v>
      </c>
      <c r="D49" s="1044">
        <f t="shared" si="3"/>
        <v>91709.86</v>
      </c>
      <c r="E49" s="1044">
        <f t="shared" si="9"/>
        <v>3.7972551653783544</v>
      </c>
      <c r="G49" s="431">
        <f t="shared" si="4"/>
        <v>533.76099999999997</v>
      </c>
      <c r="H49" s="1044">
        <f t="shared" si="5"/>
        <v>1794.6100000000001</v>
      </c>
      <c r="I49" s="1044">
        <f t="shared" si="10"/>
        <v>3.3621976877291528</v>
      </c>
    </row>
    <row r="50" spans="1:9">
      <c r="A50" s="432">
        <f t="shared" si="6"/>
        <v>2</v>
      </c>
      <c r="B50" s="723">
        <f t="shared" si="7"/>
        <v>41698</v>
      </c>
      <c r="C50" s="431">
        <f t="shared" si="8"/>
        <v>19538.64</v>
      </c>
      <c r="D50" s="1044">
        <f t="shared" si="3"/>
        <v>75165.88</v>
      </c>
      <c r="E50" s="1044">
        <f t="shared" si="9"/>
        <v>3.8470374601302857</v>
      </c>
      <c r="G50" s="431">
        <f t="shared" si="4"/>
        <v>420.72400000000005</v>
      </c>
      <c r="H50" s="1044">
        <f t="shared" si="5"/>
        <v>1397.1599999999999</v>
      </c>
      <c r="I50" s="1044">
        <f t="shared" si="10"/>
        <v>3.320846921021857</v>
      </c>
    </row>
    <row r="51" spans="1:9">
      <c r="A51" s="432">
        <f t="shared" si="6"/>
        <v>3</v>
      </c>
      <c r="B51" s="723">
        <f t="shared" si="7"/>
        <v>41729</v>
      </c>
      <c r="C51" s="431">
        <f t="shared" si="8"/>
        <v>21949.067000000003</v>
      </c>
      <c r="D51" s="1044">
        <f t="shared" si="3"/>
        <v>84161.4</v>
      </c>
      <c r="E51" s="1044">
        <f t="shared" si="9"/>
        <v>3.8343953298789413</v>
      </c>
      <c r="G51" s="431">
        <f t="shared" si="4"/>
        <v>479.32799999999997</v>
      </c>
      <c r="H51" s="1044">
        <f t="shared" si="5"/>
        <v>1716.4299999999998</v>
      </c>
      <c r="I51" s="1044">
        <f t="shared" si="10"/>
        <v>3.5809091060818479</v>
      </c>
    </row>
    <row r="52" spans="1:9">
      <c r="A52" s="432">
        <f t="shared" si="6"/>
        <v>4</v>
      </c>
      <c r="B52" s="723">
        <f t="shared" si="7"/>
        <v>41759</v>
      </c>
      <c r="C52" s="431">
        <f t="shared" si="8"/>
        <v>23271.113000000001</v>
      </c>
      <c r="D52" s="1044">
        <f t="shared" si="3"/>
        <v>88731.42</v>
      </c>
      <c r="E52" s="1044">
        <f t="shared" si="9"/>
        <v>3.8129426813405956</v>
      </c>
      <c r="G52" s="431">
        <f t="shared" si="4"/>
        <v>526.02800000000002</v>
      </c>
      <c r="H52" s="1044">
        <f t="shared" si="5"/>
        <v>2007.6200000000001</v>
      </c>
      <c r="I52" s="1044">
        <f t="shared" si="10"/>
        <v>3.8165648976860549</v>
      </c>
    </row>
    <row r="54" spans="1:9">
      <c r="B54" s="432" t="s">
        <v>360</v>
      </c>
      <c r="C54" s="428">
        <f>SUM(L5:L29)-SUM(D41:D52)-SUM(H41:H52)</f>
        <v>0</v>
      </c>
    </row>
    <row r="56" spans="1:9">
      <c r="A56" s="477"/>
      <c r="B56" s="723"/>
    </row>
    <row r="57" spans="1:9">
      <c r="A57" s="433" t="s">
        <v>140</v>
      </c>
      <c r="B57" s="723"/>
    </row>
    <row r="58" spans="1:9">
      <c r="A58" s="432">
        <f>MONTH(B58)</f>
        <v>5</v>
      </c>
      <c r="B58" s="1225">
        <f>B33</f>
        <v>41790</v>
      </c>
      <c r="C58" s="431">
        <f>SUMIF($A$32:$A$37,$A58,$C$32:$C$37)+SUMIF($A$32:$A$37,$A58,$D$32:$D$37)</f>
        <v>24832.84</v>
      </c>
      <c r="D58" s="1044">
        <f>SUMIF($A$32:$A$37,$A58,$G$32:$G$37)+SUMIF($A$32:$A$37,$A58,$H$32:$H$37)</f>
        <v>95878.22</v>
      </c>
      <c r="E58" s="1044">
        <f>D58/C58</f>
        <v>3.8609446201078894</v>
      </c>
      <c r="G58" s="431">
        <f>SUMIF($A$32:$A$37,$A58,$E$32:$E$37)+SUMIF($A$32:$A$37,$A58,$F$32:$F$37)</f>
        <v>765</v>
      </c>
      <c r="H58" s="1044">
        <f>SUMIF($A$32:$A$37,$A58,$I$32:$I$37)+SUMIF($A$32:$A$37,$A58,$J$32:$J$37)</f>
        <v>2990.98</v>
      </c>
      <c r="I58" s="1044">
        <f>H58/G58</f>
        <v>3.9097777777777778</v>
      </c>
    </row>
    <row r="59" spans="1:9">
      <c r="A59" s="432">
        <f>MONTH(B59)</f>
        <v>6</v>
      </c>
      <c r="B59" s="1225">
        <f>B35</f>
        <v>41820</v>
      </c>
      <c r="C59" s="431">
        <f>SUMIF($A$32:$A$37,$A59,$C$32:$C$37)+SUMIF($A$32:$A$37,$A59,$D$32:$D$37)</f>
        <v>23608.1</v>
      </c>
      <c r="D59" s="1044">
        <f>SUMIF($A$32:$A$37,$A59,$G$32:$G$37)+SUMIF($A$32:$A$37,$A59,$H$32:$H$37)</f>
        <v>92412</v>
      </c>
      <c r="E59" s="1044">
        <f>D59/C59</f>
        <v>3.9144192035784329</v>
      </c>
      <c r="G59" s="431">
        <f>SUMIF($A$32:$A$37,$A59,$E$32:$E$37)+SUMIF($A$32:$A$37,$A59,$F$32:$F$37)</f>
        <v>674.94</v>
      </c>
      <c r="H59" s="1044">
        <f>SUMIF($A$32:$A$37,$A59,$I$32:$I$37)+SUMIF($A$32:$A$37,$A59,$J$32:$J$37)</f>
        <v>2700.7799999999997</v>
      </c>
      <c r="I59" s="1044">
        <f>H59/G59</f>
        <v>4.0015112454440391</v>
      </c>
    </row>
    <row r="60" spans="1:9">
      <c r="A60" s="432">
        <f>MONTH(B60)</f>
        <v>7</v>
      </c>
      <c r="B60" s="1225">
        <f>B37</f>
        <v>41851</v>
      </c>
      <c r="C60" s="431">
        <f>SUMIF($A$32:$A$37,$A60,$C$32:$C$37)+SUMIF($A$32:$A$37,$A60,$D$32:$D$37)</f>
        <v>20361.298999999999</v>
      </c>
      <c r="D60" s="1044">
        <f>SUMIF($A$32:$A$37,$A60,$G$32:$G$37)+SUMIF($A$32:$A$37,$A60,$H$32:$H$37)</f>
        <v>76753.75</v>
      </c>
      <c r="E60" s="1044">
        <f>D60/C60</f>
        <v>3.7695900443287043</v>
      </c>
      <c r="G60" s="431">
        <f>SUMIF($A$32:$A$37,$A60,$E$32:$E$37)+SUMIF($A$32:$A$37,$A60,$F$32:$F$37)</f>
        <v>697.66800000000001</v>
      </c>
      <c r="H60" s="1044">
        <f>SUMIF($A$32:$A$37,$A60,$I$32:$I$37)+SUMIF($A$32:$A$37,$A60,$J$32:$J$37)</f>
        <v>2804.52</v>
      </c>
      <c r="I60" s="1044">
        <f>H60/G60</f>
        <v>4.0198489826106396</v>
      </c>
    </row>
  </sheetData>
  <customSheetViews>
    <customSheetView guid="{3B54C4DD-9207-4EC3-9D58-6DDE29113D77}" showPageBreaks="1" fitToPage="1" showRuler="0" topLeftCell="A4">
      <selection activeCell="B36" sqref="B36"/>
      <pageMargins left="0.5" right="0.5" top="1" bottom="0.75" header="0.5" footer="0.5"/>
      <pageSetup scale="65" fitToHeight="0" orientation="portrait" r:id="rId1"/>
      <headerFooter alignWithMargins="0">
        <oddHeader>&amp;L&amp;12&amp;A</oddHeader>
      </headerFooter>
    </customSheetView>
    <customSheetView guid="{F69ABAD1-EF76-489D-B027-1BD1F4CFE8A6}" fitToPage="1" topLeftCell="A4">
      <selection activeCell="B36" sqref="B36"/>
      <pageMargins left="0.5" right="0.5" top="1" bottom="0.75" header="0.5" footer="0.5"/>
      <pageSetup scale="89" fitToHeight="0" orientation="portrait" r:id="rId2"/>
      <headerFooter alignWithMargins="0">
        <oddHeader>&amp;L&amp;12&amp;A</oddHeader>
      </headerFooter>
    </customSheetView>
  </customSheetViews>
  <mergeCells count="2">
    <mergeCell ref="C39:D39"/>
    <mergeCell ref="G39:H39"/>
  </mergeCells>
  <phoneticPr fontId="1" type="noConversion"/>
  <pageMargins left="0.5" right="0.5" top="1" bottom="0.75" header="0.5" footer="0.5"/>
  <pageSetup scale="65" fitToHeight="0" orientation="portrait" r:id="rId3"/>
  <headerFooter alignWithMargins="0">
    <oddHeader>&amp;L&amp;12&amp;A</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5:M123"/>
  <sheetViews>
    <sheetView topLeftCell="A91" workbookViewId="0">
      <selection activeCell="A122" sqref="A122:M123"/>
    </sheetView>
  </sheetViews>
  <sheetFormatPr defaultRowHeight="11.25"/>
  <cols>
    <col min="1" max="1" width="19.33203125" bestFit="1" customWidth="1"/>
    <col min="2" max="2" width="8.83203125" bestFit="1" customWidth="1"/>
    <col min="3" max="3" width="14.83203125" bestFit="1" customWidth="1"/>
    <col min="4" max="4" width="14.33203125" bestFit="1" customWidth="1"/>
    <col min="5" max="6" width="14.83203125" bestFit="1" customWidth="1"/>
    <col min="7" max="7" width="14.5" bestFit="1" customWidth="1"/>
    <col min="8" max="8" width="13.33203125" bestFit="1" customWidth="1"/>
    <col min="9" max="9" width="14.5" bestFit="1" customWidth="1"/>
    <col min="10" max="10" width="12.5" bestFit="1" customWidth="1"/>
    <col min="11" max="12" width="7.83203125" bestFit="1" customWidth="1"/>
    <col min="13" max="13" width="9.1640625" bestFit="1" customWidth="1"/>
  </cols>
  <sheetData>
    <row r="5" spans="1:13">
      <c r="A5" s="2241" t="s">
        <v>1788</v>
      </c>
      <c r="B5" s="2241"/>
      <c r="C5" s="2241"/>
      <c r="D5" s="2241"/>
      <c r="E5" s="2241"/>
      <c r="F5" s="2241"/>
      <c r="G5" s="2241"/>
      <c r="H5" s="2241"/>
      <c r="I5" s="2241"/>
      <c r="J5" s="2241"/>
      <c r="K5" s="2241"/>
      <c r="L5" s="2241"/>
      <c r="M5" s="1475"/>
    </row>
    <row r="6" spans="1:13" ht="51">
      <c r="A6" s="1476" t="s">
        <v>1789</v>
      </c>
      <c r="B6" s="1476" t="s">
        <v>1790</v>
      </c>
      <c r="C6" s="1476" t="s">
        <v>1791</v>
      </c>
      <c r="D6" s="1476" t="s">
        <v>1792</v>
      </c>
      <c r="E6" s="1476" t="s">
        <v>1793</v>
      </c>
      <c r="F6" s="1476" t="s">
        <v>1794</v>
      </c>
      <c r="G6" s="1476" t="s">
        <v>460</v>
      </c>
      <c r="H6" s="1476" t="s">
        <v>1749</v>
      </c>
      <c r="I6" s="1476" t="s">
        <v>27</v>
      </c>
      <c r="J6" s="1476" t="s">
        <v>1795</v>
      </c>
      <c r="K6" s="1476" t="s">
        <v>1796</v>
      </c>
      <c r="L6" s="1476" t="s">
        <v>1797</v>
      </c>
      <c r="M6" s="1476" t="s">
        <v>1798</v>
      </c>
    </row>
    <row r="7" spans="1:13" ht="12.75">
      <c r="A7" s="1477">
        <v>41437</v>
      </c>
      <c r="B7" s="1478" t="s">
        <v>1799</v>
      </c>
      <c r="C7" s="1478"/>
      <c r="D7" s="1478">
        <f>36.302+15.948+32.141+13.963+33.097+32.085+16.141+27.888+18.118+35.296+25.547+20.325+20.12</f>
        <v>326.971</v>
      </c>
      <c r="E7" s="1478"/>
      <c r="F7" s="1478"/>
      <c r="G7" s="1479">
        <v>453.47</v>
      </c>
      <c r="H7" s="1479">
        <v>58.01</v>
      </c>
      <c r="I7" s="1479">
        <f>G7+H7</f>
        <v>511.48</v>
      </c>
      <c r="J7" s="1479"/>
      <c r="K7" s="1479">
        <f t="shared" ref="K7:K18" si="0">(G7+H7)/D7</f>
        <v>1.56429775117671</v>
      </c>
      <c r="L7" s="1479"/>
      <c r="M7" s="1478"/>
    </row>
    <row r="8" spans="1:13" ht="12.75">
      <c r="A8" s="1477">
        <v>41465</v>
      </c>
      <c r="B8" s="1478" t="s">
        <v>1799</v>
      </c>
      <c r="C8" s="1478"/>
      <c r="D8" s="1478">
        <f>25.983+38.693+5.849+24.488+33.913+32.841+34.281+8.982+32.358+23.173+18.767+31.539+10.023+28.313+36.912+39.903+4.467+30.104+14.076+16.927+34.027+27.234+34.787+40.24</f>
        <v>627.88000000000011</v>
      </c>
      <c r="E8" s="1478"/>
      <c r="F8" s="1478"/>
      <c r="G8" s="1479">
        <v>900.96</v>
      </c>
      <c r="H8" s="1479">
        <v>114.94</v>
      </c>
      <c r="I8" s="1479">
        <f t="shared" ref="I8:I54" si="1">G8+H8</f>
        <v>1015.9000000000001</v>
      </c>
      <c r="J8" s="1479"/>
      <c r="K8" s="1479">
        <f t="shared" si="0"/>
        <v>1.6179843282155824</v>
      </c>
      <c r="L8" s="1479"/>
      <c r="M8" s="1478"/>
    </row>
    <row r="9" spans="1:13" ht="12.75">
      <c r="A9" s="1477">
        <v>41498</v>
      </c>
      <c r="B9" s="1478" t="s">
        <v>1799</v>
      </c>
      <c r="C9" s="1478"/>
      <c r="D9" s="1478">
        <f>40.281+37.487+31.996+37.734+38.584+32.182+24.817+46.327+7.079+37.988+40.826+17.279+21.451+14.599</f>
        <v>428.63000000000005</v>
      </c>
      <c r="E9" s="1478"/>
      <c r="F9" s="1478"/>
      <c r="G9" s="1479">
        <v>588.66</v>
      </c>
      <c r="H9" s="1479">
        <v>78.45</v>
      </c>
      <c r="I9" s="1479">
        <f t="shared" si="1"/>
        <v>667.11</v>
      </c>
      <c r="J9" s="1479"/>
      <c r="K9" s="1479">
        <f t="shared" si="0"/>
        <v>1.5563772951030024</v>
      </c>
      <c r="L9" s="1479"/>
      <c r="M9" s="1478"/>
    </row>
    <row r="10" spans="1:13" ht="12.75">
      <c r="A10" s="1477">
        <v>41530</v>
      </c>
      <c r="B10" s="1478" t="s">
        <v>1799</v>
      </c>
      <c r="C10" s="1480"/>
      <c r="D10" s="1480">
        <f>35.32+36.934+40.93+8.09+45.389+27.187+20.953+13.182+30.606+35.198+30.225+28.304+25.541+39.671+0.043+24.395</f>
        <v>441.96799999999996</v>
      </c>
      <c r="E10" s="1480"/>
      <c r="F10" s="1480"/>
      <c r="G10" s="1479">
        <v>596.41</v>
      </c>
      <c r="H10" s="1479">
        <v>80.87</v>
      </c>
      <c r="I10" s="1479">
        <f t="shared" si="1"/>
        <v>677.28</v>
      </c>
      <c r="J10" s="1479"/>
      <c r="K10" s="1479">
        <f t="shared" si="0"/>
        <v>1.532418636643377</v>
      </c>
      <c r="L10" s="1479"/>
      <c r="M10" s="1481"/>
    </row>
    <row r="11" spans="1:13" ht="12.75">
      <c r="A11" s="1477">
        <v>41555</v>
      </c>
      <c r="B11" s="1478" t="s">
        <v>1799</v>
      </c>
      <c r="C11" s="1478"/>
      <c r="D11" s="1478">
        <f>22.905+25.711+22.917+30.724+17.503+30.794+31.243+36.399+30.853+30.901</f>
        <v>279.95</v>
      </c>
      <c r="E11" s="1478"/>
      <c r="F11" s="1478"/>
      <c r="G11" s="1479">
        <v>374.91</v>
      </c>
      <c r="H11" s="1479">
        <v>51.23</v>
      </c>
      <c r="I11" s="1479">
        <f t="shared" si="1"/>
        <v>426.14000000000004</v>
      </c>
      <c r="J11" s="1479"/>
      <c r="K11" s="1479">
        <f t="shared" si="0"/>
        <v>1.5222003929273087</v>
      </c>
      <c r="L11" s="1479"/>
      <c r="M11" s="1478"/>
    </row>
    <row r="12" spans="1:13" ht="12.75">
      <c r="A12" s="1482">
        <v>41589</v>
      </c>
      <c r="B12" s="1483" t="s">
        <v>1799</v>
      </c>
      <c r="C12" s="1483"/>
      <c r="D12" s="1483">
        <f>24.461+24.087+0.007+21.925+19.941+35.672+14.66+13.308+0.085+25.38+29.89+36.112+17.58+27.314+29.609</f>
        <v>320.03100000000001</v>
      </c>
      <c r="E12" s="1483"/>
      <c r="F12" s="1483"/>
      <c r="G12" s="1484">
        <v>430.57</v>
      </c>
      <c r="H12" s="1484">
        <v>58.57</v>
      </c>
      <c r="I12" s="1479">
        <f t="shared" si="1"/>
        <v>489.14</v>
      </c>
      <c r="J12" s="1484"/>
      <c r="K12" s="1479">
        <f t="shared" si="0"/>
        <v>1.5284144348516238</v>
      </c>
      <c r="L12" s="1479"/>
      <c r="M12" s="1478"/>
    </row>
    <row r="13" spans="1:13" ht="12.75">
      <c r="A13" s="1482">
        <v>41619</v>
      </c>
      <c r="B13" s="1483" t="s">
        <v>1799</v>
      </c>
      <c r="C13" s="1483"/>
      <c r="D13" s="1483">
        <f>30.295+30.528+21.878+27.338+19.952+28.81+24.922+25.707+29.446+26.055+16.565+18.167</f>
        <v>299.66300000000001</v>
      </c>
      <c r="E13" s="1483"/>
      <c r="F13" s="1483"/>
      <c r="G13" s="1484">
        <v>442.37</v>
      </c>
      <c r="H13" s="1484">
        <v>54.83</v>
      </c>
      <c r="I13" s="1479">
        <f t="shared" si="1"/>
        <v>497.2</v>
      </c>
      <c r="J13" s="1484"/>
      <c r="K13" s="1479">
        <f t="shared" si="0"/>
        <v>1.6591971648151422</v>
      </c>
      <c r="L13" s="1479"/>
      <c r="M13" s="1478"/>
    </row>
    <row r="14" spans="1:13" ht="12.75">
      <c r="A14" s="1482">
        <v>41652</v>
      </c>
      <c r="B14" s="1483" t="s">
        <v>1799</v>
      </c>
      <c r="C14" s="1483"/>
      <c r="D14" s="1483">
        <f>12.32+15.278+29.87+31.043+25.719+42.718+14.034+14.491+14.427</f>
        <v>199.89999999999995</v>
      </c>
      <c r="E14" s="1483"/>
      <c r="F14" s="1483"/>
      <c r="G14" s="1484">
        <v>296.12</v>
      </c>
      <c r="H14" s="1484">
        <v>26.59</v>
      </c>
      <c r="I14" s="1479">
        <f t="shared" si="1"/>
        <v>322.70999999999998</v>
      </c>
      <c r="J14" s="1484"/>
      <c r="K14" s="1479">
        <f t="shared" si="0"/>
        <v>1.6143571785892949</v>
      </c>
      <c r="L14" s="1479"/>
      <c r="M14" s="1481"/>
    </row>
    <row r="15" spans="1:13" ht="12.75">
      <c r="A15" s="1482">
        <v>41683</v>
      </c>
      <c r="B15" s="1483" t="s">
        <v>1799</v>
      </c>
      <c r="C15" s="1483"/>
      <c r="D15" s="1483">
        <f>19.455+23.321+23.546+20.236+20.665+19.975+37.723+18.376</f>
        <v>183.297</v>
      </c>
      <c r="E15" s="1483"/>
      <c r="F15" s="1483"/>
      <c r="G15" s="1484">
        <v>285.01</v>
      </c>
      <c r="H15" s="1484">
        <v>33.54</v>
      </c>
      <c r="I15" s="1479">
        <f t="shared" si="1"/>
        <v>318.55</v>
      </c>
      <c r="J15" s="1484"/>
      <c r="K15" s="1479">
        <f t="shared" si="0"/>
        <v>1.7378898727202301</v>
      </c>
      <c r="L15" s="1479"/>
      <c r="M15" s="1478"/>
    </row>
    <row r="16" spans="1:13" ht="12.75">
      <c r="A16" s="1482">
        <v>41712</v>
      </c>
      <c r="B16" s="1485" t="s">
        <v>1799</v>
      </c>
      <c r="C16" s="1483"/>
      <c r="D16" s="1483">
        <f>13.654+0.007+23.107+47.066</f>
        <v>83.834000000000003</v>
      </c>
      <c r="E16" s="1483"/>
      <c r="F16" s="1483"/>
      <c r="G16" s="1484">
        <v>132.82</v>
      </c>
      <c r="H16" s="1484">
        <v>15.34</v>
      </c>
      <c r="I16" s="1479">
        <f t="shared" si="1"/>
        <v>148.16</v>
      </c>
      <c r="J16" s="1484"/>
      <c r="K16" s="1479">
        <f t="shared" si="0"/>
        <v>1.7673020492878784</v>
      </c>
      <c r="L16" s="1479"/>
      <c r="M16" s="1478"/>
    </row>
    <row r="17" spans="1:13" ht="12.75">
      <c r="A17" s="1482">
        <v>41737</v>
      </c>
      <c r="B17" s="1483" t="s">
        <v>1799</v>
      </c>
      <c r="C17" s="1483"/>
      <c r="D17" s="1483">
        <f>15.041+42.012+21.716+0.053+31.143+30.016+44.614</f>
        <v>184.595</v>
      </c>
      <c r="E17" s="1483"/>
      <c r="F17" s="1483"/>
      <c r="G17" s="1484">
        <v>307.92</v>
      </c>
      <c r="H17" s="1484">
        <v>33.78</v>
      </c>
      <c r="I17" s="1479">
        <f t="shared" si="1"/>
        <v>341.70000000000005</v>
      </c>
      <c r="J17" s="1484"/>
      <c r="K17" s="1479">
        <f t="shared" si="0"/>
        <v>1.8510793900159812</v>
      </c>
      <c r="L17" s="1479"/>
      <c r="M17" s="1478"/>
    </row>
    <row r="18" spans="1:13" ht="12.75">
      <c r="A18" s="1482">
        <v>41768</v>
      </c>
      <c r="B18" s="1483" t="s">
        <v>1799</v>
      </c>
      <c r="C18" s="1483"/>
      <c r="D18" s="1483">
        <f>47.386+26.8+17.819</f>
        <v>92.00500000000001</v>
      </c>
      <c r="E18" s="1483"/>
      <c r="F18" s="1483"/>
      <c r="G18" s="1484">
        <v>136.91999999999999</v>
      </c>
      <c r="H18" s="1484">
        <v>16.829999999999998</v>
      </c>
      <c r="I18" s="1479">
        <f t="shared" si="1"/>
        <v>153.75</v>
      </c>
      <c r="J18" s="1484"/>
      <c r="K18" s="1479">
        <f t="shared" si="0"/>
        <v>1.6711048312591705</v>
      </c>
      <c r="L18" s="1479"/>
      <c r="M18" s="1481"/>
    </row>
    <row r="19" spans="1:13" ht="12.75">
      <c r="A19" s="1482">
        <v>41445</v>
      </c>
      <c r="B19" s="1483" t="s">
        <v>1799</v>
      </c>
      <c r="C19" s="1483"/>
      <c r="D19" s="1483"/>
      <c r="E19" s="1483">
        <v>31109.19</v>
      </c>
      <c r="F19" s="1483"/>
      <c r="G19" s="1484">
        <v>8258.9599999999991</v>
      </c>
      <c r="H19" s="1484">
        <v>725.49</v>
      </c>
      <c r="I19" s="1479">
        <f t="shared" si="1"/>
        <v>8984.4499999999989</v>
      </c>
      <c r="J19" s="1484"/>
      <c r="K19" s="1484"/>
      <c r="L19" s="1484">
        <f>(G19+H19)/E19</f>
        <v>0.28880372648725344</v>
      </c>
      <c r="M19" s="1483"/>
    </row>
    <row r="20" spans="1:13" ht="12.75">
      <c r="A20" s="1482">
        <v>41466</v>
      </c>
      <c r="B20" s="1483" t="s">
        <v>1799</v>
      </c>
      <c r="C20" s="1483"/>
      <c r="D20" s="1483"/>
      <c r="E20" s="1483">
        <v>28047.7</v>
      </c>
      <c r="F20" s="1483"/>
      <c r="G20" s="1484">
        <v>7446.66</v>
      </c>
      <c r="H20" s="1484">
        <v>654.14</v>
      </c>
      <c r="I20" s="1479">
        <f t="shared" si="1"/>
        <v>8100.8</v>
      </c>
      <c r="J20" s="1484"/>
      <c r="K20" s="1484"/>
      <c r="L20" s="1484">
        <f>(G20+H20)/E20</f>
        <v>0.28882225637039755</v>
      </c>
      <c r="M20" s="1483"/>
    </row>
    <row r="21" spans="1:13" ht="12.75">
      <c r="A21" s="1482">
        <v>41522</v>
      </c>
      <c r="B21" s="1483" t="s">
        <v>1799</v>
      </c>
      <c r="C21" s="1483"/>
      <c r="D21" s="1483"/>
      <c r="E21" s="1483">
        <v>31820.65</v>
      </c>
      <c r="F21" s="1483"/>
      <c r="G21" s="1484">
        <v>8448.3799999999992</v>
      </c>
      <c r="H21" s="1484">
        <v>711.9</v>
      </c>
      <c r="I21" s="1479">
        <f t="shared" si="1"/>
        <v>9160.2799999999988</v>
      </c>
      <c r="J21" s="1484"/>
      <c r="K21" s="1484"/>
      <c r="L21" s="1484">
        <f t="shared" ref="L21:L30" si="2">(G21+H21)/E21</f>
        <v>0.28787218362918415</v>
      </c>
      <c r="M21" s="1483"/>
    </row>
    <row r="22" spans="1:13" ht="12.75">
      <c r="A22" s="1482">
        <v>41540</v>
      </c>
      <c r="B22" s="1483" t="s">
        <v>1799</v>
      </c>
      <c r="C22" s="1483"/>
      <c r="D22" s="1483"/>
      <c r="E22" s="1483">
        <v>30907.7</v>
      </c>
      <c r="F22" s="1483"/>
      <c r="G22" s="1484">
        <v>7614.45</v>
      </c>
      <c r="H22" s="1484">
        <v>691.48</v>
      </c>
      <c r="I22" s="1479">
        <f t="shared" si="1"/>
        <v>8305.93</v>
      </c>
      <c r="J22" s="1484"/>
      <c r="K22" s="1484"/>
      <c r="L22" s="1484">
        <f t="shared" si="2"/>
        <v>0.26873335770697915</v>
      </c>
      <c r="M22" s="1483"/>
    </row>
    <row r="23" spans="1:13" ht="12.75">
      <c r="A23" s="1482">
        <v>41561</v>
      </c>
      <c r="B23" s="1483" t="s">
        <v>1799</v>
      </c>
      <c r="C23" s="1483"/>
      <c r="D23" s="1483"/>
      <c r="E23" s="1483">
        <v>28312.95</v>
      </c>
      <c r="F23" s="1483"/>
      <c r="G23" s="1484">
        <v>7517.09</v>
      </c>
      <c r="H23" s="1484">
        <v>633.42999999999995</v>
      </c>
      <c r="I23" s="1479">
        <f t="shared" si="1"/>
        <v>8150.52</v>
      </c>
      <c r="J23" s="1484"/>
      <c r="K23" s="1484"/>
      <c r="L23" s="1484">
        <f t="shared" si="2"/>
        <v>0.28787251063559255</v>
      </c>
      <c r="M23" s="1483"/>
    </row>
    <row r="24" spans="1:13" ht="12.75">
      <c r="A24" s="1482">
        <v>41604</v>
      </c>
      <c r="B24" s="1483" t="s">
        <v>1799</v>
      </c>
      <c r="C24" s="1483"/>
      <c r="D24" s="1483"/>
      <c r="E24" s="1483">
        <v>31180.748</v>
      </c>
      <c r="F24" s="1483"/>
      <c r="G24" s="1484">
        <v>8278.49</v>
      </c>
      <c r="H24" s="1484">
        <v>697.59</v>
      </c>
      <c r="I24" s="1479">
        <f t="shared" si="1"/>
        <v>8976.08</v>
      </c>
      <c r="J24" s="1484"/>
      <c r="K24" s="1484"/>
      <c r="L24" s="1484">
        <f t="shared" si="2"/>
        <v>0.28787250389246594</v>
      </c>
      <c r="M24" s="1483"/>
    </row>
    <row r="25" spans="1:13" ht="12.75">
      <c r="A25" s="1482">
        <v>41627</v>
      </c>
      <c r="B25" s="1483" t="s">
        <v>1799</v>
      </c>
      <c r="C25" s="1483"/>
      <c r="D25" s="1483"/>
      <c r="E25" s="1483">
        <v>30067.05</v>
      </c>
      <c r="F25" s="1483"/>
      <c r="G25" s="1484">
        <v>7982.8</v>
      </c>
      <c r="H25" s="1484">
        <v>672.67</v>
      </c>
      <c r="I25" s="1479">
        <f t="shared" si="1"/>
        <v>8655.4699999999993</v>
      </c>
      <c r="J25" s="1484"/>
      <c r="K25" s="1484"/>
      <c r="L25" s="1484">
        <f t="shared" si="2"/>
        <v>0.28787227213843725</v>
      </c>
      <c r="M25" s="1483"/>
    </row>
    <row r="26" spans="1:13" ht="12.75">
      <c r="A26" s="1482">
        <v>41663</v>
      </c>
      <c r="B26" s="1483" t="s">
        <v>1799</v>
      </c>
      <c r="C26" s="1483"/>
      <c r="D26" s="1483"/>
      <c r="E26" s="1483">
        <v>29581.13</v>
      </c>
      <c r="F26" s="1483"/>
      <c r="G26" s="1484">
        <v>7853.79</v>
      </c>
      <c r="H26" s="1484">
        <v>661.8</v>
      </c>
      <c r="I26" s="1479">
        <f t="shared" si="1"/>
        <v>8515.59</v>
      </c>
      <c r="J26" s="1484"/>
      <c r="K26" s="1484"/>
      <c r="L26" s="1484">
        <f t="shared" si="2"/>
        <v>0.28787236998721821</v>
      </c>
      <c r="M26" s="1483"/>
    </row>
    <row r="27" spans="1:13" ht="12.75">
      <c r="A27" s="1482">
        <v>41702</v>
      </c>
      <c r="B27" s="1483" t="s">
        <v>1799</v>
      </c>
      <c r="C27" s="1483"/>
      <c r="D27" s="1483"/>
      <c r="E27" s="1483">
        <v>29861.09</v>
      </c>
      <c r="F27" s="1483"/>
      <c r="G27" s="1484">
        <v>7928.12</v>
      </c>
      <c r="H27" s="1484">
        <v>668.07</v>
      </c>
      <c r="I27" s="1479">
        <f t="shared" si="1"/>
        <v>8596.19</v>
      </c>
      <c r="J27" s="1484"/>
      <c r="K27" s="1484"/>
      <c r="L27" s="1484">
        <f t="shared" si="2"/>
        <v>0.28787261282156817</v>
      </c>
      <c r="M27" s="1483"/>
    </row>
    <row r="28" spans="1:13" ht="12.75">
      <c r="A28" s="1482">
        <v>41718</v>
      </c>
      <c r="B28" s="1483" t="s">
        <v>1799</v>
      </c>
      <c r="C28" s="1483"/>
      <c r="D28" s="1483"/>
      <c r="E28" s="1483">
        <v>26162.16</v>
      </c>
      <c r="F28" s="1483"/>
      <c r="G28" s="1484">
        <v>7105.64</v>
      </c>
      <c r="H28" s="1484">
        <v>675.04</v>
      </c>
      <c r="I28" s="1479">
        <f t="shared" si="1"/>
        <v>7780.68</v>
      </c>
      <c r="J28" s="1484"/>
      <c r="K28" s="1484"/>
      <c r="L28" s="1484">
        <f t="shared" si="2"/>
        <v>0.29740204937207021</v>
      </c>
      <c r="M28" s="1483"/>
    </row>
    <row r="29" spans="1:13" ht="12.75">
      <c r="A29" s="1482">
        <v>41744</v>
      </c>
      <c r="B29" s="1483" t="s">
        <v>1799</v>
      </c>
      <c r="C29" s="1483"/>
      <c r="D29" s="1483"/>
      <c r="E29" s="1483">
        <v>28462.37</v>
      </c>
      <c r="F29" s="1483"/>
      <c r="G29" s="1484">
        <v>7730.38</v>
      </c>
      <c r="H29" s="1484">
        <v>734.38</v>
      </c>
      <c r="I29" s="1479">
        <f t="shared" si="1"/>
        <v>8464.76</v>
      </c>
      <c r="J29" s="1484"/>
      <c r="K29" s="1484"/>
      <c r="L29" s="1484">
        <f t="shared" si="2"/>
        <v>0.29740179753126672</v>
      </c>
      <c r="M29" s="1483"/>
    </row>
    <row r="30" spans="1:13" ht="12.75">
      <c r="A30" s="1482">
        <v>41775</v>
      </c>
      <c r="B30" s="1483" t="s">
        <v>1799</v>
      </c>
      <c r="C30" s="1483"/>
      <c r="D30" s="1483"/>
      <c r="E30" s="1483">
        <v>30002.86</v>
      </c>
      <c r="F30" s="1483"/>
      <c r="G30" s="1484">
        <v>8148.78</v>
      </c>
      <c r="H30" s="1484"/>
      <c r="I30" s="1479">
        <f t="shared" si="1"/>
        <v>8148.78</v>
      </c>
      <c r="J30" s="1484"/>
      <c r="K30" s="1484"/>
      <c r="L30" s="1484">
        <f t="shared" si="2"/>
        <v>0.27160010745642249</v>
      </c>
      <c r="M30" s="1483"/>
    </row>
    <row r="31" spans="1:13" ht="12.75">
      <c r="A31" s="1482">
        <v>41437</v>
      </c>
      <c r="B31" s="1483" t="s">
        <v>1800</v>
      </c>
      <c r="C31" s="1483">
        <f>900+4100+38238.99</f>
        <v>43238.99</v>
      </c>
      <c r="D31" s="1483"/>
      <c r="E31" s="1483"/>
      <c r="F31" s="1483"/>
      <c r="G31" s="1484">
        <f>6732.24-H31</f>
        <v>6382.48</v>
      </c>
      <c r="H31" s="1484">
        <v>349.76</v>
      </c>
      <c r="I31" s="1479">
        <f t="shared" si="1"/>
        <v>6732.24</v>
      </c>
      <c r="J31" s="1484">
        <f t="shared" ref="J31:J42" si="3">(G31+H31)/C31</f>
        <v>0.15569836390720504</v>
      </c>
      <c r="K31" s="1484"/>
      <c r="L31" s="1484"/>
      <c r="M31" s="1483"/>
    </row>
    <row r="32" spans="1:13" ht="12.75">
      <c r="A32" s="1482">
        <v>41458</v>
      </c>
      <c r="B32" s="1483" t="s">
        <v>1800</v>
      </c>
      <c r="C32" s="1483">
        <f>900+4100+33986.33</f>
        <v>38986.33</v>
      </c>
      <c r="D32" s="1483"/>
      <c r="E32" s="1483"/>
      <c r="F32" s="1483"/>
      <c r="G32" s="1484">
        <f>7831.57-H32</f>
        <v>7424.7</v>
      </c>
      <c r="H32" s="1484">
        <v>406.87</v>
      </c>
      <c r="I32" s="1479">
        <f t="shared" si="1"/>
        <v>7831.57</v>
      </c>
      <c r="J32" s="1484">
        <f t="shared" si="3"/>
        <v>0.20087989815917526</v>
      </c>
      <c r="K32" s="1484"/>
      <c r="L32" s="1484"/>
      <c r="M32" s="1483"/>
    </row>
    <row r="33" spans="1:13" ht="12.75">
      <c r="A33" s="1482">
        <v>41512</v>
      </c>
      <c r="B33" s="1483" t="s">
        <v>1800</v>
      </c>
      <c r="C33" s="1483">
        <f>900+4100+39230.71</f>
        <v>44230.71</v>
      </c>
      <c r="D33" s="1483"/>
      <c r="E33" s="1483"/>
      <c r="F33" s="1483"/>
      <c r="G33" s="1484">
        <f>8353.51-H33</f>
        <v>7919.52</v>
      </c>
      <c r="H33" s="1484">
        <v>433.99</v>
      </c>
      <c r="I33" s="1479">
        <f t="shared" si="1"/>
        <v>8353.51</v>
      </c>
      <c r="J33" s="1484">
        <f t="shared" si="3"/>
        <v>0.1888622181285356</v>
      </c>
      <c r="K33" s="1484"/>
      <c r="L33" s="1484"/>
      <c r="M33" s="1483"/>
    </row>
    <row r="34" spans="1:13" ht="12.75">
      <c r="A34" s="1482">
        <v>41522</v>
      </c>
      <c r="B34" s="1483" t="s">
        <v>1800</v>
      </c>
      <c r="C34" s="1483">
        <f>900+4100+37961.69</f>
        <v>42961.69</v>
      </c>
      <c r="D34" s="1483"/>
      <c r="E34" s="1483"/>
      <c r="F34" s="1483"/>
      <c r="G34" s="1484">
        <f>8200.79-H34</f>
        <v>7777.7300000000005</v>
      </c>
      <c r="H34" s="1484">
        <v>423.06</v>
      </c>
      <c r="I34" s="1479">
        <f t="shared" si="1"/>
        <v>8200.7900000000009</v>
      </c>
      <c r="J34" s="1484">
        <f t="shared" si="3"/>
        <v>0.19088611272042605</v>
      </c>
      <c r="K34" s="1484"/>
      <c r="L34" s="1484"/>
      <c r="M34" s="1483"/>
    </row>
    <row r="35" spans="1:13" ht="12.75">
      <c r="A35" s="1482">
        <v>41548</v>
      </c>
      <c r="B35" s="1483" t="s">
        <v>1800</v>
      </c>
      <c r="C35" s="1483">
        <f>900+4100+34354.96</f>
        <v>39354.959999999999</v>
      </c>
      <c r="D35" s="1483"/>
      <c r="E35" s="1483"/>
      <c r="F35" s="1483"/>
      <c r="G35" s="1484">
        <f>7766.7-H35</f>
        <v>7363.2</v>
      </c>
      <c r="H35" s="1484">
        <v>403.5</v>
      </c>
      <c r="I35" s="1479">
        <f t="shared" si="1"/>
        <v>7766.7</v>
      </c>
      <c r="J35" s="1484">
        <f t="shared" si="3"/>
        <v>0.19734996554436848</v>
      </c>
      <c r="K35" s="1484"/>
      <c r="L35" s="1484"/>
      <c r="M35" s="1483"/>
    </row>
    <row r="36" spans="1:13" ht="12.75">
      <c r="A36" s="1482">
        <v>41582</v>
      </c>
      <c r="B36" s="1483" t="s">
        <v>1800</v>
      </c>
      <c r="C36" s="1483">
        <f>900+4100+38341.24</f>
        <v>43341.24</v>
      </c>
      <c r="D36" s="1483"/>
      <c r="E36" s="1483"/>
      <c r="F36" s="1483"/>
      <c r="G36" s="1484">
        <f>8260.63-H36</f>
        <v>7831.4699999999993</v>
      </c>
      <c r="H36" s="1484">
        <v>429.16</v>
      </c>
      <c r="I36" s="1479">
        <f t="shared" si="1"/>
        <v>8260.6299999999992</v>
      </c>
      <c r="J36" s="1484">
        <f t="shared" si="3"/>
        <v>0.19059514679321587</v>
      </c>
      <c r="K36" s="1484"/>
      <c r="L36" s="1483"/>
      <c r="M36" s="1483"/>
    </row>
    <row r="37" spans="1:13" ht="12.75">
      <c r="A37" s="1482">
        <v>41612</v>
      </c>
      <c r="B37" s="1483" t="s">
        <v>1800</v>
      </c>
      <c r="C37" s="1483">
        <f>900+4100+36793.18</f>
        <v>41793.18</v>
      </c>
      <c r="D37" s="1483"/>
      <c r="E37" s="1483"/>
      <c r="F37" s="1483"/>
      <c r="G37" s="1484">
        <f>8073.82-H37</f>
        <v>7654.36</v>
      </c>
      <c r="H37" s="1484">
        <v>419.46</v>
      </c>
      <c r="I37" s="1479">
        <f t="shared" si="1"/>
        <v>8073.82</v>
      </c>
      <c r="J37" s="1484">
        <f t="shared" si="3"/>
        <v>0.19318510819229356</v>
      </c>
      <c r="K37" s="1483"/>
      <c r="L37" s="1483"/>
      <c r="M37" s="1483"/>
    </row>
    <row r="38" spans="1:13" ht="12.75">
      <c r="A38" s="1482">
        <v>41645</v>
      </c>
      <c r="B38" s="1483" t="s">
        <v>1800</v>
      </c>
      <c r="C38" s="1483">
        <f>900+4100+36117.77</f>
        <v>41117.769999999997</v>
      </c>
      <c r="D38" s="1483"/>
      <c r="E38" s="1483"/>
      <c r="F38" s="1483"/>
      <c r="G38" s="1484">
        <f>7992.31-H38</f>
        <v>7577.09</v>
      </c>
      <c r="H38" s="1484">
        <v>415.22</v>
      </c>
      <c r="I38" s="1479">
        <f t="shared" si="1"/>
        <v>7992.31</v>
      </c>
      <c r="J38" s="1484">
        <f t="shared" si="3"/>
        <v>0.19437605687273413</v>
      </c>
      <c r="K38" s="1483"/>
      <c r="L38" s="1483"/>
      <c r="M38" s="1483"/>
    </row>
    <row r="39" spans="1:13" ht="12.75">
      <c r="A39" s="1482">
        <v>41674</v>
      </c>
      <c r="B39" s="1483" t="s">
        <v>1800</v>
      </c>
      <c r="C39" s="1483">
        <f>900+4100+36506.91</f>
        <v>41506.910000000003</v>
      </c>
      <c r="D39" s="1483"/>
      <c r="E39" s="1483"/>
      <c r="F39" s="1483"/>
      <c r="G39" s="1484">
        <f>8069.93-H39</f>
        <v>7650.67</v>
      </c>
      <c r="H39" s="1484">
        <v>419.26</v>
      </c>
      <c r="I39" s="1479">
        <f t="shared" si="1"/>
        <v>8069.93</v>
      </c>
      <c r="J39" s="1484">
        <f t="shared" si="3"/>
        <v>0.19442377184907284</v>
      </c>
      <c r="K39" s="1483"/>
      <c r="L39" s="1483"/>
      <c r="M39" s="1483"/>
    </row>
    <row r="40" spans="1:13" ht="12.75">
      <c r="A40" s="1482">
        <v>41705</v>
      </c>
      <c r="B40" s="1483" t="s">
        <v>1800</v>
      </c>
      <c r="C40" s="1483">
        <f>900+4100+31365.44</f>
        <v>36365.440000000002</v>
      </c>
      <c r="D40" s="1483"/>
      <c r="E40" s="1483"/>
      <c r="F40" s="1483"/>
      <c r="G40" s="1484">
        <f>7448.32-H40</f>
        <v>7061.36</v>
      </c>
      <c r="H40" s="1484">
        <f>386.96</f>
        <v>386.96</v>
      </c>
      <c r="I40" s="1479">
        <f t="shared" si="1"/>
        <v>7448.32</v>
      </c>
      <c r="J40" s="1484">
        <f t="shared" si="3"/>
        <v>0.20481864099540661</v>
      </c>
      <c r="K40" s="1483"/>
      <c r="L40" s="1483"/>
      <c r="M40" s="1483"/>
    </row>
    <row r="41" spans="1:13" ht="12.75">
      <c r="A41" s="1482">
        <v>41737</v>
      </c>
      <c r="B41" s="1483" t="s">
        <v>1800</v>
      </c>
      <c r="C41" s="1483">
        <f>900+4100+34562.7</f>
        <v>39562.699999999997</v>
      </c>
      <c r="D41" s="1483"/>
      <c r="E41" s="1483"/>
      <c r="F41" s="1483"/>
      <c r="G41" s="1484">
        <f>7834.86-H41</f>
        <v>7427.82</v>
      </c>
      <c r="H41" s="1484">
        <v>407.04</v>
      </c>
      <c r="I41" s="1479">
        <f t="shared" si="1"/>
        <v>7834.86</v>
      </c>
      <c r="J41" s="1484">
        <f t="shared" si="3"/>
        <v>0.19803653441246427</v>
      </c>
      <c r="K41" s="1483"/>
      <c r="L41" s="1483"/>
      <c r="M41" s="1483"/>
    </row>
    <row r="42" spans="1:13" ht="12.75">
      <c r="A42" s="1482">
        <v>41761</v>
      </c>
      <c r="B42" s="1483" t="s">
        <v>1800</v>
      </c>
      <c r="C42" s="1483">
        <f>900+4100+36703.97</f>
        <v>41703.97</v>
      </c>
      <c r="D42" s="1483"/>
      <c r="E42" s="1483"/>
      <c r="F42" s="1483"/>
      <c r="G42" s="1484">
        <f>8093.75-H42</f>
        <v>7673.26</v>
      </c>
      <c r="H42" s="1484">
        <v>420.49</v>
      </c>
      <c r="I42" s="1479">
        <f t="shared" si="1"/>
        <v>8093.75</v>
      </c>
      <c r="J42" s="1484">
        <f t="shared" si="3"/>
        <v>0.1940762474172123</v>
      </c>
      <c r="K42" s="1483"/>
      <c r="L42" s="1483"/>
      <c r="M42" s="1483"/>
    </row>
    <row r="43" spans="1:13" ht="12.75">
      <c r="A43" s="1482">
        <v>41435</v>
      </c>
      <c r="B43" s="1483" t="s">
        <v>1801</v>
      </c>
      <c r="C43" s="1483"/>
      <c r="D43" s="1483"/>
      <c r="E43" s="1483"/>
      <c r="F43" s="1483">
        <v>4554</v>
      </c>
      <c r="G43" s="1484">
        <v>18345.18</v>
      </c>
      <c r="H43" s="1484">
        <v>917.26</v>
      </c>
      <c r="I43" s="1479">
        <f t="shared" si="1"/>
        <v>19262.439999999999</v>
      </c>
      <c r="J43" s="1484"/>
      <c r="K43" s="1483"/>
      <c r="L43" s="1483"/>
      <c r="M43" s="1484">
        <f>(H43+G43)/F43</f>
        <v>4.2297848045674131</v>
      </c>
    </row>
    <row r="44" spans="1:13" ht="12.75">
      <c r="A44" s="1482">
        <v>41477</v>
      </c>
      <c r="B44" s="1483" t="s">
        <v>1801</v>
      </c>
      <c r="C44" s="1483"/>
      <c r="D44" s="1483"/>
      <c r="E44" s="1483"/>
      <c r="F44" s="1483">
        <v>3816</v>
      </c>
      <c r="G44" s="1484">
        <v>15035.04</v>
      </c>
      <c r="H44" s="1484">
        <v>774.34</v>
      </c>
      <c r="I44" s="1479">
        <f t="shared" si="1"/>
        <v>15809.380000000001</v>
      </c>
      <c r="J44" s="1484"/>
      <c r="K44" s="1483"/>
      <c r="L44" s="1483"/>
      <c r="M44" s="1484">
        <f t="shared" ref="M44:M54" si="4">(H44+G44)/F44</f>
        <v>4.1429192872117406</v>
      </c>
    </row>
    <row r="45" spans="1:13" ht="12.75">
      <c r="A45" s="1482">
        <v>41495</v>
      </c>
      <c r="B45" s="1483" t="s">
        <v>1801</v>
      </c>
      <c r="C45" s="1483"/>
      <c r="D45" s="1483"/>
      <c r="E45" s="1483"/>
      <c r="F45" s="1483">
        <v>4429</v>
      </c>
      <c r="G45" s="1484">
        <v>15846.94</v>
      </c>
      <c r="H45" s="1484">
        <v>792.35</v>
      </c>
      <c r="I45" s="1479">
        <f t="shared" si="1"/>
        <v>16639.29</v>
      </c>
      <c r="J45" s="1484"/>
      <c r="K45" s="1483"/>
      <c r="L45" s="1483"/>
      <c r="M45" s="1484">
        <f t="shared" si="4"/>
        <v>3.7568954617295103</v>
      </c>
    </row>
    <row r="46" spans="1:13" ht="12.75">
      <c r="A46" s="1482">
        <v>41527</v>
      </c>
      <c r="B46" s="1483" t="s">
        <v>1801</v>
      </c>
      <c r="C46" s="1483"/>
      <c r="D46" s="1483"/>
      <c r="E46" s="1483"/>
      <c r="F46" s="1483">
        <v>4402</v>
      </c>
      <c r="G46" s="1484">
        <v>14957.44</v>
      </c>
      <c r="H46" s="1484">
        <v>747.88</v>
      </c>
      <c r="I46" s="1479">
        <f t="shared" si="1"/>
        <v>15705.32</v>
      </c>
      <c r="J46" s="1484"/>
      <c r="K46" s="1483"/>
      <c r="L46" s="1483"/>
      <c r="M46" s="1484">
        <f t="shared" si="4"/>
        <v>3.5677691958200817</v>
      </c>
    </row>
    <row r="47" spans="1:13" ht="12.75">
      <c r="A47" s="1482">
        <v>41556</v>
      </c>
      <c r="B47" s="1483" t="s">
        <v>1801</v>
      </c>
      <c r="C47" s="1483"/>
      <c r="D47" s="1483"/>
      <c r="E47" s="1483"/>
      <c r="F47" s="1483">
        <v>3847</v>
      </c>
      <c r="G47" s="1484">
        <v>12924.97</v>
      </c>
      <c r="H47" s="1484">
        <v>646.25</v>
      </c>
      <c r="I47" s="1479">
        <f t="shared" si="1"/>
        <v>13571.22</v>
      </c>
      <c r="J47" s="1484"/>
      <c r="K47" s="1483"/>
      <c r="L47" s="1483"/>
      <c r="M47" s="1484">
        <f t="shared" si="4"/>
        <v>3.5277410969586689</v>
      </c>
    </row>
    <row r="48" spans="1:13" ht="12.75">
      <c r="A48" s="1482">
        <v>41586</v>
      </c>
      <c r="B48" s="1483" t="s">
        <v>1801</v>
      </c>
      <c r="C48" s="1483"/>
      <c r="D48" s="1483"/>
      <c r="E48" s="1483"/>
      <c r="F48" s="1483">
        <v>4380</v>
      </c>
      <c r="G48" s="1484">
        <v>14917.68</v>
      </c>
      <c r="H48" s="1484">
        <v>745.88</v>
      </c>
      <c r="I48" s="1479">
        <f t="shared" si="1"/>
        <v>15663.56</v>
      </c>
      <c r="J48" s="1484"/>
      <c r="K48" s="1483"/>
      <c r="L48" s="1483"/>
      <c r="M48" s="1484">
        <f t="shared" si="4"/>
        <v>3.5761552511415524</v>
      </c>
    </row>
    <row r="49" spans="1:13" ht="12.75">
      <c r="A49" s="1482">
        <v>41618</v>
      </c>
      <c r="B49" s="1483" t="s">
        <v>1801</v>
      </c>
      <c r="C49" s="1483"/>
      <c r="D49" s="1483"/>
      <c r="E49" s="1483"/>
      <c r="F49" s="1483">
        <v>4260</v>
      </c>
      <c r="G49" s="1484">
        <v>18694.2</v>
      </c>
      <c r="H49" s="1484">
        <v>934.71</v>
      </c>
      <c r="I49" s="1479">
        <f t="shared" si="1"/>
        <v>19628.91</v>
      </c>
      <c r="J49" s="1484"/>
      <c r="K49" s="1483"/>
      <c r="L49" s="1483"/>
      <c r="M49" s="1484">
        <f t="shared" si="4"/>
        <v>4.6077253521126762</v>
      </c>
    </row>
    <row r="50" spans="1:13" ht="12.75">
      <c r="A50" s="1482">
        <v>41649</v>
      </c>
      <c r="B50" s="1483" t="s">
        <v>1801</v>
      </c>
      <c r="C50" s="1483"/>
      <c r="D50" s="1483"/>
      <c r="E50" s="1483"/>
      <c r="F50" s="1483">
        <v>4207</v>
      </c>
      <c r="G50" s="1484">
        <v>18629.57</v>
      </c>
      <c r="H50" s="1484">
        <v>931.48</v>
      </c>
      <c r="I50" s="1479">
        <f t="shared" si="1"/>
        <v>19561.05</v>
      </c>
      <c r="J50" s="1484"/>
      <c r="K50" s="1483"/>
      <c r="L50" s="1483"/>
      <c r="M50" s="1484">
        <f t="shared" si="4"/>
        <v>4.6496434513905394</v>
      </c>
    </row>
    <row r="51" spans="1:13" ht="12.75">
      <c r="A51" s="1482">
        <v>41674</v>
      </c>
      <c r="B51" s="1483" t="s">
        <v>1801</v>
      </c>
      <c r="C51" s="1483"/>
      <c r="D51" s="1483"/>
      <c r="E51" s="1483"/>
      <c r="F51" s="1483">
        <v>4205</v>
      </c>
      <c r="G51" s="1484">
        <v>21059.85</v>
      </c>
      <c r="H51" s="1484">
        <v>1052.99</v>
      </c>
      <c r="I51" s="1479">
        <f t="shared" si="1"/>
        <v>22112.84</v>
      </c>
      <c r="J51" s="1484"/>
      <c r="K51" s="1483"/>
      <c r="L51" s="1483"/>
      <c r="M51" s="1484">
        <f t="shared" si="4"/>
        <v>5.2587015457788349</v>
      </c>
    </row>
    <row r="52" spans="1:13" ht="12.75">
      <c r="A52" s="1482">
        <v>41708</v>
      </c>
      <c r="B52" s="1483" t="s">
        <v>1801</v>
      </c>
      <c r="C52" s="1483"/>
      <c r="D52" s="1483"/>
      <c r="E52" s="1483"/>
      <c r="F52" s="1483">
        <v>3731</v>
      </c>
      <c r="G52" s="1484">
        <v>19543.72</v>
      </c>
      <c r="H52" s="1484">
        <v>977.19</v>
      </c>
      <c r="I52" s="1479">
        <f t="shared" si="1"/>
        <v>20520.91</v>
      </c>
      <c r="J52" s="1484"/>
      <c r="K52" s="1483"/>
      <c r="L52" s="1483"/>
      <c r="M52" s="1484">
        <f t="shared" si="4"/>
        <v>5.5001098901098899</v>
      </c>
    </row>
    <row r="53" spans="1:13" ht="12.75">
      <c r="A53" s="1482">
        <v>41737</v>
      </c>
      <c r="B53" s="1483" t="s">
        <v>1801</v>
      </c>
      <c r="C53" s="1483"/>
      <c r="D53" s="1483"/>
      <c r="E53" s="1483"/>
      <c r="F53" s="1483">
        <v>3869</v>
      </c>
      <c r="G53" s="1484">
        <v>19074.78</v>
      </c>
      <c r="H53" s="1484">
        <v>953.74</v>
      </c>
      <c r="I53" s="1479">
        <f t="shared" si="1"/>
        <v>20028.52</v>
      </c>
      <c r="J53" s="1484"/>
      <c r="K53" s="1483"/>
      <c r="L53" s="1483"/>
      <c r="M53" s="1484">
        <f t="shared" si="4"/>
        <v>5.1766658051176018</v>
      </c>
    </row>
    <row r="54" spans="1:13" ht="12.75">
      <c r="A54" s="1482">
        <v>41767</v>
      </c>
      <c r="B54" s="1483" t="s">
        <v>1801</v>
      </c>
      <c r="C54" s="1483"/>
      <c r="D54" s="1483"/>
      <c r="E54" s="1483"/>
      <c r="F54" s="1483">
        <v>4140</v>
      </c>
      <c r="G54" s="1484">
        <v>18930.36</v>
      </c>
      <c r="H54" s="1484">
        <v>946.52</v>
      </c>
      <c r="I54" s="1479">
        <f t="shared" si="1"/>
        <v>19876.88</v>
      </c>
      <c r="J54" s="1484"/>
      <c r="K54" s="1483"/>
      <c r="L54" s="1483"/>
      <c r="M54" s="1484">
        <f t="shared" si="4"/>
        <v>4.8011787439613531</v>
      </c>
    </row>
    <row r="55" spans="1:13" ht="12.75">
      <c r="A55" s="1486" t="s">
        <v>1375</v>
      </c>
      <c r="B55" s="1486"/>
      <c r="C55" s="1487">
        <f>SUM(C7:C42)</f>
        <v>494163.89</v>
      </c>
      <c r="D55" s="1487">
        <f>SUM(D7:D42)</f>
        <v>3468.7239999999997</v>
      </c>
      <c r="E55" s="1487">
        <f>SUM(E7:E42)</f>
        <v>355515.59799999994</v>
      </c>
      <c r="F55" s="1487">
        <f>SUM(F43:F54)</f>
        <v>49840</v>
      </c>
      <c r="G55" s="1488">
        <f>SUM(G7:G54)</f>
        <v>396963.06999999995</v>
      </c>
      <c r="H55" s="1488">
        <f>SUM(H7:H54)</f>
        <v>23484.33</v>
      </c>
      <c r="I55" s="1488">
        <f>SUM(I7:I54)</f>
        <v>420447.39999999997</v>
      </c>
      <c r="J55" s="1488"/>
      <c r="K55" s="1486"/>
      <c r="L55" s="1486"/>
      <c r="M55" s="1489"/>
    </row>
    <row r="56" spans="1:13" ht="12.75">
      <c r="A56" s="1486" t="s">
        <v>1802</v>
      </c>
      <c r="B56" s="1486"/>
      <c r="C56" s="1486">
        <f>AVERAGE(C31:C42)</f>
        <v>41180.324166666665</v>
      </c>
      <c r="D56" s="1490">
        <f>AVERAGE(D7:D18)</f>
        <v>289.06033333333329</v>
      </c>
      <c r="E56" s="1486">
        <f>AVERAGE(E19:E30)</f>
        <v>29626.299833333327</v>
      </c>
      <c r="F56" s="1486">
        <f>AVERAGE(F43:F54)</f>
        <v>4153.333333333333</v>
      </c>
      <c r="G56" s="1488">
        <f>G55/12</f>
        <v>33080.255833333329</v>
      </c>
      <c r="H56" s="1488">
        <f>H55/12</f>
        <v>1957.0275000000001</v>
      </c>
      <c r="I56" s="1488"/>
      <c r="J56" s="1488">
        <f>AVERAGE(J31:J42)</f>
        <v>0.19193233874934254</v>
      </c>
      <c r="K56" s="1491">
        <f>AVERAGE(K7:K18)</f>
        <v>1.6352186104671087</v>
      </c>
      <c r="L56" s="1491">
        <f>AVERAGE(L19:L30)</f>
        <v>0.28666647900240466</v>
      </c>
      <c r="M56" s="1492">
        <f>AVERAGE(M43:M54)</f>
        <v>4.3996074904916549</v>
      </c>
    </row>
    <row r="57" spans="1:13" ht="12.75">
      <c r="A57" s="1493"/>
      <c r="B57" s="1493"/>
      <c r="C57" s="1493"/>
      <c r="D57" s="1493"/>
      <c r="E57" s="1493"/>
      <c r="F57" s="1493"/>
      <c r="G57" s="1494"/>
      <c r="H57" s="1494"/>
      <c r="I57" s="1494"/>
      <c r="J57" s="1494"/>
      <c r="K57" s="1493"/>
      <c r="L57" s="1493"/>
    </row>
    <row r="58" spans="1:13" ht="12.75">
      <c r="A58" s="1493"/>
      <c r="B58" s="1493"/>
      <c r="C58" s="1493"/>
      <c r="D58" s="1493"/>
      <c r="E58" s="1493"/>
      <c r="F58" s="1493"/>
      <c r="G58" s="1494"/>
      <c r="H58" s="1494"/>
      <c r="I58" s="1494"/>
      <c r="J58" s="1494"/>
      <c r="K58" s="1493"/>
      <c r="L58" s="1493"/>
    </row>
    <row r="59" spans="1:13" ht="12.75">
      <c r="A59" s="2242" t="s">
        <v>1803</v>
      </c>
      <c r="B59" s="2242"/>
      <c r="C59" s="2242"/>
      <c r="D59" s="2242"/>
      <c r="E59" s="2242"/>
      <c r="F59" s="2242"/>
      <c r="G59" s="2242"/>
      <c r="H59" s="2242"/>
      <c r="I59" s="2242"/>
      <c r="J59" s="2242"/>
      <c r="K59" s="2242"/>
      <c r="L59" s="2242"/>
      <c r="M59" s="2242"/>
    </row>
    <row r="60" spans="1:13">
      <c r="A60" s="2241" t="s">
        <v>1788</v>
      </c>
      <c r="B60" s="2241"/>
      <c r="C60" s="2241"/>
      <c r="D60" s="2241"/>
      <c r="E60" s="2241"/>
      <c r="F60" s="2241"/>
      <c r="G60" s="2241"/>
      <c r="H60" s="2241"/>
      <c r="I60" s="2241"/>
      <c r="J60" s="2241"/>
      <c r="K60" s="2241"/>
      <c r="L60" s="2241"/>
      <c r="M60" s="1475"/>
    </row>
    <row r="61" spans="1:13" ht="51">
      <c r="A61" s="1476" t="s">
        <v>1789</v>
      </c>
      <c r="B61" s="1476" t="s">
        <v>1790</v>
      </c>
      <c r="C61" s="1476" t="s">
        <v>1791</v>
      </c>
      <c r="D61" s="1476" t="s">
        <v>1792</v>
      </c>
      <c r="E61" s="1476" t="s">
        <v>1793</v>
      </c>
      <c r="F61" s="1476" t="s">
        <v>1794</v>
      </c>
      <c r="G61" s="1476" t="s">
        <v>460</v>
      </c>
      <c r="H61" s="1476" t="s">
        <v>1749</v>
      </c>
      <c r="I61" s="1476" t="s">
        <v>27</v>
      </c>
      <c r="J61" s="1476" t="s">
        <v>1795</v>
      </c>
      <c r="K61" s="1476" t="s">
        <v>1796</v>
      </c>
      <c r="L61" s="1476" t="s">
        <v>1797</v>
      </c>
      <c r="M61" s="1476" t="s">
        <v>1798</v>
      </c>
    </row>
    <row r="62" spans="1:13" ht="12.75">
      <c r="A62" s="1495">
        <v>41794</v>
      </c>
      <c r="B62" s="1483" t="s">
        <v>1801</v>
      </c>
      <c r="C62" s="1496"/>
      <c r="D62" s="1496"/>
      <c r="E62" s="1496"/>
      <c r="F62" s="1496">
        <v>4324</v>
      </c>
      <c r="G62" s="1497">
        <f>20257.94+(0.1*4260)</f>
        <v>20683.939999999999</v>
      </c>
      <c r="H62" s="1497">
        <f t="shared" ref="H62:H75" si="5">G62*0.05</f>
        <v>1034.1969999999999</v>
      </c>
      <c r="I62" s="1497">
        <f>H62+G62</f>
        <v>21718.136999999999</v>
      </c>
      <c r="J62" s="1497"/>
      <c r="K62" s="1497"/>
      <c r="L62" s="1497"/>
      <c r="M62" s="1484">
        <f t="shared" ref="M62:M75" si="6">(H62+G62)/F62</f>
        <v>5.0226958834412576</v>
      </c>
    </row>
    <row r="63" spans="1:13" ht="12.75">
      <c r="A63" s="1495">
        <v>41794</v>
      </c>
      <c r="B63" s="1483" t="s">
        <v>1801</v>
      </c>
      <c r="C63" s="1496"/>
      <c r="D63" s="1496"/>
      <c r="E63" s="1496"/>
      <c r="F63" s="1496">
        <v>337</v>
      </c>
      <c r="G63" s="1497">
        <f>1526.61+(0.1*331)</f>
        <v>1559.7099999999998</v>
      </c>
      <c r="H63" s="1497">
        <f t="shared" si="5"/>
        <v>77.985500000000002</v>
      </c>
      <c r="I63" s="1497">
        <f>H63+G63</f>
        <v>1637.6954999999998</v>
      </c>
      <c r="J63" s="1497"/>
      <c r="K63" s="1497"/>
      <c r="L63" s="1497"/>
      <c r="M63" s="1484">
        <f t="shared" si="6"/>
        <v>4.8596305637982189</v>
      </c>
    </row>
    <row r="64" spans="1:13" ht="12.75">
      <c r="A64" s="1498">
        <v>41823</v>
      </c>
      <c r="B64" s="1483" t="s">
        <v>1801</v>
      </c>
      <c r="C64" s="1496"/>
      <c r="D64" s="1496"/>
      <c r="E64" s="1496"/>
      <c r="F64" s="1496">
        <v>3899</v>
      </c>
      <c r="G64" s="1497">
        <f>17580.59+(0.1*3845)</f>
        <v>17965.09</v>
      </c>
      <c r="H64" s="1497">
        <f t="shared" si="5"/>
        <v>898.25450000000001</v>
      </c>
      <c r="I64" s="1497">
        <f t="shared" ref="I64:I75" si="7">H64+G64</f>
        <v>18863.344499999999</v>
      </c>
      <c r="J64" s="1497"/>
      <c r="K64" s="1497"/>
      <c r="L64" s="1497"/>
      <c r="M64" s="1484">
        <f t="shared" si="6"/>
        <v>4.8379955116696589</v>
      </c>
    </row>
    <row r="65" spans="1:13" ht="12.75">
      <c r="A65" s="1498">
        <v>41823</v>
      </c>
      <c r="B65" s="1483" t="s">
        <v>1801</v>
      </c>
      <c r="C65" s="1496"/>
      <c r="D65" s="1496"/>
      <c r="E65" s="1496"/>
      <c r="F65" s="1496">
        <v>481</v>
      </c>
      <c r="G65" s="1497">
        <f>2058.68+(0.1*475)</f>
        <v>2106.1799999999998</v>
      </c>
      <c r="H65" s="1497">
        <f t="shared" si="5"/>
        <v>105.309</v>
      </c>
      <c r="I65" s="1497">
        <f t="shared" si="7"/>
        <v>2211.489</v>
      </c>
      <c r="J65" s="1497"/>
      <c r="K65" s="1497"/>
      <c r="L65" s="1497"/>
      <c r="M65" s="1484">
        <f t="shared" si="6"/>
        <v>4.5976902286902286</v>
      </c>
    </row>
    <row r="66" spans="1:13" ht="12.75">
      <c r="A66" s="1498">
        <v>41859</v>
      </c>
      <c r="B66" s="1483" t="s">
        <v>1801</v>
      </c>
      <c r="C66" s="1496"/>
      <c r="D66" s="1496"/>
      <c r="E66" s="1496"/>
      <c r="F66" s="1496">
        <v>4423</v>
      </c>
      <c r="G66" s="1497">
        <f>18974.67+(0.1*4361)</f>
        <v>19410.769999999997</v>
      </c>
      <c r="H66" s="1497">
        <f t="shared" si="5"/>
        <v>970.53849999999989</v>
      </c>
      <c r="I66" s="1497">
        <f t="shared" si="7"/>
        <v>20381.308499999996</v>
      </c>
      <c r="J66" s="1497"/>
      <c r="K66" s="1497"/>
      <c r="L66" s="1497"/>
      <c r="M66" s="1484">
        <f t="shared" si="6"/>
        <v>4.608028148315622</v>
      </c>
    </row>
    <row r="67" spans="1:13" ht="12.75">
      <c r="A67" s="1498">
        <v>41859</v>
      </c>
      <c r="B67" s="1483" t="s">
        <v>1801</v>
      </c>
      <c r="C67" s="1496"/>
      <c r="D67" s="1496"/>
      <c r="E67" s="1496"/>
      <c r="F67" s="1496">
        <v>1040</v>
      </c>
      <c r="G67" s="1497">
        <f>4544.8+(0.1*1027)</f>
        <v>4647.5</v>
      </c>
      <c r="H67" s="1497">
        <f t="shared" si="5"/>
        <v>232.375</v>
      </c>
      <c r="I67" s="1497">
        <f t="shared" si="7"/>
        <v>4879.875</v>
      </c>
      <c r="J67" s="1497"/>
      <c r="K67" s="1497"/>
      <c r="L67" s="1497"/>
      <c r="M67" s="1484">
        <f t="shared" si="6"/>
        <v>4.6921875000000002</v>
      </c>
    </row>
    <row r="68" spans="1:13" ht="12.75">
      <c r="A68" s="1498">
        <v>41886</v>
      </c>
      <c r="B68" s="1483" t="s">
        <v>1801</v>
      </c>
      <c r="C68" s="1496"/>
      <c r="D68" s="1496"/>
      <c r="E68" s="1496"/>
      <c r="F68" s="1496">
        <v>4296</v>
      </c>
      <c r="G68" s="1497">
        <f>15886.61+(4235*0.1)</f>
        <v>16310.11</v>
      </c>
      <c r="H68" s="1497">
        <f t="shared" si="5"/>
        <v>815.5055000000001</v>
      </c>
      <c r="I68" s="1497">
        <f t="shared" si="7"/>
        <v>17125.6155</v>
      </c>
      <c r="J68" s="1497"/>
      <c r="K68" s="1497"/>
      <c r="L68" s="1497"/>
      <c r="M68" s="1484">
        <f t="shared" si="6"/>
        <v>3.986409567039106</v>
      </c>
    </row>
    <row r="69" spans="1:13" ht="12.75">
      <c r="A69" s="1498">
        <v>41886</v>
      </c>
      <c r="B69" s="1483" t="s">
        <v>1801</v>
      </c>
      <c r="C69" s="1496"/>
      <c r="D69" s="1496"/>
      <c r="E69" s="1496"/>
      <c r="F69" s="1496">
        <v>769</v>
      </c>
      <c r="G69" s="1497">
        <f>2837.61+(0.1*759)</f>
        <v>2913.51</v>
      </c>
      <c r="H69" s="1497">
        <f t="shared" si="5"/>
        <v>145.67550000000003</v>
      </c>
      <c r="I69" s="1497">
        <f t="shared" si="7"/>
        <v>3059.1855</v>
      </c>
      <c r="J69" s="1497"/>
      <c r="K69" s="1497"/>
      <c r="L69" s="1497"/>
      <c r="M69" s="1484">
        <f t="shared" si="6"/>
        <v>3.9781345903771133</v>
      </c>
    </row>
    <row r="70" spans="1:13" ht="12.75">
      <c r="A70" s="1498">
        <v>41915</v>
      </c>
      <c r="B70" s="1483" t="s">
        <v>1801</v>
      </c>
      <c r="C70" s="1496"/>
      <c r="D70" s="1496"/>
      <c r="E70" s="1496"/>
      <c r="F70" s="1496">
        <v>3936</v>
      </c>
      <c r="G70" s="1497">
        <f>15141.79+(3878*0.1)</f>
        <v>15529.59</v>
      </c>
      <c r="H70" s="1497">
        <f t="shared" si="5"/>
        <v>776.47950000000003</v>
      </c>
      <c r="I70" s="1497">
        <f t="shared" si="7"/>
        <v>16306.0695</v>
      </c>
      <c r="J70" s="1497"/>
      <c r="K70" s="1497"/>
      <c r="L70" s="1497"/>
      <c r="M70" s="1484">
        <f t="shared" si="6"/>
        <v>4.1428022103658533</v>
      </c>
    </row>
    <row r="71" spans="1:13" ht="12.75">
      <c r="A71" s="1498">
        <v>41915</v>
      </c>
      <c r="B71" s="1483" t="s">
        <v>1801</v>
      </c>
      <c r="C71" s="1496"/>
      <c r="D71" s="1496"/>
      <c r="E71" s="1496"/>
      <c r="F71" s="1496">
        <v>1677</v>
      </c>
      <c r="G71" s="1497">
        <f>6456.45+(1653*0.1)</f>
        <v>6621.75</v>
      </c>
      <c r="H71" s="1497">
        <f t="shared" si="5"/>
        <v>331.08750000000003</v>
      </c>
      <c r="I71" s="1497">
        <f t="shared" si="7"/>
        <v>6952.8374999999996</v>
      </c>
      <c r="J71" s="1497"/>
      <c r="K71" s="1497"/>
      <c r="L71" s="1497"/>
      <c r="M71" s="1484">
        <f t="shared" si="6"/>
        <v>4.1459973166368513</v>
      </c>
    </row>
    <row r="72" spans="1:13" ht="12.75">
      <c r="A72" s="1498">
        <v>41950</v>
      </c>
      <c r="B72" s="1483" t="s">
        <v>1801</v>
      </c>
      <c r="C72" s="1496"/>
      <c r="D72" s="1496"/>
      <c r="E72" s="1496"/>
      <c r="F72" s="1496">
        <v>4065</v>
      </c>
      <c r="G72" s="1497">
        <f>15747.81+(0.1*4017)</f>
        <v>16149.51</v>
      </c>
      <c r="H72" s="1497">
        <f t="shared" si="5"/>
        <v>807.47550000000001</v>
      </c>
      <c r="I72" s="1497">
        <f t="shared" si="7"/>
        <v>16956.985499999999</v>
      </c>
      <c r="J72" s="1496"/>
      <c r="K72" s="1496"/>
      <c r="L72" s="1496"/>
      <c r="M72" s="1484">
        <f t="shared" si="6"/>
        <v>4.1714601476014757</v>
      </c>
    </row>
    <row r="73" spans="1:13" ht="12.75">
      <c r="A73" s="1498">
        <v>41950</v>
      </c>
      <c r="B73" s="1483" t="s">
        <v>1801</v>
      </c>
      <c r="C73" s="1496"/>
      <c r="D73" s="1496"/>
      <c r="E73" s="1496"/>
      <c r="F73" s="1496">
        <v>1961</v>
      </c>
      <c r="G73" s="1497">
        <f>7667.51+(0.1*1933)</f>
        <v>7860.81</v>
      </c>
      <c r="H73" s="1497">
        <f t="shared" si="5"/>
        <v>393.04050000000007</v>
      </c>
      <c r="I73" s="1497">
        <f t="shared" si="7"/>
        <v>8253.8505000000005</v>
      </c>
      <c r="J73" s="1496"/>
      <c r="K73" s="1496"/>
      <c r="L73" s="1496"/>
      <c r="M73" s="1484">
        <f t="shared" si="6"/>
        <v>4.2090007649158592</v>
      </c>
    </row>
    <row r="74" spans="1:13" ht="12.75">
      <c r="A74" s="1498">
        <v>41975</v>
      </c>
      <c r="B74" s="1483" t="s">
        <v>1801</v>
      </c>
      <c r="C74" s="1499"/>
      <c r="D74" s="1499"/>
      <c r="E74" s="1499"/>
      <c r="F74" s="1496">
        <v>4194</v>
      </c>
      <c r="G74" s="1497">
        <f>15173.89+(0.1*4138)</f>
        <v>15587.689999999999</v>
      </c>
      <c r="H74" s="1497">
        <f t="shared" si="5"/>
        <v>779.3845</v>
      </c>
      <c r="I74" s="1497">
        <f t="shared" si="7"/>
        <v>16367.074499999999</v>
      </c>
      <c r="J74" s="1499"/>
      <c r="K74" s="1499"/>
      <c r="L74" s="1499"/>
      <c r="M74" s="1484">
        <f t="shared" si="6"/>
        <v>3.9024974964234618</v>
      </c>
    </row>
    <row r="75" spans="1:13" ht="12.75">
      <c r="A75" s="1498">
        <v>41975</v>
      </c>
      <c r="B75" s="1483" t="s">
        <v>1801</v>
      </c>
      <c r="C75" s="1499"/>
      <c r="D75" s="1499"/>
      <c r="E75" s="1499"/>
      <c r="F75" s="1496">
        <v>1505</v>
      </c>
      <c r="G75" s="1497">
        <f>5448.1+(0.1*1485)</f>
        <v>5596.6</v>
      </c>
      <c r="H75" s="1497">
        <f t="shared" si="5"/>
        <v>279.83000000000004</v>
      </c>
      <c r="I75" s="1497">
        <f t="shared" si="7"/>
        <v>5876.43</v>
      </c>
      <c r="J75" s="1499"/>
      <c r="K75" s="1499"/>
      <c r="L75" s="1499"/>
      <c r="M75" s="1484">
        <f t="shared" si="6"/>
        <v>3.9046046511627908</v>
      </c>
    </row>
    <row r="76" spans="1:13" ht="12.75">
      <c r="A76" s="1498">
        <v>41810</v>
      </c>
      <c r="B76" s="1496" t="s">
        <v>1799</v>
      </c>
      <c r="C76" s="1496"/>
      <c r="D76" s="1496"/>
      <c r="E76" s="1496">
        <v>32215.759999999998</v>
      </c>
      <c r="F76" s="1496"/>
      <c r="G76" s="1497">
        <v>8749.7999999999993</v>
      </c>
      <c r="H76" s="1497">
        <v>831.23</v>
      </c>
      <c r="I76" s="1497">
        <f>H76+G76</f>
        <v>9581.0299999999988</v>
      </c>
      <c r="J76" s="1496"/>
      <c r="K76" s="1496"/>
      <c r="L76" s="1500">
        <f>I76/E76</f>
        <v>0.29740195481962861</v>
      </c>
      <c r="M76" s="1484"/>
    </row>
    <row r="77" spans="1:13" ht="12.75">
      <c r="A77" s="1498">
        <v>41836</v>
      </c>
      <c r="B77" s="1496" t="s">
        <v>1799</v>
      </c>
      <c r="C77" s="1496"/>
      <c r="D77" s="1496"/>
      <c r="E77" s="1496">
        <v>31941.94</v>
      </c>
      <c r="F77" s="1496"/>
      <c r="G77" s="1497">
        <v>8675.43</v>
      </c>
      <c r="H77" s="1497">
        <v>824.16</v>
      </c>
      <c r="I77" s="1497">
        <f>H77+G77</f>
        <v>9499.59</v>
      </c>
      <c r="J77" s="1496"/>
      <c r="K77" s="1496"/>
      <c r="L77" s="1500">
        <f t="shared" ref="L77:L83" si="8">I77/E77</f>
        <v>0.29740178586522925</v>
      </c>
      <c r="M77" s="1484"/>
    </row>
    <row r="78" spans="1:13" ht="12.75">
      <c r="A78" s="1498">
        <v>41871</v>
      </c>
      <c r="B78" s="1496" t="s">
        <v>1799</v>
      </c>
      <c r="C78" s="1496"/>
      <c r="D78" s="1496"/>
      <c r="E78" s="1496">
        <v>38486.1</v>
      </c>
      <c r="F78" s="1496"/>
      <c r="G78" s="1497">
        <v>10452.82</v>
      </c>
      <c r="H78" s="1497">
        <v>993.01</v>
      </c>
      <c r="I78" s="1497">
        <f t="shared" ref="I78:I83" si="9">H78+G78</f>
        <v>11445.83</v>
      </c>
      <c r="J78" s="1496"/>
      <c r="K78" s="1496"/>
      <c r="L78" s="1500">
        <f t="shared" si="8"/>
        <v>0.29740165930037077</v>
      </c>
      <c r="M78" s="1499"/>
    </row>
    <row r="79" spans="1:13" ht="12.75">
      <c r="A79" s="1498">
        <v>41892</v>
      </c>
      <c r="B79" s="1496" t="s">
        <v>1799</v>
      </c>
      <c r="C79" s="1496"/>
      <c r="D79" s="1496"/>
      <c r="E79" s="1496">
        <v>36225.040000000001</v>
      </c>
      <c r="F79" s="1496"/>
      <c r="G79" s="1497">
        <v>9838.7199999999993</v>
      </c>
      <c r="H79" s="1497">
        <v>934.68</v>
      </c>
      <c r="I79" s="1497">
        <f t="shared" si="9"/>
        <v>10773.4</v>
      </c>
      <c r="J79" s="1496"/>
      <c r="K79" s="1496"/>
      <c r="L79" s="1500">
        <f t="shared" si="8"/>
        <v>0.29740201805160188</v>
      </c>
      <c r="M79" s="1499"/>
    </row>
    <row r="80" spans="1:13" ht="12.75">
      <c r="A80" s="1498">
        <v>41927</v>
      </c>
      <c r="B80" s="1496" t="s">
        <v>1799</v>
      </c>
      <c r="C80" s="1496"/>
      <c r="D80" s="1496"/>
      <c r="E80" s="1496">
        <v>40344.550000000003</v>
      </c>
      <c r="F80" s="1496"/>
      <c r="G80" s="1497">
        <v>10957.88</v>
      </c>
      <c r="H80" s="1497">
        <v>1040.97</v>
      </c>
      <c r="I80" s="1497">
        <f t="shared" si="9"/>
        <v>11998.849999999999</v>
      </c>
      <c r="J80" s="1496"/>
      <c r="K80" s="1496"/>
      <c r="L80" s="1500">
        <f t="shared" si="8"/>
        <v>0.29740943944101489</v>
      </c>
      <c r="M80" s="1499"/>
    </row>
    <row r="81" spans="1:13" ht="12.75">
      <c r="A81" s="1498">
        <v>41956</v>
      </c>
      <c r="B81" s="1496" t="s">
        <v>1799</v>
      </c>
      <c r="C81" s="1496"/>
      <c r="D81" s="1496"/>
      <c r="E81" s="1496">
        <v>42584</v>
      </c>
      <c r="F81" s="1496"/>
      <c r="G81" s="1497">
        <v>11565.81</v>
      </c>
      <c r="H81" s="1497">
        <v>1098.75</v>
      </c>
      <c r="I81" s="1497">
        <f t="shared" si="9"/>
        <v>12664.56</v>
      </c>
      <c r="J81" s="1496"/>
      <c r="K81" s="1496"/>
      <c r="L81" s="1500">
        <f t="shared" si="8"/>
        <v>0.29740184106706741</v>
      </c>
      <c r="M81" s="1499"/>
    </row>
    <row r="82" spans="1:13" ht="12.75">
      <c r="A82" s="1498">
        <v>42017</v>
      </c>
      <c r="B82" s="1496" t="s">
        <v>1799</v>
      </c>
      <c r="C82" s="1496"/>
      <c r="D82" s="1496"/>
      <c r="E82" s="1496">
        <v>38615.08</v>
      </c>
      <c r="F82" s="1496"/>
      <c r="G82" s="1497">
        <v>10487.86</v>
      </c>
      <c r="H82" s="1497">
        <v>996.35</v>
      </c>
      <c r="I82" s="1497">
        <f t="shared" si="9"/>
        <v>11484.210000000001</v>
      </c>
      <c r="J82" s="1496"/>
      <c r="K82" s="1496"/>
      <c r="L82" s="1500">
        <f t="shared" si="8"/>
        <v>0.29740220659907995</v>
      </c>
      <c r="M82" s="1499"/>
    </row>
    <row r="83" spans="1:13" ht="12.75">
      <c r="A83" s="1498">
        <v>42019</v>
      </c>
      <c r="B83" s="1496" t="s">
        <v>1799</v>
      </c>
      <c r="C83" s="1496"/>
      <c r="D83" s="1496"/>
      <c r="E83" s="1496">
        <v>41649.1</v>
      </c>
      <c r="F83" s="1496"/>
      <c r="G83" s="1497">
        <v>11311.9</v>
      </c>
      <c r="H83" s="1497">
        <v>1074.6300000000001</v>
      </c>
      <c r="I83" s="1497">
        <f t="shared" si="9"/>
        <v>12386.529999999999</v>
      </c>
      <c r="J83" s="1496"/>
      <c r="K83" s="1496"/>
      <c r="L83" s="1500">
        <f t="shared" si="8"/>
        <v>0.29740210472735301</v>
      </c>
      <c r="M83" s="1499"/>
    </row>
    <row r="84" spans="1:13" ht="12.75">
      <c r="A84" s="1498">
        <v>41794</v>
      </c>
      <c r="B84" s="1496" t="s">
        <v>1800</v>
      </c>
      <c r="C84" s="1496">
        <v>44779.86</v>
      </c>
      <c r="D84" s="1496"/>
      <c r="E84" s="1496"/>
      <c r="F84" s="1496"/>
      <c r="G84" s="1497">
        <f>I84-H84</f>
        <v>8630.5299999999988</v>
      </c>
      <c r="H84" s="1497">
        <v>345.77</v>
      </c>
      <c r="I84" s="1497">
        <f>8976.3</f>
        <v>8976.2999999999993</v>
      </c>
      <c r="J84" s="1500">
        <f>I84/C84</f>
        <v>0.2004539540766764</v>
      </c>
      <c r="K84" s="1496"/>
      <c r="L84" s="1500"/>
      <c r="M84" s="1499"/>
    </row>
    <row r="85" spans="1:13" ht="12.75">
      <c r="A85" s="1498">
        <v>41822</v>
      </c>
      <c r="B85" s="1496" t="s">
        <v>1800</v>
      </c>
      <c r="C85" s="1496">
        <v>44399.26</v>
      </c>
      <c r="D85" s="1496"/>
      <c r="E85" s="1496"/>
      <c r="F85" s="1496"/>
      <c r="G85" s="1497">
        <f t="shared" ref="G85:G91" si="10">I85-H85</f>
        <v>8731.27</v>
      </c>
      <c r="H85" s="1497">
        <v>349.8</v>
      </c>
      <c r="I85" s="1497">
        <v>9081.07</v>
      </c>
      <c r="J85" s="1500">
        <f t="shared" ref="J85:J91" si="11">I85/C85</f>
        <v>0.20453201247047809</v>
      </c>
      <c r="K85" s="1496"/>
      <c r="L85" s="1500"/>
      <c r="M85" s="1499"/>
    </row>
    <row r="86" spans="1:13" ht="12.75">
      <c r="A86" s="1498">
        <v>41855</v>
      </c>
      <c r="B86" s="1496" t="s">
        <v>1800</v>
      </c>
      <c r="C86" s="1496">
        <v>52341.05</v>
      </c>
      <c r="D86" s="1496"/>
      <c r="E86" s="1496"/>
      <c r="F86" s="1496"/>
      <c r="G86" s="1497">
        <f t="shared" si="10"/>
        <v>9741.3599999999988</v>
      </c>
      <c r="H86" s="1497">
        <v>390.27</v>
      </c>
      <c r="I86" s="1497">
        <v>10131.629999999999</v>
      </c>
      <c r="J86" s="1500">
        <f t="shared" si="11"/>
        <v>0.19356948322588099</v>
      </c>
      <c r="K86" s="1496"/>
      <c r="L86" s="1500"/>
      <c r="M86" s="1499"/>
    </row>
    <row r="87" spans="1:13" ht="12.75">
      <c r="A87" s="1498">
        <v>41885</v>
      </c>
      <c r="B87" s="1496" t="s">
        <v>1800</v>
      </c>
      <c r="C87" s="1496">
        <v>50352.76</v>
      </c>
      <c r="D87" s="1496"/>
      <c r="E87" s="1496"/>
      <c r="F87" s="1496"/>
      <c r="G87" s="1497">
        <f t="shared" si="10"/>
        <v>9488.4700000000012</v>
      </c>
      <c r="H87" s="1497">
        <v>380.14</v>
      </c>
      <c r="I87" s="1497">
        <v>9868.61</v>
      </c>
      <c r="J87" s="1500">
        <f t="shared" si="11"/>
        <v>0.19598945519570327</v>
      </c>
      <c r="K87" s="1496"/>
      <c r="L87" s="1500"/>
      <c r="M87" s="1499"/>
    </row>
    <row r="88" spans="1:13" ht="12.75">
      <c r="A88" s="1498">
        <v>41914</v>
      </c>
      <c r="B88" s="1496" t="s">
        <v>1800</v>
      </c>
      <c r="C88" s="1496">
        <v>56078.92</v>
      </c>
      <c r="D88" s="1496"/>
      <c r="E88" s="1496"/>
      <c r="F88" s="1496"/>
      <c r="G88" s="1497">
        <f t="shared" si="10"/>
        <v>10216.76</v>
      </c>
      <c r="H88" s="1497">
        <v>409.32</v>
      </c>
      <c r="I88" s="1497">
        <v>10626.08</v>
      </c>
      <c r="J88" s="1500">
        <f t="shared" si="11"/>
        <v>0.18948439092621613</v>
      </c>
      <c r="K88" s="1496"/>
      <c r="L88" s="1500"/>
      <c r="M88" s="1499"/>
    </row>
    <row r="89" spans="1:13" ht="12.75">
      <c r="A89" s="1498">
        <v>41947</v>
      </c>
      <c r="B89" s="1496" t="s">
        <v>1800</v>
      </c>
      <c r="C89" s="1496">
        <v>59191.76</v>
      </c>
      <c r="D89" s="1496"/>
      <c r="E89" s="1496"/>
      <c r="F89" s="1496"/>
      <c r="G89" s="1497">
        <f t="shared" si="10"/>
        <v>10590.730000000001</v>
      </c>
      <c r="H89" s="1497">
        <v>424.3</v>
      </c>
      <c r="I89" s="1497">
        <v>11015.03</v>
      </c>
      <c r="J89" s="1497">
        <f t="shared" si="11"/>
        <v>0.18609059774536185</v>
      </c>
      <c r="K89" s="1496"/>
      <c r="L89" s="1496"/>
      <c r="M89" s="1499"/>
    </row>
    <row r="90" spans="1:13" ht="12.75">
      <c r="A90" s="1498">
        <v>41976</v>
      </c>
      <c r="B90" s="1496" t="s">
        <v>1800</v>
      </c>
      <c r="C90" s="1496">
        <v>53674.96</v>
      </c>
      <c r="D90" s="1496"/>
      <c r="E90" s="1496"/>
      <c r="F90" s="1496"/>
      <c r="G90" s="1497">
        <f t="shared" si="10"/>
        <v>9959.2800000000007</v>
      </c>
      <c r="H90" s="1497">
        <v>399</v>
      </c>
      <c r="I90" s="1497">
        <v>10358.280000000001</v>
      </c>
      <c r="J90" s="1497">
        <f t="shared" si="11"/>
        <v>0.19298160632071268</v>
      </c>
      <c r="K90" s="1496"/>
      <c r="L90" s="1496"/>
      <c r="M90" s="1499"/>
    </row>
    <row r="91" spans="1:13" ht="12.75">
      <c r="A91" s="1498">
        <v>42010</v>
      </c>
      <c r="B91" s="1496" t="s">
        <v>1800</v>
      </c>
      <c r="C91" s="1496">
        <v>57892.25</v>
      </c>
      <c r="D91" s="1496"/>
      <c r="E91" s="1496"/>
      <c r="F91" s="1496"/>
      <c r="G91" s="1497">
        <f t="shared" si="10"/>
        <v>10501.18</v>
      </c>
      <c r="H91" s="1497">
        <v>420.71</v>
      </c>
      <c r="I91" s="1497">
        <v>10921.89</v>
      </c>
      <c r="J91" s="1497">
        <f t="shared" si="11"/>
        <v>0.18865893103135564</v>
      </c>
      <c r="K91" s="1496"/>
      <c r="L91" s="1496"/>
      <c r="M91" s="1499"/>
    </row>
    <row r="92" spans="1:13" ht="12.75">
      <c r="A92" s="1501"/>
      <c r="B92" s="1501"/>
      <c r="C92" s="1501"/>
      <c r="D92" s="1501"/>
      <c r="E92" s="1501"/>
      <c r="F92" s="1501"/>
      <c r="G92" s="1502"/>
      <c r="H92" s="1502"/>
      <c r="I92" s="1502"/>
      <c r="J92" s="1501"/>
      <c r="K92" s="1501"/>
      <c r="L92" s="1501"/>
      <c r="M92" s="1503"/>
    </row>
    <row r="93" spans="1:13" ht="12.75">
      <c r="A93" s="2237" t="s">
        <v>2475</v>
      </c>
      <c r="B93" s="2237"/>
      <c r="C93" s="2237"/>
      <c r="D93" s="2237"/>
      <c r="E93" s="2237"/>
      <c r="F93" s="2237"/>
      <c r="G93" s="2237"/>
      <c r="H93" s="2237"/>
      <c r="I93" s="2237"/>
      <c r="J93" s="2237"/>
      <c r="K93" s="2237"/>
      <c r="L93" s="2237"/>
      <c r="M93" s="2237"/>
    </row>
    <row r="94" spans="1:13">
      <c r="A94" s="1456"/>
      <c r="B94" s="1456"/>
      <c r="C94" s="1456"/>
      <c r="D94" s="1456"/>
      <c r="E94" s="1456"/>
      <c r="F94" s="1456"/>
      <c r="G94" s="1456"/>
      <c r="H94" s="1456"/>
      <c r="I94" s="1456"/>
      <c r="J94" s="1456"/>
      <c r="K94" s="1456"/>
      <c r="L94" s="1456"/>
      <c r="M94" s="1456"/>
    </row>
    <row r="95" spans="1:13" ht="12.75">
      <c r="A95" s="1456"/>
      <c r="B95" s="1456"/>
      <c r="C95" s="2237" t="s">
        <v>1804</v>
      </c>
      <c r="D95" s="2237"/>
      <c r="E95" s="2237"/>
      <c r="F95" s="2237"/>
      <c r="G95" s="1456"/>
      <c r="H95" s="1456"/>
      <c r="I95" s="1456"/>
      <c r="J95" s="1456"/>
      <c r="K95" s="1456"/>
      <c r="L95" s="1456"/>
      <c r="M95" s="1456"/>
    </row>
    <row r="96" spans="1:13" ht="51">
      <c r="A96" s="1456"/>
      <c r="B96" s="1456"/>
      <c r="C96" s="1504" t="s">
        <v>1791</v>
      </c>
      <c r="D96" s="1504" t="s">
        <v>1792</v>
      </c>
      <c r="E96" s="1504" t="s">
        <v>1793</v>
      </c>
      <c r="F96" s="1504" t="s">
        <v>1794</v>
      </c>
      <c r="G96" s="1505" t="s">
        <v>1805</v>
      </c>
      <c r="H96" s="1505" t="s">
        <v>1806</v>
      </c>
      <c r="I96" s="1505" t="s">
        <v>1807</v>
      </c>
      <c r="J96" s="1505" t="s">
        <v>1808</v>
      </c>
      <c r="K96" s="1456"/>
      <c r="L96" s="1456"/>
      <c r="M96" s="1456"/>
    </row>
    <row r="97" spans="1:13">
      <c r="A97" s="1456"/>
      <c r="B97" s="1456"/>
      <c r="C97" s="1457">
        <f>SUM(C86:C91)</f>
        <v>329531.7</v>
      </c>
      <c r="D97" s="1457"/>
      <c r="E97" s="1457">
        <f>SUM(E78:E83)</f>
        <v>237903.87000000002</v>
      </c>
      <c r="F97" s="1457">
        <f>SUM(F64:F75)</f>
        <v>32246</v>
      </c>
      <c r="G97" s="1453">
        <f>SUM(I86:I91)</f>
        <v>62921.52</v>
      </c>
      <c r="H97" s="1456"/>
      <c r="I97" s="1453">
        <f>SUM(I78:I83)</f>
        <v>70753.38</v>
      </c>
      <c r="J97" s="1453">
        <f>SUM(I64:I75)</f>
        <v>137234.06549999997</v>
      </c>
      <c r="K97" s="1456"/>
      <c r="L97" s="1456"/>
      <c r="M97" s="1456"/>
    </row>
    <row r="98" spans="1:13">
      <c r="A98" s="1506" t="s">
        <v>1809</v>
      </c>
      <c r="B98" s="1507"/>
      <c r="C98" s="1520">
        <f>C97*100000</f>
        <v>32953170000</v>
      </c>
      <c r="D98" s="1520">
        <f>D97*111800</f>
        <v>0</v>
      </c>
      <c r="E98" s="1520">
        <f>E97*127500</f>
        <v>30332743425.000004</v>
      </c>
      <c r="F98" s="1521">
        <f>F97*1000000</f>
        <v>32246000000</v>
      </c>
      <c r="G98" s="1456"/>
      <c r="H98" s="1456"/>
      <c r="I98" s="1456"/>
      <c r="J98" s="1456"/>
      <c r="K98" s="1456"/>
      <c r="L98" s="1456"/>
      <c r="M98" s="1456"/>
    </row>
    <row r="99" spans="1:13" ht="12.75">
      <c r="A99" s="1456"/>
      <c r="B99" s="1456"/>
      <c r="C99" s="2237" t="s">
        <v>1810</v>
      </c>
      <c r="D99" s="2237"/>
      <c r="E99" s="2237"/>
      <c r="F99" s="2237"/>
      <c r="G99" s="2237" t="s">
        <v>1811</v>
      </c>
      <c r="H99" s="2237"/>
      <c r="I99" s="2237"/>
      <c r="J99" s="2237"/>
      <c r="K99" s="1456"/>
      <c r="L99" s="1456"/>
      <c r="M99" s="1456"/>
    </row>
    <row r="100" spans="1:13">
      <c r="A100" s="1456"/>
      <c r="B100" s="1456"/>
      <c r="C100" s="2243">
        <f>(C98+D98+E98+F98)/1000000</f>
        <v>95531.913425000006</v>
      </c>
      <c r="D100" s="2243"/>
      <c r="E100" s="2243"/>
      <c r="F100" s="2243"/>
      <c r="G100" s="2238">
        <f>SUM(G97:J97)</f>
        <v>270908.96549999993</v>
      </c>
      <c r="H100" s="2238"/>
      <c r="I100" s="2238"/>
      <c r="J100" s="2238"/>
      <c r="K100" s="1456"/>
      <c r="L100" s="1456"/>
      <c r="M100" s="1456"/>
    </row>
    <row r="101" spans="1:13" ht="12.75">
      <c r="A101" s="1456"/>
      <c r="B101" s="1456"/>
      <c r="C101" s="1508" t="s">
        <v>1812</v>
      </c>
      <c r="D101" s="1457">
        <f>C100/6</f>
        <v>15921.985570833334</v>
      </c>
      <c r="E101" s="1456"/>
      <c r="F101" s="1456"/>
      <c r="G101" s="2237" t="s">
        <v>1813</v>
      </c>
      <c r="H101" s="2237"/>
      <c r="I101" s="2237"/>
      <c r="J101" s="2237"/>
      <c r="K101" s="1456"/>
      <c r="L101" s="1456"/>
      <c r="M101" s="1456"/>
    </row>
    <row r="102" spans="1:13">
      <c r="A102" s="1456"/>
      <c r="B102" s="1456"/>
      <c r="C102" s="1456"/>
      <c r="D102" s="1456"/>
      <c r="E102" s="1456"/>
      <c r="F102" s="1456"/>
      <c r="G102" s="1509">
        <f>G100/C100</f>
        <v>2.8357954508331353</v>
      </c>
      <c r="H102" s="1510"/>
      <c r="I102" s="1510"/>
      <c r="J102" s="1510"/>
      <c r="K102" s="1456"/>
      <c r="L102" s="1456"/>
      <c r="M102" s="1456"/>
    </row>
    <row r="103" spans="1:13" ht="12.75">
      <c r="A103" s="1456"/>
      <c r="B103" s="1456"/>
      <c r="C103" s="1456"/>
      <c r="D103" s="1456"/>
      <c r="E103" s="1456"/>
      <c r="F103" s="1456"/>
      <c r="G103" s="2237" t="s">
        <v>1814</v>
      </c>
      <c r="H103" s="2237"/>
      <c r="I103" s="2237"/>
      <c r="J103" s="2237"/>
      <c r="K103" s="1456"/>
      <c r="L103" s="1456"/>
      <c r="M103" s="1456"/>
    </row>
    <row r="104" spans="1:13">
      <c r="A104" s="1456"/>
      <c r="B104" s="1456"/>
      <c r="C104" s="1456"/>
      <c r="D104" s="1456"/>
      <c r="E104" s="1456"/>
      <c r="F104" s="1456"/>
      <c r="G104" s="2238">
        <f>G102*C100*2</f>
        <v>541817.93099999987</v>
      </c>
      <c r="H104" s="2239"/>
      <c r="I104" s="2239"/>
      <c r="J104" s="2239"/>
      <c r="K104" s="1456"/>
      <c r="L104" s="1456"/>
      <c r="M104" s="1456"/>
    </row>
    <row r="105" spans="1:13">
      <c r="A105" s="1456"/>
      <c r="B105" s="1456"/>
      <c r="C105" s="1456"/>
      <c r="D105" s="1456"/>
      <c r="E105" s="1456"/>
      <c r="F105" s="1456"/>
      <c r="G105" s="1456"/>
      <c r="H105" s="1456"/>
      <c r="I105" s="1456"/>
      <c r="J105" s="1456"/>
      <c r="K105" s="1456"/>
      <c r="L105" s="1456"/>
      <c r="M105" s="1456"/>
    </row>
    <row r="106" spans="1:13">
      <c r="A106" s="1456"/>
      <c r="B106" s="1456"/>
      <c r="C106" s="1456"/>
      <c r="D106" s="1456"/>
      <c r="E106" s="1456"/>
      <c r="F106" s="1456"/>
      <c r="G106" s="1456"/>
      <c r="H106" s="1456"/>
      <c r="I106" s="1456"/>
      <c r="J106" s="1456"/>
      <c r="K106" s="1456"/>
      <c r="L106" s="1456"/>
      <c r="M106" s="1456"/>
    </row>
    <row r="107" spans="1:13" ht="12.75">
      <c r="A107" s="2219" t="s">
        <v>2476</v>
      </c>
      <c r="B107" s="2219"/>
      <c r="C107" s="2219"/>
      <c r="D107" s="2219"/>
      <c r="E107" s="2219"/>
      <c r="F107" s="2219"/>
      <c r="G107" s="2219"/>
      <c r="H107" s="2219"/>
      <c r="I107" s="2219"/>
      <c r="J107" s="2219"/>
      <c r="K107" s="2219"/>
      <c r="L107" s="2219"/>
      <c r="M107" s="2219"/>
    </row>
    <row r="108" spans="1:13">
      <c r="A108" s="1471"/>
      <c r="B108" s="1471"/>
      <c r="C108" s="1471"/>
      <c r="D108" s="1471"/>
      <c r="E108" s="1471"/>
      <c r="F108" s="1471"/>
      <c r="G108" s="1471"/>
      <c r="H108" s="1471"/>
      <c r="I108" s="1471"/>
      <c r="J108" s="1471"/>
      <c r="K108" s="1471"/>
      <c r="L108" s="1471"/>
      <c r="M108" s="1471"/>
    </row>
    <row r="109" spans="1:13" ht="12.75">
      <c r="A109" s="1471"/>
      <c r="B109" s="1471"/>
      <c r="C109" s="2219" t="s">
        <v>1804</v>
      </c>
      <c r="D109" s="2219"/>
      <c r="E109" s="2219"/>
      <c r="F109" s="2219"/>
      <c r="G109" s="1471"/>
      <c r="H109" s="1471"/>
      <c r="I109" s="1471"/>
      <c r="J109" s="1471"/>
      <c r="K109" s="1471"/>
      <c r="L109" s="1471"/>
      <c r="M109" s="1471"/>
    </row>
    <row r="110" spans="1:13" ht="51">
      <c r="A110" s="1471"/>
      <c r="B110" s="1471"/>
      <c r="C110" s="1511" t="s">
        <v>1791</v>
      </c>
      <c r="D110" s="1511" t="s">
        <v>1792</v>
      </c>
      <c r="E110" s="1511" t="s">
        <v>1793</v>
      </c>
      <c r="F110" s="1511" t="s">
        <v>1794</v>
      </c>
      <c r="G110" s="1512" t="s">
        <v>1805</v>
      </c>
      <c r="H110" s="1512" t="s">
        <v>1806</v>
      </c>
      <c r="I110" s="1512" t="s">
        <v>1807</v>
      </c>
      <c r="J110" s="1512" t="s">
        <v>1808</v>
      </c>
      <c r="K110" s="1471"/>
      <c r="L110" s="1471"/>
      <c r="M110" s="1471"/>
    </row>
    <row r="111" spans="1:13">
      <c r="A111" s="1471"/>
      <c r="B111" s="1471"/>
      <c r="C111" s="1469">
        <f>SUM(C84:C91,C39:C42)</f>
        <v>577849.84</v>
      </c>
      <c r="D111" s="1469">
        <f>SUM(D15:D18)</f>
        <v>543.73099999999999</v>
      </c>
      <c r="E111" s="1469">
        <f>SUM(E76:E83,E27:E30)</f>
        <v>416550.05</v>
      </c>
      <c r="F111" s="1469">
        <f>SUM(F62:F75,F50:F54)</f>
        <v>57059</v>
      </c>
      <c r="G111" s="1470">
        <f>SUM(I84:I91,I39:I42)</f>
        <v>112425.75000000001</v>
      </c>
      <c r="H111" s="1470">
        <f>SUM(I15:I18)</f>
        <v>962.16000000000008</v>
      </c>
      <c r="I111" s="1470">
        <f>SUM(I76:I83,I27:I30)</f>
        <v>122824.40999999999</v>
      </c>
      <c r="J111" s="1470">
        <f>SUM(I62:I75,I50:I54)</f>
        <v>262690.09799999994</v>
      </c>
      <c r="K111" s="1471"/>
      <c r="L111" s="1471"/>
      <c r="M111" s="1471"/>
    </row>
    <row r="112" spans="1:13">
      <c r="A112" s="1513" t="s">
        <v>1809</v>
      </c>
      <c r="B112" s="1514"/>
      <c r="C112" s="1517">
        <f>C111*100000</f>
        <v>57784984000</v>
      </c>
      <c r="D112" s="1517">
        <f>D111*111800</f>
        <v>60789125.799999997</v>
      </c>
      <c r="E112" s="1517">
        <f>E111*127500</f>
        <v>53110131375</v>
      </c>
      <c r="F112" s="1518">
        <f>F111*1000000</f>
        <v>57059000000</v>
      </c>
      <c r="G112" s="1471"/>
      <c r="H112" s="1471"/>
      <c r="I112" s="1471"/>
      <c r="J112" s="1471"/>
      <c r="K112" s="1471"/>
      <c r="L112" s="1471"/>
      <c r="M112" s="1471"/>
    </row>
    <row r="113" spans="1:13" ht="12.75">
      <c r="A113" s="1471"/>
      <c r="B113" s="1471"/>
      <c r="C113" s="2219" t="s">
        <v>1810</v>
      </c>
      <c r="D113" s="2219"/>
      <c r="E113" s="2219"/>
      <c r="F113" s="2219"/>
      <c r="G113" s="2219" t="s">
        <v>1815</v>
      </c>
      <c r="H113" s="2219"/>
      <c r="I113" s="2219"/>
      <c r="J113" s="2219"/>
      <c r="K113" s="1471"/>
      <c r="L113" s="1471"/>
      <c r="M113" s="1471"/>
    </row>
    <row r="114" spans="1:13">
      <c r="A114" s="1471"/>
      <c r="B114" s="1471"/>
      <c r="C114" s="2240">
        <f>(C112+D112+E112+F112)/1000000</f>
        <v>168014.90450079998</v>
      </c>
      <c r="D114" s="2240"/>
      <c r="E114" s="2240"/>
      <c r="F114" s="2240"/>
      <c r="G114" s="1515">
        <f>SUM(G111:J111)</f>
        <v>498902.41799999995</v>
      </c>
      <c r="H114" s="1515"/>
      <c r="I114" s="1515"/>
      <c r="J114" s="1515"/>
      <c r="K114" s="1471"/>
      <c r="L114" s="1471"/>
      <c r="M114" s="1471"/>
    </row>
    <row r="115" spans="1:13" ht="12.75">
      <c r="A115" s="1471"/>
      <c r="B115" s="1471"/>
      <c r="C115" s="1519" t="s">
        <v>1812</v>
      </c>
      <c r="D115" s="1469">
        <f>C114/12</f>
        <v>14001.242041733332</v>
      </c>
      <c r="E115" s="1469"/>
      <c r="F115" s="1469"/>
      <c r="G115" s="2219" t="s">
        <v>1813</v>
      </c>
      <c r="H115" s="2219"/>
      <c r="I115" s="2219"/>
      <c r="J115" s="2219"/>
      <c r="K115" s="1471"/>
      <c r="L115" s="1471"/>
      <c r="M115" s="1471"/>
    </row>
    <row r="116" spans="1:13">
      <c r="A116" s="1471"/>
      <c r="B116" s="1471"/>
      <c r="C116" s="1471"/>
      <c r="D116" s="1471"/>
      <c r="E116" s="1471"/>
      <c r="F116" s="1471"/>
      <c r="G116" s="1515">
        <f>G114/C114</f>
        <v>2.9693938134972098</v>
      </c>
      <c r="H116" s="1516"/>
      <c r="I116" s="1516"/>
      <c r="J116" s="1516"/>
      <c r="K116" s="1471"/>
      <c r="L116" s="1471"/>
      <c r="M116" s="1471"/>
    </row>
    <row r="117" spans="1:13" ht="12.75">
      <c r="A117" s="1471"/>
      <c r="B117" s="1471"/>
      <c r="C117" s="1471"/>
      <c r="D117" s="1471"/>
      <c r="E117" s="1471"/>
      <c r="F117" s="1471"/>
      <c r="G117" s="2219" t="s">
        <v>1814</v>
      </c>
      <c r="H117" s="2219"/>
      <c r="I117" s="2219"/>
      <c r="J117" s="2219"/>
      <c r="K117" s="1471"/>
      <c r="L117" s="1471"/>
      <c r="M117" s="1471"/>
    </row>
    <row r="118" spans="1:13">
      <c r="A118" s="1471"/>
      <c r="B118" s="1471"/>
      <c r="C118" s="1471"/>
      <c r="D118" s="1471"/>
      <c r="E118" s="1471"/>
      <c r="F118" s="1471"/>
      <c r="G118" s="1515">
        <f>G116*C114</f>
        <v>498902.41799999995</v>
      </c>
      <c r="H118" s="1516"/>
      <c r="I118" s="1516"/>
      <c r="J118" s="1516"/>
      <c r="K118" s="1471"/>
      <c r="L118" s="1471"/>
      <c r="M118" s="1471"/>
    </row>
    <row r="119" spans="1:13">
      <c r="A119" s="1471"/>
      <c r="B119" s="1471"/>
      <c r="C119" s="1471"/>
      <c r="D119" s="1471"/>
      <c r="E119" s="1471"/>
      <c r="F119" s="1471"/>
      <c r="G119" s="1470"/>
      <c r="H119" s="1471"/>
      <c r="I119" s="1471"/>
      <c r="J119" s="1471"/>
      <c r="K119" s="1471"/>
      <c r="L119" s="1471"/>
      <c r="M119" s="1471"/>
    </row>
    <row r="120" spans="1:13">
      <c r="A120" s="1471"/>
      <c r="B120" s="1471"/>
      <c r="C120" s="1471"/>
      <c r="D120" s="1471"/>
      <c r="E120" s="1471"/>
      <c r="F120" s="1471"/>
      <c r="G120" s="1471"/>
      <c r="H120" s="1471"/>
      <c r="I120" s="1471"/>
      <c r="J120" s="1471"/>
      <c r="K120" s="1471"/>
      <c r="L120" s="1471"/>
      <c r="M120" s="1471"/>
    </row>
    <row r="121" spans="1:13">
      <c r="A121" s="1471" t="s">
        <v>2477</v>
      </c>
      <c r="B121" s="1471"/>
      <c r="C121" s="1471"/>
      <c r="D121" s="1471"/>
      <c r="E121" s="1471"/>
      <c r="F121" s="1471"/>
      <c r="G121" s="1471"/>
      <c r="H121" s="1471"/>
      <c r="I121" s="1471"/>
      <c r="J121" s="1471"/>
      <c r="K121" s="1471"/>
      <c r="L121" s="1471"/>
      <c r="M121" s="1471"/>
    </row>
    <row r="122" spans="1:13">
      <c r="A122" s="2198" t="s">
        <v>2478</v>
      </c>
      <c r="B122" s="2198"/>
      <c r="C122" s="2198"/>
      <c r="D122" s="2198"/>
      <c r="E122" s="2198"/>
      <c r="F122" s="2198"/>
      <c r="G122" s="2198"/>
      <c r="H122" s="2198"/>
      <c r="I122" s="2198"/>
      <c r="J122" s="2198"/>
      <c r="K122" s="2198"/>
      <c r="L122" s="2198"/>
      <c r="M122" s="2198"/>
    </row>
    <row r="123" spans="1:13">
      <c r="A123" s="2198"/>
      <c r="B123" s="2198"/>
      <c r="C123" s="2198"/>
      <c r="D123" s="2198"/>
      <c r="E123" s="2198"/>
      <c r="F123" s="2198"/>
      <c r="G123" s="2198"/>
      <c r="H123" s="2198"/>
      <c r="I123" s="2198"/>
      <c r="J123" s="2198"/>
      <c r="K123" s="2198"/>
      <c r="L123" s="2198"/>
      <c r="M123" s="2198"/>
    </row>
  </sheetData>
  <mergeCells count="20">
    <mergeCell ref="A122:M123"/>
    <mergeCell ref="A5:L5"/>
    <mergeCell ref="A59:M59"/>
    <mergeCell ref="A60:L60"/>
    <mergeCell ref="A93:M93"/>
    <mergeCell ref="C95:F95"/>
    <mergeCell ref="C99:F99"/>
    <mergeCell ref="G99:J99"/>
    <mergeCell ref="C100:F100"/>
    <mergeCell ref="G100:J100"/>
    <mergeCell ref="G101:J101"/>
    <mergeCell ref="G103:J103"/>
    <mergeCell ref="G104:J104"/>
    <mergeCell ref="A107:M107"/>
    <mergeCell ref="G117:J117"/>
    <mergeCell ref="C109:F109"/>
    <mergeCell ref="C113:F113"/>
    <mergeCell ref="G113:J113"/>
    <mergeCell ref="C114:F114"/>
    <mergeCell ref="G115:J115"/>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5"/>
  </sheetPr>
  <dimension ref="A1:O42"/>
  <sheetViews>
    <sheetView workbookViewId="0">
      <selection activeCell="D2" sqref="D2"/>
    </sheetView>
  </sheetViews>
  <sheetFormatPr defaultRowHeight="11.25"/>
  <cols>
    <col min="2" max="3" width="21" bestFit="1" customWidth="1"/>
    <col min="4" max="6" width="23.5" customWidth="1"/>
    <col min="10" max="14" width="10.5" bestFit="1" customWidth="1"/>
    <col min="15" max="15" width="11.5" bestFit="1" customWidth="1"/>
  </cols>
  <sheetData>
    <row r="1" spans="1:15" ht="18">
      <c r="A1" s="427" t="s">
        <v>1582</v>
      </c>
      <c r="B1" s="427"/>
      <c r="D1" s="1373" t="str">
        <f>+'Fuel Detail'!D1</f>
        <v>Source Documentation: Fuel PDFs provided in supporting docuementation folder (zipped folder labeled fuel invoices)</v>
      </c>
    </row>
    <row r="2" spans="1:15" ht="12.75">
      <c r="A2" s="433" t="s">
        <v>1369</v>
      </c>
      <c r="B2" s="433"/>
    </row>
    <row r="5" spans="1:15">
      <c r="C5" s="541"/>
      <c r="D5" s="541"/>
      <c r="E5" s="541"/>
      <c r="F5" s="541"/>
      <c r="G5" s="541"/>
      <c r="H5" s="541"/>
      <c r="I5" s="541"/>
      <c r="J5" s="541"/>
      <c r="K5" s="541"/>
      <c r="L5" s="541"/>
      <c r="M5" s="541"/>
      <c r="N5" s="541"/>
      <c r="O5" s="541"/>
    </row>
    <row r="6" spans="1:15" s="281" customFormat="1" ht="12">
      <c r="A6" s="1202">
        <v>41395</v>
      </c>
      <c r="B6" s="281" t="s">
        <v>1370</v>
      </c>
      <c r="C6" s="1203" t="s">
        <v>1371</v>
      </c>
      <c r="D6" s="1204" t="s">
        <v>1372</v>
      </c>
      <c r="E6" s="1203" t="s">
        <v>1373</v>
      </c>
      <c r="F6" s="1203" t="s">
        <v>1374</v>
      </c>
      <c r="G6" s="1205"/>
      <c r="H6" s="1205"/>
      <c r="I6" s="1205"/>
      <c r="J6" s="1205"/>
      <c r="K6" s="1205"/>
      <c r="L6" s="1205"/>
      <c r="M6" s="1205"/>
      <c r="N6" s="1205"/>
      <c r="O6" s="1203"/>
    </row>
    <row r="7" spans="1:15" ht="12">
      <c r="A7" s="1206">
        <f>A6+30</f>
        <v>41425</v>
      </c>
      <c r="B7" s="1207">
        <v>43238.99</v>
      </c>
      <c r="C7" s="1208">
        <f>19262.44+6732.24+511.48+8362.31+84.8+212+409.86-3525.88-929.27-7278.65</f>
        <v>23841.33</v>
      </c>
      <c r="D7" s="1209">
        <f t="shared" ref="D7:D18" si="0">C7/B7</f>
        <v>0.55138498840976635</v>
      </c>
      <c r="E7" s="1210">
        <f>B7/1.39</f>
        <v>31107.187050359713</v>
      </c>
      <c r="F7" s="1209">
        <f>C7/E7</f>
        <v>0.76642513388957512</v>
      </c>
      <c r="G7" s="1211"/>
      <c r="H7" s="1211"/>
      <c r="I7" s="1211"/>
      <c r="J7" s="1211"/>
      <c r="K7" s="1211"/>
      <c r="L7" s="1211"/>
      <c r="M7" s="1211"/>
      <c r="N7" s="1211"/>
      <c r="O7" s="1211"/>
    </row>
    <row r="8" spans="1:15" ht="12">
      <c r="A8" s="1206">
        <f t="shared" ref="A8:A18" si="1">A7+30</f>
        <v>41455</v>
      </c>
      <c r="B8" s="1207">
        <v>38986.33</v>
      </c>
      <c r="C8" s="1208">
        <f>16261.18+7831.57+7539.85+1015.9+71.59+178.97+345.99-1538.49-5203.42-2643.32</f>
        <v>23859.819999999992</v>
      </c>
      <c r="D8" s="1209">
        <f t="shared" si="0"/>
        <v>0.61200477192903235</v>
      </c>
      <c r="E8" s="1210">
        <f t="shared" ref="E8:E18" si="2">B8/1.39</f>
        <v>28047.719424460436</v>
      </c>
      <c r="F8" s="1209">
        <f t="shared" ref="F8:F18" si="3">C8/E8</f>
        <v>0.85068663298135483</v>
      </c>
      <c r="G8" s="1212"/>
      <c r="H8" s="1212"/>
      <c r="I8" s="1212"/>
      <c r="J8" s="1212"/>
      <c r="K8" s="1212"/>
      <c r="L8" s="1212"/>
      <c r="M8" s="1212"/>
      <c r="N8" s="1212"/>
      <c r="O8" s="541"/>
    </row>
    <row r="9" spans="1:15" ht="12">
      <c r="A9" s="1206">
        <f t="shared" si="1"/>
        <v>41485</v>
      </c>
      <c r="B9" s="1207">
        <v>44230.71</v>
      </c>
      <c r="C9" s="1208">
        <f>16639.29+8353.51+8205.66+667.11+73.25+183.13+354.04-1472.32-3504.41-7093.66</f>
        <v>22405.600000000006</v>
      </c>
      <c r="D9" s="1209">
        <f t="shared" si="0"/>
        <v>0.50656206965703254</v>
      </c>
      <c r="E9" s="1210">
        <f t="shared" si="2"/>
        <v>31820.654676258993</v>
      </c>
      <c r="F9" s="1209">
        <f t="shared" si="3"/>
        <v>0.70412127682327519</v>
      </c>
      <c r="G9" s="541"/>
      <c r="H9" s="541"/>
      <c r="I9" s="541"/>
      <c r="J9" s="541"/>
      <c r="K9" s="541"/>
      <c r="L9" s="541"/>
      <c r="M9" s="541"/>
      <c r="N9" s="541"/>
      <c r="O9" s="541"/>
    </row>
    <row r="10" spans="1:15" ht="12">
      <c r="A10" s="1206">
        <f t="shared" si="1"/>
        <v>41515</v>
      </c>
      <c r="B10" s="1207">
        <v>42961.69</v>
      </c>
      <c r="C10" s="1208">
        <f>15705.32+8200.79+7378.7+677.28+68.94+166.62+338.98-1941.37-8730.96-4462.45</f>
        <v>17401.849999999999</v>
      </c>
      <c r="D10" s="1209">
        <f t="shared" si="0"/>
        <v>0.40505506184696172</v>
      </c>
      <c r="E10" s="1210">
        <f t="shared" si="2"/>
        <v>30907.690647482017</v>
      </c>
      <c r="F10" s="1209">
        <f t="shared" si="3"/>
        <v>0.56302653596727681</v>
      </c>
      <c r="G10" s="1205"/>
      <c r="H10" s="1205"/>
      <c r="I10" s="1205"/>
      <c r="J10" s="1205"/>
      <c r="K10" s="1205"/>
      <c r="L10" s="1205"/>
      <c r="M10" s="1205"/>
      <c r="N10" s="1203"/>
      <c r="O10" s="541"/>
    </row>
    <row r="11" spans="1:15" ht="12">
      <c r="A11" s="1206">
        <f t="shared" si="1"/>
        <v>41545</v>
      </c>
      <c r="B11" s="1207">
        <v>39354.959999999999</v>
      </c>
      <c r="C11" s="1208">
        <f>13571.22+7766.7+7301.13+426.14+59.74+144.38+293.74-1368.49-6020.77-3258.53-6020.77</f>
        <v>12894.490000000002</v>
      </c>
      <c r="D11" s="1209">
        <f t="shared" si="0"/>
        <v>0.32764586725535999</v>
      </c>
      <c r="E11" s="1210">
        <f t="shared" si="2"/>
        <v>28312.920863309355</v>
      </c>
      <c r="F11" s="1209">
        <f t="shared" si="3"/>
        <v>0.45542775548495035</v>
      </c>
      <c r="G11" s="541"/>
      <c r="H11" s="541"/>
      <c r="I11" s="541"/>
      <c r="J11" s="1213"/>
      <c r="K11" s="1213"/>
      <c r="L11" s="1213"/>
      <c r="M11" s="1213"/>
      <c r="N11" s="1213"/>
      <c r="O11" s="1213"/>
    </row>
    <row r="12" spans="1:15" ht="12">
      <c r="A12" s="1206">
        <f t="shared" si="1"/>
        <v>41575</v>
      </c>
      <c r="B12" s="1207">
        <v>43341.24</v>
      </c>
      <c r="C12" s="1208">
        <f>15663.56+8260.63+8040.66+489.14+68.96+166.64+339.03-1418.4-3683.5-7003.92</f>
        <v>20922.799999999996</v>
      </c>
      <c r="D12" s="1209">
        <f t="shared" si="0"/>
        <v>0.48274576361913035</v>
      </c>
      <c r="E12" s="1210">
        <f t="shared" si="2"/>
        <v>31180.748201438848</v>
      </c>
      <c r="F12" s="1209">
        <f t="shared" si="3"/>
        <v>0.67101661143059121</v>
      </c>
      <c r="G12" s="541"/>
      <c r="H12" s="541"/>
      <c r="I12" s="541"/>
      <c r="J12" s="541"/>
      <c r="K12" s="541"/>
      <c r="L12" s="541"/>
      <c r="M12" s="541"/>
      <c r="N12" s="541"/>
      <c r="O12" s="541"/>
    </row>
    <row r="13" spans="1:15" ht="12">
      <c r="A13" s="1206">
        <f t="shared" si="1"/>
        <v>41605</v>
      </c>
      <c r="B13" s="1207">
        <v>41793.18</v>
      </c>
      <c r="C13" s="1208">
        <f>19628.91+8073.82+7753.46+497.2+86.41+208.83+424.86-1280.07-3367.36-6962.38</f>
        <v>25063.680000000004</v>
      </c>
      <c r="D13" s="1209">
        <f t="shared" si="0"/>
        <v>0.5997074163775048</v>
      </c>
      <c r="E13" s="1210">
        <f t="shared" si="2"/>
        <v>30067.035971223024</v>
      </c>
      <c r="F13" s="1209">
        <f t="shared" si="3"/>
        <v>0.83359330876473159</v>
      </c>
    </row>
    <row r="14" spans="1:15" ht="12">
      <c r="A14" s="1206">
        <f t="shared" si="1"/>
        <v>41635</v>
      </c>
      <c r="B14" s="1207">
        <v>41117.769999999997</v>
      </c>
      <c r="C14" s="1208">
        <f>19561.05+7992.31+7628.16+332.71+86.11+208.11+423.39-1296.11-3569.37-6599.9</f>
        <v>24766.460000000006</v>
      </c>
      <c r="D14" s="1209">
        <f t="shared" si="0"/>
        <v>0.60232984424982217</v>
      </c>
      <c r="E14" s="1210">
        <f t="shared" si="2"/>
        <v>29581.129496402878</v>
      </c>
      <c r="F14" s="1209">
        <f t="shared" si="3"/>
        <v>0.83723848350725261</v>
      </c>
    </row>
    <row r="15" spans="1:15" ht="12">
      <c r="A15" s="1206">
        <f t="shared" si="1"/>
        <v>41665</v>
      </c>
      <c r="B15" s="1214">
        <v>41506.910000000003</v>
      </c>
      <c r="C15" s="1215">
        <f>22112.84+8069.93+318.55+7700.36+97.35+669.42+235.26+1947.18+478.62+3543.75-86.11-208.11-423.39</f>
        <v>44455.65</v>
      </c>
      <c r="D15" s="1209">
        <f t="shared" si="0"/>
        <v>1.0710421469581812</v>
      </c>
      <c r="E15" s="1210">
        <f t="shared" si="2"/>
        <v>29861.086330935257</v>
      </c>
      <c r="F15" s="1209">
        <f t="shared" si="3"/>
        <v>1.4887485842718717</v>
      </c>
    </row>
    <row r="16" spans="1:15" ht="12">
      <c r="A16" s="1206">
        <f t="shared" si="1"/>
        <v>41695</v>
      </c>
      <c r="B16" s="1214">
        <v>36365.440000000002</v>
      </c>
      <c r="C16" s="1215">
        <f>20520.91+7448.32+7780.68+148.16+82.81+618.33-97.35-235.26+233.38-478.62+436.64+3128.56</f>
        <v>39586.559999999998</v>
      </c>
      <c r="D16" s="1209">
        <f t="shared" si="0"/>
        <v>1.0885764066102319</v>
      </c>
      <c r="E16" s="1210">
        <f t="shared" si="2"/>
        <v>26162.187050359717</v>
      </c>
      <c r="F16" s="1209">
        <f t="shared" si="3"/>
        <v>1.5131212051882224</v>
      </c>
    </row>
    <row r="17" spans="1:9" ht="12">
      <c r="A17" s="1206">
        <f t="shared" si="1"/>
        <v>41725</v>
      </c>
      <c r="B17" s="1214">
        <v>39562.699999999997</v>
      </c>
      <c r="C17" s="1215">
        <f>20028.52+7834.86+8464.76+341.7+82.8+97.35+86.11+86.41+80.82+714.8-82.81+233.38+235.26+208.11+208.83-233.38+1735.61+436.64+478.62+423.39+424.86+426.16+3308.42-436.64</f>
        <v>45184.580000000016</v>
      </c>
      <c r="D17" s="1209">
        <f t="shared" si="0"/>
        <v>1.1421005138678608</v>
      </c>
      <c r="E17" s="1210">
        <f t="shared" si="2"/>
        <v>28462.374100719426</v>
      </c>
      <c r="F17" s="1209">
        <f t="shared" si="3"/>
        <v>1.5875197142763264</v>
      </c>
      <c r="I17" s="1139"/>
    </row>
    <row r="18" spans="1:9" ht="12">
      <c r="A18" s="1206">
        <f t="shared" si="1"/>
        <v>41755</v>
      </c>
      <c r="B18" s="1214">
        <v>41703.97</v>
      </c>
      <c r="C18" s="1215">
        <f>19876.88+8093.75+8148.78+153.75+80.21+714.78+226.05+1763.55+422.93+3586.79</f>
        <v>43067.470000000008</v>
      </c>
      <c r="D18" s="1209">
        <f t="shared" si="0"/>
        <v>1.0326947290629647</v>
      </c>
      <c r="E18" s="1210">
        <f t="shared" si="2"/>
        <v>30002.856115107916</v>
      </c>
      <c r="F18" s="1209">
        <f t="shared" si="3"/>
        <v>1.4354456733975209</v>
      </c>
    </row>
    <row r="19" spans="1:9" ht="12">
      <c r="A19" s="1206"/>
      <c r="B19" s="1214"/>
      <c r="C19" s="1216"/>
      <c r="D19" s="1209"/>
      <c r="E19" s="1209"/>
      <c r="F19" s="1209"/>
    </row>
    <row r="20" spans="1:9" ht="12">
      <c r="B20" s="1211"/>
      <c r="C20" s="1207"/>
    </row>
    <row r="21" spans="1:9" ht="12">
      <c r="A21" s="1206" t="s">
        <v>1375</v>
      </c>
      <c r="B21" s="1217">
        <f>SUM(B7:B20)</f>
        <v>494163.89</v>
      </c>
      <c r="C21" s="1217">
        <f>SUM(C7:C18)</f>
        <v>343450.2900000001</v>
      </c>
      <c r="D21" s="1217">
        <f>AVERAGE(D7:D18)</f>
        <v>0.70182079832032063</v>
      </c>
      <c r="E21" s="1217">
        <f>SUM(E7:E18)</f>
        <v>355513.58992805751</v>
      </c>
      <c r="F21" s="1217">
        <f>AVERAGE(F7:F18)</f>
        <v>0.97553090966524569</v>
      </c>
    </row>
    <row r="22" spans="1:9" ht="12">
      <c r="B22" s="1206"/>
      <c r="C22" s="1217"/>
      <c r="D22" s="1217" t="s">
        <v>1376</v>
      </c>
      <c r="E22" s="1217"/>
      <c r="F22" s="1217" t="s">
        <v>1377</v>
      </c>
    </row>
    <row r="23" spans="1:9" ht="12">
      <c r="B23" s="1206"/>
    </row>
    <row r="24" spans="1:9" ht="12">
      <c r="A24" s="281" t="s">
        <v>1378</v>
      </c>
      <c r="B24" s="1206"/>
    </row>
    <row r="25" spans="1:9" ht="12">
      <c r="A25" s="1206">
        <v>41773</v>
      </c>
      <c r="B25" s="1226">
        <v>46610</v>
      </c>
      <c r="C25" s="1227">
        <f>10497.37-4302.65+24977.02-10398.07+52222.62-21154.66</f>
        <v>51841.630000000005</v>
      </c>
      <c r="D25" s="1228">
        <f>C25/B25</f>
        <v>1.1122426517914612</v>
      </c>
      <c r="E25" s="1229">
        <f>B25/1.39</f>
        <v>33532.374100719426</v>
      </c>
      <c r="F25" s="1228">
        <f>C25/E25</f>
        <v>1.5460172859901309</v>
      </c>
    </row>
    <row r="26" spans="1:9" ht="12">
      <c r="A26" s="1206">
        <v>41791</v>
      </c>
      <c r="B26" s="1226">
        <v>43800</v>
      </c>
      <c r="C26" s="1227">
        <f>12037.3-5838.73+27680.16-13705.18+51819.36-29112.16+74930.38-69469.22</f>
        <v>48341.91</v>
      </c>
      <c r="D26" s="1228">
        <f>C26/B26</f>
        <v>1.1036965753424659</v>
      </c>
      <c r="E26" s="1229">
        <f>B26/1.39</f>
        <v>31510.791366906476</v>
      </c>
      <c r="F26" s="1228">
        <f>C26/E26</f>
        <v>1.5341382397260275</v>
      </c>
    </row>
    <row r="27" spans="1:9" ht="12">
      <c r="A27" s="1206">
        <v>41821</v>
      </c>
      <c r="B27" s="1226">
        <v>44230</v>
      </c>
      <c r="C27" s="1227">
        <f>13138.36-4171.84+24577.72-10619.24+57871.1-23134.78</f>
        <v>57661.320000000007</v>
      </c>
      <c r="D27" s="1228">
        <f>C27/B27</f>
        <v>1.3036699073027358</v>
      </c>
      <c r="E27" s="1229">
        <f>B27/1.39</f>
        <v>31820.143884892088</v>
      </c>
      <c r="F27" s="1228">
        <f>C27/E27</f>
        <v>1.8121011711508028</v>
      </c>
    </row>
    <row r="28" spans="1:9" ht="12">
      <c r="A28" s="1206" t="s">
        <v>1375</v>
      </c>
      <c r="B28" s="1230">
        <f>SUM(B25:B27)</f>
        <v>134640</v>
      </c>
      <c r="C28" s="1230">
        <f>SUM(C25:C27)</f>
        <v>157844.86000000002</v>
      </c>
      <c r="D28" s="1217">
        <f>AVERAGE(D25:D27)</f>
        <v>1.173203044812221</v>
      </c>
      <c r="E28" s="1230">
        <f>SUM(E25:E27)</f>
        <v>96863.309352518001</v>
      </c>
      <c r="F28" s="1230">
        <f>AVERAGE(F25:F27)</f>
        <v>1.6307522322889871</v>
      </c>
    </row>
    <row r="29" spans="1:9" ht="12">
      <c r="B29" s="1206"/>
    </row>
    <row r="30" spans="1:9" ht="12">
      <c r="B30" s="1206"/>
    </row>
    <row r="31" spans="1:9" ht="12">
      <c r="A31" t="s">
        <v>1379</v>
      </c>
      <c r="B31" s="1206" t="s">
        <v>1380</v>
      </c>
    </row>
    <row r="32" spans="1:9" ht="12">
      <c r="B32" s="1206"/>
    </row>
    <row r="33" spans="1:2" ht="12">
      <c r="B33" s="1206"/>
    </row>
    <row r="34" spans="1:2" ht="12">
      <c r="B34" s="1234"/>
    </row>
    <row r="35" spans="1:2" ht="12">
      <c r="B35" s="1206"/>
    </row>
    <row r="36" spans="1:2" ht="12">
      <c r="A36" s="729"/>
      <c r="B36" s="1233" t="s">
        <v>1388</v>
      </c>
    </row>
    <row r="37" spans="1:2" ht="12">
      <c r="B37" s="1206"/>
    </row>
    <row r="38" spans="1:2" ht="12">
      <c r="B38" s="1206"/>
    </row>
    <row r="39" spans="1:2" ht="12">
      <c r="B39" s="1206"/>
    </row>
    <row r="40" spans="1:2" ht="12">
      <c r="B40" s="1206"/>
    </row>
    <row r="41" spans="1:2" ht="12">
      <c r="B41" s="1206"/>
    </row>
    <row r="42" spans="1:2" ht="12">
      <c r="B42" s="1206"/>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39997558519241921"/>
    <pageSetUpPr fitToPage="1"/>
  </sheetPr>
  <dimension ref="A1:V66"/>
  <sheetViews>
    <sheetView showGridLines="0" topLeftCell="A13" zoomScale="80" zoomScaleNormal="80" workbookViewId="0">
      <selection activeCell="E55" sqref="E55"/>
    </sheetView>
  </sheetViews>
  <sheetFormatPr defaultColWidth="10.6640625" defaultRowHeight="12.75"/>
  <cols>
    <col min="1" max="1" width="24.33203125" style="478" bestFit="1" customWidth="1"/>
    <col min="2" max="2" width="17.1640625" style="478" customWidth="1"/>
    <col min="3" max="3" width="17.5" style="478" customWidth="1"/>
    <col min="4" max="5" width="18.33203125" style="478" customWidth="1"/>
    <col min="6" max="6" width="17.83203125" style="478" customWidth="1"/>
    <col min="7" max="7" width="11.6640625" style="478" bestFit="1" customWidth="1"/>
    <col min="8" max="8" width="12.83203125" style="478" customWidth="1"/>
    <col min="9" max="9" width="12.33203125" style="478" bestFit="1" customWidth="1"/>
    <col min="10" max="10" width="13.33203125" style="478" customWidth="1"/>
    <col min="11" max="11" width="13" style="478" bestFit="1" customWidth="1"/>
    <col min="12" max="12" width="13" style="478" customWidth="1"/>
    <col min="13" max="13" width="12" style="478" bestFit="1" customWidth="1"/>
    <col min="14" max="16" width="10.83203125" style="478" bestFit="1" customWidth="1"/>
    <col min="17" max="17" width="3.1640625" style="478" customWidth="1"/>
    <col min="18" max="18" width="23.5" style="478" bestFit="1" customWidth="1"/>
    <col min="19" max="19" width="2.5" style="478" customWidth="1"/>
    <col min="20" max="20" width="11.6640625" style="478" bestFit="1" customWidth="1"/>
    <col min="21" max="21" width="3.5" style="478" customWidth="1"/>
    <col min="22" max="22" width="56.6640625" style="478" bestFit="1" customWidth="1"/>
    <col min="23" max="23" width="14.6640625" style="478" customWidth="1"/>
    <col min="24" max="16384" width="10.6640625" style="478"/>
  </cols>
  <sheetData>
    <row r="1" spans="1:19">
      <c r="A1" s="478" t="s">
        <v>483</v>
      </c>
    </row>
    <row r="2" spans="1:19">
      <c r="D2" s="2244" t="s">
        <v>11</v>
      </c>
      <c r="E2" s="2245"/>
      <c r="F2" s="2245"/>
      <c r="G2" s="2246"/>
      <c r="I2" s="2244" t="s">
        <v>103</v>
      </c>
      <c r="J2" s="2245"/>
      <c r="K2" s="2245"/>
      <c r="L2" s="2246"/>
      <c r="N2" s="479" t="s">
        <v>484</v>
      </c>
      <c r="O2" s="480" t="s">
        <v>360</v>
      </c>
    </row>
    <row r="3" spans="1:19">
      <c r="D3" s="608" t="s">
        <v>1574</v>
      </c>
      <c r="E3" s="608" t="s">
        <v>1575</v>
      </c>
      <c r="F3" s="608" t="s">
        <v>1576</v>
      </c>
      <c r="G3" s="608" t="s">
        <v>1577</v>
      </c>
      <c r="I3" s="608" t="str">
        <f>+D3</f>
        <v>10/1B</v>
      </c>
      <c r="J3" s="608" t="str">
        <f>+E3</f>
        <v>20/2B</v>
      </c>
      <c r="K3" s="608" t="str">
        <f>+F3</f>
        <v>30/3B</v>
      </c>
      <c r="L3" s="608" t="str">
        <f>+G3</f>
        <v>70/7B</v>
      </c>
      <c r="N3" s="481" t="s">
        <v>105</v>
      </c>
      <c r="O3" s="482"/>
    </row>
    <row r="4" spans="1:19">
      <c r="A4" s="483" t="s">
        <v>426</v>
      </c>
      <c r="B4" s="478" t="s">
        <v>15</v>
      </c>
      <c r="C4" s="501" t="s">
        <v>493</v>
      </c>
      <c r="D4" s="1256">
        <f>VLOOKUP($A4&amp;" Total ",'Cont Regulated Acct (Non-MF)'!$K$3:$O$104,MATCH(D$3,'Cont Regulated Acct (Non-MF)'!$K$3:$O$3,0),FALSE)</f>
        <v>0</v>
      </c>
      <c r="E4" s="1256">
        <f>VLOOKUP($A4&amp;" Total ",'Cont Regulated Acct (Non-MF)'!$K$3:$O$104,MATCH(E$3,'Cont Regulated Acct (Non-MF)'!$K$3:$O$3,0),FALSE)</f>
        <v>0</v>
      </c>
      <c r="F4" s="1256">
        <f>VLOOKUP($A4&amp;" Total ",'Cont Regulated Acct (Non-MF)'!$K$3:$O$104,MATCH(F$3,'Cont Regulated Acct (Non-MF)'!$K$3:$O$3,0),FALSE)</f>
        <v>6</v>
      </c>
      <c r="G4" s="1256">
        <f>VLOOKUP($A4&amp;" Total ",'Cont Regulated Acct (Non-MF)'!$K$3:$O$104,MATCH(G$3,'Cont Regulated Acct (Non-MF)'!$K$3:$O$3,0),FALSE)</f>
        <v>0</v>
      </c>
      <c r="I4" s="1256">
        <f>IFERROR(VLOOKUP($A4&amp;" Total ",'Cont Regulated Accounts (MF).'!$J$3:$M$61,MATCH(I$3,'Cont Regulated Accounts (MF).'!$J$3:$M$3,0),FALSE),0)</f>
        <v>0</v>
      </c>
      <c r="J4" s="1256">
        <f>IFERROR(VLOOKUP($A4&amp;" Total ",'Cont Regulated Accounts (MF).'!$J$3:$M$61,MATCH(J$3,'Cont Regulated Accounts (MF).'!$J$3:$M$3,0),FALSE),0)</f>
        <v>0</v>
      </c>
      <c r="K4" s="1256">
        <f>IFERROR(VLOOKUP($A4&amp;" Total ",'Cont Regulated Accounts (MF).'!$J$3:$M$61,MATCH(K$3,'Cont Regulated Accounts (MF).'!$J$3:$M$3,0),FALSE),0)</f>
        <v>0</v>
      </c>
      <c r="L4" s="1256">
        <f>IFERROR(VLOOKUP($A4&amp;" Total ",'Cont Regulated Accounts (MF).'!$J$3:$M$61,MATCH(L$3,'Cont Regulated Accounts (MF).'!$J$3:$M$3,0),FALSE),0)</f>
        <v>0</v>
      </c>
      <c r="N4" s="484">
        <f>VLOOKUP($A4&amp;" Total ",'Cont All Regulated Accounts'!$K$3:$P$107,MATCH(N$3,'Cont All Regulated Accounts'!$K$3:$P$3,0),FALSE)</f>
        <v>6</v>
      </c>
      <c r="O4" s="485">
        <f>N4-SUM(D4:L4)</f>
        <v>0</v>
      </c>
    </row>
    <row r="5" spans="1:19">
      <c r="A5" s="486" t="s">
        <v>428</v>
      </c>
      <c r="B5" s="478" t="s">
        <v>485</v>
      </c>
      <c r="C5" s="501" t="s">
        <v>493</v>
      </c>
      <c r="D5" s="1256">
        <f>VLOOKUP($A5&amp;" Total ",'Cont Regulated Acct (Non-MF)'!$K$3:$O$104,MATCH(D$3,'Cont Regulated Acct (Non-MF)'!$K$3:$O$3,0),FALSE)</f>
        <v>62</v>
      </c>
      <c r="E5" s="1256">
        <f>VLOOKUP($A5&amp;" Total ",'Cont Regulated Acct (Non-MF)'!$K$3:$O$104,MATCH(E$3,'Cont Regulated Acct (Non-MF)'!$K$3:$O$3,0),FALSE)</f>
        <v>0</v>
      </c>
      <c r="F5" s="1256">
        <f>VLOOKUP($A5&amp;" Total ",'Cont Regulated Acct (Non-MF)'!$K$3:$O$104,MATCH(F$3,'Cont Regulated Acct (Non-MF)'!$K$3:$O$3,0),FALSE)</f>
        <v>4617</v>
      </c>
      <c r="G5" s="1256">
        <f>VLOOKUP($A5&amp;" Total ",'Cont Regulated Acct (Non-MF)'!$K$3:$O$104,MATCH(G$3,'Cont Regulated Acct (Non-MF)'!$K$3:$O$3,0),FALSE)</f>
        <v>0</v>
      </c>
      <c r="I5" s="1256">
        <f>IFERROR(VLOOKUP($A5&amp;" Total ",'Cont Regulated Accounts (MF).'!$J$3:$M$61,MATCH(I$3,'Cont Regulated Accounts (MF).'!$J$3:$M$3,0),FALSE),0)</f>
        <v>105</v>
      </c>
      <c r="J5" s="1256">
        <f>IFERROR(VLOOKUP($A5&amp;" Total ",'Cont Regulated Accounts (MF).'!$J$3:$M$61,MATCH(J$3,'Cont Regulated Accounts (MF).'!$J$3:$M$3,0),FALSE),0)</f>
        <v>0</v>
      </c>
      <c r="K5" s="1256">
        <f>IFERROR(VLOOKUP($A5&amp;" Total ",'Cont Regulated Accounts (MF).'!$J$3:$M$61,MATCH(K$3,'Cont Regulated Accounts (MF).'!$J$3:$M$3,0),FALSE),0)</f>
        <v>0</v>
      </c>
      <c r="L5" s="1256">
        <f>IFERROR(VLOOKUP($A5&amp;" Total ",'Cont Regulated Accounts (MF).'!$J$3:$M$61,MATCH(L$3,'Cont Regulated Accounts (MF).'!$J$3:$M$3,0),FALSE),0)</f>
        <v>0</v>
      </c>
      <c r="N5" s="484">
        <f>VLOOKUP($A5&amp;" Total ",'Cont All Regulated Accounts'!$K$3:$P$107,MATCH(N$3,'Cont All Regulated Accounts'!$K$3:$P$3,0),FALSE)</f>
        <v>4784</v>
      </c>
      <c r="O5" s="485">
        <f t="shared" ref="O5:O14" si="0">N5-SUM(D5:L5)</f>
        <v>0</v>
      </c>
    </row>
    <row r="6" spans="1:19">
      <c r="A6" s="486" t="s">
        <v>429</v>
      </c>
      <c r="B6" s="478" t="s">
        <v>485</v>
      </c>
      <c r="C6" s="501" t="s">
        <v>493</v>
      </c>
      <c r="D6" s="1256">
        <f>VLOOKUP($A6&amp;" Total ",'Cont Regulated Acct (Non-MF)'!$K$3:$O$104,MATCH(D$3,'Cont Regulated Acct (Non-MF)'!$K$3:$O$3,0),FALSE)</f>
        <v>7</v>
      </c>
      <c r="E6" s="1256">
        <f>VLOOKUP($A6&amp;" Total ",'Cont Regulated Acct (Non-MF)'!$K$3:$O$104,MATCH(E$3,'Cont Regulated Acct (Non-MF)'!$K$3:$O$3,0),FALSE)</f>
        <v>0</v>
      </c>
      <c r="F6" s="1256">
        <f>VLOOKUP($A6&amp;" Total ",'Cont Regulated Acct (Non-MF)'!$K$3:$O$104,MATCH(F$3,'Cont Regulated Acct (Non-MF)'!$K$3:$O$3,0),FALSE)</f>
        <v>6120</v>
      </c>
      <c r="G6" s="1256">
        <f>VLOOKUP($A6&amp;" Total ",'Cont Regulated Acct (Non-MF)'!$K$3:$O$104,MATCH(G$3,'Cont Regulated Acct (Non-MF)'!$K$3:$O$3,0),FALSE)</f>
        <v>0</v>
      </c>
      <c r="I6" s="1256">
        <f>IFERROR(VLOOKUP($A6&amp;" Total ",'Cont Regulated Accounts (MF).'!$J$3:$M$61,MATCH(I$3,'Cont Regulated Accounts (MF).'!$J$3:$M$3,0),FALSE),0)</f>
        <v>103</v>
      </c>
      <c r="J6" s="1256">
        <f>IFERROR(VLOOKUP($A6&amp;" Total ",'Cont Regulated Accounts (MF).'!$J$3:$M$61,MATCH(J$3,'Cont Regulated Accounts (MF).'!$J$3:$M$3,0),FALSE),0)</f>
        <v>0</v>
      </c>
      <c r="K6" s="1256">
        <f>IFERROR(VLOOKUP($A6&amp;" Total ",'Cont Regulated Accounts (MF).'!$J$3:$M$61,MATCH(K$3,'Cont Regulated Accounts (MF).'!$J$3:$M$3,0),FALSE),0)</f>
        <v>0</v>
      </c>
      <c r="L6" s="1256">
        <f>IFERROR(VLOOKUP($A6&amp;" Total ",'Cont Regulated Accounts (MF).'!$J$3:$M$61,MATCH(L$3,'Cont Regulated Accounts (MF).'!$J$3:$M$3,0),FALSE),0)</f>
        <v>0</v>
      </c>
      <c r="N6" s="484">
        <f>VLOOKUP($A6&amp;" Total ",'Cont All Regulated Accounts'!$K$3:$P$107,MATCH(N$3,'Cont All Regulated Accounts'!$K$3:$P$3,0),FALSE)</f>
        <v>6230</v>
      </c>
      <c r="O6" s="485">
        <f t="shared" si="0"/>
        <v>0</v>
      </c>
    </row>
    <row r="7" spans="1:19">
      <c r="A7" s="486" t="s">
        <v>434</v>
      </c>
      <c r="B7" s="501" t="s">
        <v>15</v>
      </c>
      <c r="C7" s="501" t="s">
        <v>493</v>
      </c>
      <c r="D7" s="1255">
        <f>VLOOKUP($A7&amp;" Total ",'Cont Regulated Acct (Non-MF)'!$K$3:$O$104,MATCH(D$3,'Cont Regulated Acct (Non-MF)'!$K$3:$O$3,0),FALSE)</f>
        <v>0</v>
      </c>
      <c r="E7" s="1255">
        <f>VLOOKUP($A7&amp;" Total ",'Cont Regulated Acct (Non-MF)'!$K$3:$O$104,MATCH(E$3,'Cont Regulated Acct (Non-MF)'!$K$3:$O$3,0),FALSE)</f>
        <v>0</v>
      </c>
      <c r="F7" s="1256">
        <f>VLOOKUP($A7&amp;" Total ",'Cont Regulated Acct (Non-MF)'!$K$3:$O$104,MATCH(F$3,'Cont Regulated Acct (Non-MF)'!$K$3:$O$3,0),FALSE)</f>
        <v>10765</v>
      </c>
      <c r="G7" s="1255">
        <f>VLOOKUP($A7&amp;" Total ",'Cont Regulated Acct (Non-MF)'!$K$3:$O$104,MATCH(G$3,'Cont Regulated Acct (Non-MF)'!$K$3:$O$3,0),FALSE)</f>
        <v>67</v>
      </c>
      <c r="I7" s="1256">
        <f>IFERROR(VLOOKUP($A7&amp;" Total ",'Cont Regulated Accounts (MF).'!$J$3:$M$61,MATCH(I$3,'Cont Regulated Accounts (MF).'!$J$3:$M$3,0),FALSE),0)</f>
        <v>0</v>
      </c>
      <c r="J7" s="1256">
        <f>IFERROR(VLOOKUP($A7&amp;" Total ",'Cont Regulated Accounts (MF).'!$J$3:$M$61,MATCH(J$3,'Cont Regulated Accounts (MF).'!$J$3:$M$3,0),FALSE),0)</f>
        <v>0</v>
      </c>
      <c r="K7" s="1256">
        <f>IFERROR(VLOOKUP($A7&amp;" Total ",'Cont Regulated Accounts (MF).'!$J$3:$M$61,MATCH(K$3,'Cont Regulated Accounts (MF).'!$J$3:$M$3,0),FALSE),0)</f>
        <v>0</v>
      </c>
      <c r="L7" s="1256">
        <f>IFERROR(VLOOKUP($A7&amp;" Total ",'Cont Regulated Accounts (MF).'!$J$3:$M$61,MATCH(L$3,'Cont Regulated Accounts (MF).'!$J$3:$M$3,0),FALSE),0)</f>
        <v>420</v>
      </c>
      <c r="N7" s="484">
        <f>VLOOKUP($A7&amp;" Total ",'Cont All Regulated Accounts'!$K$3:$P$107,MATCH(N$3,'Cont All Regulated Accounts'!$K$3:$P$3,0),FALSE)</f>
        <v>11252</v>
      </c>
      <c r="O7" s="485">
        <f t="shared" si="0"/>
        <v>0</v>
      </c>
    </row>
    <row r="8" spans="1:19">
      <c r="A8" s="486" t="s">
        <v>427</v>
      </c>
      <c r="B8" s="501" t="s">
        <v>16</v>
      </c>
      <c r="C8" s="501" t="s">
        <v>493</v>
      </c>
      <c r="D8" s="1255">
        <f>VLOOKUP($A8&amp;" Total ",'Cont Regulated Acct (Non-MF)'!$K$3:$O$104,MATCH(D$3,'Cont Regulated Acct (Non-MF)'!$K$3:$O$3,0),FALSE)</f>
        <v>0</v>
      </c>
      <c r="E8" s="1255">
        <f>VLOOKUP($A8&amp;" Total ",'Cont Regulated Acct (Non-MF)'!$K$3:$O$104,MATCH(E$3,'Cont Regulated Acct (Non-MF)'!$K$3:$O$3,0),FALSE)</f>
        <v>0</v>
      </c>
      <c r="F8" s="1256">
        <f>VLOOKUP($A8&amp;" Total ",'Cont Regulated Acct (Non-MF)'!$K$3:$O$104,MATCH(F$3,'Cont Regulated Acct (Non-MF)'!$K$3:$O$3,0),FALSE)</f>
        <v>7358</v>
      </c>
      <c r="G8" s="1255">
        <f>VLOOKUP($A8&amp;" Total ",'Cont Regulated Acct (Non-MF)'!$K$3:$O$104,MATCH(G$3,'Cont Regulated Acct (Non-MF)'!$K$3:$O$3,0),FALSE)</f>
        <v>0</v>
      </c>
      <c r="I8" s="1256">
        <f>IFERROR(VLOOKUP($A8&amp;" Total ",'Cont Regulated Accounts (MF).'!$J$3:$M$61,MATCH(I$3,'Cont Regulated Accounts (MF).'!$J$3:$M$3,0),FALSE),0)</f>
        <v>0</v>
      </c>
      <c r="J8" s="1256">
        <f>IFERROR(VLOOKUP($A8&amp;" Total ",'Cont Regulated Accounts (MF).'!$J$3:$M$61,MATCH(J$3,'Cont Regulated Accounts (MF).'!$J$3:$M$3,0),FALSE),0)</f>
        <v>0</v>
      </c>
      <c r="K8" s="1256">
        <f>IFERROR(VLOOKUP($A8&amp;" Total ",'Cont Regulated Accounts (MF).'!$J$3:$M$61,MATCH(K$3,'Cont Regulated Accounts (MF).'!$J$3:$M$3,0),FALSE),0)</f>
        <v>0</v>
      </c>
      <c r="L8" s="1256">
        <f>IFERROR(VLOOKUP($A8&amp;" Total ",'Cont Regulated Accounts (MF).'!$J$3:$M$61,MATCH(L$3,'Cont Regulated Accounts (MF).'!$J$3:$M$3,0),FALSE),0)</f>
        <v>0</v>
      </c>
      <c r="N8" s="484">
        <f>VLOOKUP($A8&amp;" Total ",'Cont All Regulated Accounts'!$K$3:$P$107,MATCH(N$3,'Cont All Regulated Accounts'!$K$3:$P$3,0),FALSE)</f>
        <v>7358</v>
      </c>
      <c r="O8" s="485">
        <f>N8-SUM(D8:L8)</f>
        <v>0</v>
      </c>
    </row>
    <row r="9" spans="1:19">
      <c r="A9" s="486" t="s">
        <v>436</v>
      </c>
      <c r="B9" s="501" t="s">
        <v>16</v>
      </c>
      <c r="C9" s="501" t="s">
        <v>493</v>
      </c>
      <c r="D9" s="1255">
        <f>VLOOKUP($A9&amp;" Total ",'Cont Regulated Acct (Non-MF)'!$K$3:$O$104,MATCH(D$3,'Cont Regulated Acct (Non-MF)'!$K$3:$O$3,0),FALSE)</f>
        <v>15</v>
      </c>
      <c r="E9" s="1255">
        <f>VLOOKUP($A9&amp;" Total ",'Cont Regulated Acct (Non-MF)'!$K$3:$O$104,MATCH(E$3,'Cont Regulated Acct (Non-MF)'!$K$3:$O$3,0),FALSE)</f>
        <v>0</v>
      </c>
      <c r="F9" s="1256">
        <f>VLOOKUP($A9&amp;" Total ",'Cont Regulated Acct (Non-MF)'!$K$3:$O$104,MATCH(F$3,'Cont Regulated Acct (Non-MF)'!$K$3:$O$3,0),FALSE)</f>
        <v>3</v>
      </c>
      <c r="G9" s="1255">
        <f>VLOOKUP($A9&amp;" Total ",'Cont Regulated Acct (Non-MF)'!$K$3:$O$104,MATCH(G$3,'Cont Regulated Acct (Non-MF)'!$K$3:$O$3,0),FALSE)</f>
        <v>2</v>
      </c>
      <c r="I9" s="1256">
        <f>IFERROR(VLOOKUP($A9&amp;" Total ",'Cont Regulated Accounts (MF).'!$J$3:$M$61,MATCH(I$3,'Cont Regulated Accounts (MF).'!$J$3:$M$3,0),FALSE),0)</f>
        <v>14</v>
      </c>
      <c r="J9" s="1256">
        <f>IFERROR(VLOOKUP($A9&amp;" Total ",'Cont Regulated Accounts (MF).'!$J$3:$M$61,MATCH(J$3,'Cont Regulated Accounts (MF).'!$J$3:$M$3,0),FALSE),0)</f>
        <v>0</v>
      </c>
      <c r="K9" s="1256">
        <f>IFERROR(VLOOKUP($A9&amp;" Total ",'Cont Regulated Accounts (MF).'!$J$3:$M$61,MATCH(K$3,'Cont Regulated Accounts (MF).'!$J$3:$M$3,0),FALSE),0)</f>
        <v>0</v>
      </c>
      <c r="L9" s="1256">
        <f>IFERROR(VLOOKUP($A9&amp;" Total ",'Cont Regulated Accounts (MF).'!$J$3:$M$61,MATCH(L$3,'Cont Regulated Accounts (MF).'!$J$3:$M$3,0),FALSE),0)</f>
        <v>0</v>
      </c>
      <c r="N9" s="484">
        <f>VLOOKUP($A9&amp;" Total ",'Cont All Regulated Accounts'!$K$3:$P$107,MATCH(N$3,'Cont All Regulated Accounts'!$K$3:$P$3,0),FALSE)</f>
        <v>34</v>
      </c>
      <c r="O9" s="485">
        <f t="shared" si="0"/>
        <v>0</v>
      </c>
    </row>
    <row r="10" spans="1:19">
      <c r="A10" s="486" t="s">
        <v>432</v>
      </c>
      <c r="B10" s="478" t="s">
        <v>485</v>
      </c>
      <c r="C10" s="501" t="s">
        <v>34</v>
      </c>
      <c r="D10" s="1256">
        <f>VLOOKUP($A10&amp;" Total ",'Cont Regulated Acct (Non-MF)'!$K$3:$O$104,MATCH(D$3,'Cont Regulated Acct (Non-MF)'!$K$3:$O$3,0),FALSE)</f>
        <v>171</v>
      </c>
      <c r="E10" s="1256">
        <f>VLOOKUP($A10&amp;" Total ",'Cont Regulated Acct (Non-MF)'!$K$3:$O$104,MATCH(E$3,'Cont Regulated Acct (Non-MF)'!$K$3:$O$3,0),FALSE)</f>
        <v>0</v>
      </c>
      <c r="F10" s="1256">
        <f>VLOOKUP($A10&amp;" Total ",'Cont Regulated Acct (Non-MF)'!$K$3:$O$104,MATCH(F$3,'Cont Regulated Acct (Non-MF)'!$K$3:$O$3,0),FALSE)</f>
        <v>0</v>
      </c>
      <c r="G10" s="1256">
        <f>VLOOKUP($A10&amp;" Total ",'Cont Regulated Acct (Non-MF)'!$K$3:$O$104,MATCH(G$3,'Cont Regulated Acct (Non-MF)'!$K$3:$O$3,0),FALSE)</f>
        <v>0</v>
      </c>
      <c r="I10" s="1256">
        <f>IFERROR(VLOOKUP($A10&amp;" Total ",'Cont Regulated Accounts (MF).'!$J$3:$M$61,MATCH(I$3,'Cont Regulated Accounts (MF).'!$J$3:$M$3,0),FALSE),0)</f>
        <v>86</v>
      </c>
      <c r="J10" s="1256">
        <f>IFERROR(VLOOKUP($A10&amp;" Total ",'Cont Regulated Accounts (MF).'!$J$3:$M$61,MATCH(J$3,'Cont Regulated Accounts (MF).'!$J$3:$M$3,0),FALSE),0)</f>
        <v>0</v>
      </c>
      <c r="K10" s="1256">
        <f>IFERROR(VLOOKUP($A10&amp;" Total ",'Cont Regulated Accounts (MF).'!$J$3:$M$61,MATCH(K$3,'Cont Regulated Accounts (MF).'!$J$3:$M$3,0),FALSE),0)</f>
        <v>0</v>
      </c>
      <c r="L10" s="1256">
        <f>IFERROR(VLOOKUP($A10&amp;" Total ",'Cont Regulated Accounts (MF).'!$J$3:$M$61,MATCH(L$3,'Cont Regulated Accounts (MF).'!$J$3:$M$3,0),FALSE),0)</f>
        <v>0</v>
      </c>
      <c r="N10" s="484">
        <f>VLOOKUP($A10&amp;" Total ",'Cont All Regulated Accounts'!$K$3:$P$107,MATCH(N$3,'Cont All Regulated Accounts'!$K$3:$P$3,0),FALSE)</f>
        <v>257</v>
      </c>
      <c r="O10" s="485">
        <f t="shared" si="0"/>
        <v>0</v>
      </c>
    </row>
    <row r="11" spans="1:19">
      <c r="A11" s="486" t="s">
        <v>431</v>
      </c>
      <c r="B11" s="501" t="s">
        <v>15</v>
      </c>
      <c r="C11" s="501" t="s">
        <v>34</v>
      </c>
      <c r="D11" s="1255">
        <f>VLOOKUP($A11&amp;" Total ",'Cont Regulated Acct (Non-MF)'!$K$3:$O$104,MATCH(D$3,'Cont Regulated Acct (Non-MF)'!$K$3:$O$3,0),FALSE)</f>
        <v>22</v>
      </c>
      <c r="E11" s="1255">
        <f>VLOOKUP($A11&amp;" Total ",'Cont Regulated Acct (Non-MF)'!$K$3:$O$104,MATCH(E$3,'Cont Regulated Acct (Non-MF)'!$K$3:$O$3,0),FALSE)</f>
        <v>0</v>
      </c>
      <c r="F11" s="1256">
        <f>VLOOKUP($A11&amp;" Total ",'Cont Regulated Acct (Non-MF)'!$K$3:$O$104,MATCH(F$3,'Cont Regulated Acct (Non-MF)'!$K$3:$O$3,0),FALSE)</f>
        <v>0</v>
      </c>
      <c r="G11" s="1255">
        <f>VLOOKUP($A11&amp;" Total ",'Cont Regulated Acct (Non-MF)'!$K$3:$O$104,MATCH(G$3,'Cont Regulated Acct (Non-MF)'!$K$3:$O$3,0),FALSE)</f>
        <v>107</v>
      </c>
      <c r="I11" s="1256">
        <f>IFERROR(VLOOKUP($A11&amp;" Total ",'Cont Regulated Accounts (MF).'!$J$3:$M$61,MATCH(I$3,'Cont Regulated Accounts (MF).'!$J$3:$M$3,0),FALSE),0)</f>
        <v>1</v>
      </c>
      <c r="J11" s="1256">
        <f>IFERROR(VLOOKUP($A11&amp;" Total ",'Cont Regulated Accounts (MF).'!$J$3:$M$61,MATCH(J$3,'Cont Regulated Accounts (MF).'!$J$3:$M$3,0),FALSE),0)</f>
        <v>0</v>
      </c>
      <c r="K11" s="1256">
        <f>IFERROR(VLOOKUP($A11&amp;" Total ",'Cont Regulated Accounts (MF).'!$J$3:$M$61,MATCH(K$3,'Cont Regulated Accounts (MF).'!$J$3:$M$3,0),FALSE),0)</f>
        <v>0</v>
      </c>
      <c r="L11" s="1256">
        <f>IFERROR(VLOOKUP($A11&amp;" Total ",'Cont Regulated Accounts (MF).'!$J$3:$M$61,MATCH(L$3,'Cont Regulated Accounts (MF).'!$J$3:$M$3,0),FALSE),0)</f>
        <v>57</v>
      </c>
      <c r="N11" s="484">
        <f>VLOOKUP($A11&amp;" Total ",'Cont All Regulated Accounts'!$K$3:$P$107,MATCH(N$3,'Cont All Regulated Accounts'!$K$3:$P$3,0),FALSE)</f>
        <v>187</v>
      </c>
      <c r="O11" s="485">
        <f t="shared" si="0"/>
        <v>0</v>
      </c>
    </row>
    <row r="12" spans="1:19">
      <c r="A12" s="486" t="s">
        <v>433</v>
      </c>
      <c r="B12" s="501" t="s">
        <v>15</v>
      </c>
      <c r="C12" s="501" t="s">
        <v>34</v>
      </c>
      <c r="D12" s="1255">
        <f>VLOOKUP($A12&amp;" Total ",'Cont Regulated Acct (Non-MF)'!$K$3:$O$104,MATCH(D$3,'Cont Regulated Acct (Non-MF)'!$K$3:$O$3,0),FALSE)</f>
        <v>0</v>
      </c>
      <c r="E12" s="1255">
        <f>VLOOKUP($A12&amp;" Total ",'Cont Regulated Acct (Non-MF)'!$K$3:$O$104,MATCH(E$3,'Cont Regulated Acct (Non-MF)'!$K$3:$O$3,0),FALSE)</f>
        <v>43</v>
      </c>
      <c r="F12" s="1256">
        <f>VLOOKUP($A12&amp;" Total ",'Cont Regulated Acct (Non-MF)'!$K$3:$O$104,MATCH(F$3,'Cont Regulated Acct (Non-MF)'!$K$3:$O$3,0),FALSE)</f>
        <v>0</v>
      </c>
      <c r="G12" s="1255">
        <f>VLOOKUP($A12&amp;" Total ",'Cont Regulated Acct (Non-MF)'!$K$3:$O$104,MATCH(G$3,'Cont Regulated Acct (Non-MF)'!$K$3:$O$3,0),FALSE)</f>
        <v>0</v>
      </c>
      <c r="I12" s="1256">
        <f>IFERROR(VLOOKUP($A12&amp;" Total ",'Cont Regulated Accounts (MF).'!$J$3:$M$61,MATCH(I$3,'Cont Regulated Accounts (MF).'!$J$3:$M$3,0),FALSE),0)</f>
        <v>0</v>
      </c>
      <c r="J12" s="1256">
        <f>IFERROR(VLOOKUP($A12&amp;" Total ",'Cont Regulated Accounts (MF).'!$J$3:$M$61,MATCH(J$3,'Cont Regulated Accounts (MF).'!$J$3:$M$3,0),FALSE),0)</f>
        <v>0</v>
      </c>
      <c r="K12" s="1256">
        <f>IFERROR(VLOOKUP($A12&amp;" Total ",'Cont Regulated Accounts (MF).'!$J$3:$M$61,MATCH(K$3,'Cont Regulated Accounts (MF).'!$J$3:$M$3,0),FALSE),0)</f>
        <v>0</v>
      </c>
      <c r="L12" s="1256">
        <f>IFERROR(VLOOKUP($A12&amp;" Total ",'Cont Regulated Accounts (MF).'!$J$3:$M$61,MATCH(L$3,'Cont Regulated Accounts (MF).'!$J$3:$M$3,0),FALSE),0)</f>
        <v>0</v>
      </c>
      <c r="N12" s="484">
        <f>VLOOKUP($A12&amp;" Total ",'Cont All Regulated Accounts'!$K$3:$P$107,MATCH(N$3,'Cont All Regulated Accounts'!$K$3:$P$3,0),FALSE)</f>
        <v>43</v>
      </c>
      <c r="O12" s="485">
        <f t="shared" si="0"/>
        <v>0</v>
      </c>
    </row>
    <row r="13" spans="1:19">
      <c r="A13" s="486" t="s">
        <v>430</v>
      </c>
      <c r="B13" s="501" t="s">
        <v>486</v>
      </c>
      <c r="C13" s="501" t="s">
        <v>34</v>
      </c>
      <c r="D13" s="1256">
        <f>VLOOKUP($A13&amp;" Total ",'Cont Regulated Acct (Non-MF)'!$K$3:$O$104,MATCH(D$3,'Cont Regulated Acct (Non-MF)'!$K$3:$O$3,0),FALSE)</f>
        <v>0</v>
      </c>
      <c r="E13" s="1256">
        <f>VLOOKUP($A13&amp;" Total ",'Cont Regulated Acct (Non-MF)'!$K$3:$O$104,MATCH(E$3,'Cont Regulated Acct (Non-MF)'!$K$3:$O$3,0),FALSE)</f>
        <v>14</v>
      </c>
      <c r="F13" s="1256">
        <f>VLOOKUP($A13&amp;" Total ",'Cont Regulated Acct (Non-MF)'!$K$3:$O$104,MATCH(F$3,'Cont Regulated Acct (Non-MF)'!$K$3:$O$3,0),FALSE)</f>
        <v>0</v>
      </c>
      <c r="G13" s="1256">
        <f>VLOOKUP($A13&amp;" Total ",'Cont Regulated Acct (Non-MF)'!$K$3:$O$104,MATCH(G$3,'Cont Regulated Acct (Non-MF)'!$K$3:$O$3,0),FALSE)</f>
        <v>0</v>
      </c>
      <c r="I13" s="1256">
        <f>IFERROR(VLOOKUP($A13&amp;" Total ",'Cont Regulated Accounts (MF).'!$J$3:$M$61,MATCH(I$3,'Cont Regulated Accounts (MF).'!$J$3:$M$3,0),FALSE),0)</f>
        <v>0</v>
      </c>
      <c r="J13" s="1256">
        <f>IFERROR(VLOOKUP($A13&amp;" Total ",'Cont Regulated Accounts (MF).'!$J$3:$M$61,MATCH(J$3,'Cont Regulated Accounts (MF).'!$J$3:$M$3,0),FALSE),0)</f>
        <v>5</v>
      </c>
      <c r="K13" s="1256">
        <f>IFERROR(VLOOKUP($A13&amp;" Total ",'Cont Regulated Accounts (MF).'!$J$3:$M$61,MATCH(K$3,'Cont Regulated Accounts (MF).'!$J$3:$M$3,0),FALSE),0)</f>
        <v>0</v>
      </c>
      <c r="L13" s="1256">
        <f>IFERROR(VLOOKUP($A13&amp;" Total ",'Cont Regulated Accounts (MF).'!$J$3:$M$61,MATCH(L$3,'Cont Regulated Accounts (MF).'!$J$3:$M$3,0),FALSE),0)</f>
        <v>0</v>
      </c>
      <c r="N13" s="484">
        <f>VLOOKUP($A13&amp;" Total ",'Cont All Regulated Accounts'!$K$3:$P$107,MATCH(N$3,'Cont All Regulated Accounts'!$K$3:$P$3,0),FALSE)</f>
        <v>19</v>
      </c>
      <c r="O13" s="485">
        <f t="shared" si="0"/>
        <v>0</v>
      </c>
    </row>
    <row r="14" spans="1:19">
      <c r="A14" s="486" t="s">
        <v>680</v>
      </c>
      <c r="B14" s="501" t="s">
        <v>15</v>
      </c>
      <c r="C14" s="501" t="s">
        <v>34</v>
      </c>
      <c r="D14" s="1255">
        <f>VLOOKUP($A14&amp;" Total ",'Cont Regulated Acct (Non-MF)'!$K$3:$O$104,MATCH(D$3,'Cont Regulated Acct (Non-MF)'!$K$3:$O$3,0),FALSE)</f>
        <v>0</v>
      </c>
      <c r="E14" s="1255">
        <f>VLOOKUP($A14&amp;" Total ",'Cont Regulated Acct (Non-MF)'!$K$3:$O$104,MATCH(E$3,'Cont Regulated Acct (Non-MF)'!$K$3:$O$3,0),FALSE)</f>
        <v>0</v>
      </c>
      <c r="F14" s="1256">
        <f>VLOOKUP($A14&amp;" Total ",'Cont Regulated Acct (Non-MF)'!$K$3:$O$104,MATCH(F$3,'Cont Regulated Acct (Non-MF)'!$K$3:$O$3,0),FALSE)</f>
        <v>0</v>
      </c>
      <c r="G14" s="1255">
        <f>VLOOKUP($A14&amp;" Total ",'Cont Regulated Acct (Non-MF)'!$K$3:$O$104,MATCH(G$3,'Cont Regulated Acct (Non-MF)'!$K$3:$O$3,0),FALSE)</f>
        <v>3</v>
      </c>
      <c r="I14" s="1256">
        <f>IFERROR(VLOOKUP($A14&amp;" Total ",'Cont Regulated Accounts (MF).'!$J$3:$M$61,MATCH(I$3,'Cont Regulated Accounts (MF).'!$J$3:$M$3,0),FALSE),0)</f>
        <v>0</v>
      </c>
      <c r="J14" s="1256">
        <f>IFERROR(VLOOKUP($A14&amp;" Total ",'Cont Regulated Accounts (MF).'!$J$3:$M$61,MATCH(J$3,'Cont Regulated Accounts (MF).'!$J$3:$M$3,0),FALSE),0)</f>
        <v>0</v>
      </c>
      <c r="K14" s="1256">
        <f>IFERROR(VLOOKUP($A14&amp;" Total ",'Cont Regulated Accounts (MF).'!$J$3:$M$61,MATCH(K$3,'Cont Regulated Accounts (MF).'!$J$3:$M$3,0),FALSE),0)</f>
        <v>0</v>
      </c>
      <c r="L14" s="1256">
        <f>IFERROR(VLOOKUP($A14&amp;" Total ",'Cont Regulated Accounts (MF).'!$J$3:$M$61,MATCH(L$3,'Cont Regulated Accounts (MF).'!$J$3:$M$3,0),FALSE),0)</f>
        <v>0</v>
      </c>
      <c r="N14" s="484">
        <f>VLOOKUP($A14&amp;" Total ",'Cont All Regulated Accounts'!$K$3:$P$107,MATCH(N$3,'Cont All Regulated Accounts'!$K$3:$P$3,0),FALSE)</f>
        <v>3</v>
      </c>
      <c r="O14" s="485">
        <f t="shared" si="0"/>
        <v>0</v>
      </c>
    </row>
    <row r="15" spans="1:19" ht="6" customHeight="1">
      <c r="A15" s="496"/>
      <c r="B15" s="501"/>
      <c r="C15" s="501"/>
      <c r="D15" s="609"/>
      <c r="E15" s="609"/>
      <c r="F15" s="609"/>
      <c r="G15" s="609"/>
      <c r="H15" s="609"/>
      <c r="I15" s="609"/>
      <c r="J15" s="609"/>
      <c r="K15" s="609"/>
      <c r="M15" s="473"/>
      <c r="N15" s="473"/>
      <c r="O15" s="473"/>
      <c r="R15" s="473"/>
      <c r="S15" s="610"/>
    </row>
    <row r="16" spans="1:19">
      <c r="D16" s="611" t="s">
        <v>576</v>
      </c>
      <c r="E16" s="611" t="s">
        <v>577</v>
      </c>
      <c r="F16" s="611" t="s">
        <v>578</v>
      </c>
      <c r="G16" s="473"/>
      <c r="H16" s="612"/>
      <c r="I16" s="473"/>
      <c r="J16" s="473"/>
      <c r="K16" s="473"/>
      <c r="M16" s="473"/>
      <c r="N16" s="1310">
        <f>SUM(N4:N15)</f>
        <v>30173</v>
      </c>
      <c r="O16" s="473"/>
      <c r="R16" s="473"/>
    </row>
    <row r="17" spans="1:22">
      <c r="D17" s="500" t="s">
        <v>487</v>
      </c>
      <c r="E17" s="502" t="s">
        <v>125</v>
      </c>
      <c r="F17" s="502" t="s">
        <v>575</v>
      </c>
      <c r="G17" s="478" t="s">
        <v>488</v>
      </c>
      <c r="H17" s="613" t="s">
        <v>494</v>
      </c>
      <c r="I17" s="501" t="s">
        <v>301</v>
      </c>
      <c r="J17" s="502" t="s">
        <v>3</v>
      </c>
      <c r="K17" s="502" t="s">
        <v>4</v>
      </c>
    </row>
    <row r="18" spans="1:22">
      <c r="A18" s="487" t="s">
        <v>11</v>
      </c>
      <c r="B18" s="478" t="s">
        <v>485</v>
      </c>
      <c r="D18" s="428">
        <f>SUMIF($B$4:$B$14,$B18,$N$4:$N$14)</f>
        <v>11271</v>
      </c>
      <c r="E18" s="428"/>
      <c r="F18" s="428">
        <f>D18-E18</f>
        <v>11271</v>
      </c>
      <c r="G18" s="471">
        <f>+F18/$F$23</f>
        <v>0.3767801029618239</v>
      </c>
      <c r="H18" s="612">
        <f>SUMIF($B$4:$B$9,$B18,$N$4:$N$9)</f>
        <v>11014</v>
      </c>
      <c r="I18" s="428">
        <f>SUMIF($B$10:$B$14,$B18,$N$10:$N$14)</f>
        <v>257</v>
      </c>
      <c r="J18" s="503">
        <f>H18/SUM(H$18:H$22)</f>
        <v>0.37234617985125085</v>
      </c>
      <c r="K18" s="503">
        <f>I18/($I$18+$I$22)</f>
        <v>0.81587301587301586</v>
      </c>
    </row>
    <row r="19" spans="1:22">
      <c r="A19" s="487" t="s">
        <v>11</v>
      </c>
      <c r="B19" s="478" t="s">
        <v>486</v>
      </c>
      <c r="D19" s="428">
        <f>SUMIF($B$4:$B$14,$B19,$N$4:$N$14)</f>
        <v>19</v>
      </c>
      <c r="E19" s="428"/>
      <c r="F19" s="428">
        <f>D19-E19</f>
        <v>19</v>
      </c>
      <c r="G19" s="471">
        <f>+F19/$F$23</f>
        <v>6.3515410844420671E-4</v>
      </c>
      <c r="H19" s="612">
        <f>SUMIF($B$4:$B$9,$B19,$N$4:$N$9)</f>
        <v>0</v>
      </c>
      <c r="I19" s="428">
        <f>SUMIF($B$10:$B$14,$B19,$N$10:$N$14)</f>
        <v>19</v>
      </c>
      <c r="J19" s="503">
        <f>H19/SUM(H$18:H$22)</f>
        <v>0</v>
      </c>
      <c r="K19" s="503">
        <v>1</v>
      </c>
    </row>
    <row r="20" spans="1:22">
      <c r="A20" s="487" t="s">
        <v>11</v>
      </c>
      <c r="B20" s="478" t="s">
        <v>15</v>
      </c>
      <c r="D20" s="428">
        <f>SUMIF($B$4:$B$14,$B20,$N$4:$N$14)-D22</f>
        <v>11013</v>
      </c>
      <c r="E20" s="1254">
        <f>SUMIF($B$4:$B$14,$B20,$G$4:$G$14)+SUMIF($B$4:$B$14,$B20,$E$4:$E$14)+SUMIF($B$4:$B$14,$B20,$D$4:$D$14)</f>
        <v>242</v>
      </c>
      <c r="F20" s="428">
        <f>D20-E20</f>
        <v>10771</v>
      </c>
      <c r="G20" s="471">
        <f>+F20/$F$23</f>
        <v>0.36006552116066054</v>
      </c>
      <c r="H20" s="612">
        <f>SUMIF($B$4:$B$9,$B20,$N$4:$N$9)-H22-SUM(D7:E9,G7:G9)</f>
        <v>10754</v>
      </c>
      <c r="I20" s="428">
        <f>SUMIF($B$10:$B$14,$B20,$N$10:$N$14)-I22-SUM(D11:E12,G11:G12,D14:E14,G14)</f>
        <v>0</v>
      </c>
      <c r="J20" s="503">
        <f>H20/SUM(H$18:H$22)</f>
        <v>0.36355645706558487</v>
      </c>
      <c r="K20" s="503">
        <f>I20/SUM(I$18:I$22)</f>
        <v>0</v>
      </c>
    </row>
    <row r="21" spans="1:22">
      <c r="A21" s="487" t="s">
        <v>11</v>
      </c>
      <c r="B21" s="478" t="s">
        <v>16</v>
      </c>
      <c r="D21" s="428">
        <f>SUMIF($B$4:$B$14,$B21,$N$4:$N$14)</f>
        <v>7392</v>
      </c>
      <c r="E21" s="1254">
        <f>SUMIF($B$4:$B$14,$B21,$G$4:$G$14)+SUMIF($B$4:$B$14,$B21,$E$4:$E$14)+SUMIF($B$4:$B$14,$B21,$D$4:$D$14)</f>
        <v>17</v>
      </c>
      <c r="F21" s="428">
        <f>D21-E21</f>
        <v>7375</v>
      </c>
      <c r="G21" s="471">
        <f>+F21/$F$23</f>
        <v>0.2465400815671592</v>
      </c>
      <c r="H21" s="612">
        <f>SUMIF($B$4:$B$9,$B21,$N$4:$N$9)</f>
        <v>7392</v>
      </c>
      <c r="I21" s="428">
        <f>SUMIF($B$10:$B$14,$B21,$N$10:$N$14)</f>
        <v>0</v>
      </c>
      <c r="J21" s="503">
        <f>H21/SUM(H$18:H$22)</f>
        <v>0.24989858012170385</v>
      </c>
      <c r="K21" s="503">
        <f>I21/SUM(I$18:I$22)</f>
        <v>0</v>
      </c>
    </row>
    <row r="22" spans="1:22">
      <c r="A22" s="487" t="s">
        <v>11</v>
      </c>
      <c r="B22" s="478" t="s">
        <v>148</v>
      </c>
      <c r="D22" s="428">
        <f>SUMIF($B$4:$B$14,$B20,$J$4:$J$14)+SUMIF($B$4:$B$14,$B20,$K$4:$K$14)+SUMIF($B$4:$B$14,$B20,$L$4:$L$14)+SUMIF($B$4:$B$14,$B20,$I$4:$I$14)</f>
        <v>478</v>
      </c>
      <c r="E22" s="428">
        <f>SUMIF($B$4:$B$14,$B22,$G$4:$G$14)+SUMIF($B$4:$B$14,$B22,$E$4:$E$14)+SUMIF($B$4:$B$14,$B22,$D$4:$D$14)</f>
        <v>0</v>
      </c>
      <c r="F22" s="428">
        <f>D22-E22</f>
        <v>478</v>
      </c>
      <c r="G22" s="471">
        <f>+F22/$F$23</f>
        <v>1.597914020191215E-2</v>
      </c>
      <c r="H22" s="612">
        <f>SUMIF($B$4:$B$9,$B20,$J$4:$J$9)+SUMIF($B$4:$B$9,$B20,$K$4:$K$9)+SUMIF($B$4:$B$9,$B20,$L$4:$L$9)+SUMIF($B$4:$B$9,$B20,$I$4:$I$9)</f>
        <v>420</v>
      </c>
      <c r="I22" s="428">
        <f>SUMIF($B$10:$B$14,$B20,$J$10:$J$14)+SUMIF($B$10:$B$14,$B20,$K$10:$K$14)+SUMIF($B$10:$B$14,$B20,$L$10:$L$14)+SUMIF($B$10:$B$14,$B20,$I$10:$I$14)</f>
        <v>58</v>
      </c>
      <c r="J22" s="503">
        <f>H22/SUM(H$18:H$22)</f>
        <v>1.4198782961460446E-2</v>
      </c>
      <c r="K22" s="503">
        <f>I22/($I$18+$I$22)</f>
        <v>0.18412698412698414</v>
      </c>
    </row>
    <row r="23" spans="1:22">
      <c r="A23" s="488" t="s">
        <v>11</v>
      </c>
      <c r="B23" s="489" t="s">
        <v>27</v>
      </c>
      <c r="C23" s="489"/>
      <c r="D23" s="490">
        <f>SUM(D18:D22)</f>
        <v>30173</v>
      </c>
      <c r="E23" s="490">
        <f>SUM(E18:E22)</f>
        <v>259</v>
      </c>
      <c r="F23" s="490">
        <f>SUM(F18:F22)</f>
        <v>29914</v>
      </c>
      <c r="H23" s="672"/>
      <c r="R23" s="2247" t="s">
        <v>1652</v>
      </c>
      <c r="S23" s="2247"/>
      <c r="T23" s="2247"/>
      <c r="U23" s="2247"/>
      <c r="V23" s="2247"/>
    </row>
    <row r="24" spans="1:22" ht="4.5" customHeight="1">
      <c r="B24" s="491"/>
      <c r="C24" s="491"/>
      <c r="D24" s="492"/>
    </row>
    <row r="25" spans="1:22" ht="4.5" customHeight="1"/>
    <row r="26" spans="1:22">
      <c r="D26" s="479" t="s">
        <v>125</v>
      </c>
      <c r="E26" s="479" t="s">
        <v>103</v>
      </c>
      <c r="G26" s="493" t="s">
        <v>484</v>
      </c>
      <c r="H26" s="494" t="s">
        <v>360</v>
      </c>
      <c r="J26" s="715"/>
      <c r="K26" s="716" t="s">
        <v>655</v>
      </c>
      <c r="L26" s="717">
        <f>I19/(I19+I18)</f>
        <v>6.8840579710144928E-2</v>
      </c>
      <c r="R26" s="487" t="s">
        <v>1667</v>
      </c>
      <c r="T26" s="500" t="s">
        <v>25</v>
      </c>
      <c r="V26" s="478" t="s">
        <v>1685</v>
      </c>
    </row>
    <row r="27" spans="1:22">
      <c r="D27" s="479"/>
      <c r="E27" s="1179" t="s">
        <v>489</v>
      </c>
      <c r="G27" s="479"/>
      <c r="H27" s="480"/>
      <c r="I27" s="1180"/>
      <c r="K27" s="502"/>
      <c r="L27" s="500"/>
      <c r="R27" s="487" t="s">
        <v>1668</v>
      </c>
      <c r="T27" s="500" t="s">
        <v>34</v>
      </c>
      <c r="V27" s="478" t="s">
        <v>1683</v>
      </c>
    </row>
    <row r="28" spans="1:22">
      <c r="A28" s="483" t="s">
        <v>426</v>
      </c>
      <c r="B28" s="478" t="s">
        <v>15</v>
      </c>
      <c r="C28" s="501" t="s">
        <v>493</v>
      </c>
      <c r="D28" s="484">
        <f>GETPIVOTDATA("# of Containers",'Cont Unregulated Acct (non-MF).'!$A$3,"Container'Type","BB")</f>
        <v>8</v>
      </c>
      <c r="E28" s="484">
        <f>GETPIVOTDATA("# of Containers",'Cont Unregulated Accounts (MF).'!$A$3,"Container'Type","BB")</f>
        <v>101</v>
      </c>
      <c r="G28" s="484">
        <f>GETPIVOTDATA("# of Containers",'Cont All Unregulated Accounts'!$A$3,"Container'Type","BB")</f>
        <v>109</v>
      </c>
      <c r="H28" s="495">
        <f t="shared" ref="H28:H38" si="1">+D28+E28+N4-G28</f>
        <v>6</v>
      </c>
      <c r="I28" s="1180"/>
      <c r="J28" s="505"/>
      <c r="K28" s="499"/>
      <c r="R28" s="487" t="s">
        <v>1669</v>
      </c>
      <c r="T28" s="500" t="s">
        <v>321</v>
      </c>
      <c r="V28" s="478" t="s">
        <v>1684</v>
      </c>
    </row>
    <row r="29" spans="1:22">
      <c r="A29" s="486" t="s">
        <v>428</v>
      </c>
      <c r="B29" s="478" t="s">
        <v>485</v>
      </c>
      <c r="C29" s="501" t="s">
        <v>493</v>
      </c>
      <c r="D29" s="484">
        <f>GETPIVOTDATA("# of Containers",'Cont Unregulated Acct (non-MF).'!$A$3,"Container'Type","CA")</f>
        <v>32884</v>
      </c>
      <c r="E29" s="484">
        <f>GETPIVOTDATA("# of Containers",'Cont Unregulated Accounts (MF).'!$A$3,"Container'Type","CA")</f>
        <v>566</v>
      </c>
      <c r="G29" s="484">
        <f>GETPIVOTDATA("# of Containers",'Cont All Unregulated Accounts'!$A$3,"Container'Type","CA")</f>
        <v>33450</v>
      </c>
      <c r="H29" s="495">
        <f t="shared" si="1"/>
        <v>4784</v>
      </c>
      <c r="I29" s="1180"/>
      <c r="K29" s="506" t="s">
        <v>496</v>
      </c>
      <c r="L29" s="471">
        <f>(I18+I20+I22)/(H41+H43+H45+I18+I22+I20)</f>
        <v>9.3471810089020765E-2</v>
      </c>
      <c r="R29" s="1374" t="s">
        <v>1653</v>
      </c>
      <c r="S29" s="1374"/>
      <c r="T29" s="1374" t="s">
        <v>1670</v>
      </c>
      <c r="U29" s="1374"/>
      <c r="V29" s="1374" t="s">
        <v>1689</v>
      </c>
    </row>
    <row r="30" spans="1:22">
      <c r="A30" s="486" t="s">
        <v>429</v>
      </c>
      <c r="B30" s="478" t="s">
        <v>485</v>
      </c>
      <c r="C30" s="501" t="s">
        <v>493</v>
      </c>
      <c r="D30" s="484">
        <f>GETPIVOTDATA("# of Containers",'Cont Unregulated Acct (non-MF).'!$A$3,"Container'Type","CN")</f>
        <v>20741</v>
      </c>
      <c r="E30" s="484">
        <f>GETPIVOTDATA("# of Containers",'Cont Unregulated Accounts (MF).'!$A$3,"Container'Type","CN")</f>
        <v>435</v>
      </c>
      <c r="F30" s="1178"/>
      <c r="G30" s="484">
        <f>GETPIVOTDATA("# of Containers",'Cont All Unregulated Accounts'!$A$3,"Container'Type","CN")</f>
        <v>21176</v>
      </c>
      <c r="H30" s="495">
        <f t="shared" si="1"/>
        <v>6230</v>
      </c>
      <c r="I30" s="1180"/>
      <c r="K30" s="506" t="s">
        <v>497</v>
      </c>
      <c r="L30" s="471">
        <f>I19/(I19+H42)</f>
        <v>8.9201877934272297E-2</v>
      </c>
      <c r="R30" s="1374" t="s">
        <v>1654</v>
      </c>
      <c r="S30" s="1374"/>
      <c r="T30" s="1374" t="s">
        <v>1671</v>
      </c>
      <c r="U30" s="1374"/>
      <c r="V30" s="1374" t="s">
        <v>1689</v>
      </c>
    </row>
    <row r="31" spans="1:22">
      <c r="A31" s="486" t="s">
        <v>434</v>
      </c>
      <c r="B31" s="501" t="s">
        <v>15</v>
      </c>
      <c r="C31" s="501" t="s">
        <v>493</v>
      </c>
      <c r="D31" s="484">
        <f>GETPIVOTDATA("# of Containers",'Cont Unregulated Acct (non-MF).'!$A$3,"Container'Type","RC")</f>
        <v>54426</v>
      </c>
      <c r="E31" s="484">
        <f>GETPIVOTDATA("# of Containers",'Cont Unregulated Accounts (MF).'!$A$3,"Container'Type","RC")</f>
        <v>3121</v>
      </c>
      <c r="G31" s="484">
        <f>GETPIVOTDATA("# of Containers",'Cont All Unregulated Accounts'!$A$3,"Container'Type","RC")</f>
        <v>57547</v>
      </c>
      <c r="H31" s="495">
        <f t="shared" si="1"/>
        <v>11252</v>
      </c>
      <c r="I31" s="1180"/>
      <c r="K31" s="506" t="s">
        <v>495</v>
      </c>
      <c r="L31" s="471">
        <f>SUM(H18:H22)/(SUM(H18:H22)+SUM(G41:G45))</f>
        <v>0.15638464913903855</v>
      </c>
      <c r="R31" s="1374" t="s">
        <v>1655</v>
      </c>
      <c r="S31" s="1374"/>
      <c r="T31" s="1374" t="s">
        <v>1672</v>
      </c>
      <c r="U31" s="1374"/>
      <c r="V31" s="1374" t="s">
        <v>1689</v>
      </c>
    </row>
    <row r="32" spans="1:22">
      <c r="A32" s="486" t="s">
        <v>427</v>
      </c>
      <c r="B32" s="501" t="s">
        <v>16</v>
      </c>
      <c r="C32" s="501" t="s">
        <v>493</v>
      </c>
      <c r="D32" s="484">
        <f>GETPIVOTDATA("# of Containers",'Cont Unregulated Acct (non-MF).'!$A$3,"Container'Type","YC")</f>
        <v>51200</v>
      </c>
      <c r="E32" s="484">
        <f>GETPIVOTDATA("# of Containers",'Cont Unregulated Accounts (MF).'!$A$3,"Container'Type","YC")</f>
        <v>1</v>
      </c>
      <c r="G32" s="484">
        <f>GETPIVOTDATA("# of Containers",'Cont All Unregulated Accounts'!$A$3,"Container'Type","YC")</f>
        <v>51201</v>
      </c>
      <c r="H32" s="495">
        <f t="shared" si="1"/>
        <v>7358</v>
      </c>
      <c r="I32" s="1180"/>
      <c r="K32" s="506" t="s">
        <v>1048</v>
      </c>
      <c r="L32" s="471">
        <f>(H19+H20+H21)/(G42+G43+G44+H19+H20+H21)</f>
        <v>0.15013072111725187</v>
      </c>
      <c r="R32" s="1374" t="s">
        <v>1656</v>
      </c>
      <c r="S32" s="1374"/>
      <c r="T32" s="1374" t="s">
        <v>1693</v>
      </c>
      <c r="U32" s="1374"/>
      <c r="V32" s="1374" t="s">
        <v>1687</v>
      </c>
    </row>
    <row r="33" spans="1:22">
      <c r="A33" s="486" t="s">
        <v>436</v>
      </c>
      <c r="B33" s="501" t="s">
        <v>16</v>
      </c>
      <c r="C33" s="501" t="s">
        <v>493</v>
      </c>
      <c r="D33" s="484">
        <f>GETPIVOTDATA("# of Containers",'Cont Unregulated Acct (non-MF).'!$A$3,"Container'Type","YW")</f>
        <v>226</v>
      </c>
      <c r="E33" s="484">
        <f>GETPIVOTDATA("# of Containers",'Cont Unregulated Accounts (MF).'!$A$3,"Container'Type","YW")</f>
        <v>159</v>
      </c>
      <c r="G33" s="484">
        <f>GETPIVOTDATA("# of Containers",'Cont All Unregulated Accounts'!$A$3,"Container'Type","YW")</f>
        <v>385</v>
      </c>
      <c r="H33" s="495">
        <f t="shared" si="1"/>
        <v>34</v>
      </c>
      <c r="I33" s="1180"/>
      <c r="J33" s="505"/>
      <c r="K33" s="506" t="s">
        <v>841</v>
      </c>
      <c r="L33" s="1029">
        <f>AVERAGE(L29:L32)</f>
        <v>0.12229726456989587</v>
      </c>
      <c r="R33" s="1374" t="s">
        <v>1657</v>
      </c>
      <c r="S33" s="1374"/>
      <c r="T33" s="1374" t="s">
        <v>1673</v>
      </c>
      <c r="U33" s="1374"/>
      <c r="V33" s="1374" t="s">
        <v>1687</v>
      </c>
    </row>
    <row r="34" spans="1:22">
      <c r="A34" s="486" t="s">
        <v>432</v>
      </c>
      <c r="B34" s="478" t="s">
        <v>485</v>
      </c>
      <c r="C34" s="501" t="s">
        <v>34</v>
      </c>
      <c r="D34" s="484">
        <f>GETPIVOTDATA("# of Containers",'Cont Unregulated Acct (non-MF).'!$A$3,"Container'Type","FL")</f>
        <v>1563</v>
      </c>
      <c r="E34" s="484">
        <f>GETPIVOTDATA("# of Containers",'Cont Unregulated Accounts (MF).'!$A$3,"Container'Type","FL")</f>
        <v>800</v>
      </c>
      <c r="G34" s="484">
        <f>GETPIVOTDATA("# of Containers",'Cont All Unregulated Accounts'!$A$3,"Container'Type","FL")</f>
        <v>2363</v>
      </c>
      <c r="H34" s="495">
        <f t="shared" si="1"/>
        <v>257</v>
      </c>
      <c r="I34" s="1180"/>
      <c r="J34" s="503"/>
      <c r="K34" s="504"/>
      <c r="R34" s="1374" t="s">
        <v>1658</v>
      </c>
      <c r="S34" s="1374"/>
      <c r="T34" s="1374" t="s">
        <v>1674</v>
      </c>
      <c r="U34" s="1374"/>
      <c r="V34" s="1374" t="s">
        <v>1690</v>
      </c>
    </row>
    <row r="35" spans="1:22">
      <c r="A35" s="486" t="s">
        <v>431</v>
      </c>
      <c r="B35" s="501" t="s">
        <v>15</v>
      </c>
      <c r="C35" s="501" t="s">
        <v>34</v>
      </c>
      <c r="D35" s="484">
        <f>GETPIVOTDATA("# of Containers",'Cont Unregulated Acct (non-MF).'!$A$3,"Container'Type","FR")</f>
        <v>1243</v>
      </c>
      <c r="E35" s="484">
        <f>GETPIVOTDATA("# of Containers",'Cont Unregulated Accounts (MF).'!$A$3,"Container'Type","FR")</f>
        <v>394</v>
      </c>
      <c r="G35" s="484">
        <f>GETPIVOTDATA("# of Containers",'Cont All Unregulated Accounts'!$A$3,"Container'Type","FR")</f>
        <v>1637</v>
      </c>
      <c r="H35" s="495">
        <f t="shared" si="1"/>
        <v>187</v>
      </c>
      <c r="I35" s="1180"/>
      <c r="J35" s="503"/>
      <c r="K35" s="504"/>
      <c r="R35" s="1374" t="s">
        <v>1659</v>
      </c>
      <c r="S35" s="1374"/>
      <c r="T35" s="1374" t="s">
        <v>1675</v>
      </c>
      <c r="U35" s="1374"/>
      <c r="V35" s="1374" t="s">
        <v>1688</v>
      </c>
    </row>
    <row r="36" spans="1:22">
      <c r="A36" s="486" t="s">
        <v>433</v>
      </c>
      <c r="B36" s="501" t="s">
        <v>15</v>
      </c>
      <c r="C36" s="501" t="s">
        <v>34</v>
      </c>
      <c r="D36" s="484">
        <f>GETPIVOTDATA("# of Containers",'Cont Unregulated Acct (non-MF).'!$A$3,"Container'Type","IR")</f>
        <v>184</v>
      </c>
      <c r="E36" s="484">
        <f>GETPIVOTDATA("# of Containers",'Cont Unregulated Accounts (MF).'!$A$3,"Container'Type","IR")</f>
        <v>3</v>
      </c>
      <c r="G36" s="484">
        <f>GETPIVOTDATA("# of Containers",'Cont All Unregulated Accounts'!$A$3,"Container'Type","IR")</f>
        <v>187</v>
      </c>
      <c r="H36" s="495">
        <f t="shared" si="1"/>
        <v>43</v>
      </c>
      <c r="I36" s="1180"/>
      <c r="J36" s="503"/>
      <c r="K36" s="504"/>
      <c r="R36" s="1374" t="s">
        <v>1660</v>
      </c>
      <c r="S36" s="1374"/>
      <c r="T36" s="1374" t="s">
        <v>1676</v>
      </c>
      <c r="U36" s="1374"/>
      <c r="V36" s="1374" t="s">
        <v>1689</v>
      </c>
    </row>
    <row r="37" spans="1:22">
      <c r="A37" s="486" t="s">
        <v>430</v>
      </c>
      <c r="B37" s="501" t="s">
        <v>486</v>
      </c>
      <c r="C37" s="501" t="s">
        <v>34</v>
      </c>
      <c r="D37" s="484">
        <f>GETPIVOTDATA("# of Containers",'Cont Unregulated Acct (non-MF).'!$A$3,"Container'Type","RO")</f>
        <v>194</v>
      </c>
      <c r="E37" s="484">
        <f>GETPIVOTDATA("# of Containers",'Cont Unregulated Accounts (MF).'!$A$3,"Container'Type","RO")</f>
        <v>25</v>
      </c>
      <c r="G37" s="484">
        <f>GETPIVOTDATA("# of Containers",'Cont All Unregulated Accounts'!$A$3,"Container'Type","RO")</f>
        <v>219</v>
      </c>
      <c r="H37" s="495">
        <f t="shared" si="1"/>
        <v>19</v>
      </c>
      <c r="I37" s="1180"/>
      <c r="J37" s="503"/>
      <c r="K37" s="504"/>
      <c r="R37" s="1374" t="s">
        <v>1661</v>
      </c>
      <c r="S37" s="1374"/>
      <c r="T37" s="1374" t="s">
        <v>1677</v>
      </c>
      <c r="U37" s="1374"/>
      <c r="V37" s="1374" t="s">
        <v>1689</v>
      </c>
    </row>
    <row r="38" spans="1:22">
      <c r="A38" s="486" t="s">
        <v>680</v>
      </c>
      <c r="B38" s="478" t="s">
        <v>485</v>
      </c>
      <c r="C38" s="501" t="s">
        <v>34</v>
      </c>
      <c r="D38" s="484">
        <f>GETPIVOTDATA("# of Containers",'Cont Unregulated Acct (non-MF).'!$A$3,"Container'Type","RR")</f>
        <v>8</v>
      </c>
      <c r="E38" s="484">
        <v>0</v>
      </c>
      <c r="G38" s="484">
        <f>GETPIVOTDATA("# of Containers",'Cont All Unregulated Accounts'!$A$3,"Container'Type","RR")</f>
        <v>8</v>
      </c>
      <c r="H38" s="495">
        <f t="shared" si="1"/>
        <v>3</v>
      </c>
      <c r="I38" s="1309">
        <f>SUM(H28:H38)</f>
        <v>30173</v>
      </c>
      <c r="J38" s="503"/>
      <c r="K38" s="504"/>
      <c r="R38" s="1374" t="s">
        <v>1662</v>
      </c>
      <c r="S38" s="1374"/>
      <c r="T38" s="1374" t="s">
        <v>1678</v>
      </c>
      <c r="U38" s="1374"/>
      <c r="V38" s="1374" t="s">
        <v>1692</v>
      </c>
    </row>
    <row r="39" spans="1:22">
      <c r="A39" s="496"/>
      <c r="D39" s="473"/>
      <c r="F39" s="473"/>
      <c r="G39" s="497"/>
      <c r="J39" s="503"/>
      <c r="K39" s="504"/>
      <c r="R39" s="1374" t="s">
        <v>1663</v>
      </c>
      <c r="S39" s="1374"/>
      <c r="T39" s="1374" t="s">
        <v>1679</v>
      </c>
      <c r="U39" s="1374"/>
      <c r="V39" s="1374" t="s">
        <v>1695</v>
      </c>
    </row>
    <row r="40" spans="1:22">
      <c r="D40" s="478" t="s">
        <v>487</v>
      </c>
      <c r="E40" s="478" t="s">
        <v>488</v>
      </c>
      <c r="G40" s="501" t="s">
        <v>494</v>
      </c>
      <c r="H40" s="501" t="s">
        <v>301</v>
      </c>
      <c r="J40" s="503"/>
      <c r="K40" s="504"/>
      <c r="R40" s="1374" t="s">
        <v>1664</v>
      </c>
      <c r="S40" s="1374"/>
      <c r="T40" s="1374" t="s">
        <v>1680</v>
      </c>
      <c r="U40" s="1374"/>
      <c r="V40" s="1374" t="s">
        <v>1691</v>
      </c>
    </row>
    <row r="41" spans="1:22">
      <c r="A41" s="487" t="s">
        <v>490</v>
      </c>
      <c r="B41" s="478" t="s">
        <v>485</v>
      </c>
      <c r="D41" s="428">
        <f>SUMIF($B$28:$B$38,$B41,$G$28:$G$38)-D18</f>
        <v>45726</v>
      </c>
      <c r="E41" s="471">
        <f>+D41/$D$46</f>
        <v>0.33108631588093462</v>
      </c>
      <c r="G41" s="428">
        <f>SUMIF($B$28:$B$33,$B41,$D$28:$D$33)</f>
        <v>53625</v>
      </c>
      <c r="H41" s="428">
        <f>SUMIF($B$34:$B$38,$B41,$D$34:$D$38)</f>
        <v>1571</v>
      </c>
      <c r="J41" s="503"/>
      <c r="K41" s="504"/>
      <c r="R41" s="1374" t="s">
        <v>1665</v>
      </c>
      <c r="S41" s="1374"/>
      <c r="T41" s="1374" t="s">
        <v>1681</v>
      </c>
      <c r="U41" s="1374"/>
      <c r="V41" s="1374" t="s">
        <v>1694</v>
      </c>
    </row>
    <row r="42" spans="1:22">
      <c r="A42" s="487" t="s">
        <v>490</v>
      </c>
      <c r="B42" s="478" t="s">
        <v>486</v>
      </c>
      <c r="D42" s="428">
        <f>SUMIF($B$28:$B$38,$B42,$G$28:$G$38)-D19</f>
        <v>200</v>
      </c>
      <c r="E42" s="471">
        <f>+D42/$D$46</f>
        <v>1.4481315482698447E-3</v>
      </c>
      <c r="G42" s="428">
        <f>SUMIF($B$28:$B$33,$B42,$D$28:$D$33)</f>
        <v>0</v>
      </c>
      <c r="H42" s="428">
        <f>SUMIF($B$34:$B$38,$B42,$D$34:$D$38)</f>
        <v>194</v>
      </c>
      <c r="J42" s="503"/>
      <c r="K42" s="504"/>
      <c r="R42" s="1374" t="s">
        <v>1666</v>
      </c>
      <c r="S42" s="1374"/>
      <c r="T42" s="1374" t="s">
        <v>1682</v>
      </c>
      <c r="U42" s="1374"/>
      <c r="V42" s="1374" t="s">
        <v>1682</v>
      </c>
    </row>
    <row r="43" spans="1:22">
      <c r="A43" s="487" t="s">
        <v>490</v>
      </c>
      <c r="B43" s="478" t="s">
        <v>15</v>
      </c>
      <c r="D43" s="428">
        <f>SUMIF($B$28:$B$38,$B43,$G$28:$G$38)-D20-D22-D45</f>
        <v>44370</v>
      </c>
      <c r="E43" s="471">
        <f>+D43/$D$46</f>
        <v>0.32126798398366507</v>
      </c>
      <c r="G43" s="428">
        <f>SUMIF($B$28:$B$33,$B43,$D$28:$D$33)-G45+SUM(D7:E9,G7:G9)</f>
        <v>51296</v>
      </c>
      <c r="H43" s="428">
        <f>SUMIF($B$34:$B$38,$B43,$D$34:$D$38)-H45+SUM(D12:E13,G12:G13)</f>
        <v>1087</v>
      </c>
      <c r="J43" s="503"/>
      <c r="K43" s="504"/>
    </row>
    <row r="44" spans="1:22">
      <c r="A44" s="487" t="s">
        <v>490</v>
      </c>
      <c r="B44" s="478" t="s">
        <v>16</v>
      </c>
      <c r="D44" s="428">
        <f>SUMIF($B$28:$B$38,$B44,$G$28:$G$38)-D21</f>
        <v>44194</v>
      </c>
      <c r="E44" s="471">
        <f>+D44/$D$46</f>
        <v>0.3199936282211876</v>
      </c>
      <c r="G44" s="428">
        <f>SUMIF($B$28:$B$33,$B44,$D$28:$D$33)</f>
        <v>51426</v>
      </c>
      <c r="H44" s="428">
        <f>SUMIF($B$34:$B$38,$B44,$D$34:$D$38)</f>
        <v>0</v>
      </c>
      <c r="J44" s="503"/>
      <c r="K44" s="504"/>
    </row>
    <row r="45" spans="1:22">
      <c r="A45" s="487" t="s">
        <v>490</v>
      </c>
      <c r="B45" s="478" t="s">
        <v>148</v>
      </c>
      <c r="D45" s="428">
        <f>SUMIF($B$28:$B$38,$B43,$E$28:$E$38)</f>
        <v>3619</v>
      </c>
      <c r="E45" s="471">
        <f>+D45/$D$46</f>
        <v>2.6203940365942844E-2</v>
      </c>
      <c r="G45" s="428">
        <f>SUMIF($B$28:$B$33,$B43,$E$28:$E$33)</f>
        <v>3222</v>
      </c>
      <c r="H45" s="428">
        <f>SUMIF($B$34:$B$38,$B43,$E$34:$E$38)</f>
        <v>397</v>
      </c>
      <c r="J45" s="503"/>
      <c r="K45" s="504"/>
    </row>
    <row r="46" spans="1:22">
      <c r="A46" s="488" t="s">
        <v>490</v>
      </c>
      <c r="B46" s="489" t="s">
        <v>27</v>
      </c>
      <c r="C46" s="489"/>
      <c r="D46" s="490">
        <f>SUM(D41:D45)</f>
        <v>138109</v>
      </c>
      <c r="J46" s="503"/>
      <c r="K46" s="504"/>
    </row>
    <row r="47" spans="1:22">
      <c r="J47" s="503"/>
      <c r="K47" s="504"/>
    </row>
    <row r="48" spans="1:22">
      <c r="A48" s="487" t="s">
        <v>491</v>
      </c>
      <c r="B48" s="478" t="s">
        <v>485</v>
      </c>
      <c r="D48" s="471">
        <f>D18/($D$57)</f>
        <v>6.7080102128875219E-2</v>
      </c>
    </row>
    <row r="49" spans="1:7">
      <c r="A49" s="487" t="s">
        <v>491</v>
      </c>
      <c r="B49" s="478" t="s">
        <v>486</v>
      </c>
      <c r="D49" s="471">
        <f>D19/($D$57)</f>
        <v>1.1307975693803824E-4</v>
      </c>
    </row>
    <row r="50" spans="1:7">
      <c r="A50" s="487" t="s">
        <v>491</v>
      </c>
      <c r="B50" s="478" t="s">
        <v>15</v>
      </c>
      <c r="D50" s="471">
        <f>D20/($D$57)</f>
        <v>6.5544598060979745E-2</v>
      </c>
    </row>
    <row r="51" spans="1:7">
      <c r="A51" s="487" t="s">
        <v>491</v>
      </c>
      <c r="B51" s="478" t="s">
        <v>16</v>
      </c>
      <c r="D51" s="471">
        <f>D21/($D$57)</f>
        <v>4.3993977015051512E-2</v>
      </c>
    </row>
    <row r="52" spans="1:7">
      <c r="A52" s="487" t="s">
        <v>491</v>
      </c>
      <c r="B52" s="478" t="s">
        <v>148</v>
      </c>
      <c r="D52" s="471">
        <f>D22/($D$57)</f>
        <v>2.8448486219148569E-3</v>
      </c>
    </row>
    <row r="53" spans="1:7">
      <c r="A53" s="488" t="s">
        <v>492</v>
      </c>
      <c r="B53" s="489" t="s">
        <v>27</v>
      </c>
      <c r="C53" s="489"/>
      <c r="D53" s="498">
        <f>D23/(D23+D46)</f>
        <v>0.17930022224599185</v>
      </c>
    </row>
    <row r="55" spans="1:7">
      <c r="B55" s="478" t="s">
        <v>831</v>
      </c>
      <c r="D55" s="499">
        <f>F23</f>
        <v>29914</v>
      </c>
      <c r="E55" s="684">
        <f>+D55/$D$57</f>
        <v>0.17803514994970926</v>
      </c>
    </row>
    <row r="56" spans="1:7">
      <c r="B56" s="478" t="s">
        <v>832</v>
      </c>
      <c r="D56" s="499">
        <f>D46</f>
        <v>138109</v>
      </c>
      <c r="E56" s="471">
        <f>+D56/$D$57</f>
        <v>0.82196485005029074</v>
      </c>
    </row>
    <row r="57" spans="1:7">
      <c r="B57" s="489" t="s">
        <v>27</v>
      </c>
      <c r="C57" s="489"/>
      <c r="D57" s="490">
        <f>SUM(D55:D56)</f>
        <v>168023</v>
      </c>
    </row>
    <row r="61" spans="1:7">
      <c r="A61" s="789"/>
      <c r="B61" s="789"/>
      <c r="C61" s="789"/>
      <c r="D61" s="789"/>
      <c r="E61" s="789"/>
      <c r="F61" s="789"/>
      <c r="G61" s="789"/>
    </row>
    <row r="62" spans="1:7">
      <c r="A62" s="789"/>
      <c r="B62" s="789"/>
      <c r="C62" s="789"/>
      <c r="D62" s="789"/>
      <c r="E62" s="789"/>
      <c r="F62" s="789"/>
      <c r="G62" s="789"/>
    </row>
    <row r="63" spans="1:7">
      <c r="A63" s="789"/>
      <c r="B63" s="789"/>
      <c r="C63" s="789"/>
      <c r="D63" s="789"/>
      <c r="E63" s="789"/>
      <c r="F63" s="789"/>
      <c r="G63" s="789"/>
    </row>
    <row r="64" spans="1:7">
      <c r="A64" s="789"/>
      <c r="B64" s="789"/>
      <c r="C64" s="789"/>
      <c r="D64" s="789"/>
      <c r="E64" s="789"/>
      <c r="F64" s="789"/>
      <c r="G64" s="789"/>
    </row>
    <row r="65" spans="1:7">
      <c r="A65" s="789"/>
      <c r="B65" s="789"/>
      <c r="C65" s="789"/>
      <c r="D65" s="789"/>
      <c r="E65" s="789"/>
      <c r="F65" s="789"/>
      <c r="G65" s="789"/>
    </row>
    <row r="66" spans="1:7">
      <c r="A66" s="496"/>
      <c r="B66" s="496"/>
      <c r="C66" s="496"/>
      <c r="D66" s="496"/>
      <c r="E66" s="496"/>
      <c r="F66" s="496"/>
      <c r="G66" s="496"/>
    </row>
  </sheetData>
  <customSheetViews>
    <customSheetView guid="{3B54C4DD-9207-4EC3-9D58-6DDE29113D77}" showGridLines="0" fitToPage="1" showRuler="0" topLeftCell="A22">
      <selection activeCell="D21" sqref="D21"/>
      <pageMargins left="0.5" right="0.5" top="1" bottom="1" header="0.5" footer="0.5"/>
      <pageSetup scale="68" orientation="landscape" r:id="rId1"/>
      <headerFooter alignWithMargins="0">
        <oddHeader>&amp;L&amp;12&amp;A</oddHeader>
      </headerFooter>
    </customSheetView>
    <customSheetView guid="{F69ABAD1-EF76-489D-B027-1BD1F4CFE8A6}" showGridLines="0" fitToPage="1" topLeftCell="A22">
      <selection activeCell="D21" sqref="D21"/>
      <pageMargins left="0.5" right="0.5" top="1" bottom="1" header="0.5" footer="0.5"/>
      <pageSetup scale="68" orientation="landscape" r:id="rId2"/>
      <headerFooter alignWithMargins="0">
        <oddHeader>&amp;L&amp;12&amp;A</oddHeader>
      </headerFooter>
    </customSheetView>
  </customSheetViews>
  <mergeCells count="3">
    <mergeCell ref="I2:L2"/>
    <mergeCell ref="D2:G2"/>
    <mergeCell ref="R23:V23"/>
  </mergeCells>
  <phoneticPr fontId="1" type="noConversion"/>
  <pageMargins left="0.5" right="0.5" top="1" bottom="1" header="0.5" footer="0.5"/>
  <pageSetup scale="65" orientation="landscape" r:id="rId3"/>
  <headerFooter alignWithMargins="0">
    <oddHeader>&amp;L&amp;12&amp;A</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7"/>
    <pageSetUpPr fitToPage="1"/>
  </sheetPr>
  <dimension ref="A1:P123"/>
  <sheetViews>
    <sheetView workbookViewId="0">
      <selection activeCell="A45" sqref="A45"/>
    </sheetView>
  </sheetViews>
  <sheetFormatPr defaultRowHeight="12.75"/>
  <cols>
    <col min="1" max="1" width="22.5" style="1236" bestFit="1" customWidth="1"/>
    <col min="2" max="2" width="18.1640625" style="1236" bestFit="1" customWidth="1"/>
    <col min="3" max="3" width="16.1640625" style="1236" customWidth="1"/>
    <col min="4" max="8" width="15.33203125" style="1236" customWidth="1"/>
    <col min="9" max="10" width="10.5" style="1236" customWidth="1"/>
    <col min="11" max="11" width="17.5" style="1236" bestFit="1" customWidth="1"/>
    <col min="12" max="12" width="7.33203125" style="1236" customWidth="1"/>
    <col min="13" max="13" width="8.5" style="1236" customWidth="1"/>
    <col min="14" max="14" width="8.83203125" style="1236" customWidth="1"/>
    <col min="15" max="15" width="7.6640625" style="1236" customWidth="1"/>
    <col min="16" max="16" width="8.83203125" style="1236" customWidth="1"/>
    <col min="17" max="30" width="17.5" style="1236" bestFit="1" customWidth="1"/>
    <col min="31" max="31" width="12.33203125" style="1236" bestFit="1" customWidth="1"/>
    <col min="32" max="16384" width="9.33203125" style="1236"/>
  </cols>
  <sheetData>
    <row r="1" spans="1:16">
      <c r="A1" s="1303" t="s">
        <v>1389</v>
      </c>
      <c r="B1" s="1304" t="s">
        <v>1390</v>
      </c>
      <c r="K1" s="1375" t="s">
        <v>1686</v>
      </c>
      <c r="L1" s="1375"/>
      <c r="M1" s="1375"/>
      <c r="N1" s="1375"/>
      <c r="O1" s="1375"/>
    </row>
    <row r="2" spans="1:16" ht="13.5" thickBot="1">
      <c r="K2" s="2248" t="s">
        <v>1579</v>
      </c>
      <c r="L2" s="2248"/>
      <c r="M2" s="2248"/>
      <c r="N2" s="2248"/>
      <c r="O2" s="2248"/>
    </row>
    <row r="3" spans="1:16">
      <c r="A3" s="1285" t="s">
        <v>1392</v>
      </c>
      <c r="B3" s="1286"/>
      <c r="C3" s="1286"/>
      <c r="D3" s="1285" t="s">
        <v>1393</v>
      </c>
      <c r="E3" s="1286"/>
      <c r="F3" s="1286"/>
      <c r="G3" s="1286"/>
      <c r="H3" s="1286"/>
      <c r="I3" s="1287"/>
      <c r="J3" s="541"/>
      <c r="K3" s="1305"/>
      <c r="L3" s="1284" t="s">
        <v>1574</v>
      </c>
      <c r="M3" s="1284" t="s">
        <v>1575</v>
      </c>
      <c r="N3" s="1284" t="s">
        <v>1576</v>
      </c>
      <c r="O3" s="1284" t="s">
        <v>1577</v>
      </c>
      <c r="P3" s="1238"/>
    </row>
    <row r="4" spans="1:16">
      <c r="A4" s="1285" t="s">
        <v>1394</v>
      </c>
      <c r="B4" s="1285" t="s">
        <v>1395</v>
      </c>
      <c r="C4" s="1285" t="s">
        <v>1396</v>
      </c>
      <c r="D4" s="1288" t="s">
        <v>1397</v>
      </c>
      <c r="E4" s="1289" t="s">
        <v>1398</v>
      </c>
      <c r="F4" s="1289" t="s">
        <v>1399</v>
      </c>
      <c r="G4" s="1289" t="s">
        <v>1400</v>
      </c>
      <c r="H4" s="1289">
        <v>70</v>
      </c>
      <c r="I4" s="1290" t="s">
        <v>1401</v>
      </c>
      <c r="J4" s="541"/>
      <c r="K4" s="1305"/>
      <c r="L4" s="1284"/>
      <c r="M4" s="1284"/>
      <c r="N4" s="1284"/>
      <c r="O4" s="1284"/>
      <c r="P4" s="1238"/>
    </row>
    <row r="5" spans="1:16">
      <c r="A5" s="1288" t="s">
        <v>426</v>
      </c>
      <c r="B5" s="1288">
        <v>0.09</v>
      </c>
      <c r="C5" s="1288" t="s">
        <v>1402</v>
      </c>
      <c r="D5" s="1291"/>
      <c r="E5" s="1292"/>
      <c r="F5" s="1292">
        <v>6</v>
      </c>
      <c r="G5" s="1292"/>
      <c r="H5" s="1292"/>
      <c r="I5" s="1293">
        <v>6</v>
      </c>
      <c r="J5" s="1307"/>
      <c r="K5" s="1305" t="str">
        <f t="shared" ref="K5:K36" si="0">+A5&amp;" "&amp;B5</f>
        <v>BB 0.09</v>
      </c>
      <c r="L5" s="1306">
        <f>SUM(D5)</f>
        <v>0</v>
      </c>
      <c r="M5" s="1306">
        <f>SUM(E5)</f>
        <v>0</v>
      </c>
      <c r="N5" s="1306">
        <f>SUM(F5)</f>
        <v>6</v>
      </c>
      <c r="O5" s="1306">
        <f>SUM(G5:H5)</f>
        <v>0</v>
      </c>
      <c r="P5" s="1239"/>
    </row>
    <row r="6" spans="1:16">
      <c r="A6" s="1294"/>
      <c r="B6" s="1288" t="s">
        <v>1472</v>
      </c>
      <c r="C6" s="1286"/>
      <c r="D6" s="1291"/>
      <c r="E6" s="1292"/>
      <c r="F6" s="1292">
        <v>6</v>
      </c>
      <c r="G6" s="1292"/>
      <c r="H6" s="1292"/>
      <c r="I6" s="1293">
        <v>6</v>
      </c>
      <c r="J6" s="1307"/>
      <c r="K6" s="1305" t="str">
        <f t="shared" si="0"/>
        <v xml:space="preserve"> 0.09 Total</v>
      </c>
      <c r="L6" s="1306">
        <f t="shared" ref="L6:L69" si="1">SUM(D6)</f>
        <v>0</v>
      </c>
      <c r="M6" s="1306">
        <f t="shared" ref="M6:M69" si="2">SUM(E6)</f>
        <v>0</v>
      </c>
      <c r="N6" s="1306">
        <f t="shared" ref="N6:N69" si="3">SUM(F6)</f>
        <v>6</v>
      </c>
      <c r="O6" s="1306">
        <f t="shared" ref="O6:O69" si="4">SUM(G6:H6)</f>
        <v>0</v>
      </c>
    </row>
    <row r="7" spans="1:16">
      <c r="A7" s="1288" t="s">
        <v>1473</v>
      </c>
      <c r="B7" s="1286"/>
      <c r="C7" s="1286"/>
      <c r="D7" s="1291"/>
      <c r="E7" s="1292"/>
      <c r="F7" s="1292">
        <v>6</v>
      </c>
      <c r="G7" s="1292"/>
      <c r="H7" s="1292"/>
      <c r="I7" s="1293">
        <v>6</v>
      </c>
      <c r="J7" s="1307"/>
      <c r="K7" s="1305" t="str">
        <f t="shared" si="0"/>
        <v xml:space="preserve">BB Total </v>
      </c>
      <c r="L7" s="1306">
        <f t="shared" si="1"/>
        <v>0</v>
      </c>
      <c r="M7" s="1306">
        <f t="shared" si="2"/>
        <v>0</v>
      </c>
      <c r="N7" s="1306">
        <f t="shared" si="3"/>
        <v>6</v>
      </c>
      <c r="O7" s="1306">
        <f t="shared" si="4"/>
        <v>0</v>
      </c>
      <c r="P7" s="1239"/>
    </row>
    <row r="8" spans="1:16">
      <c r="A8" s="1288" t="s">
        <v>428</v>
      </c>
      <c r="B8" s="1288">
        <v>0.16</v>
      </c>
      <c r="C8" s="1288" t="s">
        <v>1402</v>
      </c>
      <c r="D8" s="1291">
        <v>2</v>
      </c>
      <c r="E8" s="1292"/>
      <c r="F8" s="1292">
        <v>249</v>
      </c>
      <c r="G8" s="1292"/>
      <c r="H8" s="1292"/>
      <c r="I8" s="1293">
        <v>251</v>
      </c>
      <c r="J8" s="1307"/>
      <c r="K8" s="1305" t="str">
        <f t="shared" si="0"/>
        <v>CA 0.16</v>
      </c>
      <c r="L8" s="1306">
        <f t="shared" si="1"/>
        <v>2</v>
      </c>
      <c r="M8" s="1306">
        <f t="shared" si="2"/>
        <v>0</v>
      </c>
      <c r="N8" s="1306">
        <f t="shared" si="3"/>
        <v>249</v>
      </c>
      <c r="O8" s="1306">
        <f t="shared" si="4"/>
        <v>0</v>
      </c>
      <c r="P8" s="1239"/>
    </row>
    <row r="9" spans="1:16">
      <c r="A9" s="1294"/>
      <c r="B9" s="1288" t="s">
        <v>1403</v>
      </c>
      <c r="C9" s="1286"/>
      <c r="D9" s="1291">
        <v>2</v>
      </c>
      <c r="E9" s="1292"/>
      <c r="F9" s="1292">
        <v>249</v>
      </c>
      <c r="G9" s="1292"/>
      <c r="H9" s="1292"/>
      <c r="I9" s="1293">
        <v>251</v>
      </c>
      <c r="J9" s="1307"/>
      <c r="K9" s="1305" t="str">
        <f t="shared" si="0"/>
        <v xml:space="preserve"> 0.16 Total</v>
      </c>
      <c r="L9" s="1306">
        <f t="shared" si="1"/>
        <v>2</v>
      </c>
      <c r="M9" s="1306">
        <f t="shared" si="2"/>
        <v>0</v>
      </c>
      <c r="N9" s="1306">
        <f t="shared" si="3"/>
        <v>249</v>
      </c>
      <c r="O9" s="1306">
        <f t="shared" si="4"/>
        <v>0</v>
      </c>
      <c r="P9" s="1239"/>
    </row>
    <row r="10" spans="1:16">
      <c r="A10" s="1294"/>
      <c r="B10" s="1288">
        <v>0.3</v>
      </c>
      <c r="C10" s="1288" t="s">
        <v>1402</v>
      </c>
      <c r="D10" s="1291">
        <v>8</v>
      </c>
      <c r="E10" s="1292"/>
      <c r="F10" s="1292">
        <v>3154</v>
      </c>
      <c r="G10" s="1292"/>
      <c r="H10" s="1292"/>
      <c r="I10" s="1293">
        <v>3162</v>
      </c>
      <c r="J10" s="1307"/>
      <c r="K10" s="1305" t="str">
        <f t="shared" si="0"/>
        <v xml:space="preserve"> 0.3</v>
      </c>
      <c r="L10" s="1306">
        <f t="shared" si="1"/>
        <v>8</v>
      </c>
      <c r="M10" s="1306">
        <f t="shared" si="2"/>
        <v>0</v>
      </c>
      <c r="N10" s="1306">
        <f t="shared" si="3"/>
        <v>3154</v>
      </c>
      <c r="O10" s="1306">
        <f t="shared" si="4"/>
        <v>0</v>
      </c>
      <c r="P10" s="1239"/>
    </row>
    <row r="11" spans="1:16">
      <c r="A11" s="1294"/>
      <c r="B11" s="1288" t="s">
        <v>1404</v>
      </c>
      <c r="C11" s="1286"/>
      <c r="D11" s="1291">
        <v>8</v>
      </c>
      <c r="E11" s="1292"/>
      <c r="F11" s="1292">
        <v>3154</v>
      </c>
      <c r="G11" s="1292"/>
      <c r="H11" s="1292"/>
      <c r="I11" s="1293">
        <v>3162</v>
      </c>
      <c r="J11" s="1307"/>
      <c r="K11" s="1305" t="str">
        <f t="shared" si="0"/>
        <v xml:space="preserve"> 0.3 Total</v>
      </c>
      <c r="L11" s="1306">
        <f t="shared" si="1"/>
        <v>8</v>
      </c>
      <c r="M11" s="1306">
        <f t="shared" si="2"/>
        <v>0</v>
      </c>
      <c r="N11" s="1306">
        <f t="shared" si="3"/>
        <v>3154</v>
      </c>
      <c r="O11" s="1306">
        <f t="shared" si="4"/>
        <v>0</v>
      </c>
      <c r="P11" s="1239"/>
    </row>
    <row r="12" spans="1:16">
      <c r="A12" s="1294"/>
      <c r="B12" s="1288">
        <v>0.45</v>
      </c>
      <c r="C12" s="1288" t="s">
        <v>1402</v>
      </c>
      <c r="D12" s="1291">
        <v>52</v>
      </c>
      <c r="E12" s="1292"/>
      <c r="F12" s="1292">
        <v>1214</v>
      </c>
      <c r="G12" s="1292"/>
      <c r="H12" s="1292"/>
      <c r="I12" s="1293">
        <v>1266</v>
      </c>
      <c r="J12" s="1307"/>
      <c r="K12" s="1305" t="str">
        <f t="shared" si="0"/>
        <v xml:space="preserve"> 0.45</v>
      </c>
      <c r="L12" s="1306">
        <f t="shared" si="1"/>
        <v>52</v>
      </c>
      <c r="M12" s="1306">
        <f t="shared" si="2"/>
        <v>0</v>
      </c>
      <c r="N12" s="1306">
        <f t="shared" si="3"/>
        <v>1214</v>
      </c>
      <c r="O12" s="1306">
        <f t="shared" si="4"/>
        <v>0</v>
      </c>
    </row>
    <row r="13" spans="1:16">
      <c r="A13" s="1294"/>
      <c r="B13" s="1288" t="s">
        <v>1405</v>
      </c>
      <c r="C13" s="1286"/>
      <c r="D13" s="1291">
        <v>52</v>
      </c>
      <c r="E13" s="1292"/>
      <c r="F13" s="1292">
        <v>1214</v>
      </c>
      <c r="G13" s="1292"/>
      <c r="H13" s="1292"/>
      <c r="I13" s="1293">
        <v>1266</v>
      </c>
      <c r="J13" s="1307"/>
      <c r="K13" s="1305" t="str">
        <f t="shared" si="0"/>
        <v xml:space="preserve"> 0.45 Total</v>
      </c>
      <c r="L13" s="1306">
        <f t="shared" si="1"/>
        <v>52</v>
      </c>
      <c r="M13" s="1306">
        <f t="shared" si="2"/>
        <v>0</v>
      </c>
      <c r="N13" s="1306">
        <f t="shared" si="3"/>
        <v>1214</v>
      </c>
      <c r="O13" s="1306">
        <f t="shared" si="4"/>
        <v>0</v>
      </c>
      <c r="P13" s="1239"/>
    </row>
    <row r="14" spans="1:16">
      <c r="A14" s="1288" t="s">
        <v>1406</v>
      </c>
      <c r="B14" s="1286"/>
      <c r="C14" s="1286"/>
      <c r="D14" s="1291">
        <v>62</v>
      </c>
      <c r="E14" s="1292"/>
      <c r="F14" s="1292">
        <v>4617</v>
      </c>
      <c r="G14" s="1292"/>
      <c r="H14" s="1292"/>
      <c r="I14" s="1293">
        <v>4679</v>
      </c>
      <c r="J14" s="1307"/>
      <c r="K14" s="1305" t="str">
        <f t="shared" si="0"/>
        <v xml:space="preserve">CA Total </v>
      </c>
      <c r="L14" s="1306">
        <f t="shared" si="1"/>
        <v>62</v>
      </c>
      <c r="M14" s="1306">
        <f t="shared" si="2"/>
        <v>0</v>
      </c>
      <c r="N14" s="1306">
        <f t="shared" si="3"/>
        <v>4617</v>
      </c>
      <c r="O14" s="1306">
        <f t="shared" si="4"/>
        <v>0</v>
      </c>
      <c r="P14" s="1239"/>
    </row>
    <row r="15" spans="1:16">
      <c r="A15" s="1288" t="s">
        <v>429</v>
      </c>
      <c r="B15" s="1288">
        <v>0.1</v>
      </c>
      <c r="C15" s="1288" t="s">
        <v>1402</v>
      </c>
      <c r="D15" s="1291"/>
      <c r="E15" s="1292"/>
      <c r="F15" s="1292">
        <v>899</v>
      </c>
      <c r="G15" s="1292"/>
      <c r="H15" s="1292"/>
      <c r="I15" s="1293">
        <v>899</v>
      </c>
      <c r="J15" s="1307"/>
      <c r="K15" s="1305" t="str">
        <f t="shared" si="0"/>
        <v>CN 0.1</v>
      </c>
      <c r="L15" s="1306">
        <f t="shared" si="1"/>
        <v>0</v>
      </c>
      <c r="M15" s="1306">
        <f t="shared" si="2"/>
        <v>0</v>
      </c>
      <c r="N15" s="1306">
        <f t="shared" si="3"/>
        <v>899</v>
      </c>
      <c r="O15" s="1306">
        <f t="shared" si="4"/>
        <v>0</v>
      </c>
      <c r="P15" s="1239"/>
    </row>
    <row r="16" spans="1:16">
      <c r="A16" s="1294"/>
      <c r="B16" s="1288" t="s">
        <v>1407</v>
      </c>
      <c r="C16" s="1286"/>
      <c r="D16" s="1291"/>
      <c r="E16" s="1292"/>
      <c r="F16" s="1292">
        <v>899</v>
      </c>
      <c r="G16" s="1292"/>
      <c r="H16" s="1292"/>
      <c r="I16" s="1293">
        <v>899</v>
      </c>
      <c r="J16" s="1307"/>
      <c r="K16" s="1305" t="str">
        <f t="shared" si="0"/>
        <v xml:space="preserve"> 0.1 Total</v>
      </c>
      <c r="L16" s="1306">
        <f t="shared" si="1"/>
        <v>0</v>
      </c>
      <c r="M16" s="1306">
        <f t="shared" si="2"/>
        <v>0</v>
      </c>
      <c r="N16" s="1306">
        <f t="shared" si="3"/>
        <v>899</v>
      </c>
      <c r="O16" s="1306">
        <f t="shared" si="4"/>
        <v>0</v>
      </c>
      <c r="P16" s="1239"/>
    </row>
    <row r="17" spans="1:16">
      <c r="A17" s="1294"/>
      <c r="B17" s="1288">
        <v>0.16</v>
      </c>
      <c r="C17" s="1288" t="s">
        <v>1402</v>
      </c>
      <c r="D17" s="1291">
        <v>7</v>
      </c>
      <c r="E17" s="1292"/>
      <c r="F17" s="1292">
        <v>5221</v>
      </c>
      <c r="G17" s="1292"/>
      <c r="H17" s="1292"/>
      <c r="I17" s="1293">
        <v>5228</v>
      </c>
      <c r="J17" s="1307"/>
      <c r="K17" s="1305" t="str">
        <f t="shared" si="0"/>
        <v xml:space="preserve"> 0.16</v>
      </c>
      <c r="L17" s="1306">
        <f t="shared" si="1"/>
        <v>7</v>
      </c>
      <c r="M17" s="1306">
        <f t="shared" si="2"/>
        <v>0</v>
      </c>
      <c r="N17" s="1306">
        <f t="shared" si="3"/>
        <v>5221</v>
      </c>
      <c r="O17" s="1306">
        <f t="shared" si="4"/>
        <v>0</v>
      </c>
    </row>
    <row r="18" spans="1:16">
      <c r="A18" s="1294"/>
      <c r="B18" s="1288" t="s">
        <v>1403</v>
      </c>
      <c r="C18" s="1286"/>
      <c r="D18" s="1291">
        <v>7</v>
      </c>
      <c r="E18" s="1292"/>
      <c r="F18" s="1292">
        <v>5221</v>
      </c>
      <c r="G18" s="1292"/>
      <c r="H18" s="1292"/>
      <c r="I18" s="1293">
        <v>5228</v>
      </c>
      <c r="J18" s="1307"/>
      <c r="K18" s="1305" t="str">
        <f t="shared" si="0"/>
        <v xml:space="preserve"> 0.16 Total</v>
      </c>
      <c r="L18" s="1306">
        <f t="shared" si="1"/>
        <v>7</v>
      </c>
      <c r="M18" s="1306">
        <f t="shared" si="2"/>
        <v>0</v>
      </c>
      <c r="N18" s="1306">
        <f t="shared" si="3"/>
        <v>5221</v>
      </c>
      <c r="O18" s="1306">
        <f t="shared" si="4"/>
        <v>0</v>
      </c>
      <c r="P18" s="1239"/>
    </row>
    <row r="19" spans="1:16">
      <c r="A19" s="1288" t="s">
        <v>1408</v>
      </c>
      <c r="B19" s="1286"/>
      <c r="C19" s="1286"/>
      <c r="D19" s="1291">
        <v>7</v>
      </c>
      <c r="E19" s="1292"/>
      <c r="F19" s="1292">
        <v>6120</v>
      </c>
      <c r="G19" s="1292"/>
      <c r="H19" s="1292"/>
      <c r="I19" s="1293">
        <v>6127</v>
      </c>
      <c r="J19" s="1307"/>
      <c r="K19" s="1305" t="str">
        <f t="shared" si="0"/>
        <v xml:space="preserve">CN Total </v>
      </c>
      <c r="L19" s="1306">
        <f t="shared" si="1"/>
        <v>7</v>
      </c>
      <c r="M19" s="1306">
        <f t="shared" si="2"/>
        <v>0</v>
      </c>
      <c r="N19" s="1306">
        <f t="shared" si="3"/>
        <v>6120</v>
      </c>
      <c r="O19" s="1306">
        <f t="shared" si="4"/>
        <v>0</v>
      </c>
      <c r="P19" s="1239"/>
    </row>
    <row r="20" spans="1:16">
      <c r="A20" s="1288" t="s">
        <v>432</v>
      </c>
      <c r="B20" s="1288">
        <v>1</v>
      </c>
      <c r="C20" s="1288" t="s">
        <v>1402</v>
      </c>
      <c r="D20" s="1291">
        <v>17</v>
      </c>
      <c r="E20" s="1292"/>
      <c r="F20" s="1292"/>
      <c r="G20" s="1292"/>
      <c r="H20" s="1292"/>
      <c r="I20" s="1293">
        <v>17</v>
      </c>
      <c r="J20" s="1307"/>
      <c r="K20" s="1305" t="str">
        <f t="shared" si="0"/>
        <v>FL 1</v>
      </c>
      <c r="L20" s="1306">
        <f t="shared" si="1"/>
        <v>17</v>
      </c>
      <c r="M20" s="1306">
        <f t="shared" si="2"/>
        <v>0</v>
      </c>
      <c r="N20" s="1306">
        <f t="shared" si="3"/>
        <v>0</v>
      </c>
      <c r="O20" s="1306">
        <f t="shared" si="4"/>
        <v>0</v>
      </c>
      <c r="P20" s="1239"/>
    </row>
    <row r="21" spans="1:16">
      <c r="A21" s="1294"/>
      <c r="B21" s="1288" t="s">
        <v>1409</v>
      </c>
      <c r="C21" s="1286"/>
      <c r="D21" s="1291">
        <v>17</v>
      </c>
      <c r="E21" s="1292"/>
      <c r="F21" s="1292"/>
      <c r="G21" s="1292"/>
      <c r="H21" s="1292"/>
      <c r="I21" s="1293">
        <v>17</v>
      </c>
      <c r="J21" s="1307"/>
      <c r="K21" s="1305" t="str">
        <f t="shared" si="0"/>
        <v xml:space="preserve"> 1 Total</v>
      </c>
      <c r="L21" s="1306">
        <f t="shared" si="1"/>
        <v>17</v>
      </c>
      <c r="M21" s="1306">
        <f t="shared" si="2"/>
        <v>0</v>
      </c>
      <c r="N21" s="1306">
        <f t="shared" si="3"/>
        <v>0</v>
      </c>
      <c r="O21" s="1306">
        <f t="shared" si="4"/>
        <v>0</v>
      </c>
      <c r="P21" s="1239"/>
    </row>
    <row r="22" spans="1:16">
      <c r="A22" s="1294"/>
      <c r="B22" s="1288">
        <v>1.25</v>
      </c>
      <c r="C22" s="1288" t="s">
        <v>1402</v>
      </c>
      <c r="D22" s="1291">
        <v>16</v>
      </c>
      <c r="E22" s="1292"/>
      <c r="F22" s="1292"/>
      <c r="G22" s="1292"/>
      <c r="H22" s="1292"/>
      <c r="I22" s="1293">
        <v>16</v>
      </c>
      <c r="J22" s="1307"/>
      <c r="K22" s="1305" t="str">
        <f t="shared" si="0"/>
        <v xml:space="preserve"> 1.25</v>
      </c>
      <c r="L22" s="1306">
        <f t="shared" si="1"/>
        <v>16</v>
      </c>
      <c r="M22" s="1306">
        <f t="shared" si="2"/>
        <v>0</v>
      </c>
      <c r="N22" s="1306">
        <f t="shared" si="3"/>
        <v>0</v>
      </c>
      <c r="O22" s="1306">
        <f t="shared" si="4"/>
        <v>0</v>
      </c>
      <c r="P22" s="1239"/>
    </row>
    <row r="23" spans="1:16">
      <c r="A23" s="1294"/>
      <c r="B23" s="1288" t="s">
        <v>1410</v>
      </c>
      <c r="C23" s="1286"/>
      <c r="D23" s="1291">
        <v>16</v>
      </c>
      <c r="E23" s="1292"/>
      <c r="F23" s="1292"/>
      <c r="G23" s="1292"/>
      <c r="H23" s="1292"/>
      <c r="I23" s="1293">
        <v>16</v>
      </c>
      <c r="J23" s="1307"/>
      <c r="K23" s="1305" t="str">
        <f t="shared" si="0"/>
        <v xml:space="preserve"> 1.25 Total</v>
      </c>
      <c r="L23" s="1306">
        <f t="shared" si="1"/>
        <v>16</v>
      </c>
      <c r="M23" s="1306">
        <f t="shared" si="2"/>
        <v>0</v>
      </c>
      <c r="N23" s="1306">
        <f t="shared" si="3"/>
        <v>0</v>
      </c>
      <c r="O23" s="1306">
        <f t="shared" si="4"/>
        <v>0</v>
      </c>
      <c r="P23" s="1239"/>
    </row>
    <row r="24" spans="1:16">
      <c r="A24" s="1294"/>
      <c r="B24" s="1288">
        <v>2</v>
      </c>
      <c r="C24" s="1288" t="s">
        <v>1402</v>
      </c>
      <c r="D24" s="1291">
        <v>27</v>
      </c>
      <c r="E24" s="1292"/>
      <c r="F24" s="1292"/>
      <c r="G24" s="1292"/>
      <c r="H24" s="1292"/>
      <c r="I24" s="1293">
        <v>27</v>
      </c>
      <c r="J24" s="1307"/>
      <c r="K24" s="1305" t="str">
        <f t="shared" si="0"/>
        <v xml:space="preserve"> 2</v>
      </c>
      <c r="L24" s="1306">
        <f t="shared" si="1"/>
        <v>27</v>
      </c>
      <c r="M24" s="1306">
        <f t="shared" si="2"/>
        <v>0</v>
      </c>
      <c r="N24" s="1306">
        <f t="shared" si="3"/>
        <v>0</v>
      </c>
      <c r="O24" s="1306">
        <f t="shared" si="4"/>
        <v>0</v>
      </c>
      <c r="P24" s="1239"/>
    </row>
    <row r="25" spans="1:16">
      <c r="A25" s="1294"/>
      <c r="B25" s="1288" t="s">
        <v>1411</v>
      </c>
      <c r="C25" s="1286"/>
      <c r="D25" s="1291">
        <v>27</v>
      </c>
      <c r="E25" s="1292"/>
      <c r="F25" s="1292"/>
      <c r="G25" s="1292"/>
      <c r="H25" s="1292"/>
      <c r="I25" s="1293">
        <v>27</v>
      </c>
      <c r="J25" s="1307"/>
      <c r="K25" s="1305" t="str">
        <f t="shared" si="0"/>
        <v xml:space="preserve"> 2 Total</v>
      </c>
      <c r="L25" s="1306">
        <f t="shared" si="1"/>
        <v>27</v>
      </c>
      <c r="M25" s="1306">
        <f t="shared" si="2"/>
        <v>0</v>
      </c>
      <c r="N25" s="1306">
        <f t="shared" si="3"/>
        <v>0</v>
      </c>
      <c r="O25" s="1306">
        <f t="shared" si="4"/>
        <v>0</v>
      </c>
      <c r="P25" s="1239"/>
    </row>
    <row r="26" spans="1:16">
      <c r="A26" s="1294"/>
      <c r="B26" s="1288">
        <v>3</v>
      </c>
      <c r="C26" s="1288" t="s">
        <v>1412</v>
      </c>
      <c r="D26" s="1291">
        <v>1</v>
      </c>
      <c r="E26" s="1292"/>
      <c r="F26" s="1292"/>
      <c r="G26" s="1292"/>
      <c r="H26" s="1292"/>
      <c r="I26" s="1293">
        <v>1</v>
      </c>
      <c r="J26" s="1307"/>
      <c r="K26" s="1305" t="str">
        <f t="shared" si="0"/>
        <v xml:space="preserve"> 3</v>
      </c>
      <c r="L26" s="1306">
        <f t="shared" si="1"/>
        <v>1</v>
      </c>
      <c r="M26" s="1306">
        <f t="shared" si="2"/>
        <v>0</v>
      </c>
      <c r="N26" s="1306">
        <f t="shared" si="3"/>
        <v>0</v>
      </c>
      <c r="O26" s="1306">
        <f t="shared" si="4"/>
        <v>0</v>
      </c>
      <c r="P26" s="1239"/>
    </row>
    <row r="27" spans="1:16">
      <c r="A27" s="1294"/>
      <c r="B27" s="1294"/>
      <c r="C27" s="1295" t="s">
        <v>1402</v>
      </c>
      <c r="D27" s="1296">
        <v>23</v>
      </c>
      <c r="E27" s="1054"/>
      <c r="F27" s="1054"/>
      <c r="G27" s="1054"/>
      <c r="H27" s="1054"/>
      <c r="I27" s="1297">
        <v>23</v>
      </c>
      <c r="J27" s="1307"/>
      <c r="K27" s="1305" t="str">
        <f t="shared" si="0"/>
        <v xml:space="preserve"> </v>
      </c>
      <c r="L27" s="1306">
        <f t="shared" si="1"/>
        <v>23</v>
      </c>
      <c r="M27" s="1306">
        <f t="shared" si="2"/>
        <v>0</v>
      </c>
      <c r="N27" s="1306">
        <f t="shared" si="3"/>
        <v>0</v>
      </c>
      <c r="O27" s="1306">
        <f t="shared" si="4"/>
        <v>0</v>
      </c>
      <c r="P27" s="1239"/>
    </row>
    <row r="28" spans="1:16">
      <c r="A28" s="1294"/>
      <c r="B28" s="1288" t="s">
        <v>1413</v>
      </c>
      <c r="C28" s="1286"/>
      <c r="D28" s="1291">
        <v>24</v>
      </c>
      <c r="E28" s="1292"/>
      <c r="F28" s="1292"/>
      <c r="G28" s="1292"/>
      <c r="H28" s="1292"/>
      <c r="I28" s="1293">
        <v>24</v>
      </c>
      <c r="J28" s="1307"/>
      <c r="K28" s="1305" t="str">
        <f t="shared" si="0"/>
        <v xml:space="preserve"> 3 Total</v>
      </c>
      <c r="L28" s="1306">
        <f t="shared" si="1"/>
        <v>24</v>
      </c>
      <c r="M28" s="1306">
        <f t="shared" si="2"/>
        <v>0</v>
      </c>
      <c r="N28" s="1306">
        <f t="shared" si="3"/>
        <v>0</v>
      </c>
      <c r="O28" s="1306">
        <f t="shared" si="4"/>
        <v>0</v>
      </c>
      <c r="P28" s="1239"/>
    </row>
    <row r="29" spans="1:16">
      <c r="A29" s="1294"/>
      <c r="B29" s="1288">
        <v>4</v>
      </c>
      <c r="C29" s="1288" t="s">
        <v>1402</v>
      </c>
      <c r="D29" s="1291">
        <v>51</v>
      </c>
      <c r="E29" s="1292"/>
      <c r="F29" s="1292"/>
      <c r="G29" s="1292"/>
      <c r="H29" s="1292"/>
      <c r="I29" s="1293">
        <v>51</v>
      </c>
      <c r="J29" s="1307"/>
      <c r="K29" s="1305" t="str">
        <f t="shared" si="0"/>
        <v xml:space="preserve"> 4</v>
      </c>
      <c r="L29" s="1306">
        <f t="shared" si="1"/>
        <v>51</v>
      </c>
      <c r="M29" s="1306">
        <f t="shared" si="2"/>
        <v>0</v>
      </c>
      <c r="N29" s="1306">
        <f t="shared" si="3"/>
        <v>0</v>
      </c>
      <c r="O29" s="1306">
        <f t="shared" si="4"/>
        <v>0</v>
      </c>
      <c r="P29" s="1239"/>
    </row>
    <row r="30" spans="1:16">
      <c r="A30" s="1294"/>
      <c r="B30" s="1288" t="s">
        <v>1414</v>
      </c>
      <c r="C30" s="1286"/>
      <c r="D30" s="1291">
        <v>51</v>
      </c>
      <c r="E30" s="1292"/>
      <c r="F30" s="1292"/>
      <c r="G30" s="1292"/>
      <c r="H30" s="1292"/>
      <c r="I30" s="1293">
        <v>51</v>
      </c>
      <c r="J30" s="1307"/>
      <c r="K30" s="1305" t="str">
        <f t="shared" si="0"/>
        <v xml:space="preserve"> 4 Total</v>
      </c>
      <c r="L30" s="1306">
        <f t="shared" si="1"/>
        <v>51</v>
      </c>
      <c r="M30" s="1306">
        <f t="shared" si="2"/>
        <v>0</v>
      </c>
      <c r="N30" s="1306">
        <f t="shared" si="3"/>
        <v>0</v>
      </c>
      <c r="O30" s="1306">
        <f t="shared" si="4"/>
        <v>0</v>
      </c>
      <c r="P30" s="1239"/>
    </row>
    <row r="31" spans="1:16">
      <c r="A31" s="1294"/>
      <c r="B31" s="1288">
        <v>6</v>
      </c>
      <c r="C31" s="1288" t="s">
        <v>1412</v>
      </c>
      <c r="D31" s="1291">
        <v>1</v>
      </c>
      <c r="E31" s="1292"/>
      <c r="F31" s="1292"/>
      <c r="G31" s="1292"/>
      <c r="H31" s="1292"/>
      <c r="I31" s="1293">
        <v>1</v>
      </c>
      <c r="J31" s="1307"/>
      <c r="K31" s="1305" t="str">
        <f t="shared" si="0"/>
        <v xml:space="preserve"> 6</v>
      </c>
      <c r="L31" s="1306">
        <f t="shared" si="1"/>
        <v>1</v>
      </c>
      <c r="M31" s="1306">
        <f t="shared" si="2"/>
        <v>0</v>
      </c>
      <c r="N31" s="1306">
        <f t="shared" si="3"/>
        <v>0</v>
      </c>
      <c r="O31" s="1306">
        <f t="shared" si="4"/>
        <v>0</v>
      </c>
      <c r="P31" s="1239"/>
    </row>
    <row r="32" spans="1:16">
      <c r="A32" s="1294"/>
      <c r="B32" s="1294"/>
      <c r="C32" s="1295" t="s">
        <v>1402</v>
      </c>
      <c r="D32" s="1296">
        <v>22</v>
      </c>
      <c r="E32" s="1054"/>
      <c r="F32" s="1054"/>
      <c r="G32" s="1054"/>
      <c r="H32" s="1054"/>
      <c r="I32" s="1297">
        <v>22</v>
      </c>
      <c r="J32" s="1307"/>
      <c r="K32" s="1305" t="str">
        <f t="shared" si="0"/>
        <v xml:space="preserve"> </v>
      </c>
      <c r="L32" s="1306">
        <f t="shared" si="1"/>
        <v>22</v>
      </c>
      <c r="M32" s="1306">
        <f t="shared" si="2"/>
        <v>0</v>
      </c>
      <c r="N32" s="1306">
        <f t="shared" si="3"/>
        <v>0</v>
      </c>
      <c r="O32" s="1306">
        <f t="shared" si="4"/>
        <v>0</v>
      </c>
      <c r="P32" s="1239"/>
    </row>
    <row r="33" spans="1:16">
      <c r="A33" s="1294"/>
      <c r="B33" s="1288" t="s">
        <v>1415</v>
      </c>
      <c r="C33" s="1286"/>
      <c r="D33" s="1291">
        <v>23</v>
      </c>
      <c r="E33" s="1292"/>
      <c r="F33" s="1292"/>
      <c r="G33" s="1292"/>
      <c r="H33" s="1292"/>
      <c r="I33" s="1293">
        <v>23</v>
      </c>
      <c r="J33" s="1307"/>
      <c r="K33" s="1305" t="str">
        <f t="shared" si="0"/>
        <v xml:space="preserve"> 6 Total</v>
      </c>
      <c r="L33" s="1306">
        <f t="shared" si="1"/>
        <v>23</v>
      </c>
      <c r="M33" s="1306">
        <f t="shared" si="2"/>
        <v>0</v>
      </c>
      <c r="N33" s="1306">
        <f t="shared" si="3"/>
        <v>0</v>
      </c>
      <c r="O33" s="1306">
        <f t="shared" si="4"/>
        <v>0</v>
      </c>
      <c r="P33" s="1239"/>
    </row>
    <row r="34" spans="1:16">
      <c r="A34" s="1294"/>
      <c r="B34" s="1288">
        <v>8</v>
      </c>
      <c r="C34" s="1288" t="s">
        <v>1402</v>
      </c>
      <c r="D34" s="1291">
        <v>13</v>
      </c>
      <c r="E34" s="1292"/>
      <c r="F34" s="1292"/>
      <c r="G34" s="1292"/>
      <c r="H34" s="1292"/>
      <c r="I34" s="1293">
        <v>13</v>
      </c>
      <c r="J34" s="1307"/>
      <c r="K34" s="1305" t="str">
        <f t="shared" si="0"/>
        <v xml:space="preserve"> 8</v>
      </c>
      <c r="L34" s="1306">
        <f t="shared" si="1"/>
        <v>13</v>
      </c>
      <c r="M34" s="1306">
        <f t="shared" si="2"/>
        <v>0</v>
      </c>
      <c r="N34" s="1306">
        <f t="shared" si="3"/>
        <v>0</v>
      </c>
      <c r="O34" s="1306">
        <f t="shared" si="4"/>
        <v>0</v>
      </c>
    </row>
    <row r="35" spans="1:16">
      <c r="A35" s="1294"/>
      <c r="B35" s="1288" t="s">
        <v>1416</v>
      </c>
      <c r="C35" s="1286"/>
      <c r="D35" s="1291">
        <v>13</v>
      </c>
      <c r="E35" s="1292"/>
      <c r="F35" s="1292"/>
      <c r="G35" s="1292"/>
      <c r="H35" s="1292"/>
      <c r="I35" s="1293">
        <v>13</v>
      </c>
      <c r="J35" s="1307"/>
      <c r="K35" s="1305" t="str">
        <f t="shared" si="0"/>
        <v xml:space="preserve"> 8 Total</v>
      </c>
      <c r="L35" s="1306">
        <f t="shared" si="1"/>
        <v>13</v>
      </c>
      <c r="M35" s="1306">
        <f t="shared" si="2"/>
        <v>0</v>
      </c>
      <c r="N35" s="1306">
        <f t="shared" si="3"/>
        <v>0</v>
      </c>
      <c r="O35" s="1306">
        <f t="shared" si="4"/>
        <v>0</v>
      </c>
      <c r="P35" s="1239"/>
    </row>
    <row r="36" spans="1:16">
      <c r="A36" s="1288" t="s">
        <v>1417</v>
      </c>
      <c r="B36" s="1286"/>
      <c r="C36" s="1286"/>
      <c r="D36" s="1291">
        <v>171</v>
      </c>
      <c r="E36" s="1292"/>
      <c r="F36" s="1292"/>
      <c r="G36" s="1292"/>
      <c r="H36" s="1292"/>
      <c r="I36" s="1293">
        <v>171</v>
      </c>
      <c r="J36" s="1307"/>
      <c r="K36" s="1305" t="str">
        <f t="shared" si="0"/>
        <v xml:space="preserve">FL Total </v>
      </c>
      <c r="L36" s="1306">
        <f t="shared" si="1"/>
        <v>171</v>
      </c>
      <c r="M36" s="1306">
        <f t="shared" si="2"/>
        <v>0</v>
      </c>
      <c r="N36" s="1306">
        <f t="shared" si="3"/>
        <v>0</v>
      </c>
      <c r="O36" s="1306">
        <f t="shared" si="4"/>
        <v>0</v>
      </c>
      <c r="P36" s="1239"/>
    </row>
    <row r="37" spans="1:16">
      <c r="A37" s="1288" t="s">
        <v>431</v>
      </c>
      <c r="B37" s="1288">
        <v>1</v>
      </c>
      <c r="C37" s="1288" t="s">
        <v>1402</v>
      </c>
      <c r="D37" s="1291"/>
      <c r="E37" s="1292"/>
      <c r="F37" s="1292"/>
      <c r="G37" s="1292">
        <v>10</v>
      </c>
      <c r="H37" s="1292">
        <v>3</v>
      </c>
      <c r="I37" s="1293">
        <v>13</v>
      </c>
      <c r="J37" s="1307"/>
      <c r="K37" s="1305" t="str">
        <f t="shared" ref="K37:K69" si="5">+A37&amp;" "&amp;B37</f>
        <v>FR 1</v>
      </c>
      <c r="L37" s="1306">
        <f t="shared" si="1"/>
        <v>0</v>
      </c>
      <c r="M37" s="1306">
        <f t="shared" si="2"/>
        <v>0</v>
      </c>
      <c r="N37" s="1306">
        <f t="shared" si="3"/>
        <v>0</v>
      </c>
      <c r="O37" s="1306">
        <f t="shared" si="4"/>
        <v>13</v>
      </c>
      <c r="P37" s="1239"/>
    </row>
    <row r="38" spans="1:16">
      <c r="A38" s="1294"/>
      <c r="B38" s="1288" t="s">
        <v>1409</v>
      </c>
      <c r="C38" s="1286"/>
      <c r="D38" s="1291"/>
      <c r="E38" s="1292"/>
      <c r="F38" s="1292"/>
      <c r="G38" s="1292">
        <v>10</v>
      </c>
      <c r="H38" s="1292">
        <v>3</v>
      </c>
      <c r="I38" s="1293">
        <v>13</v>
      </c>
      <c r="J38" s="1307"/>
      <c r="K38" s="1305" t="str">
        <f t="shared" si="5"/>
        <v xml:space="preserve"> 1 Total</v>
      </c>
      <c r="L38" s="1306">
        <f t="shared" si="1"/>
        <v>0</v>
      </c>
      <c r="M38" s="1306">
        <f t="shared" si="2"/>
        <v>0</v>
      </c>
      <c r="N38" s="1306">
        <f t="shared" si="3"/>
        <v>0</v>
      </c>
      <c r="O38" s="1306">
        <f t="shared" si="4"/>
        <v>13</v>
      </c>
      <c r="P38" s="1239"/>
    </row>
    <row r="39" spans="1:16">
      <c r="A39" s="1294"/>
      <c r="B39" s="1288">
        <v>1.25</v>
      </c>
      <c r="C39" s="1288" t="s">
        <v>1402</v>
      </c>
      <c r="D39" s="1291"/>
      <c r="E39" s="1292"/>
      <c r="F39" s="1292"/>
      <c r="G39" s="1292">
        <v>13</v>
      </c>
      <c r="H39" s="1292"/>
      <c r="I39" s="1293">
        <v>13</v>
      </c>
      <c r="J39" s="1307"/>
      <c r="K39" s="1305" t="str">
        <f t="shared" si="5"/>
        <v xml:space="preserve"> 1.25</v>
      </c>
      <c r="L39" s="1306">
        <f t="shared" si="1"/>
        <v>0</v>
      </c>
      <c r="M39" s="1306">
        <f t="shared" si="2"/>
        <v>0</v>
      </c>
      <c r="N39" s="1306">
        <f t="shared" si="3"/>
        <v>0</v>
      </c>
      <c r="O39" s="1306">
        <f t="shared" si="4"/>
        <v>13</v>
      </c>
      <c r="P39" s="1239"/>
    </row>
    <row r="40" spans="1:16">
      <c r="A40" s="1294"/>
      <c r="B40" s="1288" t="s">
        <v>1410</v>
      </c>
      <c r="C40" s="1286"/>
      <c r="D40" s="1291"/>
      <c r="E40" s="1292"/>
      <c r="F40" s="1292"/>
      <c r="G40" s="1292">
        <v>13</v>
      </c>
      <c r="H40" s="1292"/>
      <c r="I40" s="1293">
        <v>13</v>
      </c>
      <c r="J40" s="1307"/>
      <c r="K40" s="1305" t="str">
        <f t="shared" si="5"/>
        <v xml:space="preserve"> 1.25 Total</v>
      </c>
      <c r="L40" s="1306">
        <f t="shared" si="1"/>
        <v>0</v>
      </c>
      <c r="M40" s="1306">
        <f t="shared" si="2"/>
        <v>0</v>
      </c>
      <c r="N40" s="1306">
        <f t="shared" si="3"/>
        <v>0</v>
      </c>
      <c r="O40" s="1306">
        <f t="shared" si="4"/>
        <v>13</v>
      </c>
      <c r="P40" s="1239"/>
    </row>
    <row r="41" spans="1:16">
      <c r="A41" s="1294"/>
      <c r="B41" s="1288">
        <v>1.5</v>
      </c>
      <c r="C41" s="1288" t="s">
        <v>1402</v>
      </c>
      <c r="D41" s="1291"/>
      <c r="E41" s="1292"/>
      <c r="F41" s="1292"/>
      <c r="G41" s="1292">
        <v>2</v>
      </c>
      <c r="H41" s="1292">
        <v>1</v>
      </c>
      <c r="I41" s="1293">
        <v>3</v>
      </c>
      <c r="J41" s="1307"/>
      <c r="K41" s="1305" t="str">
        <f t="shared" si="5"/>
        <v xml:space="preserve"> 1.5</v>
      </c>
      <c r="L41" s="1306">
        <f t="shared" si="1"/>
        <v>0</v>
      </c>
      <c r="M41" s="1306">
        <f t="shared" si="2"/>
        <v>0</v>
      </c>
      <c r="N41" s="1306">
        <f t="shared" si="3"/>
        <v>0</v>
      </c>
      <c r="O41" s="1306">
        <f t="shared" si="4"/>
        <v>3</v>
      </c>
      <c r="P41" s="1239"/>
    </row>
    <row r="42" spans="1:16">
      <c r="A42" s="1294"/>
      <c r="B42" s="1288" t="s">
        <v>1418</v>
      </c>
      <c r="C42" s="1286"/>
      <c r="D42" s="1291"/>
      <c r="E42" s="1292"/>
      <c r="F42" s="1292"/>
      <c r="G42" s="1292">
        <v>2</v>
      </c>
      <c r="H42" s="1292">
        <v>1</v>
      </c>
      <c r="I42" s="1293">
        <v>3</v>
      </c>
      <c r="J42" s="1307"/>
      <c r="K42" s="1305" t="str">
        <f t="shared" si="5"/>
        <v xml:space="preserve"> 1.5 Total</v>
      </c>
      <c r="L42" s="1306">
        <f t="shared" si="1"/>
        <v>0</v>
      </c>
      <c r="M42" s="1306">
        <f t="shared" si="2"/>
        <v>0</v>
      </c>
      <c r="N42" s="1306">
        <f t="shared" si="3"/>
        <v>0</v>
      </c>
      <c r="O42" s="1306">
        <f t="shared" si="4"/>
        <v>3</v>
      </c>
      <c r="P42" s="1239"/>
    </row>
    <row r="43" spans="1:16">
      <c r="A43" s="1294"/>
      <c r="B43" s="1288">
        <v>2</v>
      </c>
      <c r="C43" s="1288" t="s">
        <v>1402</v>
      </c>
      <c r="D43" s="1291">
        <v>22</v>
      </c>
      <c r="E43" s="1292"/>
      <c r="F43" s="1292"/>
      <c r="G43" s="1292">
        <v>17</v>
      </c>
      <c r="H43" s="1292">
        <v>1</v>
      </c>
      <c r="I43" s="1293">
        <v>40</v>
      </c>
      <c r="J43" s="1307"/>
      <c r="K43" s="1305" t="str">
        <f t="shared" si="5"/>
        <v xml:space="preserve"> 2</v>
      </c>
      <c r="L43" s="1306">
        <f t="shared" si="1"/>
        <v>22</v>
      </c>
      <c r="M43" s="1306">
        <f t="shared" si="2"/>
        <v>0</v>
      </c>
      <c r="N43" s="1306">
        <f t="shared" si="3"/>
        <v>0</v>
      </c>
      <c r="O43" s="1306">
        <f t="shared" si="4"/>
        <v>18</v>
      </c>
      <c r="P43" s="1239"/>
    </row>
    <row r="44" spans="1:16">
      <c r="A44" s="1294"/>
      <c r="B44" s="1288" t="s">
        <v>1411</v>
      </c>
      <c r="C44" s="1286"/>
      <c r="D44" s="1291">
        <v>22</v>
      </c>
      <c r="E44" s="1292"/>
      <c r="F44" s="1292"/>
      <c r="G44" s="1292">
        <v>17</v>
      </c>
      <c r="H44" s="1292">
        <v>1</v>
      </c>
      <c r="I44" s="1293">
        <v>40</v>
      </c>
      <c r="J44" s="1307"/>
      <c r="K44" s="1305" t="str">
        <f t="shared" si="5"/>
        <v xml:space="preserve"> 2 Total</v>
      </c>
      <c r="L44" s="1306">
        <f t="shared" si="1"/>
        <v>22</v>
      </c>
      <c r="M44" s="1306">
        <f t="shared" si="2"/>
        <v>0</v>
      </c>
      <c r="N44" s="1306">
        <f t="shared" si="3"/>
        <v>0</v>
      </c>
      <c r="O44" s="1306">
        <f t="shared" si="4"/>
        <v>18</v>
      </c>
      <c r="P44" s="1239"/>
    </row>
    <row r="45" spans="1:16">
      <c r="A45" s="1294"/>
      <c r="B45" s="1288">
        <v>3</v>
      </c>
      <c r="C45" s="1288" t="s">
        <v>1402</v>
      </c>
      <c r="D45" s="1291"/>
      <c r="E45" s="1292"/>
      <c r="F45" s="1292"/>
      <c r="G45" s="1292">
        <v>12</v>
      </c>
      <c r="H45" s="1292">
        <v>2</v>
      </c>
      <c r="I45" s="1293">
        <v>14</v>
      </c>
      <c r="J45" s="1307"/>
      <c r="K45" s="1305" t="str">
        <f t="shared" si="5"/>
        <v xml:space="preserve"> 3</v>
      </c>
      <c r="L45" s="1306">
        <f t="shared" si="1"/>
        <v>0</v>
      </c>
      <c r="M45" s="1306">
        <f t="shared" si="2"/>
        <v>0</v>
      </c>
      <c r="N45" s="1306">
        <f t="shared" si="3"/>
        <v>0</v>
      </c>
      <c r="O45" s="1306">
        <f t="shared" si="4"/>
        <v>14</v>
      </c>
      <c r="P45" s="1239"/>
    </row>
    <row r="46" spans="1:16">
      <c r="A46" s="1294"/>
      <c r="B46" s="1288" t="s">
        <v>1413</v>
      </c>
      <c r="C46" s="1286"/>
      <c r="D46" s="1291"/>
      <c r="E46" s="1292"/>
      <c r="F46" s="1292"/>
      <c r="G46" s="1292">
        <v>12</v>
      </c>
      <c r="H46" s="1292">
        <v>2</v>
      </c>
      <c r="I46" s="1293">
        <v>14</v>
      </c>
      <c r="J46" s="1307"/>
      <c r="K46" s="1305" t="str">
        <f t="shared" si="5"/>
        <v xml:space="preserve"> 3 Total</v>
      </c>
      <c r="L46" s="1306">
        <f t="shared" si="1"/>
        <v>0</v>
      </c>
      <c r="M46" s="1306">
        <f t="shared" si="2"/>
        <v>0</v>
      </c>
      <c r="N46" s="1306">
        <f t="shared" si="3"/>
        <v>0</v>
      </c>
      <c r="O46" s="1306">
        <f t="shared" si="4"/>
        <v>14</v>
      </c>
      <c r="P46" s="1239"/>
    </row>
    <row r="47" spans="1:16">
      <c r="A47" s="1294"/>
      <c r="B47" s="1288">
        <v>4</v>
      </c>
      <c r="C47" s="1288" t="s">
        <v>1402</v>
      </c>
      <c r="D47" s="1291"/>
      <c r="E47" s="1292"/>
      <c r="F47" s="1292"/>
      <c r="G47" s="1292">
        <v>16</v>
      </c>
      <c r="H47" s="1292">
        <v>5</v>
      </c>
      <c r="I47" s="1293">
        <v>21</v>
      </c>
      <c r="J47" s="1307"/>
      <c r="K47" s="1305" t="str">
        <f t="shared" si="5"/>
        <v xml:space="preserve"> 4</v>
      </c>
      <c r="L47" s="1306">
        <f t="shared" si="1"/>
        <v>0</v>
      </c>
      <c r="M47" s="1306">
        <f t="shared" si="2"/>
        <v>0</v>
      </c>
      <c r="N47" s="1306">
        <f t="shared" si="3"/>
        <v>0</v>
      </c>
      <c r="O47" s="1306">
        <f t="shared" si="4"/>
        <v>21</v>
      </c>
      <c r="P47" s="1239"/>
    </row>
    <row r="48" spans="1:16">
      <c r="A48" s="1294"/>
      <c r="B48" s="1288" t="s">
        <v>1414</v>
      </c>
      <c r="C48" s="1286"/>
      <c r="D48" s="1291"/>
      <c r="E48" s="1292"/>
      <c r="F48" s="1292"/>
      <c r="G48" s="1292">
        <v>16</v>
      </c>
      <c r="H48" s="1292">
        <v>5</v>
      </c>
      <c r="I48" s="1293">
        <v>21</v>
      </c>
      <c r="J48" s="1307"/>
      <c r="K48" s="1305" t="str">
        <f t="shared" si="5"/>
        <v xml:space="preserve"> 4 Total</v>
      </c>
      <c r="L48" s="1306">
        <f t="shared" si="1"/>
        <v>0</v>
      </c>
      <c r="M48" s="1306">
        <f t="shared" si="2"/>
        <v>0</v>
      </c>
      <c r="N48" s="1306">
        <f t="shared" si="3"/>
        <v>0</v>
      </c>
      <c r="O48" s="1306">
        <f t="shared" si="4"/>
        <v>21</v>
      </c>
      <c r="P48" s="1239"/>
    </row>
    <row r="49" spans="1:16">
      <c r="A49" s="1294"/>
      <c r="B49" s="1288">
        <v>6</v>
      </c>
      <c r="C49" s="1288" t="s">
        <v>1402</v>
      </c>
      <c r="D49" s="1291"/>
      <c r="E49" s="1292"/>
      <c r="F49" s="1292"/>
      <c r="G49" s="1292">
        <v>11</v>
      </c>
      <c r="H49" s="1292">
        <v>3</v>
      </c>
      <c r="I49" s="1293">
        <v>14</v>
      </c>
      <c r="J49" s="1307"/>
      <c r="K49" s="1305" t="str">
        <f t="shared" si="5"/>
        <v xml:space="preserve"> 6</v>
      </c>
      <c r="L49" s="1306">
        <f t="shared" si="1"/>
        <v>0</v>
      </c>
      <c r="M49" s="1306">
        <f t="shared" si="2"/>
        <v>0</v>
      </c>
      <c r="N49" s="1306">
        <f t="shared" si="3"/>
        <v>0</v>
      </c>
      <c r="O49" s="1306">
        <f t="shared" si="4"/>
        <v>14</v>
      </c>
      <c r="P49" s="1239"/>
    </row>
    <row r="50" spans="1:16">
      <c r="A50" s="1294"/>
      <c r="B50" s="1288" t="s">
        <v>1415</v>
      </c>
      <c r="C50" s="1286"/>
      <c r="D50" s="1291"/>
      <c r="E50" s="1292"/>
      <c r="F50" s="1292"/>
      <c r="G50" s="1292">
        <v>11</v>
      </c>
      <c r="H50" s="1292">
        <v>3</v>
      </c>
      <c r="I50" s="1293">
        <v>14</v>
      </c>
      <c r="J50" s="1307"/>
      <c r="K50" s="1305" t="str">
        <f t="shared" si="5"/>
        <v xml:space="preserve"> 6 Total</v>
      </c>
      <c r="L50" s="1306">
        <f t="shared" si="1"/>
        <v>0</v>
      </c>
      <c r="M50" s="1306">
        <f t="shared" si="2"/>
        <v>0</v>
      </c>
      <c r="N50" s="1306">
        <f t="shared" si="3"/>
        <v>0</v>
      </c>
      <c r="O50" s="1306">
        <f t="shared" si="4"/>
        <v>14</v>
      </c>
      <c r="P50" s="1239"/>
    </row>
    <row r="51" spans="1:16">
      <c r="A51" s="1294"/>
      <c r="B51" s="1288">
        <v>8</v>
      </c>
      <c r="C51" s="1288" t="s">
        <v>1402</v>
      </c>
      <c r="D51" s="1291"/>
      <c r="E51" s="1292"/>
      <c r="F51" s="1292"/>
      <c r="G51" s="1292">
        <v>9</v>
      </c>
      <c r="H51" s="1292">
        <v>2</v>
      </c>
      <c r="I51" s="1293">
        <v>11</v>
      </c>
      <c r="J51" s="1307"/>
      <c r="K51" s="1305" t="str">
        <f t="shared" si="5"/>
        <v xml:space="preserve"> 8</v>
      </c>
      <c r="L51" s="1306">
        <f t="shared" si="1"/>
        <v>0</v>
      </c>
      <c r="M51" s="1306">
        <f t="shared" si="2"/>
        <v>0</v>
      </c>
      <c r="N51" s="1306">
        <f t="shared" si="3"/>
        <v>0</v>
      </c>
      <c r="O51" s="1306">
        <f t="shared" si="4"/>
        <v>11</v>
      </c>
    </row>
    <row r="52" spans="1:16">
      <c r="A52" s="1294"/>
      <c r="B52" s="1288" t="s">
        <v>1416</v>
      </c>
      <c r="C52" s="1286"/>
      <c r="D52" s="1291"/>
      <c r="E52" s="1292"/>
      <c r="F52" s="1292"/>
      <c r="G52" s="1292">
        <v>9</v>
      </c>
      <c r="H52" s="1292">
        <v>2</v>
      </c>
      <c r="I52" s="1293">
        <v>11</v>
      </c>
      <c r="J52" s="1307"/>
      <c r="K52" s="1305" t="str">
        <f t="shared" si="5"/>
        <v xml:space="preserve"> 8 Total</v>
      </c>
      <c r="L52" s="1306">
        <f t="shared" si="1"/>
        <v>0</v>
      </c>
      <c r="M52" s="1306">
        <f t="shared" si="2"/>
        <v>0</v>
      </c>
      <c r="N52" s="1306">
        <f t="shared" si="3"/>
        <v>0</v>
      </c>
      <c r="O52" s="1306">
        <f t="shared" si="4"/>
        <v>11</v>
      </c>
      <c r="P52" s="1239"/>
    </row>
    <row r="53" spans="1:16">
      <c r="A53" s="1288" t="s">
        <v>1419</v>
      </c>
      <c r="B53" s="1286"/>
      <c r="C53" s="1286"/>
      <c r="D53" s="1291">
        <v>22</v>
      </c>
      <c r="E53" s="1292"/>
      <c r="F53" s="1292"/>
      <c r="G53" s="1292">
        <v>90</v>
      </c>
      <c r="H53" s="1292">
        <v>17</v>
      </c>
      <c r="I53" s="1293">
        <v>129</v>
      </c>
      <c r="J53" s="1307"/>
      <c r="K53" s="1305" t="str">
        <f t="shared" si="5"/>
        <v xml:space="preserve">FR Total </v>
      </c>
      <c r="L53" s="1306">
        <f t="shared" si="1"/>
        <v>22</v>
      </c>
      <c r="M53" s="1306">
        <f t="shared" si="2"/>
        <v>0</v>
      </c>
      <c r="N53" s="1306">
        <f t="shared" si="3"/>
        <v>0</v>
      </c>
      <c r="O53" s="1306">
        <f t="shared" si="4"/>
        <v>107</v>
      </c>
      <c r="P53" s="1239"/>
    </row>
    <row r="54" spans="1:16">
      <c r="A54" s="1288" t="s">
        <v>433</v>
      </c>
      <c r="B54" s="1288">
        <v>10</v>
      </c>
      <c r="C54" s="1288" t="s">
        <v>1402</v>
      </c>
      <c r="D54" s="1291"/>
      <c r="E54" s="1292">
        <v>1</v>
      </c>
      <c r="F54" s="1292"/>
      <c r="G54" s="1292"/>
      <c r="H54" s="1292"/>
      <c r="I54" s="1293">
        <v>1</v>
      </c>
      <c r="J54" s="1307"/>
      <c r="K54" s="1305" t="str">
        <f t="shared" si="5"/>
        <v>IR 10</v>
      </c>
      <c r="L54" s="1306">
        <f t="shared" si="1"/>
        <v>0</v>
      </c>
      <c r="M54" s="1306">
        <f t="shared" si="2"/>
        <v>1</v>
      </c>
      <c r="N54" s="1306">
        <f t="shared" si="3"/>
        <v>0</v>
      </c>
      <c r="O54" s="1306">
        <f t="shared" si="4"/>
        <v>0</v>
      </c>
      <c r="P54" s="1239"/>
    </row>
    <row r="55" spans="1:16">
      <c r="A55" s="1294"/>
      <c r="B55" s="1288" t="s">
        <v>1420</v>
      </c>
      <c r="C55" s="1286"/>
      <c r="D55" s="1291"/>
      <c r="E55" s="1292">
        <v>1</v>
      </c>
      <c r="F55" s="1292"/>
      <c r="G55" s="1292"/>
      <c r="H55" s="1292"/>
      <c r="I55" s="1293">
        <v>1</v>
      </c>
      <c r="J55" s="1307"/>
      <c r="K55" s="1305" t="str">
        <f t="shared" si="5"/>
        <v xml:space="preserve"> 10 Total</v>
      </c>
      <c r="L55" s="1306">
        <f t="shared" si="1"/>
        <v>0</v>
      </c>
      <c r="M55" s="1306">
        <f t="shared" si="2"/>
        <v>1</v>
      </c>
      <c r="N55" s="1306">
        <f t="shared" si="3"/>
        <v>0</v>
      </c>
      <c r="O55" s="1306">
        <f t="shared" si="4"/>
        <v>0</v>
      </c>
      <c r="P55" s="1239"/>
    </row>
    <row r="56" spans="1:16">
      <c r="A56" s="1294"/>
      <c r="B56" s="1288">
        <v>12</v>
      </c>
      <c r="C56" s="1288" t="s">
        <v>1402</v>
      </c>
      <c r="D56" s="1291"/>
      <c r="E56" s="1292">
        <v>9</v>
      </c>
      <c r="F56" s="1292"/>
      <c r="G56" s="1292"/>
      <c r="H56" s="1292"/>
      <c r="I56" s="1293">
        <v>9</v>
      </c>
      <c r="J56" s="1307"/>
      <c r="K56" s="1305" t="str">
        <f t="shared" si="5"/>
        <v xml:space="preserve"> 12</v>
      </c>
      <c r="L56" s="1306">
        <f t="shared" si="1"/>
        <v>0</v>
      </c>
      <c r="M56" s="1306">
        <f t="shared" si="2"/>
        <v>9</v>
      </c>
      <c r="N56" s="1306">
        <f t="shared" si="3"/>
        <v>0</v>
      </c>
      <c r="O56" s="1306">
        <f t="shared" si="4"/>
        <v>0</v>
      </c>
      <c r="P56" s="1239"/>
    </row>
    <row r="57" spans="1:16">
      <c r="A57" s="1294"/>
      <c r="B57" s="1288" t="s">
        <v>1421</v>
      </c>
      <c r="C57" s="1286"/>
      <c r="D57" s="1291"/>
      <c r="E57" s="1292">
        <v>9</v>
      </c>
      <c r="F57" s="1292"/>
      <c r="G57" s="1292"/>
      <c r="H57" s="1292"/>
      <c r="I57" s="1293">
        <v>9</v>
      </c>
      <c r="J57" s="1307"/>
      <c r="K57" s="1305" t="str">
        <f t="shared" si="5"/>
        <v xml:space="preserve"> 12 Total</v>
      </c>
      <c r="L57" s="1306">
        <f t="shared" si="1"/>
        <v>0</v>
      </c>
      <c r="M57" s="1306">
        <f t="shared" si="2"/>
        <v>9</v>
      </c>
      <c r="N57" s="1306">
        <f t="shared" si="3"/>
        <v>0</v>
      </c>
      <c r="O57" s="1306">
        <f t="shared" si="4"/>
        <v>0</v>
      </c>
      <c r="P57" s="1239"/>
    </row>
    <row r="58" spans="1:16">
      <c r="A58" s="1294"/>
      <c r="B58" s="1288">
        <v>20</v>
      </c>
      <c r="C58" s="1288" t="s">
        <v>1402</v>
      </c>
      <c r="D58" s="1291"/>
      <c r="E58" s="1292">
        <v>6</v>
      </c>
      <c r="F58" s="1292"/>
      <c r="G58" s="1292"/>
      <c r="H58" s="1292"/>
      <c r="I58" s="1293">
        <v>6</v>
      </c>
      <c r="J58" s="1307"/>
      <c r="K58" s="1305" t="str">
        <f t="shared" si="5"/>
        <v xml:space="preserve"> 20</v>
      </c>
      <c r="L58" s="1306">
        <f t="shared" si="1"/>
        <v>0</v>
      </c>
      <c r="M58" s="1306">
        <f t="shared" si="2"/>
        <v>6</v>
      </c>
      <c r="N58" s="1306">
        <f t="shared" si="3"/>
        <v>0</v>
      </c>
      <c r="O58" s="1306">
        <f t="shared" si="4"/>
        <v>0</v>
      </c>
      <c r="P58" s="1239"/>
    </row>
    <row r="59" spans="1:16">
      <c r="A59" s="1294"/>
      <c r="B59" s="1288" t="s">
        <v>1422</v>
      </c>
      <c r="C59" s="1286"/>
      <c r="D59" s="1291"/>
      <c r="E59" s="1292">
        <v>6</v>
      </c>
      <c r="F59" s="1292"/>
      <c r="G59" s="1292"/>
      <c r="H59" s="1292"/>
      <c r="I59" s="1293">
        <v>6</v>
      </c>
      <c r="J59" s="1307"/>
      <c r="K59" s="1305" t="str">
        <f t="shared" si="5"/>
        <v xml:space="preserve"> 20 Total</v>
      </c>
      <c r="L59" s="1306">
        <f t="shared" si="1"/>
        <v>0</v>
      </c>
      <c r="M59" s="1306">
        <f t="shared" si="2"/>
        <v>6</v>
      </c>
      <c r="N59" s="1306">
        <f t="shared" si="3"/>
        <v>0</v>
      </c>
      <c r="O59" s="1306">
        <f t="shared" si="4"/>
        <v>0</v>
      </c>
      <c r="P59" s="1239"/>
    </row>
    <row r="60" spans="1:16">
      <c r="A60" s="1294"/>
      <c r="B60" s="1288">
        <v>25</v>
      </c>
      <c r="C60" s="1288" t="s">
        <v>1412</v>
      </c>
      <c r="D60" s="1291"/>
      <c r="E60" s="1292">
        <v>1</v>
      </c>
      <c r="F60" s="1292"/>
      <c r="G60" s="1292"/>
      <c r="H60" s="1292"/>
      <c r="I60" s="1293">
        <v>1</v>
      </c>
      <c r="J60" s="1307"/>
      <c r="K60" s="1305" t="str">
        <f t="shared" si="5"/>
        <v xml:space="preserve"> 25</v>
      </c>
      <c r="L60" s="1306">
        <f t="shared" si="1"/>
        <v>0</v>
      </c>
      <c r="M60" s="1306">
        <f t="shared" si="2"/>
        <v>1</v>
      </c>
      <c r="N60" s="1306">
        <f t="shared" si="3"/>
        <v>0</v>
      </c>
      <c r="O60" s="1306">
        <f t="shared" si="4"/>
        <v>0</v>
      </c>
      <c r="P60" s="1239"/>
    </row>
    <row r="61" spans="1:16">
      <c r="A61" s="1294"/>
      <c r="B61" s="1294"/>
      <c r="C61" s="1295" t="s">
        <v>1402</v>
      </c>
      <c r="D61" s="1296"/>
      <c r="E61" s="1054">
        <v>6</v>
      </c>
      <c r="F61" s="1054"/>
      <c r="G61" s="1054"/>
      <c r="H61" s="1054"/>
      <c r="I61" s="1297">
        <v>6</v>
      </c>
      <c r="J61" s="1307"/>
      <c r="K61" s="1305" t="str">
        <f t="shared" si="5"/>
        <v xml:space="preserve"> </v>
      </c>
      <c r="L61" s="1306">
        <f t="shared" si="1"/>
        <v>0</v>
      </c>
      <c r="M61" s="1306">
        <f t="shared" si="2"/>
        <v>6</v>
      </c>
      <c r="N61" s="1306">
        <f t="shared" si="3"/>
        <v>0</v>
      </c>
      <c r="O61" s="1306">
        <f t="shared" si="4"/>
        <v>0</v>
      </c>
      <c r="P61" s="1239"/>
    </row>
    <row r="62" spans="1:16">
      <c r="A62" s="1294"/>
      <c r="B62" s="1288" t="s">
        <v>1423</v>
      </c>
      <c r="C62" s="1286"/>
      <c r="D62" s="1291"/>
      <c r="E62" s="1292">
        <v>7</v>
      </c>
      <c r="F62" s="1292"/>
      <c r="G62" s="1292"/>
      <c r="H62" s="1292"/>
      <c r="I62" s="1293">
        <v>7</v>
      </c>
      <c r="J62" s="1307"/>
      <c r="K62" s="1305" t="str">
        <f t="shared" si="5"/>
        <v xml:space="preserve"> 25 Total</v>
      </c>
      <c r="L62" s="1306">
        <f t="shared" si="1"/>
        <v>0</v>
      </c>
      <c r="M62" s="1306">
        <f t="shared" si="2"/>
        <v>7</v>
      </c>
      <c r="N62" s="1306">
        <f t="shared" si="3"/>
        <v>0</v>
      </c>
      <c r="O62" s="1306">
        <f t="shared" si="4"/>
        <v>0</v>
      </c>
      <c r="P62" s="1239"/>
    </row>
    <row r="63" spans="1:16">
      <c r="A63" s="1294"/>
      <c r="B63" s="1288">
        <v>30</v>
      </c>
      <c r="C63" s="1288" t="s">
        <v>1412</v>
      </c>
      <c r="D63" s="1291"/>
      <c r="E63" s="1292">
        <v>1</v>
      </c>
      <c r="F63" s="1292"/>
      <c r="G63" s="1292"/>
      <c r="H63" s="1292"/>
      <c r="I63" s="1293">
        <v>1</v>
      </c>
      <c r="J63" s="1307"/>
      <c r="K63" s="1305" t="str">
        <f t="shared" si="5"/>
        <v xml:space="preserve"> 30</v>
      </c>
      <c r="L63" s="1306">
        <f t="shared" si="1"/>
        <v>0</v>
      </c>
      <c r="M63" s="1306">
        <f t="shared" si="2"/>
        <v>1</v>
      </c>
      <c r="N63" s="1306">
        <f t="shared" si="3"/>
        <v>0</v>
      </c>
      <c r="O63" s="1306">
        <f t="shared" si="4"/>
        <v>0</v>
      </c>
      <c r="P63" s="1239"/>
    </row>
    <row r="64" spans="1:16">
      <c r="A64" s="1294"/>
      <c r="B64" s="1294"/>
      <c r="C64" s="1295" t="s">
        <v>1402</v>
      </c>
      <c r="D64" s="1296"/>
      <c r="E64" s="1054">
        <v>12</v>
      </c>
      <c r="F64" s="1054"/>
      <c r="G64" s="1054"/>
      <c r="H64" s="1054"/>
      <c r="I64" s="1297">
        <v>12</v>
      </c>
      <c r="J64" s="1307"/>
      <c r="K64" s="1305" t="str">
        <f t="shared" si="5"/>
        <v xml:space="preserve"> </v>
      </c>
      <c r="L64" s="1306">
        <f t="shared" si="1"/>
        <v>0</v>
      </c>
      <c r="M64" s="1306">
        <f t="shared" si="2"/>
        <v>12</v>
      </c>
      <c r="N64" s="1306">
        <f t="shared" si="3"/>
        <v>0</v>
      </c>
      <c r="O64" s="1306">
        <f t="shared" si="4"/>
        <v>0</v>
      </c>
      <c r="P64" s="1239"/>
    </row>
    <row r="65" spans="1:16">
      <c r="A65" s="1294"/>
      <c r="B65" s="1288" t="s">
        <v>1424</v>
      </c>
      <c r="C65" s="1286"/>
      <c r="D65" s="1291"/>
      <c r="E65" s="1292">
        <v>13</v>
      </c>
      <c r="F65" s="1292"/>
      <c r="G65" s="1292"/>
      <c r="H65" s="1292"/>
      <c r="I65" s="1293">
        <v>13</v>
      </c>
      <c r="J65" s="1307"/>
      <c r="K65" s="1305" t="str">
        <f t="shared" si="5"/>
        <v xml:space="preserve"> 30 Total</v>
      </c>
      <c r="L65" s="1306">
        <f t="shared" si="1"/>
        <v>0</v>
      </c>
      <c r="M65" s="1306">
        <f t="shared" si="2"/>
        <v>13</v>
      </c>
      <c r="N65" s="1306">
        <f t="shared" si="3"/>
        <v>0</v>
      </c>
      <c r="O65" s="1306">
        <f t="shared" si="4"/>
        <v>0</v>
      </c>
    </row>
    <row r="66" spans="1:16">
      <c r="A66" s="1294"/>
      <c r="B66" s="1288">
        <v>40</v>
      </c>
      <c r="C66" s="1288" t="s">
        <v>1412</v>
      </c>
      <c r="D66" s="1291"/>
      <c r="E66" s="1292">
        <v>1</v>
      </c>
      <c r="F66" s="1292"/>
      <c r="G66" s="1292"/>
      <c r="H66" s="1292"/>
      <c r="I66" s="1293">
        <v>1</v>
      </c>
      <c r="J66" s="1307"/>
      <c r="K66" s="1305" t="str">
        <f t="shared" si="5"/>
        <v xml:space="preserve"> 40</v>
      </c>
      <c r="L66" s="1306">
        <f t="shared" si="1"/>
        <v>0</v>
      </c>
      <c r="M66" s="1306">
        <f t="shared" si="2"/>
        <v>1</v>
      </c>
      <c r="N66" s="1306">
        <f t="shared" si="3"/>
        <v>0</v>
      </c>
      <c r="O66" s="1306">
        <f t="shared" si="4"/>
        <v>0</v>
      </c>
      <c r="P66" s="1239"/>
    </row>
    <row r="67" spans="1:16">
      <c r="A67" s="1294"/>
      <c r="B67" s="1294"/>
      <c r="C67" s="1295" t="s">
        <v>1402</v>
      </c>
      <c r="D67" s="1296"/>
      <c r="E67" s="1054">
        <v>6</v>
      </c>
      <c r="F67" s="1054"/>
      <c r="G67" s="1054"/>
      <c r="H67" s="1054"/>
      <c r="I67" s="1297">
        <v>6</v>
      </c>
      <c r="J67" s="1307"/>
      <c r="K67" s="1305" t="str">
        <f t="shared" si="5"/>
        <v xml:space="preserve"> </v>
      </c>
      <c r="L67" s="1306">
        <f t="shared" si="1"/>
        <v>0</v>
      </c>
      <c r="M67" s="1306">
        <f t="shared" si="2"/>
        <v>6</v>
      </c>
      <c r="N67" s="1306">
        <f t="shared" si="3"/>
        <v>0</v>
      </c>
      <c r="O67" s="1306">
        <f t="shared" si="4"/>
        <v>0</v>
      </c>
      <c r="P67" s="1239"/>
    </row>
    <row r="68" spans="1:16">
      <c r="A68" s="1294"/>
      <c r="B68" s="1288" t="s">
        <v>1425</v>
      </c>
      <c r="C68" s="1286"/>
      <c r="D68" s="1291"/>
      <c r="E68" s="1292">
        <v>7</v>
      </c>
      <c r="F68" s="1292"/>
      <c r="G68" s="1292"/>
      <c r="H68" s="1292"/>
      <c r="I68" s="1293">
        <v>7</v>
      </c>
      <c r="J68" s="1307"/>
      <c r="K68" s="1305" t="str">
        <f t="shared" si="5"/>
        <v xml:space="preserve"> 40 Total</v>
      </c>
      <c r="L68" s="1306">
        <f t="shared" si="1"/>
        <v>0</v>
      </c>
      <c r="M68" s="1306">
        <f t="shared" si="2"/>
        <v>7</v>
      </c>
      <c r="N68" s="1306">
        <f t="shared" si="3"/>
        <v>0</v>
      </c>
      <c r="O68" s="1306">
        <f t="shared" si="4"/>
        <v>0</v>
      </c>
      <c r="P68" s="1239"/>
    </row>
    <row r="69" spans="1:16">
      <c r="A69" s="1288" t="s">
        <v>1426</v>
      </c>
      <c r="B69" s="1286"/>
      <c r="C69" s="1286"/>
      <c r="D69" s="1291"/>
      <c r="E69" s="1292">
        <v>43</v>
      </c>
      <c r="F69" s="1292"/>
      <c r="G69" s="1292"/>
      <c r="H69" s="1292"/>
      <c r="I69" s="1293">
        <v>43</v>
      </c>
      <c r="J69" s="1307"/>
      <c r="K69" s="1305" t="str">
        <f t="shared" si="5"/>
        <v xml:space="preserve">IR Total </v>
      </c>
      <c r="L69" s="1306">
        <f t="shared" si="1"/>
        <v>0</v>
      </c>
      <c r="M69" s="1306">
        <f t="shared" si="2"/>
        <v>43</v>
      </c>
      <c r="N69" s="1306">
        <f t="shared" si="3"/>
        <v>0</v>
      </c>
      <c r="O69" s="1306">
        <f t="shared" si="4"/>
        <v>0</v>
      </c>
      <c r="P69" s="1239"/>
    </row>
    <row r="70" spans="1:16">
      <c r="A70" s="1288" t="s">
        <v>434</v>
      </c>
      <c r="B70" s="1288">
        <v>0.16</v>
      </c>
      <c r="C70" s="1288" t="s">
        <v>1402</v>
      </c>
      <c r="D70" s="1291"/>
      <c r="E70" s="1292"/>
      <c r="F70" s="1292">
        <v>111</v>
      </c>
      <c r="G70" s="1292"/>
      <c r="H70" s="1292"/>
      <c r="I70" s="1293">
        <v>111</v>
      </c>
      <c r="J70" s="1307"/>
      <c r="K70" s="1305" t="str">
        <f t="shared" ref="K70:K96" si="6">+A70&amp;" "&amp;B70</f>
        <v>RC 0.16</v>
      </c>
      <c r="L70" s="1306">
        <f t="shared" ref="L70:L96" si="7">SUM(D70)</f>
        <v>0</v>
      </c>
      <c r="M70" s="1306">
        <f t="shared" ref="M70:M96" si="8">SUM(E70)</f>
        <v>0</v>
      </c>
      <c r="N70" s="1306">
        <f t="shared" ref="N70:N96" si="9">SUM(F70)</f>
        <v>111</v>
      </c>
      <c r="O70" s="1306">
        <f t="shared" ref="O70:O77" si="10">SUM(G70:H70)</f>
        <v>0</v>
      </c>
      <c r="P70" s="1239"/>
    </row>
    <row r="71" spans="1:16">
      <c r="A71" s="1294"/>
      <c r="B71" s="1288" t="s">
        <v>1403</v>
      </c>
      <c r="C71" s="1286"/>
      <c r="D71" s="1291"/>
      <c r="E71" s="1292"/>
      <c r="F71" s="1292">
        <v>111</v>
      </c>
      <c r="G71" s="1292"/>
      <c r="H71" s="1292"/>
      <c r="I71" s="1293">
        <v>111</v>
      </c>
      <c r="J71" s="1307"/>
      <c r="K71" s="1305" t="str">
        <f t="shared" si="6"/>
        <v xml:space="preserve"> 0.16 Total</v>
      </c>
      <c r="L71" s="1306">
        <f t="shared" si="7"/>
        <v>0</v>
      </c>
      <c r="M71" s="1306">
        <f t="shared" si="8"/>
        <v>0</v>
      </c>
      <c r="N71" s="1306">
        <f t="shared" si="9"/>
        <v>111</v>
      </c>
      <c r="O71" s="1306">
        <f t="shared" si="10"/>
        <v>0</v>
      </c>
      <c r="P71" s="1239"/>
    </row>
    <row r="72" spans="1:16">
      <c r="A72" s="1294"/>
      <c r="B72" s="1288">
        <v>0.3</v>
      </c>
      <c r="C72" s="1288" t="s">
        <v>1402</v>
      </c>
      <c r="D72" s="1291"/>
      <c r="E72" s="1292"/>
      <c r="F72" s="1292">
        <v>980</v>
      </c>
      <c r="G72" s="1292">
        <v>4</v>
      </c>
      <c r="H72" s="1292">
        <v>1</v>
      </c>
      <c r="I72" s="1293">
        <v>985</v>
      </c>
      <c r="J72" s="1307"/>
      <c r="K72" s="1305" t="str">
        <f t="shared" si="6"/>
        <v xml:space="preserve"> 0.3</v>
      </c>
      <c r="L72" s="1306">
        <f t="shared" si="7"/>
        <v>0</v>
      </c>
      <c r="M72" s="1306">
        <f t="shared" si="8"/>
        <v>0</v>
      </c>
      <c r="N72" s="1306">
        <f t="shared" si="9"/>
        <v>980</v>
      </c>
      <c r="O72" s="1306">
        <f t="shared" si="10"/>
        <v>5</v>
      </c>
    </row>
    <row r="73" spans="1:16">
      <c r="A73" s="1294"/>
      <c r="B73" s="1288" t="s">
        <v>1404</v>
      </c>
      <c r="C73" s="1286"/>
      <c r="D73" s="1291"/>
      <c r="E73" s="1292"/>
      <c r="F73" s="1292">
        <v>980</v>
      </c>
      <c r="G73" s="1292">
        <v>4</v>
      </c>
      <c r="H73" s="1292">
        <v>1</v>
      </c>
      <c r="I73" s="1293">
        <v>985</v>
      </c>
      <c r="J73" s="1307"/>
      <c r="K73" s="1305" t="str">
        <f t="shared" si="6"/>
        <v xml:space="preserve"> 0.3 Total</v>
      </c>
      <c r="L73" s="1306">
        <f t="shared" si="7"/>
        <v>0</v>
      </c>
      <c r="M73" s="1306">
        <f t="shared" si="8"/>
        <v>0</v>
      </c>
      <c r="N73" s="1306">
        <f t="shared" si="9"/>
        <v>980</v>
      </c>
      <c r="O73" s="1306">
        <f t="shared" si="10"/>
        <v>5</v>
      </c>
      <c r="P73" s="1239"/>
    </row>
    <row r="74" spans="1:16">
      <c r="A74" s="1294"/>
      <c r="B74" s="1288">
        <v>0.45</v>
      </c>
      <c r="C74" s="1288" t="s">
        <v>1402</v>
      </c>
      <c r="D74" s="1291"/>
      <c r="E74" s="1292"/>
      <c r="F74" s="1292">
        <v>9674</v>
      </c>
      <c r="G74" s="1292">
        <v>55</v>
      </c>
      <c r="H74" s="1292">
        <v>7</v>
      </c>
      <c r="I74" s="1293">
        <v>9736</v>
      </c>
      <c r="J74" s="1307"/>
      <c r="K74" s="1305" t="str">
        <f t="shared" si="6"/>
        <v xml:space="preserve"> 0.45</v>
      </c>
      <c r="L74" s="1306">
        <f t="shared" si="7"/>
        <v>0</v>
      </c>
      <c r="M74" s="1306">
        <f t="shared" si="8"/>
        <v>0</v>
      </c>
      <c r="N74" s="1306">
        <f t="shared" si="9"/>
        <v>9674</v>
      </c>
      <c r="O74" s="1306">
        <f t="shared" si="10"/>
        <v>62</v>
      </c>
      <c r="P74" s="1239"/>
    </row>
    <row r="75" spans="1:16">
      <c r="A75" s="1294"/>
      <c r="B75" s="1288" t="s">
        <v>1405</v>
      </c>
      <c r="C75" s="1286"/>
      <c r="D75" s="1291"/>
      <c r="E75" s="1292"/>
      <c r="F75" s="1292">
        <v>9674</v>
      </c>
      <c r="G75" s="1292">
        <v>55</v>
      </c>
      <c r="H75" s="1292">
        <v>7</v>
      </c>
      <c r="I75" s="1293">
        <v>9736</v>
      </c>
      <c r="J75" s="1307"/>
      <c r="K75" s="1305" t="str">
        <f t="shared" si="6"/>
        <v xml:space="preserve"> 0.45 Total</v>
      </c>
      <c r="L75" s="1306">
        <f t="shared" si="7"/>
        <v>0</v>
      </c>
      <c r="M75" s="1306">
        <f t="shared" si="8"/>
        <v>0</v>
      </c>
      <c r="N75" s="1306">
        <f t="shared" si="9"/>
        <v>9674</v>
      </c>
      <c r="O75" s="1306">
        <f t="shared" si="10"/>
        <v>62</v>
      </c>
      <c r="P75" s="1239"/>
    </row>
    <row r="76" spans="1:16">
      <c r="A76" s="1288" t="s">
        <v>1427</v>
      </c>
      <c r="B76" s="1286"/>
      <c r="C76" s="1286"/>
      <c r="D76" s="1291"/>
      <c r="E76" s="1292"/>
      <c r="F76" s="1292">
        <v>10765</v>
      </c>
      <c r="G76" s="1292">
        <v>59</v>
      </c>
      <c r="H76" s="1292">
        <v>8</v>
      </c>
      <c r="I76" s="1293">
        <v>10832</v>
      </c>
      <c r="J76" s="1307"/>
      <c r="K76" s="1305" t="str">
        <f t="shared" si="6"/>
        <v xml:space="preserve">RC Total </v>
      </c>
      <c r="L76" s="1306">
        <f t="shared" si="7"/>
        <v>0</v>
      </c>
      <c r="M76" s="1306">
        <f t="shared" si="8"/>
        <v>0</v>
      </c>
      <c r="N76" s="1306">
        <f t="shared" si="9"/>
        <v>10765</v>
      </c>
      <c r="O76" s="1306">
        <f t="shared" si="10"/>
        <v>67</v>
      </c>
      <c r="P76" s="1239"/>
    </row>
    <row r="77" spans="1:16">
      <c r="A77" s="1288" t="s">
        <v>430</v>
      </c>
      <c r="B77" s="1288">
        <v>20</v>
      </c>
      <c r="C77" s="1288" t="s">
        <v>1412</v>
      </c>
      <c r="D77" s="1291"/>
      <c r="E77" s="1292">
        <v>3</v>
      </c>
      <c r="F77" s="1292"/>
      <c r="G77" s="1292"/>
      <c r="H77" s="1292"/>
      <c r="I77" s="1293">
        <v>3</v>
      </c>
      <c r="J77" s="1307"/>
      <c r="K77" s="1305" t="str">
        <f t="shared" si="6"/>
        <v>RO 20</v>
      </c>
      <c r="L77" s="1306">
        <f t="shared" si="7"/>
        <v>0</v>
      </c>
      <c r="M77" s="1306">
        <f t="shared" si="8"/>
        <v>3</v>
      </c>
      <c r="N77" s="1306">
        <f t="shared" si="9"/>
        <v>0</v>
      </c>
      <c r="O77" s="1306">
        <f t="shared" si="10"/>
        <v>0</v>
      </c>
      <c r="P77" s="1239"/>
    </row>
    <row r="78" spans="1:16">
      <c r="A78" s="1294"/>
      <c r="B78" s="1288" t="s">
        <v>1422</v>
      </c>
      <c r="C78" s="1286"/>
      <c r="D78" s="1291"/>
      <c r="E78" s="1292">
        <v>3</v>
      </c>
      <c r="F78" s="1292"/>
      <c r="G78" s="1292"/>
      <c r="H78" s="1292"/>
      <c r="I78" s="1293">
        <v>3</v>
      </c>
      <c r="J78" s="1307"/>
      <c r="K78" s="1305" t="str">
        <f t="shared" si="6"/>
        <v xml:space="preserve"> 20 Total</v>
      </c>
      <c r="L78" s="1306">
        <f t="shared" si="7"/>
        <v>0</v>
      </c>
      <c r="M78" s="1306">
        <f t="shared" si="8"/>
        <v>3</v>
      </c>
      <c r="N78" s="1306">
        <f t="shared" si="9"/>
        <v>0</v>
      </c>
      <c r="O78" s="1306">
        <f>SUM(G78:H78)</f>
        <v>0</v>
      </c>
      <c r="P78" s="1239"/>
    </row>
    <row r="79" spans="1:16">
      <c r="A79" s="1294"/>
      <c r="B79" s="1288">
        <v>25</v>
      </c>
      <c r="C79" s="1288" t="s">
        <v>1412</v>
      </c>
      <c r="D79" s="1291"/>
      <c r="E79" s="1292">
        <v>1</v>
      </c>
      <c r="F79" s="1292"/>
      <c r="G79" s="1292"/>
      <c r="H79" s="1292"/>
      <c r="I79" s="1293">
        <v>1</v>
      </c>
      <c r="J79" s="1307"/>
      <c r="K79" s="1305" t="str">
        <f t="shared" si="6"/>
        <v xml:space="preserve"> 25</v>
      </c>
      <c r="L79" s="1306">
        <f t="shared" si="7"/>
        <v>0</v>
      </c>
      <c r="M79" s="1306">
        <f t="shared" si="8"/>
        <v>1</v>
      </c>
      <c r="N79" s="1306">
        <f t="shared" si="9"/>
        <v>0</v>
      </c>
      <c r="O79" s="1306">
        <f t="shared" ref="O79:O104" si="11">SUM(G79:H79)</f>
        <v>0</v>
      </c>
      <c r="P79" s="1239"/>
    </row>
    <row r="80" spans="1:16">
      <c r="A80" s="1294"/>
      <c r="B80" s="1288" t="s">
        <v>1423</v>
      </c>
      <c r="C80" s="1286"/>
      <c r="D80" s="1291"/>
      <c r="E80" s="1292">
        <v>1</v>
      </c>
      <c r="F80" s="1292"/>
      <c r="G80" s="1292"/>
      <c r="H80" s="1292"/>
      <c r="I80" s="1293">
        <v>1</v>
      </c>
      <c r="J80" s="1307"/>
      <c r="K80" s="1305" t="str">
        <f t="shared" si="6"/>
        <v xml:space="preserve"> 25 Total</v>
      </c>
      <c r="L80" s="1306">
        <f t="shared" si="7"/>
        <v>0</v>
      </c>
      <c r="M80" s="1306">
        <f t="shared" si="8"/>
        <v>1</v>
      </c>
      <c r="N80" s="1306">
        <f t="shared" si="9"/>
        <v>0</v>
      </c>
      <c r="O80" s="1306">
        <f t="shared" si="11"/>
        <v>0</v>
      </c>
    </row>
    <row r="81" spans="1:16">
      <c r="A81" s="1294"/>
      <c r="B81" s="1288">
        <v>30</v>
      </c>
      <c r="C81" s="1288" t="s">
        <v>1412</v>
      </c>
      <c r="D81" s="1291"/>
      <c r="E81" s="1292">
        <v>2</v>
      </c>
      <c r="F81" s="1292"/>
      <c r="G81" s="1292"/>
      <c r="H81" s="1292"/>
      <c r="I81" s="1293">
        <v>2</v>
      </c>
      <c r="J81" s="1307"/>
      <c r="K81" s="1305" t="str">
        <f t="shared" si="6"/>
        <v xml:space="preserve"> 30</v>
      </c>
      <c r="L81" s="1306">
        <f t="shared" si="7"/>
        <v>0</v>
      </c>
      <c r="M81" s="1306">
        <f t="shared" si="8"/>
        <v>2</v>
      </c>
      <c r="N81" s="1306">
        <f t="shared" si="9"/>
        <v>0</v>
      </c>
      <c r="O81" s="1306">
        <f t="shared" si="11"/>
        <v>0</v>
      </c>
      <c r="P81" s="1239"/>
    </row>
    <row r="82" spans="1:16">
      <c r="A82" s="1294"/>
      <c r="B82" s="1294"/>
      <c r="C82" s="1295" t="s">
        <v>1402</v>
      </c>
      <c r="D82" s="1296"/>
      <c r="E82" s="1054">
        <v>2</v>
      </c>
      <c r="F82" s="1054"/>
      <c r="G82" s="1054"/>
      <c r="H82" s="1054"/>
      <c r="I82" s="1297">
        <v>2</v>
      </c>
      <c r="J82" s="1307"/>
      <c r="K82" s="1305" t="str">
        <f t="shared" si="6"/>
        <v xml:space="preserve"> </v>
      </c>
      <c r="L82" s="1306">
        <f t="shared" si="7"/>
        <v>0</v>
      </c>
      <c r="M82" s="1306">
        <f t="shared" si="8"/>
        <v>2</v>
      </c>
      <c r="N82" s="1306">
        <f t="shared" si="9"/>
        <v>0</v>
      </c>
      <c r="O82" s="1306">
        <f t="shared" si="11"/>
        <v>0</v>
      </c>
      <c r="P82" s="1239"/>
    </row>
    <row r="83" spans="1:16">
      <c r="A83" s="1294"/>
      <c r="B83" s="1288" t="s">
        <v>1424</v>
      </c>
      <c r="C83" s="1286"/>
      <c r="D83" s="1291"/>
      <c r="E83" s="1292">
        <v>4</v>
      </c>
      <c r="F83" s="1292"/>
      <c r="G83" s="1292"/>
      <c r="H83" s="1292"/>
      <c r="I83" s="1293">
        <v>4</v>
      </c>
      <c r="J83" s="1307"/>
      <c r="K83" s="1305" t="str">
        <f t="shared" si="6"/>
        <v xml:space="preserve"> 30 Total</v>
      </c>
      <c r="L83" s="1306">
        <f t="shared" si="7"/>
        <v>0</v>
      </c>
      <c r="M83" s="1306">
        <f t="shared" si="8"/>
        <v>4</v>
      </c>
      <c r="N83" s="1306">
        <f t="shared" si="9"/>
        <v>0</v>
      </c>
      <c r="O83" s="1306">
        <f t="shared" si="11"/>
        <v>0</v>
      </c>
      <c r="P83" s="1239"/>
    </row>
    <row r="84" spans="1:16">
      <c r="A84" s="1294"/>
      <c r="B84" s="1288">
        <v>40</v>
      </c>
      <c r="C84" s="1288" t="s">
        <v>1402</v>
      </c>
      <c r="D84" s="1291"/>
      <c r="E84" s="1292">
        <v>6</v>
      </c>
      <c r="F84" s="1292"/>
      <c r="G84" s="1292"/>
      <c r="H84" s="1292"/>
      <c r="I84" s="1293">
        <v>6</v>
      </c>
      <c r="J84" s="1307"/>
      <c r="K84" s="1305" t="str">
        <f t="shared" si="6"/>
        <v xml:space="preserve"> 40</v>
      </c>
      <c r="L84" s="1306">
        <f t="shared" si="7"/>
        <v>0</v>
      </c>
      <c r="M84" s="1306">
        <f t="shared" si="8"/>
        <v>6</v>
      </c>
      <c r="N84" s="1306">
        <f t="shared" si="9"/>
        <v>0</v>
      </c>
      <c r="O84" s="1306">
        <f t="shared" si="11"/>
        <v>0</v>
      </c>
      <c r="P84" s="1239"/>
    </row>
    <row r="85" spans="1:16">
      <c r="A85" s="1294"/>
      <c r="B85" s="1288" t="s">
        <v>1425</v>
      </c>
      <c r="C85" s="1286"/>
      <c r="D85" s="1291"/>
      <c r="E85" s="1292">
        <v>6</v>
      </c>
      <c r="F85" s="1292"/>
      <c r="G85" s="1292"/>
      <c r="H85" s="1292"/>
      <c r="I85" s="1293">
        <v>6</v>
      </c>
      <c r="J85" s="1307"/>
      <c r="K85" s="1305" t="str">
        <f t="shared" si="6"/>
        <v xml:space="preserve"> 40 Total</v>
      </c>
      <c r="L85" s="1306">
        <f t="shared" si="7"/>
        <v>0</v>
      </c>
      <c r="M85" s="1306">
        <f t="shared" si="8"/>
        <v>6</v>
      </c>
      <c r="N85" s="1306">
        <f t="shared" si="9"/>
        <v>0</v>
      </c>
      <c r="O85" s="1306">
        <f t="shared" si="11"/>
        <v>0</v>
      </c>
      <c r="P85" s="1239"/>
    </row>
    <row r="86" spans="1:16">
      <c r="A86" s="1288" t="s">
        <v>1428</v>
      </c>
      <c r="B86" s="1286"/>
      <c r="C86" s="1286"/>
      <c r="D86" s="1291"/>
      <c r="E86" s="1292">
        <v>14</v>
      </c>
      <c r="F86" s="1292"/>
      <c r="G86" s="1292"/>
      <c r="H86" s="1292"/>
      <c r="I86" s="1293">
        <v>14</v>
      </c>
      <c r="J86" s="1307"/>
      <c r="K86" s="1305" t="str">
        <f t="shared" si="6"/>
        <v xml:space="preserve">RO Total </v>
      </c>
      <c r="L86" s="1306">
        <f t="shared" si="7"/>
        <v>0</v>
      </c>
      <c r="M86" s="1306">
        <f t="shared" si="8"/>
        <v>14</v>
      </c>
      <c r="N86" s="1306">
        <f t="shared" si="9"/>
        <v>0</v>
      </c>
      <c r="O86" s="1306">
        <f t="shared" si="11"/>
        <v>0</v>
      </c>
      <c r="P86" s="1239"/>
    </row>
    <row r="87" spans="1:16">
      <c r="A87" s="1288" t="s">
        <v>680</v>
      </c>
      <c r="B87" s="1288">
        <v>2</v>
      </c>
      <c r="C87" s="1288" t="s">
        <v>1402</v>
      </c>
      <c r="D87" s="1291"/>
      <c r="E87" s="1292"/>
      <c r="F87" s="1292"/>
      <c r="G87" s="1292">
        <v>1</v>
      </c>
      <c r="H87" s="1292"/>
      <c r="I87" s="1293">
        <v>1</v>
      </c>
      <c r="J87" s="1307"/>
      <c r="K87" s="1305" t="str">
        <f t="shared" si="6"/>
        <v>RR 2</v>
      </c>
      <c r="L87" s="1306">
        <f t="shared" si="7"/>
        <v>0</v>
      </c>
      <c r="M87" s="1306">
        <f t="shared" si="8"/>
        <v>0</v>
      </c>
      <c r="N87" s="1306">
        <f t="shared" si="9"/>
        <v>0</v>
      </c>
      <c r="O87" s="1306">
        <f t="shared" si="11"/>
        <v>1</v>
      </c>
    </row>
    <row r="88" spans="1:16">
      <c r="A88" s="1294"/>
      <c r="B88" s="1288" t="s">
        <v>1411</v>
      </c>
      <c r="C88" s="1286"/>
      <c r="D88" s="1291"/>
      <c r="E88" s="1292"/>
      <c r="F88" s="1292"/>
      <c r="G88" s="1292">
        <v>1</v>
      </c>
      <c r="H88" s="1292"/>
      <c r="I88" s="1293">
        <v>1</v>
      </c>
      <c r="J88" s="1307"/>
      <c r="K88" s="1305" t="str">
        <f t="shared" si="6"/>
        <v xml:space="preserve"> 2 Total</v>
      </c>
      <c r="L88" s="1306">
        <f t="shared" si="7"/>
        <v>0</v>
      </c>
      <c r="M88" s="1306">
        <f t="shared" si="8"/>
        <v>0</v>
      </c>
      <c r="N88" s="1306">
        <f t="shared" si="9"/>
        <v>0</v>
      </c>
      <c r="O88" s="1306">
        <f t="shared" si="11"/>
        <v>1</v>
      </c>
      <c r="P88" s="1239"/>
    </row>
    <row r="89" spans="1:16">
      <c r="A89" s="1294"/>
      <c r="B89" s="1288">
        <v>4</v>
      </c>
      <c r="C89" s="1288" t="s">
        <v>1402</v>
      </c>
      <c r="D89" s="1291"/>
      <c r="E89" s="1292"/>
      <c r="F89" s="1292"/>
      <c r="G89" s="1292">
        <v>1</v>
      </c>
      <c r="H89" s="1292"/>
      <c r="I89" s="1293">
        <v>1</v>
      </c>
      <c r="J89" s="1307"/>
      <c r="K89" s="1305" t="str">
        <f t="shared" si="6"/>
        <v xml:space="preserve"> 4</v>
      </c>
      <c r="L89" s="1306">
        <f t="shared" si="7"/>
        <v>0</v>
      </c>
      <c r="M89" s="1306">
        <f t="shared" si="8"/>
        <v>0</v>
      </c>
      <c r="N89" s="1306">
        <f t="shared" si="9"/>
        <v>0</v>
      </c>
      <c r="O89" s="1306">
        <f t="shared" si="11"/>
        <v>1</v>
      </c>
      <c r="P89" s="1239"/>
    </row>
    <row r="90" spans="1:16">
      <c r="A90" s="1294"/>
      <c r="B90" s="1288" t="s">
        <v>1414</v>
      </c>
      <c r="C90" s="1286"/>
      <c r="D90" s="1291"/>
      <c r="E90" s="1292"/>
      <c r="F90" s="1292"/>
      <c r="G90" s="1292">
        <v>1</v>
      </c>
      <c r="H90" s="1292"/>
      <c r="I90" s="1293">
        <v>1</v>
      </c>
      <c r="J90" s="1307"/>
      <c r="K90" s="1305" t="str">
        <f t="shared" si="6"/>
        <v xml:space="preserve"> 4 Total</v>
      </c>
      <c r="L90" s="1306">
        <f t="shared" si="7"/>
        <v>0</v>
      </c>
      <c r="M90" s="1306">
        <f t="shared" si="8"/>
        <v>0</v>
      </c>
      <c r="N90" s="1306">
        <f t="shared" si="9"/>
        <v>0</v>
      </c>
      <c r="O90" s="1306">
        <f t="shared" si="11"/>
        <v>1</v>
      </c>
    </row>
    <row r="91" spans="1:16">
      <c r="A91" s="1294"/>
      <c r="B91" s="1288">
        <v>6</v>
      </c>
      <c r="C91" s="1288" t="s">
        <v>1402</v>
      </c>
      <c r="D91" s="1291"/>
      <c r="E91" s="1292"/>
      <c r="F91" s="1292"/>
      <c r="G91" s="1292">
        <v>1</v>
      </c>
      <c r="H91" s="1292"/>
      <c r="I91" s="1293">
        <v>1</v>
      </c>
      <c r="J91" s="1307"/>
      <c r="K91" s="1305" t="str">
        <f t="shared" si="6"/>
        <v xml:space="preserve"> 6</v>
      </c>
      <c r="L91" s="1306">
        <f t="shared" si="7"/>
        <v>0</v>
      </c>
      <c r="M91" s="1306">
        <f t="shared" si="8"/>
        <v>0</v>
      </c>
      <c r="N91" s="1306">
        <f t="shared" si="9"/>
        <v>0</v>
      </c>
      <c r="O91" s="1306">
        <f t="shared" si="11"/>
        <v>1</v>
      </c>
      <c r="P91" s="1239"/>
    </row>
    <row r="92" spans="1:16">
      <c r="A92" s="1294"/>
      <c r="B92" s="1288" t="s">
        <v>1415</v>
      </c>
      <c r="C92" s="1286"/>
      <c r="D92" s="1291"/>
      <c r="E92" s="1292"/>
      <c r="F92" s="1292"/>
      <c r="G92" s="1292">
        <v>1</v>
      </c>
      <c r="H92" s="1292"/>
      <c r="I92" s="1293">
        <v>1</v>
      </c>
      <c r="J92" s="1307"/>
      <c r="K92" s="1305" t="str">
        <f t="shared" si="6"/>
        <v xml:space="preserve"> 6 Total</v>
      </c>
      <c r="L92" s="1306">
        <f t="shared" si="7"/>
        <v>0</v>
      </c>
      <c r="M92" s="1306">
        <f t="shared" si="8"/>
        <v>0</v>
      </c>
      <c r="N92" s="1306">
        <f t="shared" si="9"/>
        <v>0</v>
      </c>
      <c r="O92" s="1306">
        <f t="shared" si="11"/>
        <v>1</v>
      </c>
      <c r="P92" s="1239"/>
    </row>
    <row r="93" spans="1:16">
      <c r="A93" s="1288" t="s">
        <v>1429</v>
      </c>
      <c r="B93" s="1286"/>
      <c r="C93" s="1286"/>
      <c r="D93" s="1291"/>
      <c r="E93" s="1292"/>
      <c r="F93" s="1292"/>
      <c r="G93" s="1292">
        <v>3</v>
      </c>
      <c r="H93" s="1292"/>
      <c r="I93" s="1293">
        <v>3</v>
      </c>
      <c r="J93" s="1307"/>
      <c r="K93" s="1305" t="str">
        <f t="shared" si="6"/>
        <v xml:space="preserve">RR Total </v>
      </c>
      <c r="L93" s="1306">
        <f t="shared" si="7"/>
        <v>0</v>
      </c>
      <c r="M93" s="1306">
        <f t="shared" si="8"/>
        <v>0</v>
      </c>
      <c r="N93" s="1306">
        <f t="shared" si="9"/>
        <v>0</v>
      </c>
      <c r="O93" s="1306">
        <f t="shared" si="11"/>
        <v>3</v>
      </c>
      <c r="P93" s="1239"/>
    </row>
    <row r="94" spans="1:16">
      <c r="A94" s="1288" t="s">
        <v>427</v>
      </c>
      <c r="B94" s="1288">
        <v>0.16</v>
      </c>
      <c r="C94" s="1288" t="s">
        <v>1402</v>
      </c>
      <c r="D94" s="1291"/>
      <c r="E94" s="1292"/>
      <c r="F94" s="1292">
        <v>716</v>
      </c>
      <c r="G94" s="1292"/>
      <c r="H94" s="1292"/>
      <c r="I94" s="1293">
        <v>716</v>
      </c>
      <c r="J94" s="1307"/>
      <c r="K94" s="1305" t="str">
        <f t="shared" si="6"/>
        <v>YC 0.16</v>
      </c>
      <c r="L94" s="1306">
        <f t="shared" si="7"/>
        <v>0</v>
      </c>
      <c r="M94" s="1306">
        <f t="shared" si="8"/>
        <v>0</v>
      </c>
      <c r="N94" s="1306">
        <f t="shared" si="9"/>
        <v>716</v>
      </c>
      <c r="O94" s="1306">
        <f t="shared" si="11"/>
        <v>0</v>
      </c>
      <c r="P94" s="1239"/>
    </row>
    <row r="95" spans="1:16">
      <c r="A95" s="1294"/>
      <c r="B95" s="1288" t="s">
        <v>1403</v>
      </c>
      <c r="C95" s="1286"/>
      <c r="D95" s="1291"/>
      <c r="E95" s="1292"/>
      <c r="F95" s="1292">
        <v>716</v>
      </c>
      <c r="G95" s="1292"/>
      <c r="H95" s="1292"/>
      <c r="I95" s="1293">
        <v>716</v>
      </c>
      <c r="J95" s="1307"/>
      <c r="K95" s="1305" t="str">
        <f t="shared" si="6"/>
        <v xml:space="preserve"> 0.16 Total</v>
      </c>
      <c r="L95" s="1306">
        <f t="shared" si="7"/>
        <v>0</v>
      </c>
      <c r="M95" s="1306">
        <f t="shared" si="8"/>
        <v>0</v>
      </c>
      <c r="N95" s="1306">
        <f t="shared" si="9"/>
        <v>716</v>
      </c>
      <c r="O95" s="1306">
        <f t="shared" si="11"/>
        <v>0</v>
      </c>
      <c r="P95" s="1239"/>
    </row>
    <row r="96" spans="1:16">
      <c r="A96" s="1294"/>
      <c r="B96" s="1288">
        <v>0.3</v>
      </c>
      <c r="C96" s="1288" t="s">
        <v>1402</v>
      </c>
      <c r="D96" s="1291"/>
      <c r="E96" s="1292"/>
      <c r="F96" s="1292">
        <v>28</v>
      </c>
      <c r="G96" s="1292"/>
      <c r="H96" s="1292"/>
      <c r="I96" s="1293">
        <v>28</v>
      </c>
      <c r="J96" s="1307"/>
      <c r="K96" s="1305" t="str">
        <f t="shared" si="6"/>
        <v xml:space="preserve"> 0.3</v>
      </c>
      <c r="L96" s="1306">
        <f t="shared" si="7"/>
        <v>0</v>
      </c>
      <c r="M96" s="1306">
        <f t="shared" si="8"/>
        <v>0</v>
      </c>
      <c r="N96" s="1306">
        <f t="shared" si="9"/>
        <v>28</v>
      </c>
      <c r="O96" s="1306">
        <f t="shared" si="11"/>
        <v>0</v>
      </c>
      <c r="P96" s="1239"/>
    </row>
    <row r="97" spans="1:16">
      <c r="A97" s="1294"/>
      <c r="B97" s="1288" t="s">
        <v>1404</v>
      </c>
      <c r="C97" s="1286"/>
      <c r="D97" s="1291"/>
      <c r="E97" s="1292"/>
      <c r="F97" s="1292">
        <v>28</v>
      </c>
      <c r="G97" s="1292"/>
      <c r="H97" s="1292"/>
      <c r="I97" s="1293">
        <v>28</v>
      </c>
      <c r="J97" s="1307"/>
      <c r="K97" s="1305" t="str">
        <f t="shared" ref="K97:K104" si="12">+A97&amp;" "&amp;B97</f>
        <v xml:space="preserve"> 0.3 Total</v>
      </c>
      <c r="L97" s="1306">
        <f t="shared" ref="L97:L104" si="13">SUM(D97)</f>
        <v>0</v>
      </c>
      <c r="M97" s="1306">
        <f t="shared" ref="M97:M104" si="14">SUM(E97)</f>
        <v>0</v>
      </c>
      <c r="N97" s="1306">
        <f t="shared" ref="N97:N104" si="15">SUM(F97)</f>
        <v>28</v>
      </c>
      <c r="O97" s="1306">
        <f t="shared" si="11"/>
        <v>0</v>
      </c>
      <c r="P97" s="1239"/>
    </row>
    <row r="98" spans="1:16">
      <c r="A98" s="1294"/>
      <c r="B98" s="1288">
        <v>0.45</v>
      </c>
      <c r="C98" s="1288" t="s">
        <v>1402</v>
      </c>
      <c r="D98" s="1291"/>
      <c r="E98" s="1292"/>
      <c r="F98" s="1292">
        <v>6614</v>
      </c>
      <c r="G98" s="1292"/>
      <c r="H98" s="1292"/>
      <c r="I98" s="1293">
        <v>6614</v>
      </c>
      <c r="J98" s="1307"/>
      <c r="K98" s="1305" t="str">
        <f t="shared" si="12"/>
        <v xml:space="preserve"> 0.45</v>
      </c>
      <c r="L98" s="1306">
        <f t="shared" si="13"/>
        <v>0</v>
      </c>
      <c r="M98" s="1306">
        <f t="shared" si="14"/>
        <v>0</v>
      </c>
      <c r="N98" s="1306">
        <f t="shared" si="15"/>
        <v>6614</v>
      </c>
      <c r="O98" s="1306">
        <f t="shared" si="11"/>
        <v>0</v>
      </c>
      <c r="P98" s="1239"/>
    </row>
    <row r="99" spans="1:16">
      <c r="A99" s="1294"/>
      <c r="B99" s="1288" t="s">
        <v>1405</v>
      </c>
      <c r="C99" s="1286"/>
      <c r="D99" s="1291"/>
      <c r="E99" s="1292"/>
      <c r="F99" s="1292">
        <v>6614</v>
      </c>
      <c r="G99" s="1292"/>
      <c r="H99" s="1292"/>
      <c r="I99" s="1293">
        <v>6614</v>
      </c>
      <c r="J99" s="1307"/>
      <c r="K99" s="1305" t="str">
        <f t="shared" si="12"/>
        <v xml:space="preserve"> 0.45 Total</v>
      </c>
      <c r="L99" s="1306">
        <f t="shared" si="13"/>
        <v>0</v>
      </c>
      <c r="M99" s="1306">
        <f t="shared" si="14"/>
        <v>0</v>
      </c>
      <c r="N99" s="1306">
        <f t="shared" si="15"/>
        <v>6614</v>
      </c>
      <c r="O99" s="1306">
        <f t="shared" si="11"/>
        <v>0</v>
      </c>
      <c r="P99" s="1239"/>
    </row>
    <row r="100" spans="1:16">
      <c r="A100" s="1288" t="s">
        <v>1430</v>
      </c>
      <c r="B100" s="1286"/>
      <c r="C100" s="1286"/>
      <c r="D100" s="1291"/>
      <c r="E100" s="1292"/>
      <c r="F100" s="1292">
        <v>7358</v>
      </c>
      <c r="G100" s="1292"/>
      <c r="H100" s="1292"/>
      <c r="I100" s="1293">
        <v>7358</v>
      </c>
      <c r="J100" s="1307"/>
      <c r="K100" s="1305" t="str">
        <f t="shared" si="12"/>
        <v xml:space="preserve">YC Total </v>
      </c>
      <c r="L100" s="1306">
        <f t="shared" si="13"/>
        <v>0</v>
      </c>
      <c r="M100" s="1306">
        <f t="shared" si="14"/>
        <v>0</v>
      </c>
      <c r="N100" s="1306">
        <f t="shared" si="15"/>
        <v>7358</v>
      </c>
      <c r="O100" s="1306">
        <f t="shared" si="11"/>
        <v>0</v>
      </c>
      <c r="P100" s="1239"/>
    </row>
    <row r="101" spans="1:16">
      <c r="A101" s="1288" t="s">
        <v>436</v>
      </c>
      <c r="B101" s="1288">
        <v>0.45</v>
      </c>
      <c r="C101" s="1288" t="s">
        <v>1402</v>
      </c>
      <c r="D101" s="1291">
        <v>15</v>
      </c>
      <c r="E101" s="1292"/>
      <c r="F101" s="1292">
        <v>3</v>
      </c>
      <c r="G101" s="1292">
        <v>2</v>
      </c>
      <c r="H101" s="1292"/>
      <c r="I101" s="1293">
        <v>20</v>
      </c>
      <c r="J101" s="1307"/>
      <c r="K101" s="1305" t="str">
        <f t="shared" si="12"/>
        <v>YW 0.45</v>
      </c>
      <c r="L101" s="1306">
        <f t="shared" si="13"/>
        <v>15</v>
      </c>
      <c r="M101" s="1306">
        <f t="shared" si="14"/>
        <v>0</v>
      </c>
      <c r="N101" s="1306">
        <f t="shared" si="15"/>
        <v>3</v>
      </c>
      <c r="O101" s="1306">
        <f t="shared" si="11"/>
        <v>2</v>
      </c>
      <c r="P101" s="1239"/>
    </row>
    <row r="102" spans="1:16">
      <c r="A102" s="1294"/>
      <c r="B102" s="1288" t="s">
        <v>1405</v>
      </c>
      <c r="C102" s="1286"/>
      <c r="D102" s="1291">
        <v>15</v>
      </c>
      <c r="E102" s="1292"/>
      <c r="F102" s="1292">
        <v>3</v>
      </c>
      <c r="G102" s="1292">
        <v>2</v>
      </c>
      <c r="H102" s="1292"/>
      <c r="I102" s="1293">
        <v>20</v>
      </c>
      <c r="J102" s="1307"/>
      <c r="K102" s="1305" t="str">
        <f t="shared" si="12"/>
        <v xml:space="preserve"> 0.45 Total</v>
      </c>
      <c r="L102" s="1306">
        <f t="shared" si="13"/>
        <v>15</v>
      </c>
      <c r="M102" s="1306">
        <f t="shared" si="14"/>
        <v>0</v>
      </c>
      <c r="N102" s="1306">
        <f t="shared" si="15"/>
        <v>3</v>
      </c>
      <c r="O102" s="1306">
        <f t="shared" si="11"/>
        <v>2</v>
      </c>
      <c r="P102" s="1239"/>
    </row>
    <row r="103" spans="1:16">
      <c r="A103" s="1288" t="s">
        <v>1431</v>
      </c>
      <c r="B103" s="1286"/>
      <c r="C103" s="1286"/>
      <c r="D103" s="1291">
        <v>15</v>
      </c>
      <c r="E103" s="1292"/>
      <c r="F103" s="1292">
        <v>3</v>
      </c>
      <c r="G103" s="1292">
        <v>2</v>
      </c>
      <c r="H103" s="1292"/>
      <c r="I103" s="1293">
        <v>20</v>
      </c>
      <c r="J103" s="1307"/>
      <c r="K103" s="1305" t="str">
        <f t="shared" si="12"/>
        <v xml:space="preserve">YW Total </v>
      </c>
      <c r="L103" s="1306">
        <f t="shared" si="13"/>
        <v>15</v>
      </c>
      <c r="M103" s="1306">
        <f t="shared" si="14"/>
        <v>0</v>
      </c>
      <c r="N103" s="1306">
        <f t="shared" si="15"/>
        <v>3</v>
      </c>
      <c r="O103" s="1306">
        <f t="shared" si="11"/>
        <v>2</v>
      </c>
      <c r="P103" s="1239"/>
    </row>
    <row r="104" spans="1:16">
      <c r="A104" s="1298" t="s">
        <v>1401</v>
      </c>
      <c r="B104" s="1299"/>
      <c r="C104" s="1299"/>
      <c r="D104" s="1300">
        <v>277</v>
      </c>
      <c r="E104" s="1301">
        <v>57</v>
      </c>
      <c r="F104" s="1301">
        <v>28869</v>
      </c>
      <c r="G104" s="1301">
        <v>154</v>
      </c>
      <c r="H104" s="1301">
        <v>25</v>
      </c>
      <c r="I104" s="1302">
        <v>29382</v>
      </c>
      <c r="J104" s="1307"/>
      <c r="K104" s="1305" t="str">
        <f t="shared" si="12"/>
        <v xml:space="preserve">Grand Total </v>
      </c>
      <c r="L104" s="1306">
        <f t="shared" si="13"/>
        <v>277</v>
      </c>
      <c r="M104" s="1306">
        <f t="shared" si="14"/>
        <v>57</v>
      </c>
      <c r="N104" s="1306">
        <f t="shared" si="15"/>
        <v>28869</v>
      </c>
      <c r="O104" s="1306">
        <f t="shared" si="11"/>
        <v>179</v>
      </c>
      <c r="P104" s="1239"/>
    </row>
    <row r="105" spans="1:16">
      <c r="K105" s="1237" t="str">
        <f t="shared" ref="K105:K120" si="16">+A105&amp;" "&amp;B105</f>
        <v xml:space="preserve"> </v>
      </c>
      <c r="P105" s="1239"/>
    </row>
    <row r="106" spans="1:16">
      <c r="K106" s="1237" t="str">
        <f t="shared" si="16"/>
        <v xml:space="preserve"> </v>
      </c>
      <c r="P106" s="1239"/>
    </row>
    <row r="107" spans="1:16">
      <c r="K107" s="1237" t="str">
        <f t="shared" si="16"/>
        <v xml:space="preserve"> </v>
      </c>
      <c r="P107" s="1239"/>
    </row>
    <row r="108" spans="1:16">
      <c r="K108" s="1237" t="str">
        <f t="shared" si="16"/>
        <v xml:space="preserve"> </v>
      </c>
      <c r="P108" s="1239"/>
    </row>
    <row r="109" spans="1:16">
      <c r="K109" s="1237" t="str">
        <f t="shared" si="16"/>
        <v xml:space="preserve"> </v>
      </c>
      <c r="P109" s="1239"/>
    </row>
    <row r="110" spans="1:16">
      <c r="K110" s="1237" t="str">
        <f t="shared" si="16"/>
        <v xml:space="preserve"> </v>
      </c>
      <c r="P110" s="1239"/>
    </row>
    <row r="111" spans="1:16">
      <c r="K111" s="1237" t="str">
        <f t="shared" si="16"/>
        <v xml:space="preserve"> </v>
      </c>
      <c r="P111" s="1239"/>
    </row>
    <row r="112" spans="1:16">
      <c r="K112" s="1237" t="str">
        <f t="shared" si="16"/>
        <v xml:space="preserve"> </v>
      </c>
      <c r="P112" s="1239"/>
    </row>
    <row r="113" spans="11:16">
      <c r="K113" s="1237" t="str">
        <f t="shared" si="16"/>
        <v xml:space="preserve"> </v>
      </c>
      <c r="P113" s="1239"/>
    </row>
    <row r="114" spans="11:16">
      <c r="K114" s="1237" t="str">
        <f t="shared" si="16"/>
        <v xml:space="preserve"> </v>
      </c>
      <c r="P114" s="1239"/>
    </row>
    <row r="115" spans="11:16">
      <c r="K115" s="1237" t="str">
        <f t="shared" si="16"/>
        <v xml:space="preserve"> </v>
      </c>
      <c r="P115" s="1239"/>
    </row>
    <row r="116" spans="11:16">
      <c r="K116" s="1237" t="str">
        <f t="shared" si="16"/>
        <v xml:space="preserve"> </v>
      </c>
      <c r="P116" s="1239"/>
    </row>
    <row r="117" spans="11:16">
      <c r="K117" s="1237" t="str">
        <f t="shared" si="16"/>
        <v xml:space="preserve"> </v>
      </c>
      <c r="P117" s="1239"/>
    </row>
    <row r="118" spans="11:16">
      <c r="K118" s="1237" t="str">
        <f t="shared" si="16"/>
        <v xml:space="preserve"> </v>
      </c>
      <c r="P118" s="1239"/>
    </row>
    <row r="119" spans="11:16">
      <c r="K119" s="1237" t="str">
        <f t="shared" si="16"/>
        <v xml:space="preserve"> </v>
      </c>
      <c r="P119" s="1239"/>
    </row>
    <row r="120" spans="11:16">
      <c r="K120" s="1237" t="str">
        <f t="shared" si="16"/>
        <v xml:space="preserve"> </v>
      </c>
      <c r="P120" s="1239"/>
    </row>
    <row r="121" spans="11:16">
      <c r="K121" s="1237"/>
      <c r="P121" s="1239"/>
    </row>
    <row r="122" spans="11:16">
      <c r="P122" s="1239"/>
    </row>
    <row r="123" spans="11:16">
      <c r="P123" s="1239"/>
    </row>
  </sheetData>
  <mergeCells count="1">
    <mergeCell ref="K2:O2"/>
  </mergeCells>
  <pageMargins left="0.7" right="0.7" top="0.75" bottom="0.75" header="0.3" footer="0.3"/>
  <pageSetup scale="49" orientation="portrait" horizontalDpi="4294967295" verticalDpi="4294967295"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7"/>
    <pageSetUpPr fitToPage="1"/>
  </sheetPr>
  <dimension ref="A1:N121"/>
  <sheetViews>
    <sheetView workbookViewId="0">
      <selection activeCell="J1" sqref="J1:N1"/>
    </sheetView>
  </sheetViews>
  <sheetFormatPr defaultRowHeight="12.75"/>
  <cols>
    <col min="1" max="1" width="22.5" style="1236" bestFit="1" customWidth="1"/>
    <col min="2" max="2" width="18.1640625" style="1236" bestFit="1" customWidth="1"/>
    <col min="3" max="3" width="16.1640625" style="1236" customWidth="1"/>
    <col min="4" max="7" width="15.33203125" style="1236" customWidth="1"/>
    <col min="8" max="8" width="10.5" style="1236" customWidth="1"/>
    <col min="9" max="9" width="12.33203125" style="1236" customWidth="1"/>
    <col min="10" max="10" width="17.5" style="1236" bestFit="1" customWidth="1"/>
    <col min="11" max="11" width="9.33203125" style="1236" customWidth="1"/>
    <col min="12" max="12" width="8.5" style="1236" customWidth="1"/>
    <col min="13" max="13" width="7.6640625" style="1236" customWidth="1"/>
    <col min="14" max="27" width="17.5" style="1236" bestFit="1" customWidth="1"/>
    <col min="28" max="28" width="12.33203125" style="1236" bestFit="1" customWidth="1"/>
    <col min="29" max="16384" width="9.33203125" style="1236"/>
  </cols>
  <sheetData>
    <row r="1" spans="1:14">
      <c r="A1" s="1303" t="s">
        <v>1389</v>
      </c>
      <c r="B1" s="1304" t="s">
        <v>1390</v>
      </c>
      <c r="J1" s="1375" t="s">
        <v>1686</v>
      </c>
      <c r="K1" s="1375"/>
      <c r="L1" s="1375"/>
      <c r="M1" s="1375"/>
      <c r="N1" s="1375"/>
    </row>
    <row r="2" spans="1:14" ht="13.5" thickBot="1">
      <c r="J2" s="2248" t="s">
        <v>1391</v>
      </c>
      <c r="K2" s="2248"/>
      <c r="L2" s="2248"/>
      <c r="M2" s="2248"/>
    </row>
    <row r="3" spans="1:14">
      <c r="A3" s="1285" t="s">
        <v>1392</v>
      </c>
      <c r="B3" s="1286"/>
      <c r="C3" s="1286"/>
      <c r="D3" s="1285" t="s">
        <v>1393</v>
      </c>
      <c r="E3" s="1286"/>
      <c r="F3" s="1286"/>
      <c r="G3" s="1286"/>
      <c r="H3" s="1287"/>
      <c r="J3" s="1305"/>
      <c r="K3" s="1284" t="s">
        <v>1574</v>
      </c>
      <c r="L3" s="1284" t="s">
        <v>1575</v>
      </c>
      <c r="M3" s="1284" t="s">
        <v>1577</v>
      </c>
    </row>
    <row r="4" spans="1:14">
      <c r="A4" s="1285" t="s">
        <v>1394</v>
      </c>
      <c r="B4" s="1285" t="s">
        <v>1395</v>
      </c>
      <c r="C4" s="1285" t="s">
        <v>1396</v>
      </c>
      <c r="D4" s="1288" t="s">
        <v>1397</v>
      </c>
      <c r="E4" s="1289" t="s">
        <v>1398</v>
      </c>
      <c r="F4" s="1289" t="s">
        <v>1400</v>
      </c>
      <c r="G4" s="1289">
        <v>70</v>
      </c>
      <c r="H4" s="1290" t="s">
        <v>1401</v>
      </c>
      <c r="J4" s="1305"/>
      <c r="K4" s="1284"/>
      <c r="L4" s="1284"/>
      <c r="M4" s="1284"/>
    </row>
    <row r="5" spans="1:14">
      <c r="A5" s="1288" t="s">
        <v>428</v>
      </c>
      <c r="B5" s="1288">
        <v>0.16</v>
      </c>
      <c r="C5" s="1288" t="s">
        <v>1402</v>
      </c>
      <c r="D5" s="1291">
        <v>74</v>
      </c>
      <c r="E5" s="1292"/>
      <c r="F5" s="1292"/>
      <c r="G5" s="1292"/>
      <c r="H5" s="1293">
        <v>74</v>
      </c>
      <c r="J5" s="1305" t="str">
        <f>+A5&amp;" "&amp;B5</f>
        <v>CA 0.16</v>
      </c>
      <c r="K5" s="1306">
        <f>SUM(D5)</f>
        <v>74</v>
      </c>
      <c r="L5" s="1306">
        <f>SUM(E5)</f>
        <v>0</v>
      </c>
      <c r="M5" s="1306">
        <f>SUM(F5:G5)</f>
        <v>0</v>
      </c>
    </row>
    <row r="6" spans="1:14">
      <c r="A6" s="1294"/>
      <c r="B6" s="1288" t="s">
        <v>1403</v>
      </c>
      <c r="C6" s="1286"/>
      <c r="D6" s="1291">
        <v>74</v>
      </c>
      <c r="E6" s="1292"/>
      <c r="F6" s="1292"/>
      <c r="G6" s="1292"/>
      <c r="H6" s="1293">
        <v>74</v>
      </c>
      <c r="J6" s="1305" t="str">
        <f t="shared" ref="J6:J57" si="0">+A6&amp;" "&amp;B6</f>
        <v xml:space="preserve"> 0.16 Total</v>
      </c>
      <c r="K6" s="1306">
        <f t="shared" ref="K6:K61" si="1">SUM(D6)</f>
        <v>74</v>
      </c>
      <c r="L6" s="1306">
        <f t="shared" ref="L6:L61" si="2">SUM(E6)</f>
        <v>0</v>
      </c>
      <c r="M6" s="1306">
        <f t="shared" ref="M6:M61" si="3">SUM(F6:G6)</f>
        <v>0</v>
      </c>
    </row>
    <row r="7" spans="1:14">
      <c r="A7" s="1294"/>
      <c r="B7" s="1288">
        <v>0.45</v>
      </c>
      <c r="C7" s="1288" t="s">
        <v>1402</v>
      </c>
      <c r="D7" s="1291">
        <v>31</v>
      </c>
      <c r="E7" s="1292"/>
      <c r="F7" s="1292"/>
      <c r="G7" s="1292"/>
      <c r="H7" s="1293">
        <v>31</v>
      </c>
      <c r="J7" s="1305" t="str">
        <f t="shared" si="0"/>
        <v xml:space="preserve"> 0.45</v>
      </c>
      <c r="K7" s="1306">
        <f t="shared" si="1"/>
        <v>31</v>
      </c>
      <c r="L7" s="1306">
        <f t="shared" si="2"/>
        <v>0</v>
      </c>
      <c r="M7" s="1306">
        <f t="shared" si="3"/>
        <v>0</v>
      </c>
    </row>
    <row r="8" spans="1:14">
      <c r="A8" s="1294"/>
      <c r="B8" s="1288" t="s">
        <v>1405</v>
      </c>
      <c r="C8" s="1286"/>
      <c r="D8" s="1291">
        <v>31</v>
      </c>
      <c r="E8" s="1292"/>
      <c r="F8" s="1292"/>
      <c r="G8" s="1292"/>
      <c r="H8" s="1293">
        <v>31</v>
      </c>
      <c r="J8" s="1305" t="str">
        <f t="shared" si="0"/>
        <v xml:space="preserve"> 0.45 Total</v>
      </c>
      <c r="K8" s="1306">
        <f t="shared" si="1"/>
        <v>31</v>
      </c>
      <c r="L8" s="1306">
        <f t="shared" si="2"/>
        <v>0</v>
      </c>
      <c r="M8" s="1306">
        <f t="shared" si="3"/>
        <v>0</v>
      </c>
    </row>
    <row r="9" spans="1:14">
      <c r="A9" s="1288" t="s">
        <v>1406</v>
      </c>
      <c r="B9" s="1286"/>
      <c r="C9" s="1286"/>
      <c r="D9" s="1291">
        <v>105</v>
      </c>
      <c r="E9" s="1292"/>
      <c r="F9" s="1292"/>
      <c r="G9" s="1292"/>
      <c r="H9" s="1293">
        <v>105</v>
      </c>
      <c r="J9" s="1305" t="str">
        <f t="shared" si="0"/>
        <v xml:space="preserve">CA Total </v>
      </c>
      <c r="K9" s="1306">
        <f t="shared" si="1"/>
        <v>105</v>
      </c>
      <c r="L9" s="1306">
        <f t="shared" si="2"/>
        <v>0</v>
      </c>
      <c r="M9" s="1306">
        <f t="shared" si="3"/>
        <v>0</v>
      </c>
    </row>
    <row r="10" spans="1:14">
      <c r="A10" s="1288" t="s">
        <v>429</v>
      </c>
      <c r="B10" s="1288">
        <v>0.16</v>
      </c>
      <c r="C10" s="1288" t="s">
        <v>1402</v>
      </c>
      <c r="D10" s="1291">
        <v>103</v>
      </c>
      <c r="E10" s="1292"/>
      <c r="F10" s="1292"/>
      <c r="G10" s="1292"/>
      <c r="H10" s="1293">
        <v>103</v>
      </c>
      <c r="J10" s="1305" t="str">
        <f t="shared" si="0"/>
        <v>CN 0.16</v>
      </c>
      <c r="K10" s="1306">
        <f t="shared" si="1"/>
        <v>103</v>
      </c>
      <c r="L10" s="1306">
        <f t="shared" si="2"/>
        <v>0</v>
      </c>
      <c r="M10" s="1306">
        <f t="shared" si="3"/>
        <v>0</v>
      </c>
    </row>
    <row r="11" spans="1:14">
      <c r="A11" s="1294"/>
      <c r="B11" s="1288" t="s">
        <v>1403</v>
      </c>
      <c r="C11" s="1286"/>
      <c r="D11" s="1291">
        <v>103</v>
      </c>
      <c r="E11" s="1292"/>
      <c r="F11" s="1292"/>
      <c r="G11" s="1292"/>
      <c r="H11" s="1293">
        <v>103</v>
      </c>
      <c r="J11" s="1305" t="str">
        <f t="shared" si="0"/>
        <v xml:space="preserve"> 0.16 Total</v>
      </c>
      <c r="K11" s="1306">
        <f t="shared" si="1"/>
        <v>103</v>
      </c>
      <c r="L11" s="1306">
        <f t="shared" si="2"/>
        <v>0</v>
      </c>
      <c r="M11" s="1306">
        <f t="shared" si="3"/>
        <v>0</v>
      </c>
    </row>
    <row r="12" spans="1:14">
      <c r="A12" s="1288" t="s">
        <v>1408</v>
      </c>
      <c r="B12" s="1286"/>
      <c r="C12" s="1286"/>
      <c r="D12" s="1291">
        <v>103</v>
      </c>
      <c r="E12" s="1292"/>
      <c r="F12" s="1292"/>
      <c r="G12" s="1292"/>
      <c r="H12" s="1293">
        <v>103</v>
      </c>
      <c r="J12" s="1305" t="str">
        <f t="shared" si="0"/>
        <v xml:space="preserve">CN Total </v>
      </c>
      <c r="K12" s="1306">
        <f t="shared" si="1"/>
        <v>103</v>
      </c>
      <c r="L12" s="1306">
        <f t="shared" si="2"/>
        <v>0</v>
      </c>
      <c r="M12" s="1306">
        <f t="shared" si="3"/>
        <v>0</v>
      </c>
    </row>
    <row r="13" spans="1:14">
      <c r="A13" s="1288" t="s">
        <v>432</v>
      </c>
      <c r="B13" s="1288">
        <v>1</v>
      </c>
      <c r="C13" s="1288" t="s">
        <v>1402</v>
      </c>
      <c r="D13" s="1291">
        <v>4</v>
      </c>
      <c r="E13" s="1292"/>
      <c r="F13" s="1292"/>
      <c r="G13" s="1292"/>
      <c r="H13" s="1293">
        <v>4</v>
      </c>
      <c r="J13" s="1305" t="str">
        <f t="shared" si="0"/>
        <v>FL 1</v>
      </c>
      <c r="K13" s="1306">
        <f t="shared" si="1"/>
        <v>4</v>
      </c>
      <c r="L13" s="1306">
        <f t="shared" si="2"/>
        <v>0</v>
      </c>
      <c r="M13" s="1306">
        <f t="shared" si="3"/>
        <v>0</v>
      </c>
    </row>
    <row r="14" spans="1:14">
      <c r="A14" s="1294"/>
      <c r="B14" s="1288" t="s">
        <v>1409</v>
      </c>
      <c r="C14" s="1286"/>
      <c r="D14" s="1291">
        <v>4</v>
      </c>
      <c r="E14" s="1292"/>
      <c r="F14" s="1292"/>
      <c r="G14" s="1292"/>
      <c r="H14" s="1293">
        <v>4</v>
      </c>
      <c r="J14" s="1305" t="str">
        <f t="shared" si="0"/>
        <v xml:space="preserve"> 1 Total</v>
      </c>
      <c r="K14" s="1306">
        <f t="shared" si="1"/>
        <v>4</v>
      </c>
      <c r="L14" s="1306">
        <f t="shared" si="2"/>
        <v>0</v>
      </c>
      <c r="M14" s="1306">
        <f t="shared" si="3"/>
        <v>0</v>
      </c>
    </row>
    <row r="15" spans="1:14">
      <c r="A15" s="1294"/>
      <c r="B15" s="1288">
        <v>1.25</v>
      </c>
      <c r="C15" s="1288" t="s">
        <v>1402</v>
      </c>
      <c r="D15" s="1291">
        <v>5</v>
      </c>
      <c r="E15" s="1292"/>
      <c r="F15" s="1292"/>
      <c r="G15" s="1292"/>
      <c r="H15" s="1293">
        <v>5</v>
      </c>
      <c r="J15" s="1305" t="str">
        <f t="shared" si="0"/>
        <v xml:space="preserve"> 1.25</v>
      </c>
      <c r="K15" s="1306">
        <f t="shared" si="1"/>
        <v>5</v>
      </c>
      <c r="L15" s="1306">
        <f t="shared" si="2"/>
        <v>0</v>
      </c>
      <c r="M15" s="1306">
        <f t="shared" si="3"/>
        <v>0</v>
      </c>
    </row>
    <row r="16" spans="1:14">
      <c r="A16" s="1294"/>
      <c r="B16" s="1288" t="s">
        <v>1410</v>
      </c>
      <c r="C16" s="1286"/>
      <c r="D16" s="1291">
        <v>5</v>
      </c>
      <c r="E16" s="1292"/>
      <c r="F16" s="1292"/>
      <c r="G16" s="1292"/>
      <c r="H16" s="1293">
        <v>5</v>
      </c>
      <c r="J16" s="1305" t="str">
        <f t="shared" si="0"/>
        <v xml:space="preserve"> 1.25 Total</v>
      </c>
      <c r="K16" s="1306">
        <f t="shared" si="1"/>
        <v>5</v>
      </c>
      <c r="L16" s="1306">
        <f t="shared" si="2"/>
        <v>0</v>
      </c>
      <c r="M16" s="1306">
        <f t="shared" si="3"/>
        <v>0</v>
      </c>
    </row>
    <row r="17" spans="1:13">
      <c r="A17" s="1294"/>
      <c r="B17" s="1288">
        <v>2</v>
      </c>
      <c r="C17" s="1288" t="s">
        <v>1402</v>
      </c>
      <c r="D17" s="1291">
        <v>15</v>
      </c>
      <c r="E17" s="1292"/>
      <c r="F17" s="1292"/>
      <c r="G17" s="1292"/>
      <c r="H17" s="1293">
        <v>15</v>
      </c>
      <c r="J17" s="1305" t="str">
        <f t="shared" si="0"/>
        <v xml:space="preserve"> 2</v>
      </c>
      <c r="K17" s="1306">
        <f t="shared" si="1"/>
        <v>15</v>
      </c>
      <c r="L17" s="1306">
        <f t="shared" si="2"/>
        <v>0</v>
      </c>
      <c r="M17" s="1306">
        <f t="shared" si="3"/>
        <v>0</v>
      </c>
    </row>
    <row r="18" spans="1:13">
      <c r="A18" s="1294"/>
      <c r="B18" s="1288" t="s">
        <v>1411</v>
      </c>
      <c r="C18" s="1286"/>
      <c r="D18" s="1291">
        <v>15</v>
      </c>
      <c r="E18" s="1292"/>
      <c r="F18" s="1292"/>
      <c r="G18" s="1292"/>
      <c r="H18" s="1293">
        <v>15</v>
      </c>
      <c r="J18" s="1305" t="str">
        <f t="shared" si="0"/>
        <v xml:space="preserve"> 2 Total</v>
      </c>
      <c r="K18" s="1306">
        <f t="shared" si="1"/>
        <v>15</v>
      </c>
      <c r="L18" s="1306">
        <f t="shared" si="2"/>
        <v>0</v>
      </c>
      <c r="M18" s="1306">
        <f t="shared" si="3"/>
        <v>0</v>
      </c>
    </row>
    <row r="19" spans="1:13">
      <c r="A19" s="1294"/>
      <c r="B19" s="1288">
        <v>3</v>
      </c>
      <c r="C19" s="1288" t="s">
        <v>1402</v>
      </c>
      <c r="D19" s="1291">
        <v>13</v>
      </c>
      <c r="E19" s="1292"/>
      <c r="F19" s="1292"/>
      <c r="G19" s="1292"/>
      <c r="H19" s="1293">
        <v>13</v>
      </c>
      <c r="J19" s="1305" t="str">
        <f t="shared" si="0"/>
        <v xml:space="preserve"> 3</v>
      </c>
      <c r="K19" s="1306">
        <f t="shared" si="1"/>
        <v>13</v>
      </c>
      <c r="L19" s="1306">
        <f t="shared" si="2"/>
        <v>0</v>
      </c>
      <c r="M19" s="1306">
        <f t="shared" si="3"/>
        <v>0</v>
      </c>
    </row>
    <row r="20" spans="1:13">
      <c r="A20" s="1294"/>
      <c r="B20" s="1288" t="s">
        <v>1413</v>
      </c>
      <c r="C20" s="1286"/>
      <c r="D20" s="1291">
        <v>13</v>
      </c>
      <c r="E20" s="1292"/>
      <c r="F20" s="1292"/>
      <c r="G20" s="1292"/>
      <c r="H20" s="1293">
        <v>13</v>
      </c>
      <c r="J20" s="1305" t="str">
        <f t="shared" si="0"/>
        <v xml:space="preserve"> 3 Total</v>
      </c>
      <c r="K20" s="1306">
        <f t="shared" si="1"/>
        <v>13</v>
      </c>
      <c r="L20" s="1306">
        <f t="shared" si="2"/>
        <v>0</v>
      </c>
      <c r="M20" s="1306">
        <f t="shared" si="3"/>
        <v>0</v>
      </c>
    </row>
    <row r="21" spans="1:13">
      <c r="A21" s="1294"/>
      <c r="B21" s="1288">
        <v>4</v>
      </c>
      <c r="C21" s="1288" t="s">
        <v>1402</v>
      </c>
      <c r="D21" s="1291">
        <v>27</v>
      </c>
      <c r="E21" s="1292"/>
      <c r="F21" s="1292"/>
      <c r="G21" s="1292"/>
      <c r="H21" s="1293">
        <v>27</v>
      </c>
      <c r="J21" s="1305" t="str">
        <f t="shared" si="0"/>
        <v xml:space="preserve"> 4</v>
      </c>
      <c r="K21" s="1306">
        <f t="shared" si="1"/>
        <v>27</v>
      </c>
      <c r="L21" s="1306">
        <f t="shared" si="2"/>
        <v>0</v>
      </c>
      <c r="M21" s="1306">
        <f t="shared" si="3"/>
        <v>0</v>
      </c>
    </row>
    <row r="22" spans="1:13">
      <c r="A22" s="1294"/>
      <c r="B22" s="1288" t="s">
        <v>1414</v>
      </c>
      <c r="C22" s="1286"/>
      <c r="D22" s="1291">
        <v>27</v>
      </c>
      <c r="E22" s="1292"/>
      <c r="F22" s="1292"/>
      <c r="G22" s="1292"/>
      <c r="H22" s="1293">
        <v>27</v>
      </c>
      <c r="J22" s="1305" t="str">
        <f t="shared" si="0"/>
        <v xml:space="preserve"> 4 Total</v>
      </c>
      <c r="K22" s="1306">
        <f t="shared" si="1"/>
        <v>27</v>
      </c>
      <c r="L22" s="1306">
        <f t="shared" si="2"/>
        <v>0</v>
      </c>
      <c r="M22" s="1306">
        <f t="shared" si="3"/>
        <v>0</v>
      </c>
    </row>
    <row r="23" spans="1:13">
      <c r="A23" s="1294"/>
      <c r="B23" s="1288">
        <v>6</v>
      </c>
      <c r="C23" s="1288" t="s">
        <v>1402</v>
      </c>
      <c r="D23" s="1291">
        <v>14</v>
      </c>
      <c r="E23" s="1292"/>
      <c r="F23" s="1292"/>
      <c r="G23" s="1292"/>
      <c r="H23" s="1293">
        <v>14</v>
      </c>
      <c r="J23" s="1305" t="str">
        <f t="shared" si="0"/>
        <v xml:space="preserve"> 6</v>
      </c>
      <c r="K23" s="1306">
        <f t="shared" si="1"/>
        <v>14</v>
      </c>
      <c r="L23" s="1306">
        <f t="shared" si="2"/>
        <v>0</v>
      </c>
      <c r="M23" s="1306">
        <f t="shared" si="3"/>
        <v>0</v>
      </c>
    </row>
    <row r="24" spans="1:13">
      <c r="A24" s="1294"/>
      <c r="B24" s="1288" t="s">
        <v>1415</v>
      </c>
      <c r="C24" s="1286"/>
      <c r="D24" s="1291">
        <v>14</v>
      </c>
      <c r="E24" s="1292"/>
      <c r="F24" s="1292"/>
      <c r="G24" s="1292"/>
      <c r="H24" s="1293">
        <v>14</v>
      </c>
      <c r="J24" s="1305" t="str">
        <f t="shared" si="0"/>
        <v xml:space="preserve"> 6 Total</v>
      </c>
      <c r="K24" s="1306">
        <f t="shared" si="1"/>
        <v>14</v>
      </c>
      <c r="L24" s="1306">
        <f t="shared" si="2"/>
        <v>0</v>
      </c>
      <c r="M24" s="1306">
        <f t="shared" si="3"/>
        <v>0</v>
      </c>
    </row>
    <row r="25" spans="1:13">
      <c r="A25" s="1294"/>
      <c r="B25" s="1288">
        <v>8</v>
      </c>
      <c r="C25" s="1288" t="s">
        <v>1402</v>
      </c>
      <c r="D25" s="1291">
        <v>8</v>
      </c>
      <c r="E25" s="1292"/>
      <c r="F25" s="1292"/>
      <c r="G25" s="1292"/>
      <c r="H25" s="1293">
        <v>8</v>
      </c>
      <c r="J25" s="1305" t="str">
        <f t="shared" si="0"/>
        <v xml:space="preserve"> 8</v>
      </c>
      <c r="K25" s="1306">
        <f t="shared" si="1"/>
        <v>8</v>
      </c>
      <c r="L25" s="1306">
        <f t="shared" si="2"/>
        <v>0</v>
      </c>
      <c r="M25" s="1306">
        <f t="shared" si="3"/>
        <v>0</v>
      </c>
    </row>
    <row r="26" spans="1:13">
      <c r="A26" s="1294"/>
      <c r="B26" s="1288" t="s">
        <v>1416</v>
      </c>
      <c r="C26" s="1286"/>
      <c r="D26" s="1291">
        <v>8</v>
      </c>
      <c r="E26" s="1292"/>
      <c r="F26" s="1292"/>
      <c r="G26" s="1292"/>
      <c r="H26" s="1293">
        <v>8</v>
      </c>
      <c r="J26" s="1305" t="str">
        <f t="shared" si="0"/>
        <v xml:space="preserve"> 8 Total</v>
      </c>
      <c r="K26" s="1306">
        <f t="shared" si="1"/>
        <v>8</v>
      </c>
      <c r="L26" s="1306">
        <f t="shared" si="2"/>
        <v>0</v>
      </c>
      <c r="M26" s="1306">
        <f t="shared" si="3"/>
        <v>0</v>
      </c>
    </row>
    <row r="27" spans="1:13">
      <c r="A27" s="1288" t="s">
        <v>1417</v>
      </c>
      <c r="B27" s="1286"/>
      <c r="C27" s="1286"/>
      <c r="D27" s="1291">
        <v>86</v>
      </c>
      <c r="E27" s="1292"/>
      <c r="F27" s="1292"/>
      <c r="G27" s="1292"/>
      <c r="H27" s="1293">
        <v>86</v>
      </c>
      <c r="J27" s="1305" t="str">
        <f t="shared" si="0"/>
        <v xml:space="preserve">FL Total </v>
      </c>
      <c r="K27" s="1306">
        <f t="shared" si="1"/>
        <v>86</v>
      </c>
      <c r="L27" s="1306">
        <f t="shared" si="2"/>
        <v>0</v>
      </c>
      <c r="M27" s="1306">
        <f t="shared" si="3"/>
        <v>0</v>
      </c>
    </row>
    <row r="28" spans="1:13">
      <c r="A28" s="1288" t="s">
        <v>431</v>
      </c>
      <c r="B28" s="1288">
        <v>1</v>
      </c>
      <c r="C28" s="1288" t="s">
        <v>1402</v>
      </c>
      <c r="D28" s="1291"/>
      <c r="E28" s="1292"/>
      <c r="F28" s="1292">
        <v>2</v>
      </c>
      <c r="G28" s="1292">
        <v>6</v>
      </c>
      <c r="H28" s="1293">
        <v>8</v>
      </c>
      <c r="J28" s="1305" t="str">
        <f t="shared" si="0"/>
        <v>FR 1</v>
      </c>
      <c r="K28" s="1306">
        <f t="shared" si="1"/>
        <v>0</v>
      </c>
      <c r="L28" s="1306">
        <f t="shared" si="2"/>
        <v>0</v>
      </c>
      <c r="M28" s="1306">
        <f t="shared" si="3"/>
        <v>8</v>
      </c>
    </row>
    <row r="29" spans="1:13">
      <c r="A29" s="1294"/>
      <c r="B29" s="1288" t="s">
        <v>1409</v>
      </c>
      <c r="C29" s="1286"/>
      <c r="D29" s="1291"/>
      <c r="E29" s="1292"/>
      <c r="F29" s="1292">
        <v>2</v>
      </c>
      <c r="G29" s="1292">
        <v>6</v>
      </c>
      <c r="H29" s="1293">
        <v>8</v>
      </c>
      <c r="J29" s="1305" t="str">
        <f t="shared" si="0"/>
        <v xml:space="preserve"> 1 Total</v>
      </c>
      <c r="K29" s="1306">
        <f t="shared" si="1"/>
        <v>0</v>
      </c>
      <c r="L29" s="1306">
        <f t="shared" si="2"/>
        <v>0</v>
      </c>
      <c r="M29" s="1306">
        <f t="shared" si="3"/>
        <v>8</v>
      </c>
    </row>
    <row r="30" spans="1:13">
      <c r="A30" s="1294"/>
      <c r="B30" s="1288">
        <v>1.25</v>
      </c>
      <c r="C30" s="1288" t="s">
        <v>1402</v>
      </c>
      <c r="D30" s="1291"/>
      <c r="E30" s="1292"/>
      <c r="F30" s="1292">
        <v>4</v>
      </c>
      <c r="G30" s="1292"/>
      <c r="H30" s="1293">
        <v>4</v>
      </c>
      <c r="J30" s="1305" t="str">
        <f t="shared" si="0"/>
        <v xml:space="preserve"> 1.25</v>
      </c>
      <c r="K30" s="1306">
        <f t="shared" si="1"/>
        <v>0</v>
      </c>
      <c r="L30" s="1306">
        <f t="shared" si="2"/>
        <v>0</v>
      </c>
      <c r="M30" s="1306">
        <f t="shared" si="3"/>
        <v>4</v>
      </c>
    </row>
    <row r="31" spans="1:13">
      <c r="A31" s="1294"/>
      <c r="B31" s="1288" t="s">
        <v>1410</v>
      </c>
      <c r="C31" s="1286"/>
      <c r="D31" s="1291"/>
      <c r="E31" s="1292"/>
      <c r="F31" s="1292">
        <v>4</v>
      </c>
      <c r="G31" s="1292"/>
      <c r="H31" s="1293">
        <v>4</v>
      </c>
      <c r="J31" s="1305" t="str">
        <f t="shared" si="0"/>
        <v xml:space="preserve"> 1.25 Total</v>
      </c>
      <c r="K31" s="1306">
        <f t="shared" si="1"/>
        <v>0</v>
      </c>
      <c r="L31" s="1306">
        <f t="shared" si="2"/>
        <v>0</v>
      </c>
      <c r="M31" s="1306">
        <f t="shared" si="3"/>
        <v>4</v>
      </c>
    </row>
    <row r="32" spans="1:13">
      <c r="A32" s="1294"/>
      <c r="B32" s="1288">
        <v>2</v>
      </c>
      <c r="C32" s="1288" t="s">
        <v>1402</v>
      </c>
      <c r="D32" s="1291"/>
      <c r="E32" s="1292"/>
      <c r="F32" s="1292">
        <v>9</v>
      </c>
      <c r="G32" s="1292">
        <v>1</v>
      </c>
      <c r="H32" s="1293">
        <v>10</v>
      </c>
      <c r="J32" s="1305" t="str">
        <f t="shared" si="0"/>
        <v xml:space="preserve"> 2</v>
      </c>
      <c r="K32" s="1306">
        <f t="shared" si="1"/>
        <v>0</v>
      </c>
      <c r="L32" s="1306">
        <f t="shared" si="2"/>
        <v>0</v>
      </c>
      <c r="M32" s="1306">
        <f t="shared" si="3"/>
        <v>10</v>
      </c>
    </row>
    <row r="33" spans="1:13">
      <c r="A33" s="1294"/>
      <c r="B33" s="1288" t="s">
        <v>1411</v>
      </c>
      <c r="C33" s="1286"/>
      <c r="D33" s="1291"/>
      <c r="E33" s="1292"/>
      <c r="F33" s="1292">
        <v>9</v>
      </c>
      <c r="G33" s="1292">
        <v>1</v>
      </c>
      <c r="H33" s="1293">
        <v>10</v>
      </c>
      <c r="J33" s="1305" t="str">
        <f t="shared" si="0"/>
        <v xml:space="preserve"> 2 Total</v>
      </c>
      <c r="K33" s="1306">
        <f t="shared" si="1"/>
        <v>0</v>
      </c>
      <c r="L33" s="1306">
        <f t="shared" si="2"/>
        <v>0</v>
      </c>
      <c r="M33" s="1306">
        <f t="shared" si="3"/>
        <v>10</v>
      </c>
    </row>
    <row r="34" spans="1:13">
      <c r="A34" s="1294"/>
      <c r="B34" s="1288">
        <v>3</v>
      </c>
      <c r="C34" s="1288" t="s">
        <v>1402</v>
      </c>
      <c r="D34" s="1291"/>
      <c r="E34" s="1292"/>
      <c r="F34" s="1292">
        <v>16</v>
      </c>
      <c r="G34" s="1292">
        <v>1</v>
      </c>
      <c r="H34" s="1293">
        <v>17</v>
      </c>
      <c r="J34" s="1305" t="str">
        <f t="shared" si="0"/>
        <v xml:space="preserve"> 3</v>
      </c>
      <c r="K34" s="1306">
        <f t="shared" si="1"/>
        <v>0</v>
      </c>
      <c r="L34" s="1306">
        <f t="shared" si="2"/>
        <v>0</v>
      </c>
      <c r="M34" s="1306">
        <f t="shared" si="3"/>
        <v>17</v>
      </c>
    </row>
    <row r="35" spans="1:13">
      <c r="A35" s="1294"/>
      <c r="B35" s="1288" t="s">
        <v>1413</v>
      </c>
      <c r="C35" s="1286"/>
      <c r="D35" s="1291"/>
      <c r="E35" s="1292"/>
      <c r="F35" s="1292">
        <v>16</v>
      </c>
      <c r="G35" s="1292">
        <v>1</v>
      </c>
      <c r="H35" s="1293">
        <v>17</v>
      </c>
      <c r="J35" s="1305" t="str">
        <f t="shared" si="0"/>
        <v xml:space="preserve"> 3 Total</v>
      </c>
      <c r="K35" s="1306">
        <f t="shared" si="1"/>
        <v>0</v>
      </c>
      <c r="L35" s="1306">
        <f t="shared" si="2"/>
        <v>0</v>
      </c>
      <c r="M35" s="1306">
        <f t="shared" si="3"/>
        <v>17</v>
      </c>
    </row>
    <row r="36" spans="1:13">
      <c r="A36" s="1294"/>
      <c r="B36" s="1288">
        <v>4</v>
      </c>
      <c r="C36" s="1288" t="s">
        <v>1402</v>
      </c>
      <c r="D36" s="1291"/>
      <c r="E36" s="1292"/>
      <c r="F36" s="1292">
        <v>14</v>
      </c>
      <c r="G36" s="1292">
        <v>1</v>
      </c>
      <c r="H36" s="1293">
        <v>15</v>
      </c>
      <c r="J36" s="1305" t="str">
        <f t="shared" si="0"/>
        <v xml:space="preserve"> 4</v>
      </c>
      <c r="K36" s="1306">
        <f t="shared" si="1"/>
        <v>0</v>
      </c>
      <c r="L36" s="1306">
        <f t="shared" si="2"/>
        <v>0</v>
      </c>
      <c r="M36" s="1306">
        <f t="shared" si="3"/>
        <v>15</v>
      </c>
    </row>
    <row r="37" spans="1:13">
      <c r="A37" s="1294"/>
      <c r="B37" s="1288" t="s">
        <v>1414</v>
      </c>
      <c r="C37" s="1286"/>
      <c r="D37" s="1291"/>
      <c r="E37" s="1292"/>
      <c r="F37" s="1292">
        <v>14</v>
      </c>
      <c r="G37" s="1292">
        <v>1</v>
      </c>
      <c r="H37" s="1293">
        <v>15</v>
      </c>
      <c r="J37" s="1305" t="str">
        <f t="shared" si="0"/>
        <v xml:space="preserve"> 4 Total</v>
      </c>
      <c r="K37" s="1306">
        <f t="shared" si="1"/>
        <v>0</v>
      </c>
      <c r="L37" s="1306">
        <f t="shared" si="2"/>
        <v>0</v>
      </c>
      <c r="M37" s="1306">
        <f t="shared" si="3"/>
        <v>15</v>
      </c>
    </row>
    <row r="38" spans="1:13">
      <c r="A38" s="1294"/>
      <c r="B38" s="1288">
        <v>6</v>
      </c>
      <c r="C38" s="1288" t="s">
        <v>1402</v>
      </c>
      <c r="D38" s="1291"/>
      <c r="E38" s="1292"/>
      <c r="F38" s="1292">
        <v>3</v>
      </c>
      <c r="G38" s="1292"/>
      <c r="H38" s="1293">
        <v>3</v>
      </c>
      <c r="J38" s="1305" t="str">
        <f t="shared" si="0"/>
        <v xml:space="preserve"> 6</v>
      </c>
      <c r="K38" s="1306">
        <f t="shared" si="1"/>
        <v>0</v>
      </c>
      <c r="L38" s="1306">
        <f t="shared" si="2"/>
        <v>0</v>
      </c>
      <c r="M38" s="1306">
        <f t="shared" si="3"/>
        <v>3</v>
      </c>
    </row>
    <row r="39" spans="1:13">
      <c r="A39" s="1294"/>
      <c r="B39" s="1288" t="s">
        <v>1415</v>
      </c>
      <c r="C39" s="1286"/>
      <c r="D39" s="1291"/>
      <c r="E39" s="1292"/>
      <c r="F39" s="1292">
        <v>3</v>
      </c>
      <c r="G39" s="1292"/>
      <c r="H39" s="1293">
        <v>3</v>
      </c>
      <c r="J39" s="1305" t="str">
        <f t="shared" si="0"/>
        <v xml:space="preserve"> 6 Total</v>
      </c>
      <c r="K39" s="1306">
        <f t="shared" si="1"/>
        <v>0</v>
      </c>
      <c r="L39" s="1306">
        <f t="shared" si="2"/>
        <v>0</v>
      </c>
      <c r="M39" s="1306">
        <f t="shared" si="3"/>
        <v>3</v>
      </c>
    </row>
    <row r="40" spans="1:13">
      <c r="A40" s="1294"/>
      <c r="B40" s="1288">
        <v>8</v>
      </c>
      <c r="C40" s="1288" t="s">
        <v>1402</v>
      </c>
      <c r="D40" s="1291">
        <v>1</v>
      </c>
      <c r="E40" s="1292"/>
      <c r="F40" s="1292"/>
      <c r="G40" s="1292"/>
      <c r="H40" s="1293">
        <v>1</v>
      </c>
      <c r="J40" s="1305" t="str">
        <f t="shared" si="0"/>
        <v xml:space="preserve"> 8</v>
      </c>
      <c r="K40" s="1306">
        <f t="shared" si="1"/>
        <v>1</v>
      </c>
      <c r="L40" s="1306">
        <f t="shared" si="2"/>
        <v>0</v>
      </c>
      <c r="M40" s="1306">
        <f t="shared" si="3"/>
        <v>0</v>
      </c>
    </row>
    <row r="41" spans="1:13">
      <c r="A41" s="1294"/>
      <c r="B41" s="1288" t="s">
        <v>1416</v>
      </c>
      <c r="C41" s="1286"/>
      <c r="D41" s="1291">
        <v>1</v>
      </c>
      <c r="E41" s="1292"/>
      <c r="F41" s="1292"/>
      <c r="G41" s="1292"/>
      <c r="H41" s="1293">
        <v>1</v>
      </c>
      <c r="J41" s="1305" t="str">
        <f t="shared" si="0"/>
        <v xml:space="preserve"> 8 Total</v>
      </c>
      <c r="K41" s="1306">
        <f t="shared" si="1"/>
        <v>1</v>
      </c>
      <c r="L41" s="1306">
        <f t="shared" si="2"/>
        <v>0</v>
      </c>
      <c r="M41" s="1306">
        <f t="shared" si="3"/>
        <v>0</v>
      </c>
    </row>
    <row r="42" spans="1:13">
      <c r="A42" s="1288" t="s">
        <v>1419</v>
      </c>
      <c r="B42" s="1286"/>
      <c r="C42" s="1286"/>
      <c r="D42" s="1291">
        <v>1</v>
      </c>
      <c r="E42" s="1292"/>
      <c r="F42" s="1292">
        <v>48</v>
      </c>
      <c r="G42" s="1292">
        <v>9</v>
      </c>
      <c r="H42" s="1293">
        <v>58</v>
      </c>
      <c r="J42" s="1305" t="str">
        <f t="shared" si="0"/>
        <v xml:space="preserve">FR Total </v>
      </c>
      <c r="K42" s="1306">
        <f t="shared" si="1"/>
        <v>1</v>
      </c>
      <c r="L42" s="1306">
        <f t="shared" si="2"/>
        <v>0</v>
      </c>
      <c r="M42" s="1306">
        <f t="shared" si="3"/>
        <v>57</v>
      </c>
    </row>
    <row r="43" spans="1:13">
      <c r="A43" s="1288" t="s">
        <v>434</v>
      </c>
      <c r="B43" s="1288">
        <v>0.16</v>
      </c>
      <c r="C43" s="1288" t="s">
        <v>1402</v>
      </c>
      <c r="D43" s="1291"/>
      <c r="E43" s="1292"/>
      <c r="F43" s="1292"/>
      <c r="G43" s="1292">
        <v>1</v>
      </c>
      <c r="H43" s="1293">
        <v>1</v>
      </c>
      <c r="J43" s="1305" t="str">
        <f t="shared" si="0"/>
        <v>RC 0.16</v>
      </c>
      <c r="K43" s="1306">
        <f t="shared" si="1"/>
        <v>0</v>
      </c>
      <c r="L43" s="1306">
        <f t="shared" si="2"/>
        <v>0</v>
      </c>
      <c r="M43" s="1306">
        <f t="shared" si="3"/>
        <v>1</v>
      </c>
    </row>
    <row r="44" spans="1:13">
      <c r="A44" s="1294"/>
      <c r="B44" s="1288" t="s">
        <v>1403</v>
      </c>
      <c r="C44" s="1286"/>
      <c r="D44" s="1291"/>
      <c r="E44" s="1292"/>
      <c r="F44" s="1292"/>
      <c r="G44" s="1292">
        <v>1</v>
      </c>
      <c r="H44" s="1293">
        <v>1</v>
      </c>
      <c r="J44" s="1305" t="str">
        <f t="shared" si="0"/>
        <v xml:space="preserve"> 0.16 Total</v>
      </c>
      <c r="K44" s="1306">
        <f t="shared" si="1"/>
        <v>0</v>
      </c>
      <c r="L44" s="1306">
        <f t="shared" si="2"/>
        <v>0</v>
      </c>
      <c r="M44" s="1306">
        <f t="shared" si="3"/>
        <v>1</v>
      </c>
    </row>
    <row r="45" spans="1:13">
      <c r="A45" s="1294"/>
      <c r="B45" s="1288">
        <v>0.3</v>
      </c>
      <c r="C45" s="1288" t="s">
        <v>1402</v>
      </c>
      <c r="D45" s="1291"/>
      <c r="E45" s="1292"/>
      <c r="F45" s="1292">
        <v>64</v>
      </c>
      <c r="G45" s="1292"/>
      <c r="H45" s="1293">
        <v>64</v>
      </c>
      <c r="J45" s="1305" t="str">
        <f t="shared" si="0"/>
        <v xml:space="preserve"> 0.3</v>
      </c>
      <c r="K45" s="1306">
        <f t="shared" si="1"/>
        <v>0</v>
      </c>
      <c r="L45" s="1306">
        <f t="shared" si="2"/>
        <v>0</v>
      </c>
      <c r="M45" s="1306">
        <f t="shared" si="3"/>
        <v>64</v>
      </c>
    </row>
    <row r="46" spans="1:13">
      <c r="A46" s="1294"/>
      <c r="B46" s="1288" t="s">
        <v>1404</v>
      </c>
      <c r="C46" s="1286"/>
      <c r="D46" s="1291"/>
      <c r="E46" s="1292"/>
      <c r="F46" s="1292">
        <v>64</v>
      </c>
      <c r="G46" s="1292"/>
      <c r="H46" s="1293">
        <v>64</v>
      </c>
      <c r="J46" s="1305" t="str">
        <f t="shared" si="0"/>
        <v xml:space="preserve"> 0.3 Total</v>
      </c>
      <c r="K46" s="1306">
        <f t="shared" si="1"/>
        <v>0</v>
      </c>
      <c r="L46" s="1306">
        <f t="shared" si="2"/>
        <v>0</v>
      </c>
      <c r="M46" s="1306">
        <f t="shared" si="3"/>
        <v>64</v>
      </c>
    </row>
    <row r="47" spans="1:13">
      <c r="A47" s="1294"/>
      <c r="B47" s="1288">
        <v>0.45</v>
      </c>
      <c r="C47" s="1288" t="s">
        <v>1402</v>
      </c>
      <c r="D47" s="1291"/>
      <c r="E47" s="1292"/>
      <c r="F47" s="1292">
        <v>219</v>
      </c>
      <c r="G47" s="1292">
        <v>136</v>
      </c>
      <c r="H47" s="1293">
        <v>355</v>
      </c>
      <c r="J47" s="1305" t="str">
        <f t="shared" si="0"/>
        <v xml:space="preserve"> 0.45</v>
      </c>
      <c r="K47" s="1306">
        <f t="shared" si="1"/>
        <v>0</v>
      </c>
      <c r="L47" s="1306">
        <f t="shared" si="2"/>
        <v>0</v>
      </c>
      <c r="M47" s="1306">
        <f t="shared" si="3"/>
        <v>355</v>
      </c>
    </row>
    <row r="48" spans="1:13">
      <c r="A48" s="1294"/>
      <c r="B48" s="1288" t="s">
        <v>1405</v>
      </c>
      <c r="C48" s="1286"/>
      <c r="D48" s="1291"/>
      <c r="E48" s="1292"/>
      <c r="F48" s="1292">
        <v>219</v>
      </c>
      <c r="G48" s="1292">
        <v>136</v>
      </c>
      <c r="H48" s="1293">
        <v>355</v>
      </c>
      <c r="J48" s="1305" t="str">
        <f t="shared" si="0"/>
        <v xml:space="preserve"> 0.45 Total</v>
      </c>
      <c r="K48" s="1306">
        <f t="shared" si="1"/>
        <v>0</v>
      </c>
      <c r="L48" s="1306">
        <f t="shared" si="2"/>
        <v>0</v>
      </c>
      <c r="M48" s="1306">
        <f t="shared" si="3"/>
        <v>355</v>
      </c>
    </row>
    <row r="49" spans="1:13">
      <c r="A49" s="1288" t="s">
        <v>1427</v>
      </c>
      <c r="B49" s="1286"/>
      <c r="C49" s="1286"/>
      <c r="D49" s="1291"/>
      <c r="E49" s="1292"/>
      <c r="F49" s="1292">
        <v>283</v>
      </c>
      <c r="G49" s="1292">
        <v>137</v>
      </c>
      <c r="H49" s="1293">
        <v>420</v>
      </c>
      <c r="J49" s="1305" t="str">
        <f t="shared" si="0"/>
        <v xml:space="preserve">RC Total </v>
      </c>
      <c r="K49" s="1306">
        <f t="shared" si="1"/>
        <v>0</v>
      </c>
      <c r="L49" s="1306">
        <f t="shared" si="2"/>
        <v>0</v>
      </c>
      <c r="M49" s="1306">
        <f t="shared" si="3"/>
        <v>420</v>
      </c>
    </row>
    <row r="50" spans="1:13">
      <c r="A50" s="1288" t="s">
        <v>430</v>
      </c>
      <c r="B50" s="1288">
        <v>20</v>
      </c>
      <c r="C50" s="1288" t="s">
        <v>1412</v>
      </c>
      <c r="D50" s="1291"/>
      <c r="E50" s="1292">
        <v>2</v>
      </c>
      <c r="F50" s="1292"/>
      <c r="G50" s="1292"/>
      <c r="H50" s="1293">
        <v>2</v>
      </c>
      <c r="J50" s="1305" t="str">
        <f t="shared" si="0"/>
        <v>RO 20</v>
      </c>
      <c r="K50" s="1306">
        <f t="shared" si="1"/>
        <v>0</v>
      </c>
      <c r="L50" s="1306">
        <f t="shared" si="2"/>
        <v>2</v>
      </c>
      <c r="M50" s="1306">
        <f t="shared" si="3"/>
        <v>0</v>
      </c>
    </row>
    <row r="51" spans="1:13">
      <c r="A51" s="1294"/>
      <c r="B51" s="1288" t="s">
        <v>1422</v>
      </c>
      <c r="C51" s="1286"/>
      <c r="D51" s="1291"/>
      <c r="E51" s="1292">
        <v>2</v>
      </c>
      <c r="F51" s="1292"/>
      <c r="G51" s="1292"/>
      <c r="H51" s="1293">
        <v>2</v>
      </c>
      <c r="J51" s="1305" t="str">
        <f t="shared" si="0"/>
        <v xml:space="preserve"> 20 Total</v>
      </c>
      <c r="K51" s="1306">
        <f t="shared" si="1"/>
        <v>0</v>
      </c>
      <c r="L51" s="1306">
        <f t="shared" si="2"/>
        <v>2</v>
      </c>
      <c r="M51" s="1306">
        <f t="shared" si="3"/>
        <v>0</v>
      </c>
    </row>
    <row r="52" spans="1:13">
      <c r="A52" s="1294"/>
      <c r="B52" s="1288">
        <v>30</v>
      </c>
      <c r="C52" s="1288" t="s">
        <v>1412</v>
      </c>
      <c r="D52" s="1291"/>
      <c r="E52" s="1292">
        <v>3</v>
      </c>
      <c r="F52" s="1292"/>
      <c r="G52" s="1292"/>
      <c r="H52" s="1293">
        <v>3</v>
      </c>
      <c r="J52" s="1305" t="str">
        <f t="shared" si="0"/>
        <v xml:space="preserve"> 30</v>
      </c>
      <c r="K52" s="1306">
        <f t="shared" si="1"/>
        <v>0</v>
      </c>
      <c r="L52" s="1306">
        <f t="shared" si="2"/>
        <v>3</v>
      </c>
      <c r="M52" s="1306">
        <f t="shared" si="3"/>
        <v>0</v>
      </c>
    </row>
    <row r="53" spans="1:13">
      <c r="A53" s="1294"/>
      <c r="B53" s="1288" t="s">
        <v>1424</v>
      </c>
      <c r="C53" s="1286"/>
      <c r="D53" s="1291"/>
      <c r="E53" s="1292">
        <v>3</v>
      </c>
      <c r="F53" s="1292"/>
      <c r="G53" s="1292"/>
      <c r="H53" s="1293">
        <v>3</v>
      </c>
      <c r="J53" s="1305" t="str">
        <f t="shared" si="0"/>
        <v xml:space="preserve"> 30 Total</v>
      </c>
      <c r="K53" s="1306">
        <f t="shared" si="1"/>
        <v>0</v>
      </c>
      <c r="L53" s="1306">
        <f t="shared" si="2"/>
        <v>3</v>
      </c>
      <c r="M53" s="1306">
        <f t="shared" si="3"/>
        <v>0</v>
      </c>
    </row>
    <row r="54" spans="1:13">
      <c r="A54" s="1288" t="s">
        <v>1428</v>
      </c>
      <c r="B54" s="1286"/>
      <c r="C54" s="1286"/>
      <c r="D54" s="1291"/>
      <c r="E54" s="1292">
        <v>5</v>
      </c>
      <c r="F54" s="1292"/>
      <c r="G54" s="1292"/>
      <c r="H54" s="1293">
        <v>5</v>
      </c>
      <c r="J54" s="1305" t="str">
        <f t="shared" si="0"/>
        <v xml:space="preserve">RO Total </v>
      </c>
      <c r="K54" s="1306">
        <f t="shared" si="1"/>
        <v>0</v>
      </c>
      <c r="L54" s="1306">
        <f t="shared" si="2"/>
        <v>5</v>
      </c>
      <c r="M54" s="1306">
        <f t="shared" si="3"/>
        <v>0</v>
      </c>
    </row>
    <row r="55" spans="1:13">
      <c r="A55" s="1288" t="s">
        <v>1432</v>
      </c>
      <c r="B55" s="1288">
        <v>0</v>
      </c>
      <c r="C55" s="1288" t="s">
        <v>1402</v>
      </c>
      <c r="D55" s="1291">
        <v>2101</v>
      </c>
      <c r="E55" s="1292">
        <v>286</v>
      </c>
      <c r="F55" s="1292">
        <v>227</v>
      </c>
      <c r="G55" s="1292">
        <v>130</v>
      </c>
      <c r="H55" s="1293">
        <v>2744</v>
      </c>
      <c r="J55" s="1305" t="str">
        <f t="shared" si="0"/>
        <v>UN 0</v>
      </c>
      <c r="K55" s="1306">
        <f t="shared" si="1"/>
        <v>2101</v>
      </c>
      <c r="L55" s="1306">
        <f t="shared" si="2"/>
        <v>286</v>
      </c>
      <c r="M55" s="1306">
        <f t="shared" si="3"/>
        <v>357</v>
      </c>
    </row>
    <row r="56" spans="1:13">
      <c r="A56" s="1294"/>
      <c r="B56" s="1288" t="s">
        <v>1433</v>
      </c>
      <c r="C56" s="1286"/>
      <c r="D56" s="1291">
        <v>2101</v>
      </c>
      <c r="E56" s="1292">
        <v>286</v>
      </c>
      <c r="F56" s="1292">
        <v>227</v>
      </c>
      <c r="G56" s="1292">
        <v>130</v>
      </c>
      <c r="H56" s="1293">
        <v>2744</v>
      </c>
      <c r="J56" s="1305" t="str">
        <f t="shared" si="0"/>
        <v xml:space="preserve"> 0 Total</v>
      </c>
      <c r="K56" s="1306">
        <f t="shared" si="1"/>
        <v>2101</v>
      </c>
      <c r="L56" s="1306">
        <f t="shared" si="2"/>
        <v>286</v>
      </c>
      <c r="M56" s="1306">
        <f t="shared" si="3"/>
        <v>357</v>
      </c>
    </row>
    <row r="57" spans="1:13">
      <c r="A57" s="1288" t="s">
        <v>1434</v>
      </c>
      <c r="B57" s="1286"/>
      <c r="C57" s="1286"/>
      <c r="D57" s="1291">
        <v>2101</v>
      </c>
      <c r="E57" s="1292">
        <v>286</v>
      </c>
      <c r="F57" s="1292">
        <v>227</v>
      </c>
      <c r="G57" s="1292">
        <v>130</v>
      </c>
      <c r="H57" s="1293">
        <v>2744</v>
      </c>
      <c r="J57" s="1305" t="str">
        <f t="shared" si="0"/>
        <v xml:space="preserve">UN Total </v>
      </c>
      <c r="K57" s="1306">
        <f t="shared" si="1"/>
        <v>2101</v>
      </c>
      <c r="L57" s="1306">
        <f t="shared" si="2"/>
        <v>286</v>
      </c>
      <c r="M57" s="1306">
        <f t="shared" si="3"/>
        <v>357</v>
      </c>
    </row>
    <row r="58" spans="1:13">
      <c r="A58" s="1288" t="s">
        <v>436</v>
      </c>
      <c r="B58" s="1288">
        <v>0.45</v>
      </c>
      <c r="C58" s="1288" t="s">
        <v>1402</v>
      </c>
      <c r="D58" s="1291">
        <v>14</v>
      </c>
      <c r="E58" s="1292"/>
      <c r="F58" s="1292"/>
      <c r="G58" s="1292"/>
      <c r="H58" s="1293">
        <v>14</v>
      </c>
      <c r="J58" s="1305" t="str">
        <f>+A58&amp;" "&amp;B58</f>
        <v>YW 0.45</v>
      </c>
      <c r="K58" s="1306">
        <f t="shared" si="1"/>
        <v>14</v>
      </c>
      <c r="L58" s="1306">
        <f t="shared" si="2"/>
        <v>0</v>
      </c>
      <c r="M58" s="1306">
        <f t="shared" si="3"/>
        <v>0</v>
      </c>
    </row>
    <row r="59" spans="1:13">
      <c r="A59" s="1294"/>
      <c r="B59" s="1288" t="s">
        <v>1405</v>
      </c>
      <c r="C59" s="1286"/>
      <c r="D59" s="1291">
        <v>14</v>
      </c>
      <c r="E59" s="1292"/>
      <c r="F59" s="1292"/>
      <c r="G59" s="1292"/>
      <c r="H59" s="1293">
        <v>14</v>
      </c>
      <c r="J59" s="1305" t="str">
        <f>+A59&amp;" "&amp;B59</f>
        <v xml:space="preserve"> 0.45 Total</v>
      </c>
      <c r="K59" s="1306">
        <f t="shared" si="1"/>
        <v>14</v>
      </c>
      <c r="L59" s="1306">
        <f t="shared" si="2"/>
        <v>0</v>
      </c>
      <c r="M59" s="1306">
        <f t="shared" si="3"/>
        <v>0</v>
      </c>
    </row>
    <row r="60" spans="1:13">
      <c r="A60" s="1288" t="s">
        <v>1431</v>
      </c>
      <c r="B60" s="1286"/>
      <c r="C60" s="1286"/>
      <c r="D60" s="1291">
        <v>14</v>
      </c>
      <c r="E60" s="1292"/>
      <c r="F60" s="1292"/>
      <c r="G60" s="1292"/>
      <c r="H60" s="1293">
        <v>14</v>
      </c>
      <c r="J60" s="1305" t="str">
        <f>+A60&amp;" "&amp;B60</f>
        <v xml:space="preserve">YW Total </v>
      </c>
      <c r="K60" s="1306">
        <f t="shared" si="1"/>
        <v>14</v>
      </c>
      <c r="L60" s="1306">
        <f t="shared" si="2"/>
        <v>0</v>
      </c>
      <c r="M60" s="1306">
        <f t="shared" si="3"/>
        <v>0</v>
      </c>
    </row>
    <row r="61" spans="1:13">
      <c r="A61" s="1298" t="s">
        <v>1401</v>
      </c>
      <c r="B61" s="1299"/>
      <c r="C61" s="1299"/>
      <c r="D61" s="1300">
        <v>2410</v>
      </c>
      <c r="E61" s="1301">
        <v>291</v>
      </c>
      <c r="F61" s="1301">
        <v>558</v>
      </c>
      <c r="G61" s="1301">
        <v>276</v>
      </c>
      <c r="H61" s="1302">
        <v>3535</v>
      </c>
      <c r="J61" s="1305" t="str">
        <f>+A61&amp;" "&amp;B61</f>
        <v xml:space="preserve">Grand Total </v>
      </c>
      <c r="K61" s="1306">
        <f t="shared" si="1"/>
        <v>2410</v>
      </c>
      <c r="L61" s="1306">
        <f t="shared" si="2"/>
        <v>291</v>
      </c>
      <c r="M61" s="1306">
        <f t="shared" si="3"/>
        <v>834</v>
      </c>
    </row>
    <row r="62" spans="1:13">
      <c r="J62" s="1240"/>
      <c r="K62" s="1242"/>
      <c r="L62" s="1242"/>
      <c r="M62" s="1242"/>
    </row>
    <row r="63" spans="1:13">
      <c r="J63" s="1240"/>
      <c r="K63" s="1242"/>
      <c r="L63" s="1242"/>
      <c r="M63" s="1242"/>
    </row>
    <row r="64" spans="1:13">
      <c r="J64" s="1240"/>
      <c r="K64" s="1242"/>
      <c r="L64" s="1242"/>
      <c r="M64" s="1242"/>
    </row>
    <row r="65" spans="10:13">
      <c r="J65" s="1240"/>
      <c r="K65" s="1242"/>
      <c r="L65" s="1242"/>
      <c r="M65" s="1242"/>
    </row>
    <row r="66" spans="10:13">
      <c r="J66" s="1240"/>
      <c r="K66" s="1242"/>
      <c r="L66" s="1242"/>
      <c r="M66" s="1242"/>
    </row>
    <row r="67" spans="10:13">
      <c r="J67" s="1240"/>
      <c r="K67" s="1242"/>
      <c r="L67" s="1242"/>
      <c r="M67" s="1242"/>
    </row>
    <row r="68" spans="10:13">
      <c r="J68" s="1240"/>
      <c r="K68" s="1242"/>
      <c r="L68" s="1242"/>
      <c r="M68" s="1242"/>
    </row>
    <row r="69" spans="10:13">
      <c r="J69" s="1240"/>
      <c r="K69" s="1242"/>
      <c r="L69" s="1242"/>
      <c r="M69" s="1242"/>
    </row>
    <row r="70" spans="10:13">
      <c r="J70" s="1240"/>
      <c r="K70" s="1242"/>
      <c r="L70" s="1242"/>
      <c r="M70" s="1242"/>
    </row>
    <row r="71" spans="10:13">
      <c r="J71" s="1240"/>
      <c r="K71" s="1242"/>
      <c r="L71" s="1242"/>
      <c r="M71" s="1242"/>
    </row>
    <row r="72" spans="10:13">
      <c r="J72" s="1240"/>
      <c r="K72" s="1242"/>
      <c r="L72" s="1242"/>
      <c r="M72" s="1242"/>
    </row>
    <row r="73" spans="10:13">
      <c r="J73" s="1240"/>
      <c r="K73" s="1242"/>
      <c r="L73" s="1242"/>
      <c r="M73" s="1242"/>
    </row>
    <row r="74" spans="10:13">
      <c r="J74" s="1240"/>
      <c r="K74" s="1242"/>
      <c r="L74" s="1242"/>
      <c r="M74" s="1242"/>
    </row>
    <row r="75" spans="10:13">
      <c r="J75" s="1240"/>
      <c r="K75" s="1242"/>
      <c r="L75" s="1242"/>
      <c r="M75" s="1242"/>
    </row>
    <row r="76" spans="10:13">
      <c r="J76" s="1240"/>
      <c r="K76" s="1242"/>
      <c r="L76" s="1242"/>
      <c r="M76" s="1242"/>
    </row>
    <row r="77" spans="10:13">
      <c r="J77" s="1240"/>
      <c r="K77" s="1242"/>
      <c r="L77" s="1242"/>
      <c r="M77" s="1242"/>
    </row>
    <row r="78" spans="10:13">
      <c r="J78" s="1240"/>
      <c r="K78" s="1242"/>
      <c r="L78" s="1242"/>
      <c r="M78" s="1242"/>
    </row>
    <row r="79" spans="10:13">
      <c r="J79" s="1240"/>
      <c r="K79" s="1242"/>
      <c r="L79" s="1242"/>
      <c r="M79" s="1242"/>
    </row>
    <row r="80" spans="10:13">
      <c r="J80" s="1240"/>
      <c r="K80" s="1242"/>
      <c r="L80" s="1242"/>
      <c r="M80" s="1242"/>
    </row>
    <row r="81" spans="10:13">
      <c r="J81" s="1240"/>
      <c r="K81" s="1242"/>
      <c r="L81" s="1242"/>
      <c r="M81" s="1242"/>
    </row>
    <row r="82" spans="10:13">
      <c r="J82" s="1240"/>
      <c r="K82" s="1242"/>
      <c r="L82" s="1242"/>
      <c r="M82" s="1242"/>
    </row>
    <row r="83" spans="10:13">
      <c r="J83" s="1240"/>
      <c r="K83" s="1242"/>
      <c r="L83" s="1242"/>
      <c r="M83" s="1242"/>
    </row>
    <row r="84" spans="10:13">
      <c r="J84" s="1240"/>
      <c r="K84" s="1242"/>
      <c r="L84" s="1242"/>
      <c r="M84" s="1242"/>
    </row>
    <row r="85" spans="10:13">
      <c r="J85" s="1240"/>
      <c r="K85" s="1242"/>
      <c r="L85" s="1242"/>
      <c r="M85" s="1242"/>
    </row>
    <row r="86" spans="10:13">
      <c r="J86" s="1240"/>
      <c r="K86" s="1242"/>
      <c r="L86" s="1242"/>
      <c r="M86" s="1242"/>
    </row>
    <row r="87" spans="10:13">
      <c r="J87" s="1240"/>
      <c r="K87" s="1242"/>
      <c r="L87" s="1242"/>
      <c r="M87" s="1242"/>
    </row>
    <row r="88" spans="10:13">
      <c r="J88" s="1240"/>
      <c r="K88" s="1242"/>
      <c r="L88" s="1242"/>
      <c r="M88" s="1242"/>
    </row>
    <row r="89" spans="10:13">
      <c r="J89" s="1240"/>
      <c r="K89" s="1242"/>
      <c r="L89" s="1242"/>
      <c r="M89" s="1242"/>
    </row>
    <row r="90" spans="10:13">
      <c r="J90" s="1240"/>
      <c r="K90" s="1242"/>
      <c r="L90" s="1242"/>
      <c r="M90" s="1242"/>
    </row>
    <row r="91" spans="10:13">
      <c r="J91" s="1240"/>
      <c r="K91" s="1242"/>
      <c r="L91" s="1242"/>
      <c r="M91" s="1242"/>
    </row>
    <row r="92" spans="10:13">
      <c r="J92" s="1240"/>
      <c r="K92" s="1242"/>
      <c r="L92" s="1242"/>
      <c r="M92" s="1242"/>
    </row>
    <row r="93" spans="10:13">
      <c r="J93" s="1240"/>
      <c r="K93" s="1242"/>
      <c r="L93" s="1242"/>
      <c r="M93" s="1242"/>
    </row>
    <row r="94" spans="10:13">
      <c r="J94" s="1240"/>
      <c r="K94" s="1242"/>
      <c r="L94" s="1242"/>
      <c r="M94" s="1242"/>
    </row>
    <row r="95" spans="10:13">
      <c r="J95" s="1240"/>
      <c r="K95" s="1242"/>
      <c r="L95" s="1242"/>
      <c r="M95" s="1242"/>
    </row>
    <row r="96" spans="10:13">
      <c r="J96" s="1240"/>
      <c r="K96" s="1242"/>
      <c r="L96" s="1242"/>
      <c r="M96" s="1242"/>
    </row>
    <row r="97" spans="10:13">
      <c r="J97" s="1240"/>
      <c r="K97" s="1241"/>
      <c r="L97" s="1241"/>
      <c r="M97" s="1241"/>
    </row>
    <row r="98" spans="10:13">
      <c r="J98" s="1240" t="str">
        <f t="shared" ref="J98:J120" si="4">+A98&amp;" "&amp;B98</f>
        <v xml:space="preserve"> </v>
      </c>
      <c r="K98" s="1241"/>
      <c r="L98" s="1241"/>
      <c r="M98" s="1241"/>
    </row>
    <row r="99" spans="10:13">
      <c r="J99" s="1240" t="str">
        <f t="shared" si="4"/>
        <v xml:space="preserve"> </v>
      </c>
      <c r="K99" s="1241"/>
      <c r="L99" s="1241"/>
      <c r="M99" s="1241"/>
    </row>
    <row r="100" spans="10:13">
      <c r="J100" s="1237" t="str">
        <f t="shared" si="4"/>
        <v xml:space="preserve"> </v>
      </c>
    </row>
    <row r="101" spans="10:13">
      <c r="J101" s="1237" t="str">
        <f t="shared" si="4"/>
        <v xml:space="preserve"> </v>
      </c>
    </row>
    <row r="102" spans="10:13">
      <c r="J102" s="1237" t="str">
        <f t="shared" si="4"/>
        <v xml:space="preserve"> </v>
      </c>
    </row>
    <row r="103" spans="10:13">
      <c r="J103" s="1237" t="str">
        <f t="shared" si="4"/>
        <v xml:space="preserve"> </v>
      </c>
    </row>
    <row r="104" spans="10:13">
      <c r="J104" s="1237" t="str">
        <f t="shared" si="4"/>
        <v xml:space="preserve"> </v>
      </c>
    </row>
    <row r="105" spans="10:13">
      <c r="J105" s="1237" t="str">
        <f t="shared" si="4"/>
        <v xml:space="preserve"> </v>
      </c>
    </row>
    <row r="106" spans="10:13">
      <c r="J106" s="1237" t="str">
        <f t="shared" si="4"/>
        <v xml:space="preserve"> </v>
      </c>
    </row>
    <row r="107" spans="10:13">
      <c r="J107" s="1237" t="str">
        <f t="shared" si="4"/>
        <v xml:space="preserve"> </v>
      </c>
    </row>
    <row r="108" spans="10:13">
      <c r="J108" s="1237" t="str">
        <f t="shared" si="4"/>
        <v xml:space="preserve"> </v>
      </c>
    </row>
    <row r="109" spans="10:13">
      <c r="J109" s="1237" t="str">
        <f t="shared" si="4"/>
        <v xml:space="preserve"> </v>
      </c>
    </row>
    <row r="110" spans="10:13">
      <c r="J110" s="1237" t="str">
        <f t="shared" si="4"/>
        <v xml:space="preserve"> </v>
      </c>
    </row>
    <row r="111" spans="10:13">
      <c r="J111" s="1237" t="str">
        <f t="shared" si="4"/>
        <v xml:space="preserve"> </v>
      </c>
    </row>
    <row r="112" spans="10:13">
      <c r="J112" s="1237" t="str">
        <f t="shared" si="4"/>
        <v xml:space="preserve"> </v>
      </c>
    </row>
    <row r="113" spans="10:10">
      <c r="J113" s="1237" t="str">
        <f t="shared" si="4"/>
        <v xml:space="preserve"> </v>
      </c>
    </row>
    <row r="114" spans="10:10">
      <c r="J114" s="1237" t="str">
        <f t="shared" si="4"/>
        <v xml:space="preserve"> </v>
      </c>
    </row>
    <row r="115" spans="10:10">
      <c r="J115" s="1237" t="str">
        <f t="shared" si="4"/>
        <v xml:space="preserve"> </v>
      </c>
    </row>
    <row r="116" spans="10:10">
      <c r="J116" s="1237" t="str">
        <f t="shared" si="4"/>
        <v xml:space="preserve"> </v>
      </c>
    </row>
    <row r="117" spans="10:10">
      <c r="J117" s="1237" t="str">
        <f t="shared" si="4"/>
        <v xml:space="preserve"> </v>
      </c>
    </row>
    <row r="118" spans="10:10">
      <c r="J118" s="1237" t="str">
        <f t="shared" si="4"/>
        <v xml:space="preserve"> </v>
      </c>
    </row>
    <row r="119" spans="10:10">
      <c r="J119" s="1237" t="str">
        <f t="shared" si="4"/>
        <v xml:space="preserve"> </v>
      </c>
    </row>
    <row r="120" spans="10:10">
      <c r="J120" s="1237" t="str">
        <f t="shared" si="4"/>
        <v xml:space="preserve"> </v>
      </c>
    </row>
    <row r="121" spans="10:10">
      <c r="J121" s="1237"/>
    </row>
  </sheetData>
  <mergeCells count="1">
    <mergeCell ref="J2:M2"/>
  </mergeCells>
  <pageMargins left="0.7" right="0.7" top="0.75" bottom="0.75" header="0.3" footer="0.3"/>
  <pageSetup scale="49" orientation="portrait"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N56"/>
  <sheetViews>
    <sheetView showGridLines="0" topLeftCell="B1" zoomScale="80" zoomScaleNormal="80" workbookViewId="0">
      <selection activeCell="E8" sqref="E8"/>
    </sheetView>
  </sheetViews>
  <sheetFormatPr defaultColWidth="16.33203125" defaultRowHeight="15"/>
  <cols>
    <col min="1" max="1" width="13.33203125" style="82" bestFit="1" customWidth="1"/>
    <col min="2" max="2" width="16.33203125" style="82"/>
    <col min="3" max="3" width="27" style="82" customWidth="1"/>
    <col min="4" max="4" width="16.33203125" style="82"/>
    <col min="5" max="5" width="27.6640625" style="82" customWidth="1"/>
    <col min="6" max="6" width="33.1640625" style="82" customWidth="1"/>
    <col min="7" max="7" width="18.83203125" style="82" customWidth="1"/>
    <col min="8" max="8" width="19.6640625" style="82" customWidth="1"/>
    <col min="9" max="25" width="16.33203125" style="82"/>
    <col min="26" max="26" width="16.5" style="82" bestFit="1" customWidth="1"/>
    <col min="27" max="16384" width="16.33203125" style="82"/>
  </cols>
  <sheetData>
    <row r="1" spans="1:40" ht="18">
      <c r="A1" s="83"/>
      <c r="B1" s="80" t="str">
        <f>Summary!C3</f>
        <v>Eastside</v>
      </c>
      <c r="C1" s="83"/>
      <c r="D1" s="83"/>
      <c r="E1" s="83"/>
      <c r="F1" s="108" t="s">
        <v>18</v>
      </c>
      <c r="G1" s="83"/>
      <c r="H1" s="83"/>
      <c r="I1" s="83"/>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row>
    <row r="2" spans="1:40">
      <c r="A2" s="83"/>
      <c r="B2" s="83" t="s">
        <v>200</v>
      </c>
      <c r="C2" s="83"/>
      <c r="D2" s="83"/>
      <c r="E2" s="83"/>
      <c r="F2" s="83"/>
      <c r="G2" s="83"/>
      <c r="H2" s="83"/>
      <c r="I2" s="83"/>
      <c r="J2" s="79"/>
      <c r="K2" s="79"/>
      <c r="L2" s="79"/>
      <c r="M2" s="79"/>
      <c r="N2" s="79"/>
      <c r="O2" s="79"/>
      <c r="P2" s="79"/>
      <c r="Q2" s="79"/>
      <c r="R2" s="79"/>
      <c r="S2" s="79"/>
      <c r="T2" s="79"/>
      <c r="U2" s="79"/>
      <c r="V2" s="79"/>
      <c r="W2" s="79"/>
      <c r="X2" s="79"/>
      <c r="Y2" s="79"/>
      <c r="Z2" s="79"/>
      <c r="AA2" s="84" t="s">
        <v>201</v>
      </c>
      <c r="AB2" s="84" t="s">
        <v>202</v>
      </c>
      <c r="AC2" s="79"/>
      <c r="AD2" s="79"/>
      <c r="AE2" s="79" t="s">
        <v>203</v>
      </c>
      <c r="AF2" s="79"/>
      <c r="AG2" s="79"/>
      <c r="AH2" s="79"/>
      <c r="AI2" s="79"/>
      <c r="AJ2" s="79"/>
      <c r="AK2" s="79"/>
      <c r="AL2" s="79"/>
      <c r="AM2" s="79"/>
      <c r="AN2" s="79"/>
    </row>
    <row r="3" spans="1:40">
      <c r="A3" s="83"/>
      <c r="B3" s="83" t="str">
        <f>+'Combined LG'!B3</f>
        <v>For the test period ended April 30, 2014</v>
      </c>
      <c r="C3" s="83"/>
      <c r="D3" s="83"/>
      <c r="E3" s="83"/>
      <c r="F3" s="83"/>
      <c r="G3" s="83"/>
      <c r="H3" s="83"/>
      <c r="I3" s="83"/>
      <c r="J3" s="79"/>
      <c r="K3" s="79"/>
      <c r="L3" s="79"/>
      <c r="M3" s="79"/>
      <c r="N3" s="79"/>
      <c r="O3" s="79"/>
      <c r="P3" s="79"/>
      <c r="Q3" s="79"/>
      <c r="R3" s="79"/>
      <c r="S3" s="79"/>
      <c r="T3" s="79"/>
      <c r="U3" s="79"/>
      <c r="V3" s="79"/>
      <c r="W3" s="79"/>
      <c r="X3" s="79"/>
      <c r="Y3" s="79"/>
      <c r="Z3" s="79"/>
      <c r="AA3" s="84"/>
      <c r="AB3" s="84"/>
      <c r="AC3" s="79"/>
      <c r="AD3" s="79"/>
      <c r="AE3" s="79"/>
      <c r="AF3" s="79"/>
      <c r="AG3" s="79"/>
      <c r="AH3" s="79"/>
      <c r="AI3" s="79"/>
      <c r="AJ3" s="79"/>
      <c r="AK3" s="79"/>
      <c r="AL3" s="79"/>
      <c r="AM3" s="79"/>
      <c r="AN3" s="79"/>
    </row>
    <row r="4" spans="1:40">
      <c r="A4" s="83"/>
      <c r="B4" s="83"/>
      <c r="C4" s="83"/>
      <c r="D4" s="83"/>
      <c r="E4" s="83"/>
      <c r="F4" s="83"/>
      <c r="G4" s="83"/>
      <c r="H4" s="83"/>
      <c r="I4" s="83"/>
      <c r="J4" s="79" t="s">
        <v>204</v>
      </c>
      <c r="K4" s="79"/>
      <c r="L4" s="79"/>
      <c r="M4" s="79"/>
      <c r="N4" s="79"/>
      <c r="O4" s="79"/>
      <c r="P4" s="79"/>
      <c r="Q4" s="84" t="s">
        <v>205</v>
      </c>
      <c r="R4" s="84" t="s">
        <v>206</v>
      </c>
      <c r="S4" s="84" t="s">
        <v>207</v>
      </c>
      <c r="T4" s="84" t="s">
        <v>208</v>
      </c>
      <c r="U4" s="84" t="s">
        <v>209</v>
      </c>
      <c r="V4" s="79"/>
      <c r="W4" s="84" t="s">
        <v>210</v>
      </c>
      <c r="X4" s="79" t="s">
        <v>211</v>
      </c>
      <c r="Y4" s="84" t="s">
        <v>212</v>
      </c>
      <c r="Z4" s="84" t="s">
        <v>213</v>
      </c>
      <c r="AA4" s="84" t="s">
        <v>214</v>
      </c>
      <c r="AB4" s="79"/>
      <c r="AC4" s="79"/>
      <c r="AD4" s="79"/>
      <c r="AE4" s="79" t="s">
        <v>215</v>
      </c>
      <c r="AF4" s="79"/>
      <c r="AG4" s="79"/>
      <c r="AH4" s="79"/>
      <c r="AI4" s="79"/>
      <c r="AJ4" s="79"/>
      <c r="AK4" s="79"/>
      <c r="AL4" s="79"/>
      <c r="AM4" s="79"/>
      <c r="AN4" s="79"/>
    </row>
    <row r="5" spans="1:40">
      <c r="A5" s="109"/>
      <c r="B5" s="83" t="s">
        <v>216</v>
      </c>
      <c r="C5" s="83" t="s">
        <v>217</v>
      </c>
      <c r="D5" s="83"/>
      <c r="E5" s="110">
        <f>E7+E6</f>
        <v>3529545.6459223749</v>
      </c>
      <c r="F5" s="83" t="s">
        <v>218</v>
      </c>
      <c r="G5" s="83"/>
      <c r="H5" s="83"/>
      <c r="I5" s="83"/>
      <c r="J5" s="79" t="s">
        <v>219</v>
      </c>
      <c r="K5" s="79"/>
      <c r="L5" s="79"/>
      <c r="M5" s="79" t="s">
        <v>220</v>
      </c>
      <c r="N5" s="79"/>
      <c r="O5" s="79"/>
      <c r="P5" s="79"/>
      <c r="Q5" s="87">
        <f>$E$8*1.25</f>
        <v>4077373.8343869778</v>
      </c>
      <c r="R5" s="88">
        <f>100*(+Q5/$E$9)</f>
        <v>376.48981661409209</v>
      </c>
      <c r="S5" s="89">
        <f>EXP(5.7226-(0.68367*LN(+R5)))</f>
        <v>5.3006409672449442</v>
      </c>
      <c r="T5" s="89">
        <f>(+S5*R5)/100</f>
        <v>19.95637345695193</v>
      </c>
      <c r="U5" s="88">
        <f>100*((((T5/100)-((T5/100)-0.03574)*$E$21)-0.03574-0.00619)/0.344)</f>
        <v>31.15582102386842</v>
      </c>
      <c r="V5" s="673">
        <f>+$E$20</f>
        <v>0.25</v>
      </c>
      <c r="W5" s="88">
        <f>U5+V5</f>
        <v>31.40582102386842</v>
      </c>
      <c r="X5" s="88">
        <f>100*($E$17*$E$19+($E$18*(W5/100))/(1-$E$21))</f>
        <v>26.45064423735451</v>
      </c>
      <c r="Y5" s="89">
        <f>X5/R5</f>
        <v>7.0255935406791703E-2</v>
      </c>
      <c r="Z5" s="87">
        <f>$E$8/(1-Y5)</f>
        <v>3508383.8571604798</v>
      </c>
      <c r="AA5" s="79" t="str">
        <f>IF(Z5=$Q$5,"yes","not yet")</f>
        <v>not yet</v>
      </c>
      <c r="AB5" s="88">
        <f>100*(1-Y5)</f>
        <v>92.974406459320818</v>
      </c>
      <c r="AC5" s="79"/>
      <c r="AD5" s="79"/>
      <c r="AE5" s="79">
        <v>0</v>
      </c>
      <c r="AF5" s="79">
        <v>1</v>
      </c>
      <c r="AG5" s="79"/>
      <c r="AH5" s="79"/>
      <c r="AI5" s="79"/>
      <c r="AJ5" s="79"/>
      <c r="AK5" s="79"/>
      <c r="AL5" s="79"/>
      <c r="AM5" s="79"/>
      <c r="AN5" s="79"/>
    </row>
    <row r="6" spans="1:40">
      <c r="A6" s="83" t="s">
        <v>11</v>
      </c>
      <c r="B6" s="83" t="s">
        <v>216</v>
      </c>
      <c r="C6" s="83" t="s">
        <v>221</v>
      </c>
      <c r="D6" s="83"/>
      <c r="E6" s="685">
        <f>(+E8-(($H15/100)*E7))/$H25</f>
        <v>164972.68273437498</v>
      </c>
      <c r="F6" s="111" t="s">
        <v>218</v>
      </c>
      <c r="G6" s="119">
        <f>+E6/E7</f>
        <v>4.9032279739316474E-2</v>
      </c>
      <c r="H6" s="83"/>
      <c r="I6" s="83"/>
      <c r="J6" s="79" t="s">
        <v>222</v>
      </c>
      <c r="K6" s="79"/>
      <c r="L6" s="79"/>
      <c r="M6" s="79" t="s">
        <v>223</v>
      </c>
      <c r="N6" s="79"/>
      <c r="O6" s="79"/>
      <c r="P6" s="79"/>
      <c r="Q6" s="87">
        <f>$E$8*1.25</f>
        <v>4077373.8343869778</v>
      </c>
      <c r="R6" s="88">
        <f>100*(+Q6/$E$9)</f>
        <v>376.48981661409209</v>
      </c>
      <c r="S6" s="89">
        <f>EXP(5.70827-(0.68367*LN(+R6)))</f>
        <v>5.2252244322119603</v>
      </c>
      <c r="T6" s="89">
        <f>(+S6*R6)/100</f>
        <v>19.672437882509545</v>
      </c>
      <c r="U6" s="88">
        <f>100*((((T6/100)-((T6/100)-0.03574)*$E$21)-0.03574-0.00619)/0.344)</f>
        <v>30.584648298536639</v>
      </c>
      <c r="V6" s="673">
        <f>+$E$20</f>
        <v>0.25</v>
      </c>
      <c r="W6" s="88">
        <f>U6+V6</f>
        <v>30.834648298536639</v>
      </c>
      <c r="X6" s="88">
        <f>100*($E$17*$E$19+($E$18*(W6/100))/(1-$E$21))</f>
        <v>26.013469465581441</v>
      </c>
      <c r="Y6" s="89">
        <f>X6/R6</f>
        <v>6.9094749227296234E-2</v>
      </c>
      <c r="Z6" s="87">
        <f>$E$8/(1-Y6)</f>
        <v>3504007.5934710028</v>
      </c>
      <c r="AA6" s="79" t="str">
        <f>IF(Z6=$Q$6,"yes","not yet")</f>
        <v>not yet</v>
      </c>
      <c r="AB6" s="88">
        <f>100*(1-Y6)</f>
        <v>93.090525077270385</v>
      </c>
      <c r="AC6" s="79"/>
      <c r="AD6" s="79"/>
      <c r="AE6" s="79">
        <v>50</v>
      </c>
      <c r="AF6" s="79">
        <v>2</v>
      </c>
      <c r="AG6" s="79"/>
      <c r="AH6" s="79"/>
      <c r="AI6" s="79"/>
      <c r="AJ6" s="79"/>
      <c r="AK6" s="79"/>
      <c r="AL6" s="79"/>
      <c r="AM6" s="79"/>
      <c r="AN6" s="79"/>
    </row>
    <row r="7" spans="1:40">
      <c r="A7" s="83"/>
      <c r="B7" s="112" t="s">
        <v>224</v>
      </c>
      <c r="C7" s="83" t="s">
        <v>13</v>
      </c>
      <c r="D7" s="112" t="s">
        <v>225</v>
      </c>
      <c r="E7" s="157">
        <f>+Proforma!Q20</f>
        <v>3364572.963188</v>
      </c>
      <c r="F7" s="83" t="s">
        <v>226</v>
      </c>
      <c r="G7" s="83"/>
      <c r="H7" s="83"/>
      <c r="I7" s="83"/>
      <c r="J7" s="79" t="s">
        <v>227</v>
      </c>
      <c r="K7" s="79"/>
      <c r="L7" s="79"/>
      <c r="M7" s="79" t="s">
        <v>228</v>
      </c>
      <c r="N7" s="79"/>
      <c r="O7" s="79"/>
      <c r="P7" s="79"/>
      <c r="Q7" s="87">
        <f>$E$8*1.25</f>
        <v>4077373.8343869778</v>
      </c>
      <c r="R7" s="88">
        <f>100*(+Q7/$E$9)</f>
        <v>376.48981661409209</v>
      </c>
      <c r="S7" s="89">
        <f>EXP(5.6985-(0.68367*LN(R7)))</f>
        <v>5.174422560749532</v>
      </c>
      <c r="T7" s="89">
        <f>(+S7*R7)/100</f>
        <v>19.481174009804121</v>
      </c>
      <c r="U7" s="88">
        <f>100*((((T7/100)-((T7/100)-0.03574)*$E$21)-0.03574-0.00619)/0.344)</f>
        <v>30.199896554605978</v>
      </c>
      <c r="V7" s="673">
        <f>+$E$20</f>
        <v>0.25</v>
      </c>
      <c r="W7" s="88">
        <f>U7+V7</f>
        <v>30.449896554605978</v>
      </c>
      <c r="X7" s="88">
        <f>100*($E$17*$E$19+($E$18*(W7/100))/(1-$E$21))</f>
        <v>25.718981041358326</v>
      </c>
      <c r="Y7" s="89">
        <f>X7/R7</f>
        <v>6.8312554301357589E-2</v>
      </c>
      <c r="Z7" s="87">
        <f>$E$8/(1-Y7)</f>
        <v>3501065.8161907392</v>
      </c>
      <c r="AA7" s="79" t="str">
        <f>IF(Z7=$Q$7,"yes","not yet")</f>
        <v>not yet</v>
      </c>
      <c r="AB7" s="88">
        <f>100*(1-Y7)</f>
        <v>93.168744569864231</v>
      </c>
      <c r="AC7" s="79"/>
      <c r="AD7" s="79"/>
      <c r="AE7" s="79">
        <v>125</v>
      </c>
      <c r="AF7" s="79">
        <v>3</v>
      </c>
      <c r="AG7" s="79"/>
      <c r="AH7" s="79"/>
      <c r="AI7" s="79"/>
      <c r="AJ7" s="79"/>
      <c r="AK7" s="79"/>
      <c r="AL7" s="79"/>
      <c r="AM7" s="79"/>
      <c r="AN7" s="79"/>
    </row>
    <row r="8" spans="1:40">
      <c r="A8" s="83"/>
      <c r="B8" s="112" t="s">
        <v>224</v>
      </c>
      <c r="C8" s="83" t="s">
        <v>53</v>
      </c>
      <c r="D8" s="112" t="s">
        <v>225</v>
      </c>
      <c r="E8" s="113">
        <f>Proforma!Q32+Proforma!Q293</f>
        <v>3261899.0675095823</v>
      </c>
      <c r="F8" s="83" t="s">
        <v>226</v>
      </c>
      <c r="G8" s="83"/>
      <c r="H8" s="83"/>
      <c r="I8" s="83"/>
      <c r="J8" s="79" t="s">
        <v>229</v>
      </c>
      <c r="K8" s="79"/>
      <c r="L8" s="79"/>
      <c r="M8" s="79" t="s">
        <v>230</v>
      </c>
      <c r="N8" s="79"/>
      <c r="O8" s="79"/>
      <c r="P8" s="79"/>
      <c r="Q8" s="87">
        <f>$E$8*1.25</f>
        <v>4077373.8343869778</v>
      </c>
      <c r="R8" s="88">
        <f>100*(+Q8/$E$9)</f>
        <v>376.48981661409209</v>
      </c>
      <c r="S8" s="89">
        <f>EXP(5.6922-(0.68367*LN(R8)))</f>
        <v>5.1419261697302607</v>
      </c>
      <c r="T8" s="89">
        <f>(+S8*R8)/100</f>
        <v>19.358828406849469</v>
      </c>
      <c r="U8" s="88">
        <f>100*((((T8/100)-((T8/100)-0.03574)*$E$21)-0.03574-0.00619)/0.344)</f>
        <v>29.953782725406491</v>
      </c>
      <c r="V8" s="673">
        <f>+$E$20</f>
        <v>0.25</v>
      </c>
      <c r="W8" s="88">
        <f>U8+V8</f>
        <v>30.203782725406491</v>
      </c>
      <c r="X8" s="88">
        <f>100*($E$17*$E$19+($E$18*(W8/100))/(1-$E$21))</f>
        <v>25.53060587507569</v>
      </c>
      <c r="Y8" s="89">
        <f>X8/R8</f>
        <v>6.7812208321280987E-2</v>
      </c>
      <c r="Z8" s="87">
        <f>$E$8/(1-Y8)</f>
        <v>3499186.6409615073</v>
      </c>
      <c r="AA8" s="79" t="str">
        <f>IF(Z8=$Q$8,"yes","not yet")</f>
        <v>not yet</v>
      </c>
      <c r="AB8" s="88">
        <f>100*(1-Y8)</f>
        <v>93.218779167871901</v>
      </c>
      <c r="AC8" s="79"/>
      <c r="AD8" s="79"/>
      <c r="AE8" s="79">
        <v>401</v>
      </c>
      <c r="AF8" s="79">
        <v>4</v>
      </c>
      <c r="AG8" s="79"/>
      <c r="AH8" s="79"/>
      <c r="AI8" s="79"/>
      <c r="AJ8" s="79"/>
      <c r="AK8" s="79"/>
      <c r="AL8" s="79"/>
      <c r="AM8" s="79"/>
      <c r="AN8" s="79"/>
    </row>
    <row r="9" spans="1:40">
      <c r="A9" s="83"/>
      <c r="B9" s="112" t="s">
        <v>224</v>
      </c>
      <c r="C9" s="83" t="s">
        <v>231</v>
      </c>
      <c r="D9" s="83"/>
      <c r="E9" s="169">
        <f>'Summary (Staff)'!I47</f>
        <v>1082997.110268815</v>
      </c>
      <c r="F9" s="83" t="s">
        <v>226</v>
      </c>
      <c r="G9" s="168"/>
      <c r="H9" s="83"/>
      <c r="I9" s="83"/>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row>
    <row r="10" spans="1:40">
      <c r="A10" s="83"/>
      <c r="B10" s="83"/>
      <c r="C10" s="83" t="s">
        <v>232</v>
      </c>
      <c r="D10" s="83"/>
      <c r="E10" s="114">
        <f>$R$5</f>
        <v>376.48981661409209</v>
      </c>
      <c r="F10" s="83" t="s">
        <v>233</v>
      </c>
      <c r="H10" s="83"/>
      <c r="I10" s="83"/>
      <c r="J10" s="79"/>
      <c r="K10" s="79"/>
      <c r="L10" s="79"/>
      <c r="M10" s="79"/>
      <c r="N10" s="79"/>
      <c r="O10" s="79"/>
      <c r="P10" s="79"/>
      <c r="Q10" s="79"/>
      <c r="R10" s="84" t="s">
        <v>234</v>
      </c>
      <c r="S10" s="84" t="s">
        <v>207</v>
      </c>
      <c r="T10" s="84" t="s">
        <v>208</v>
      </c>
      <c r="U10" s="84" t="s">
        <v>209</v>
      </c>
      <c r="V10" s="79"/>
      <c r="W10" s="79"/>
      <c r="X10" s="79"/>
      <c r="Y10" s="79"/>
      <c r="Z10" s="79"/>
      <c r="AA10" s="79"/>
      <c r="AB10" s="79"/>
      <c r="AC10" s="79"/>
      <c r="AD10" s="79"/>
      <c r="AE10" s="79" t="s">
        <v>235</v>
      </c>
      <c r="AF10" s="79"/>
      <c r="AG10" s="79"/>
      <c r="AH10" s="79"/>
      <c r="AI10" s="79"/>
      <c r="AJ10" s="79"/>
      <c r="AK10" s="79"/>
      <c r="AL10" s="79"/>
      <c r="AM10" s="79"/>
      <c r="AN10" s="79"/>
    </row>
    <row r="11" spans="1:40">
      <c r="A11" s="83"/>
      <c r="B11" s="83"/>
      <c r="C11" s="83" t="s">
        <v>236</v>
      </c>
      <c r="D11" s="83"/>
      <c r="E11" s="114">
        <f>HLOOKUP($AF$34,$AF$28:$AN$32,$E$12+1)</f>
        <v>325.56310322239341</v>
      </c>
      <c r="F11" s="83" t="s">
        <v>233</v>
      </c>
      <c r="G11" s="83"/>
      <c r="H11" s="83"/>
      <c r="I11" s="83"/>
      <c r="J11" s="79"/>
      <c r="K11" s="79"/>
      <c r="L11" s="79"/>
      <c r="M11" s="79"/>
      <c r="N11" s="79"/>
      <c r="O11" s="79"/>
      <c r="P11" s="79"/>
      <c r="Q11" s="79"/>
      <c r="R11" s="88">
        <f>100*(+Z5/$E$9)</f>
        <v>323.95135904745393</v>
      </c>
      <c r="S11" s="95">
        <f>EXP(5.7226-(0.68367*LN(+R11)))</f>
        <v>5.8742695781464009</v>
      </c>
      <c r="T11" s="89">
        <f>(+S11*R11)/100</f>
        <v>19.029776132516403</v>
      </c>
      <c r="U11" s="88">
        <f>100*((((T11/100)-((T11/100)-0.03574)*$E$21)-0.03574-0.00619)/0.344)</f>
        <v>29.291851987503932</v>
      </c>
      <c r="V11" s="673">
        <f>+$E$20</f>
        <v>0.25</v>
      </c>
      <c r="W11" s="88">
        <f>U11+V11</f>
        <v>29.541851987503932</v>
      </c>
      <c r="X11" s="88">
        <f>100*($E$17*$E$19+($E$18*(W11/100))/(1-$E$21))</f>
        <v>25.023965052714921</v>
      </c>
      <c r="Y11" s="89">
        <f>X11/R11</f>
        <v>7.7246056711400585E-2</v>
      </c>
      <c r="Z11" s="87">
        <f>$E$8/(1-Y11)</f>
        <v>3534960.8541194764</v>
      </c>
      <c r="AA11" s="79" t="str">
        <f>IF(OR(OR(Z11=Z5,Z11=(Z5+1)),Z11=(Z8189-1)),"yes","not yet")</f>
        <v>not yet</v>
      </c>
      <c r="AB11" s="88">
        <f>100*(1-Y11)</f>
        <v>92.275394328859932</v>
      </c>
      <c r="AC11" s="79"/>
      <c r="AD11" s="79"/>
      <c r="AE11" s="79"/>
      <c r="AF11" s="79"/>
      <c r="AG11" s="79"/>
      <c r="AH11" s="79"/>
      <c r="AI11" s="79"/>
      <c r="AJ11" s="79"/>
      <c r="AK11" s="79"/>
      <c r="AL11" s="79"/>
      <c r="AM11" s="79"/>
      <c r="AN11" s="79"/>
    </row>
    <row r="12" spans="1:40">
      <c r="A12" s="83"/>
      <c r="B12" s="83"/>
      <c r="C12" s="83" t="s">
        <v>237</v>
      </c>
      <c r="D12" s="83"/>
      <c r="E12" s="83">
        <f>VLOOKUP(E10,$AE$5:$AF$8,2)</f>
        <v>3</v>
      </c>
      <c r="F12" s="83" t="s">
        <v>233</v>
      </c>
      <c r="G12" s="83"/>
      <c r="H12" s="83"/>
      <c r="I12" s="83"/>
      <c r="J12" s="79"/>
      <c r="K12" s="79"/>
      <c r="L12" s="79"/>
      <c r="M12" s="79"/>
      <c r="N12" s="79"/>
      <c r="O12" s="79"/>
      <c r="P12" s="79"/>
      <c r="Q12" s="79"/>
      <c r="R12" s="88">
        <f>100*(+Z6/$E$9)</f>
        <v>323.54727083263032</v>
      </c>
      <c r="S12" s="95">
        <f>EXP(5.70827-(0.68367*LN(+R12)))</f>
        <v>5.7956350061397064</v>
      </c>
      <c r="T12" s="89">
        <f>(+S12*R12)/100</f>
        <v>18.751618889785565</v>
      </c>
      <c r="U12" s="88">
        <f>100*((((T12/100)-((T12/100)-0.03574)*$E$21)-0.03574-0.00619)/0.344)</f>
        <v>28.732303115498876</v>
      </c>
      <c r="V12" s="673">
        <f>+$E$20</f>
        <v>0.25</v>
      </c>
      <c r="W12" s="88">
        <f>U12+V12</f>
        <v>28.982303115498876</v>
      </c>
      <c r="X12" s="88">
        <f>100*($E$17*$E$19+($E$18*(W12/100))/(1-$E$21))</f>
        <v>24.59568716134223</v>
      </c>
      <c r="Y12" s="89">
        <f>X12/R12</f>
        <v>7.6018836746935436E-2</v>
      </c>
      <c r="Z12" s="87">
        <f>$E$8/(1-Y12)</f>
        <v>3530265.7643207787</v>
      </c>
      <c r="AA12" s="79" t="str">
        <f>IF(OR(OR(Z12=Z6,Z12=(Z6+1)),Z12=(Z6-1)),"yes","not yet")</f>
        <v>not yet</v>
      </c>
      <c r="AB12" s="88">
        <f>100*(1-Y12)</f>
        <v>92.398116325306461</v>
      </c>
      <c r="AC12" s="79"/>
      <c r="AD12" s="79"/>
      <c r="AE12" s="79"/>
      <c r="AF12" s="79"/>
      <c r="AG12" s="79"/>
      <c r="AH12" s="79"/>
      <c r="AI12" s="79"/>
      <c r="AJ12" s="79"/>
      <c r="AK12" s="79"/>
      <c r="AL12" s="79"/>
      <c r="AM12" s="79"/>
      <c r="AN12" s="79"/>
    </row>
    <row r="13" spans="1:40">
      <c r="A13" s="83"/>
      <c r="B13" s="83"/>
      <c r="C13" s="83"/>
      <c r="D13" s="83"/>
      <c r="E13" s="83"/>
      <c r="F13" s="83"/>
      <c r="G13" s="83"/>
      <c r="H13" s="83"/>
      <c r="I13" s="83"/>
      <c r="J13" s="79"/>
      <c r="K13" s="79"/>
      <c r="L13" s="79"/>
      <c r="M13" s="79"/>
      <c r="N13" s="79"/>
      <c r="O13" s="79"/>
      <c r="P13" s="79"/>
      <c r="Q13" s="79"/>
      <c r="R13" s="88">
        <f>100*(+Z7/$E$9)</f>
        <v>323.27563785666297</v>
      </c>
      <c r="S13" s="95">
        <f>EXP(5.6985-(0.68367*LN(R13)))</f>
        <v>5.7425838830992273</v>
      </c>
      <c r="T13" s="89">
        <f>(+S13*R13)/100</f>
        <v>18.564374677542951</v>
      </c>
      <c r="U13" s="88">
        <f>100*((((T13/100)-((T13/100)-0.03574)*$E$21)-0.03574-0.00619)/0.344)</f>
        <v>28.355637432731751</v>
      </c>
      <c r="V13" s="673">
        <f>+$E$20</f>
        <v>0.25</v>
      </c>
      <c r="W13" s="88">
        <f>U13+V13</f>
        <v>28.605637432731751</v>
      </c>
      <c r="X13" s="88">
        <f>100*($E$17*$E$19+($E$18*(W13/100))/(1-$E$21))</f>
        <v>24.307387796552334</v>
      </c>
      <c r="Y13" s="89">
        <f>X13/R13</f>
        <v>7.5190905066994176E-2</v>
      </c>
      <c r="Z13" s="87">
        <f>$E$8/(1-Y13)</f>
        <v>3527105.3078753273</v>
      </c>
      <c r="AA13" s="79" t="str">
        <f>IF(OR(OR(Z13=Z7,Z13=(Z7+1)),Z13=(Z7-1)),"yes","not yet")</f>
        <v>not yet</v>
      </c>
      <c r="AB13" s="88">
        <f>100*(1-Y13)</f>
        <v>92.480909493300572</v>
      </c>
      <c r="AC13" s="79"/>
      <c r="AD13" s="79"/>
      <c r="AE13" s="79"/>
      <c r="AF13" s="79">
        <v>1</v>
      </c>
      <c r="AG13" s="79">
        <v>2</v>
      </c>
      <c r="AH13" s="79">
        <v>3</v>
      </c>
      <c r="AI13" s="79">
        <v>4</v>
      </c>
      <c r="AJ13" s="79">
        <v>5</v>
      </c>
      <c r="AK13" s="79">
        <v>6</v>
      </c>
      <c r="AL13" s="79">
        <v>7</v>
      </c>
      <c r="AM13" s="79">
        <v>8</v>
      </c>
      <c r="AN13" s="79">
        <v>9</v>
      </c>
    </row>
    <row r="14" spans="1:40">
      <c r="A14" s="83"/>
      <c r="B14" s="83"/>
      <c r="C14" s="83" t="s">
        <v>238</v>
      </c>
      <c r="D14" s="83"/>
      <c r="E14" s="83"/>
      <c r="F14" s="83"/>
      <c r="G14" s="83"/>
      <c r="H14" s="83"/>
      <c r="I14" s="83"/>
      <c r="J14" s="79"/>
      <c r="K14" s="79"/>
      <c r="L14" s="79"/>
      <c r="M14" s="79"/>
      <c r="N14" s="79"/>
      <c r="O14" s="79"/>
      <c r="P14" s="79"/>
      <c r="Q14" s="79"/>
      <c r="R14" s="88">
        <f>100*(+Z8/$E$9)</f>
        <v>323.10212167537185</v>
      </c>
      <c r="S14" s="95">
        <f>EXP(5.6922-(0.68367*LN(R14)))</f>
        <v>5.7086143131746105</v>
      </c>
      <c r="T14" s="89">
        <f>(+S14*R14)/100</f>
        <v>18.444653964131124</v>
      </c>
      <c r="U14" s="88">
        <f>100*((((T14/100)-((T14/100)-0.03574)*$E$21)-0.03574-0.00619)/0.344)</f>
        <v>28.114803904589358</v>
      </c>
      <c r="V14" s="673">
        <f>+$E$20</f>
        <v>0.25</v>
      </c>
      <c r="W14" s="88">
        <f>U14+V14</f>
        <v>28.364803904589358</v>
      </c>
      <c r="X14" s="88">
        <f>100*($E$17*$E$19+($E$18*(W14/100))/(1-$E$21))</f>
        <v>24.123054165005424</v>
      </c>
      <c r="Y14" s="89">
        <f>X14/R14</f>
        <v>7.4660773008610612E-2</v>
      </c>
      <c r="Z14" s="87">
        <f>$E$8/(1-Y14)</f>
        <v>3525084.6093655722</v>
      </c>
      <c r="AA14" s="79" t="str">
        <f>IF(OR(OR(Z14=Z8,Z14=(Z8+1)),Z14=(Z8-1)),"yes","not yet")</f>
        <v>not yet</v>
      </c>
      <c r="AB14" s="88">
        <f>100*(1-Y14)</f>
        <v>92.533922699138941</v>
      </c>
      <c r="AC14" s="79"/>
      <c r="AD14" s="79"/>
      <c r="AE14" s="79"/>
      <c r="AF14" s="79" t="str">
        <f>AA5</f>
        <v>not yet</v>
      </c>
      <c r="AG14" s="79" t="str">
        <f>AA11</f>
        <v>not yet</v>
      </c>
      <c r="AH14" s="79" t="str">
        <f>AA17</f>
        <v>not yet</v>
      </c>
      <c r="AI14" s="79" t="str">
        <f>AA23</f>
        <v>not yet</v>
      </c>
      <c r="AJ14" s="79" t="str">
        <f>AA29</f>
        <v>not yet</v>
      </c>
      <c r="AK14" s="79" t="str">
        <f>AA35</f>
        <v>not yet</v>
      </c>
      <c r="AL14" s="79" t="str">
        <f>AA41</f>
        <v>yes</v>
      </c>
      <c r="AM14" s="79" t="str">
        <f>AA47</f>
        <v>yes</v>
      </c>
      <c r="AN14" s="79" t="str">
        <f>AA53</f>
        <v>yes</v>
      </c>
    </row>
    <row r="15" spans="1:40">
      <c r="A15" s="83"/>
      <c r="B15" s="83"/>
      <c r="C15" s="83" t="s">
        <v>239</v>
      </c>
      <c r="D15" s="83"/>
      <c r="E15" s="112" t="s">
        <v>216</v>
      </c>
      <c r="F15" s="83" t="s">
        <v>240</v>
      </c>
      <c r="G15" s="83"/>
      <c r="H15" s="114">
        <f>HLOOKUP($AF$25,$AF$19:$AN$23,$E$12+1)</f>
        <v>92.514135530501378</v>
      </c>
      <c r="I15" s="83" t="s">
        <v>218</v>
      </c>
      <c r="J15" s="79"/>
      <c r="K15" s="79"/>
      <c r="L15" s="79"/>
      <c r="M15" s="79"/>
      <c r="N15" s="79"/>
      <c r="O15" s="79"/>
      <c r="P15" s="79"/>
      <c r="Q15" s="79"/>
      <c r="R15" s="79"/>
      <c r="S15" s="79"/>
      <c r="T15" s="79"/>
      <c r="U15" s="79"/>
      <c r="V15" s="79"/>
      <c r="W15" s="79"/>
      <c r="X15" s="79"/>
      <c r="Y15" s="79"/>
      <c r="Z15" s="79"/>
      <c r="AA15" s="79"/>
      <c r="AB15" s="79"/>
      <c r="AC15" s="79"/>
      <c r="AD15" s="79"/>
      <c r="AE15" s="79"/>
      <c r="AF15" s="79" t="str">
        <f>AA6</f>
        <v>not yet</v>
      </c>
      <c r="AG15" s="79" t="str">
        <f>AA12</f>
        <v>not yet</v>
      </c>
      <c r="AH15" s="79" t="str">
        <f>AA18</f>
        <v>not yet</v>
      </c>
      <c r="AI15" s="79" t="str">
        <f>AA24</f>
        <v>not yet</v>
      </c>
      <c r="AJ15" s="79" t="str">
        <f>AA30</f>
        <v>not yet</v>
      </c>
      <c r="AK15" s="79" t="str">
        <f>AA36</f>
        <v>not yet</v>
      </c>
      <c r="AL15" s="79" t="str">
        <f>AA42</f>
        <v>yes</v>
      </c>
      <c r="AM15" s="79" t="str">
        <f>AA48</f>
        <v>yes</v>
      </c>
      <c r="AN15" s="79" t="str">
        <f>AA54</f>
        <v>yes</v>
      </c>
    </row>
    <row r="16" spans="1:40">
      <c r="A16" s="83"/>
      <c r="B16" s="83"/>
      <c r="C16" s="115" t="s">
        <v>225</v>
      </c>
      <c r="D16" s="115" t="s">
        <v>225</v>
      </c>
      <c r="E16" s="83"/>
      <c r="F16" s="83"/>
      <c r="G16" s="83"/>
      <c r="H16" s="115" t="s">
        <v>241</v>
      </c>
      <c r="I16" s="83"/>
      <c r="J16" s="79"/>
      <c r="K16" s="79"/>
      <c r="L16" s="79"/>
      <c r="M16" s="79"/>
      <c r="N16" s="79"/>
      <c r="O16" s="79"/>
      <c r="P16" s="79"/>
      <c r="Q16" s="79"/>
      <c r="R16" s="79" t="s">
        <v>242</v>
      </c>
      <c r="S16" s="84" t="s">
        <v>207</v>
      </c>
      <c r="T16" s="84" t="s">
        <v>208</v>
      </c>
      <c r="U16" s="84" t="s">
        <v>209</v>
      </c>
      <c r="V16" s="79"/>
      <c r="W16" s="79"/>
      <c r="X16" s="79"/>
      <c r="Y16" s="79"/>
      <c r="Z16" s="79"/>
      <c r="AA16" s="79"/>
      <c r="AB16" s="79"/>
      <c r="AC16" s="79"/>
      <c r="AD16" s="79"/>
      <c r="AE16" s="79"/>
      <c r="AF16" s="79" t="str">
        <f>AA7</f>
        <v>not yet</v>
      </c>
      <c r="AG16" s="79" t="str">
        <f>AA13</f>
        <v>not yet</v>
      </c>
      <c r="AH16" s="79" t="str">
        <f>AA19</f>
        <v>not yet</v>
      </c>
      <c r="AI16" s="79" t="str">
        <f>AA25</f>
        <v>not yet</v>
      </c>
      <c r="AJ16" s="79" t="str">
        <f>AA31</f>
        <v>not yet</v>
      </c>
      <c r="AK16" s="79" t="str">
        <f>AA37</f>
        <v>not yet</v>
      </c>
      <c r="AL16" s="79" t="str">
        <f>AA43</f>
        <v>yes</v>
      </c>
      <c r="AM16" s="79" t="str">
        <f>AA49</f>
        <v>yes</v>
      </c>
      <c r="AN16" s="79" t="str">
        <f>AA55</f>
        <v>yes</v>
      </c>
    </row>
    <row r="17" spans="1:40">
      <c r="A17" s="83"/>
      <c r="B17" s="112" t="s">
        <v>224</v>
      </c>
      <c r="C17" s="83" t="s">
        <v>243</v>
      </c>
      <c r="D17" s="83"/>
      <c r="E17" s="123">
        <f>'Combined LG'!E17</f>
        <v>0.47034420824062401</v>
      </c>
      <c r="F17" s="83" t="s">
        <v>244</v>
      </c>
      <c r="G17" s="83"/>
      <c r="H17" s="83"/>
      <c r="I17" s="83"/>
      <c r="J17" s="79"/>
      <c r="K17" s="79"/>
      <c r="L17" s="79"/>
      <c r="M17" s="79"/>
      <c r="N17" s="79"/>
      <c r="O17" s="79"/>
      <c r="P17" s="79"/>
      <c r="Q17" s="79"/>
      <c r="R17" s="88">
        <f>100*(+Z11/$E$9)</f>
        <v>326.40538193514203</v>
      </c>
      <c r="S17" s="95">
        <f>EXP(5.7226-(0.68367*LN(+R17)))</f>
        <v>5.8440394817760408</v>
      </c>
      <c r="T17" s="89">
        <f>(+S17*R17)/100</f>
        <v>19.075259390931581</v>
      </c>
      <c r="U17" s="88">
        <f>100*((((T17/100)-((T17/100)-0.03574)*$E$21)-0.03574-0.00619)/0.344)</f>
        <v>29.383347379432134</v>
      </c>
      <c r="V17" s="673">
        <f>+$E$20</f>
        <v>0.25</v>
      </c>
      <c r="W17" s="88">
        <f>U17+V17</f>
        <v>29.633347379432134</v>
      </c>
      <c r="X17" s="88">
        <f>100*($E$17*$E$19+($E$18*(W17/100))/(1-$E$21))</f>
        <v>25.093995492388434</v>
      </c>
      <c r="Y17" s="89">
        <f>X17/R17</f>
        <v>7.6879845986653192E-2</v>
      </c>
      <c r="Z17" s="87">
        <f>$E$8/(1-Y17)</f>
        <v>3533558.5008389065</v>
      </c>
      <c r="AA17" s="79" t="str">
        <f>IF(OR(OR(Z17=Z11,Z17=(Z11+1)),Z17=(Z2-1)),"yes","not yet")</f>
        <v>not yet</v>
      </c>
      <c r="AB17" s="88">
        <f>100*(1-Y17)</f>
        <v>92.312015401334676</v>
      </c>
      <c r="AC17" s="79"/>
      <c r="AD17" s="79"/>
      <c r="AE17" s="79"/>
      <c r="AF17" s="79" t="str">
        <f>AA8</f>
        <v>not yet</v>
      </c>
      <c r="AG17" s="79" t="str">
        <f>AA14</f>
        <v>not yet</v>
      </c>
      <c r="AH17" s="79" t="str">
        <f>AA20</f>
        <v>not yet</v>
      </c>
      <c r="AI17" s="79" t="str">
        <f>AA26</f>
        <v>not yet</v>
      </c>
      <c r="AJ17" s="79" t="str">
        <f>AA32</f>
        <v>not yet</v>
      </c>
      <c r="AK17" s="79" t="str">
        <f>AA38</f>
        <v>not yet</v>
      </c>
      <c r="AL17" s="79" t="str">
        <f>AA44</f>
        <v>yes</v>
      </c>
      <c r="AM17" s="79" t="str">
        <f>AA50</f>
        <v>yes</v>
      </c>
      <c r="AN17" s="79" t="str">
        <f>AA56</f>
        <v>yes</v>
      </c>
    </row>
    <row r="18" spans="1:40">
      <c r="A18" s="83"/>
      <c r="B18" s="112" t="s">
        <v>224</v>
      </c>
      <c r="C18" s="83" t="s">
        <v>245</v>
      </c>
      <c r="D18" s="83"/>
      <c r="E18" s="123">
        <f>1-E17</f>
        <v>0.52965579175937605</v>
      </c>
      <c r="F18" s="83" t="s">
        <v>246</v>
      </c>
      <c r="G18" s="83"/>
      <c r="H18" s="99">
        <f>'Combined LG'!H18</f>
        <v>1.4999999999999999E-2</v>
      </c>
      <c r="I18" s="83" t="s">
        <v>224</v>
      </c>
      <c r="J18" s="79"/>
      <c r="K18" s="79"/>
      <c r="L18" s="79"/>
      <c r="M18" s="79"/>
      <c r="N18" s="79"/>
      <c r="O18" s="79"/>
      <c r="P18" s="79"/>
      <c r="Q18" s="79"/>
      <c r="R18" s="88">
        <f>100*(+Z12/$E$9)</f>
        <v>325.97185448117381</v>
      </c>
      <c r="S18" s="95">
        <f>EXP(5.70827-(0.68367*LN(+R18)))</f>
        <v>5.7661285596506069</v>
      </c>
      <c r="T18" s="89">
        <f>(+S18*R18)/100</f>
        <v>18.795956197661681</v>
      </c>
      <c r="U18" s="88">
        <f>100*((((T18/100)-((T18/100)-0.03574)*$E$21)-0.03574-0.00619)/0.344)</f>
        <v>28.821493281342686</v>
      </c>
      <c r="V18" s="673">
        <f>+$E$20</f>
        <v>0.25</v>
      </c>
      <c r="W18" s="88">
        <f>U18+V18</f>
        <v>29.071493281342686</v>
      </c>
      <c r="X18" s="88">
        <f>100*($E$17*$E$19+($E$18*(W18/100))/(1-$E$21))</f>
        <v>24.663953184329447</v>
      </c>
      <c r="Y18" s="89">
        <f>X18/R18</f>
        <v>7.5662830533591019E-2</v>
      </c>
      <c r="Z18" s="87">
        <f>$E$8/(1-Y18)</f>
        <v>3528906.0910453</v>
      </c>
      <c r="AA18" s="79" t="str">
        <f>IF(OR(OR(Z18=Z12,Z18=(Z12+1)),Z18=(Z12-1)),"yes","not yet")</f>
        <v>not yet</v>
      </c>
      <c r="AB18" s="88">
        <f>100*(1-Y18)</f>
        <v>92.433716946640899</v>
      </c>
      <c r="AC18" s="79"/>
      <c r="AD18" s="79"/>
      <c r="AE18" s="79"/>
      <c r="AF18" s="79"/>
      <c r="AG18" s="79"/>
      <c r="AH18" s="79"/>
      <c r="AI18" s="79"/>
      <c r="AJ18" s="79"/>
      <c r="AK18" s="79"/>
      <c r="AL18" s="79"/>
      <c r="AM18" s="79"/>
      <c r="AN18" s="79"/>
    </row>
    <row r="19" spans="1:40">
      <c r="A19" s="83"/>
      <c r="B19" s="112" t="s">
        <v>224</v>
      </c>
      <c r="C19" s="83" t="s">
        <v>247</v>
      </c>
      <c r="D19" s="83"/>
      <c r="E19" s="123">
        <f>'Combined LG'!E19</f>
        <v>5.129593479716732E-2</v>
      </c>
      <c r="F19" s="83" t="s">
        <v>248</v>
      </c>
      <c r="G19" s="83"/>
      <c r="H19" s="99">
        <f>'Combined LG'!H19</f>
        <v>4.2750000000000002E-3</v>
      </c>
      <c r="I19" s="83" t="s">
        <v>224</v>
      </c>
      <c r="J19" s="79"/>
      <c r="K19" s="79"/>
      <c r="L19" s="79"/>
      <c r="M19" s="79"/>
      <c r="N19" s="79"/>
      <c r="O19" s="79"/>
      <c r="P19" s="79"/>
      <c r="Q19" s="79"/>
      <c r="R19" s="88">
        <f>100*(+Z13/$E$9)</f>
        <v>325.68002946931693</v>
      </c>
      <c r="S19" s="95">
        <f>EXP(5.6985-(0.68367*LN(R19)))</f>
        <v>5.7135652857627006</v>
      </c>
      <c r="T19" s="89">
        <f>(+S19*R19)/100</f>
        <v>18.607941106420625</v>
      </c>
      <c r="U19" s="88">
        <f>100*((((T19/100)-((T19/100)-0.03574)*$E$21)-0.03574-0.00619)/0.344)</f>
        <v>28.443276876869401</v>
      </c>
      <c r="V19" s="673">
        <f>+$E$20</f>
        <v>0.25</v>
      </c>
      <c r="W19" s="88">
        <f>U19+V19</f>
        <v>28.693276876869401</v>
      </c>
      <c r="X19" s="88">
        <f>100*($E$17*$E$19+($E$18*(W19/100))/(1-$E$21))</f>
        <v>24.37446689940505</v>
      </c>
      <c r="Y19" s="89">
        <f>X19/R19</f>
        <v>7.4841760912151431E-2</v>
      </c>
      <c r="Z19" s="87">
        <f>$E$8/(1-Y19)</f>
        <v>3525774.21860894</v>
      </c>
      <c r="AA19" s="79" t="str">
        <f>IF(OR(OR(Z19=Z13,Z19=(Z13+1)),Z19=(Z13-1)),"yes","not yet")</f>
        <v>not yet</v>
      </c>
      <c r="AB19" s="88">
        <f>100*(1-Y19)</f>
        <v>92.515823908784853</v>
      </c>
      <c r="AC19" s="79"/>
      <c r="AD19" s="79"/>
      <c r="AE19" s="79"/>
      <c r="AF19" s="79" t="str">
        <f>HLOOKUP(1,$AF$13:$AN$17,$E$12+1)</f>
        <v>not yet</v>
      </c>
      <c r="AG19" s="79" t="str">
        <f>HLOOKUP(2,$AF$13:$AN$17,$E$12+1)</f>
        <v>not yet</v>
      </c>
      <c r="AH19" s="79" t="str">
        <f>HLOOKUP(3,$AF$13:$AN$17,$E$12+1)</f>
        <v>not yet</v>
      </c>
      <c r="AI19" s="79" t="str">
        <f>HLOOKUP(4,$AF$13:$AN$17,$E$12+1)</f>
        <v>not yet</v>
      </c>
      <c r="AJ19" s="79" t="str">
        <f>HLOOKUP(5,$AF$13:$AN$17,$E$12+1)</f>
        <v>not yet</v>
      </c>
      <c r="AK19" s="79" t="str">
        <f>HLOOKUP(6,$AF$13:$AN$17,$E$12+1)</f>
        <v>not yet</v>
      </c>
      <c r="AL19" s="79" t="str">
        <f>HLOOKUP(7,$AF$13:$AN$17,$E$12+1)</f>
        <v>yes</v>
      </c>
      <c r="AM19" s="79" t="str">
        <f>HLOOKUP(8,$AF$13:$AN$17,$E$12+1)</f>
        <v>yes</v>
      </c>
      <c r="AN19" s="79" t="str">
        <f>HLOOKUP(9,$AF$13:$AN$17,$E$12+1)</f>
        <v>yes</v>
      </c>
    </row>
    <row r="20" spans="1:40">
      <c r="A20" s="83"/>
      <c r="B20" s="83"/>
      <c r="C20" s="83"/>
      <c r="D20" s="83"/>
      <c r="E20" s="167">
        <v>0.25</v>
      </c>
      <c r="F20" s="83" t="s">
        <v>249</v>
      </c>
      <c r="G20" s="83"/>
      <c r="H20" s="99">
        <f>'Combined LG'!H20</f>
        <v>0</v>
      </c>
      <c r="I20" s="83" t="s">
        <v>224</v>
      </c>
      <c r="J20" s="79"/>
      <c r="K20" s="79"/>
      <c r="L20" s="79"/>
      <c r="M20" s="79"/>
      <c r="N20" s="79"/>
      <c r="O20" s="79"/>
      <c r="P20" s="79"/>
      <c r="Q20" s="79"/>
      <c r="R20" s="88">
        <f>100*(+Z14/$E$9)</f>
        <v>325.49344554489136</v>
      </c>
      <c r="S20" s="95">
        <f>EXP(5.6922-(0.68367*LN(R20)))</f>
        <v>5.6799078712741258</v>
      </c>
      <c r="T20" s="89">
        <f>(+S20*R20)/100</f>
        <v>18.487727833985645</v>
      </c>
      <c r="U20" s="88">
        <f>100*((((T20/100)-((T20/100)-0.03574)*$E$21)-0.03574-0.00619)/0.344)</f>
        <v>28.201452503250202</v>
      </c>
      <c r="V20" s="673">
        <f>+$E$20</f>
        <v>0.25</v>
      </c>
      <c r="W20" s="88">
        <f>U20+V20</f>
        <v>28.451452503250202</v>
      </c>
      <c r="X20" s="88">
        <f>100*($E$17*$E$19+($E$18*(W20/100))/(1-$E$21))</f>
        <v>24.189374876173851</v>
      </c>
      <c r="Y20" s="89">
        <f>X20/R20</f>
        <v>7.4316012218555424E-2</v>
      </c>
      <c r="Z20" s="87">
        <f>$E$8/(1-Y20)</f>
        <v>3523771.7304879231</v>
      </c>
      <c r="AA20" s="79" t="str">
        <f>IF(OR(OR(Z20=Z14,Z20=(Z14+1)),Z20=(Z14-1)),"yes","not yet")</f>
        <v>not yet</v>
      </c>
      <c r="AB20" s="88">
        <f>100*(1-Y20)</f>
        <v>92.568398778144456</v>
      </c>
      <c r="AC20" s="79"/>
      <c r="AD20" s="79"/>
      <c r="AE20" s="79">
        <v>1</v>
      </c>
      <c r="AF20" s="88">
        <f>AB5</f>
        <v>92.974406459320818</v>
      </c>
      <c r="AG20" s="88">
        <f>AB11</f>
        <v>92.275394328859932</v>
      </c>
      <c r="AH20" s="88">
        <f>AB17</f>
        <v>92.312015401334676</v>
      </c>
      <c r="AI20" s="88">
        <f>AB23</f>
        <v>92.310094070157518</v>
      </c>
      <c r="AJ20" s="88">
        <f>AB29</f>
        <v>92.310194865528743</v>
      </c>
      <c r="AK20" s="88">
        <f>AB35</f>
        <v>92.310189577659969</v>
      </c>
      <c r="AL20" s="88">
        <f>AB41</f>
        <v>92.310189318017393</v>
      </c>
      <c r="AM20" s="88">
        <f>AB47</f>
        <v>92.310189318017393</v>
      </c>
      <c r="AN20" s="88">
        <f>AB53</f>
        <v>92.310189318017393</v>
      </c>
    </row>
    <row r="21" spans="1:40">
      <c r="A21" s="83"/>
      <c r="B21" s="112" t="s">
        <v>224</v>
      </c>
      <c r="C21" s="83" t="s">
        <v>250</v>
      </c>
      <c r="D21" s="83"/>
      <c r="E21" s="545">
        <f>'Combined LG'!E21</f>
        <v>0.308</v>
      </c>
      <c r="F21" s="83" t="s">
        <v>251</v>
      </c>
      <c r="G21" s="83"/>
      <c r="H21" s="99">
        <f>'Combined LG'!H21</f>
        <v>1.5137446158343015E-3</v>
      </c>
      <c r="I21" s="83" t="s">
        <v>224</v>
      </c>
      <c r="J21" s="79"/>
      <c r="K21" s="79"/>
      <c r="L21" s="79"/>
      <c r="M21" s="79"/>
      <c r="N21" s="79"/>
      <c r="O21" s="79"/>
      <c r="P21" s="79"/>
      <c r="Q21" s="79"/>
      <c r="R21" s="79"/>
      <c r="S21" s="79"/>
      <c r="T21" s="79"/>
      <c r="U21" s="79"/>
      <c r="V21" s="79"/>
      <c r="W21" s="79"/>
      <c r="X21" s="79"/>
      <c r="Y21" s="79"/>
      <c r="Z21" s="79"/>
      <c r="AA21" s="79"/>
      <c r="AB21" s="79"/>
      <c r="AC21" s="79"/>
      <c r="AD21" s="79"/>
      <c r="AE21" s="79">
        <v>2</v>
      </c>
      <c r="AF21" s="88">
        <f>AB6</f>
        <v>93.090525077270385</v>
      </c>
      <c r="AG21" s="88">
        <f>AB12</f>
        <v>92.398116325306461</v>
      </c>
      <c r="AH21" s="88">
        <f>AB18</f>
        <v>92.433716946640899</v>
      </c>
      <c r="AI21" s="88">
        <f>AB24</f>
        <v>92.431883898538132</v>
      </c>
      <c r="AJ21" s="88">
        <f>AB30</f>
        <v>92.431978273790989</v>
      </c>
      <c r="AK21" s="88">
        <f>AB36</f>
        <v>92.431973414822949</v>
      </c>
      <c r="AL21" s="88">
        <f>AB42</f>
        <v>92.431974128446598</v>
      </c>
      <c r="AM21" s="88">
        <f>AB48</f>
        <v>92.431974128446598</v>
      </c>
      <c r="AN21" s="88">
        <f>AB54</f>
        <v>92.431974128446598</v>
      </c>
    </row>
    <row r="22" spans="1:40">
      <c r="A22" s="83"/>
      <c r="B22" s="83"/>
      <c r="C22" s="83"/>
      <c r="D22" s="83"/>
      <c r="E22" s="83"/>
      <c r="F22" s="83"/>
      <c r="G22" s="83"/>
      <c r="H22" s="115" t="s">
        <v>225</v>
      </c>
      <c r="I22" s="83"/>
      <c r="J22" s="79"/>
      <c r="K22" s="79"/>
      <c r="L22" s="79"/>
      <c r="M22" s="79"/>
      <c r="N22" s="79"/>
      <c r="O22" s="79"/>
      <c r="P22" s="79"/>
      <c r="Q22" s="79"/>
      <c r="R22" s="79" t="s">
        <v>252</v>
      </c>
      <c r="S22" s="84" t="s">
        <v>207</v>
      </c>
      <c r="T22" s="84" t="s">
        <v>208</v>
      </c>
      <c r="U22" s="84" t="s">
        <v>209</v>
      </c>
      <c r="V22" s="79"/>
      <c r="W22" s="79"/>
      <c r="X22" s="79"/>
      <c r="Y22" s="79"/>
      <c r="Z22" s="79"/>
      <c r="AA22" s="79"/>
      <c r="AB22" s="79"/>
      <c r="AC22" s="79"/>
      <c r="AD22" s="79"/>
      <c r="AE22" s="79">
        <v>3</v>
      </c>
      <c r="AF22" s="88">
        <f>AB7</f>
        <v>93.168744569864231</v>
      </c>
      <c r="AG22" s="88">
        <f>AB13</f>
        <v>92.480909493300572</v>
      </c>
      <c r="AH22" s="88">
        <f>AB19</f>
        <v>92.515823908784853</v>
      </c>
      <c r="AI22" s="88">
        <f>AB25</f>
        <v>92.51404913095152</v>
      </c>
      <c r="AJ22" s="88">
        <f>AB31</f>
        <v>92.514139340338957</v>
      </c>
      <c r="AK22" s="88">
        <f>AB37</f>
        <v>92.514134755109524</v>
      </c>
      <c r="AL22" s="88">
        <f>AB43</f>
        <v>92.514135530501378</v>
      </c>
      <c r="AM22" s="88">
        <f>AB49</f>
        <v>92.514135530501378</v>
      </c>
      <c r="AN22" s="88">
        <f>AB55</f>
        <v>92.514135530501378</v>
      </c>
    </row>
    <row r="23" spans="1:40">
      <c r="A23" s="83"/>
      <c r="B23" s="83"/>
      <c r="C23" s="83"/>
      <c r="D23" s="83"/>
      <c r="E23" s="83"/>
      <c r="F23" s="83" t="s">
        <v>253</v>
      </c>
      <c r="G23" s="83"/>
      <c r="H23" s="116">
        <f>SUM(H18:H21)</f>
        <v>2.0788744615834302E-2</v>
      </c>
      <c r="I23" s="83"/>
      <c r="J23" s="79"/>
      <c r="K23" s="79"/>
      <c r="L23" s="79"/>
      <c r="M23" s="79"/>
      <c r="N23" s="79"/>
      <c r="O23" s="79"/>
      <c r="P23" s="79"/>
      <c r="Q23" s="79"/>
      <c r="R23" s="88">
        <f>100*(+Z17/$E$9)</f>
        <v>326.27589375209209</v>
      </c>
      <c r="S23" s="95">
        <f>EXP(5.7226-(0.68367*LN(+R23)))</f>
        <v>5.8456250230668898</v>
      </c>
      <c r="T23" s="89">
        <f>(+S23*R23)/100</f>
        <v>19.072865289407435</v>
      </c>
      <c r="U23" s="88">
        <f>100*((((T23/100)-((T23/100)-0.03574)*$E$21)-0.03574-0.00619)/0.344)</f>
        <v>29.37853133799403</v>
      </c>
      <c r="V23" s="673">
        <f>+$E$20</f>
        <v>0.25</v>
      </c>
      <c r="W23" s="88">
        <f>U23+V23</f>
        <v>29.62853133799403</v>
      </c>
      <c r="X23" s="88">
        <f>100*($E$17*$E$19+($E$18*(W23/100))/(1-$E$21))</f>
        <v>25.090309301288656</v>
      </c>
      <c r="Y23" s="89">
        <f>X23/R23</f>
        <v>7.6899059298424735E-2</v>
      </c>
      <c r="Z23" s="87">
        <f>$E$8/(1-Y23)</f>
        <v>3533632.0478998469</v>
      </c>
      <c r="AA23" s="79" t="str">
        <f>IF(OR(OR(Z23=Z17,Z23=(Z17+1)),Z23=(Z9-1)),"yes","not yet")</f>
        <v>not yet</v>
      </c>
      <c r="AB23" s="88">
        <f>100*(1-Y23)</f>
        <v>92.310094070157518</v>
      </c>
      <c r="AC23" s="79"/>
      <c r="AD23" s="79"/>
      <c r="AE23" s="79">
        <v>4</v>
      </c>
      <c r="AF23" s="88">
        <f>AB8</f>
        <v>93.218779167871901</v>
      </c>
      <c r="AG23" s="88">
        <f>AB14</f>
        <v>92.533922699138941</v>
      </c>
      <c r="AH23" s="88">
        <f>AB20</f>
        <v>92.568398778144456</v>
      </c>
      <c r="AI23" s="88">
        <f>AB26</f>
        <v>92.566660764004297</v>
      </c>
      <c r="AJ23" s="88">
        <f>AB32</f>
        <v>92.566748374795864</v>
      </c>
      <c r="AK23" s="88">
        <f>AB38</f>
        <v>92.566743958445983</v>
      </c>
      <c r="AL23" s="88">
        <f>AB44</f>
        <v>92.566744545073504</v>
      </c>
      <c r="AM23" s="88">
        <f>AB50</f>
        <v>92.566744545073504</v>
      </c>
      <c r="AN23" s="88">
        <f>AB56</f>
        <v>92.566744545073504</v>
      </c>
    </row>
    <row r="24" spans="1:40">
      <c r="A24" s="83"/>
      <c r="B24" s="83"/>
      <c r="C24" s="83"/>
      <c r="D24" s="83"/>
      <c r="E24" s="83"/>
      <c r="F24" s="83"/>
      <c r="G24" s="83"/>
      <c r="H24" s="83"/>
      <c r="I24" s="83"/>
      <c r="J24" s="79"/>
      <c r="K24" s="79"/>
      <c r="L24" s="79"/>
      <c r="M24" s="79"/>
      <c r="N24" s="79"/>
      <c r="O24" s="79"/>
      <c r="P24" s="79"/>
      <c r="Q24" s="79"/>
      <c r="R24" s="88">
        <f>100*(+Z18/$E$9)</f>
        <v>325.84630721400322</v>
      </c>
      <c r="S24" s="95">
        <f>EXP(5.70827-(0.68367*LN(+R24)))</f>
        <v>5.767647353542781</v>
      </c>
      <c r="T24" s="89">
        <f>(+S24*R24)/100</f>
        <v>18.793665914645338</v>
      </c>
      <c r="U24" s="88">
        <f>100*((((T24/100)-((T24/100)-0.03574)*$E$21)-0.03574-0.00619)/0.344)</f>
        <v>28.816886084112138</v>
      </c>
      <c r="V24" s="673">
        <f>+$E$20</f>
        <v>0.25</v>
      </c>
      <c r="W24" s="88">
        <f>U24+V24</f>
        <v>29.066886084112138</v>
      </c>
      <c r="X24" s="88">
        <f>100*($E$17*$E$19+($E$18*(W24/100))/(1-$E$21))</f>
        <v>24.660426842281851</v>
      </c>
      <c r="Y24" s="89">
        <f>X24/R24</f>
        <v>7.5681161014618581E-2</v>
      </c>
      <c r="Z24" s="87">
        <f>$E$8/(1-Y24)</f>
        <v>3528976.0739812977</v>
      </c>
      <c r="AA24" s="79" t="str">
        <f>IF(OR(OR(Z24=Z18,Z24=(Z18+1)),Z24=(Z18-1)),"yes","not yet")</f>
        <v>not yet</v>
      </c>
      <c r="AB24" s="88">
        <f>100*(1-Y24)</f>
        <v>92.431883898538132</v>
      </c>
      <c r="AC24" s="79"/>
      <c r="AD24" s="79"/>
      <c r="AE24" s="79"/>
      <c r="AF24" s="79"/>
      <c r="AG24" s="79"/>
      <c r="AH24" s="79"/>
      <c r="AI24" s="79"/>
      <c r="AJ24" s="79"/>
      <c r="AK24" s="79"/>
      <c r="AL24" s="79"/>
      <c r="AM24" s="79"/>
      <c r="AN24" s="79"/>
    </row>
    <row r="25" spans="1:40">
      <c r="A25" s="83"/>
      <c r="B25" s="83"/>
      <c r="C25" s="83"/>
      <c r="D25" s="83"/>
      <c r="E25" s="83"/>
      <c r="F25" s="83" t="s">
        <v>254</v>
      </c>
      <c r="G25" s="83"/>
      <c r="H25" s="117">
        <f>((+H15/100)-H23)</f>
        <v>0.90435261068917938</v>
      </c>
      <c r="I25" s="83"/>
      <c r="J25" s="79"/>
      <c r="K25" s="79"/>
      <c r="L25" s="79"/>
      <c r="M25" s="79"/>
      <c r="N25" s="79"/>
      <c r="O25" s="79"/>
      <c r="P25" s="79"/>
      <c r="Q25" s="79"/>
      <c r="R25" s="88">
        <f>100*(+Z19/$E$9)</f>
        <v>325.55712154520836</v>
      </c>
      <c r="S25" s="95">
        <f>EXP(5.6985-(0.68367*LN(R25)))</f>
        <v>5.7150399069576086</v>
      </c>
      <c r="T25" s="89">
        <f>(+S25*R25)/100</f>
        <v>18.605719416251144</v>
      </c>
      <c r="U25" s="88">
        <f>100*((((T25/100)-((T25/100)-0.03574)*$E$21)-0.03574-0.00619)/0.344)</f>
        <v>28.438807662923821</v>
      </c>
      <c r="V25" s="673">
        <f>+$E$20</f>
        <v>0.25</v>
      </c>
      <c r="W25" s="88">
        <f>U25+V25</f>
        <v>28.688807662923821</v>
      </c>
      <c r="X25" s="88">
        <f>100*($E$17*$E$19+($E$18*(W25/100))/(1-$E$21))</f>
        <v>24.371046169562728</v>
      </c>
      <c r="Y25" s="89">
        <f>X25/R25</f>
        <v>7.4859508690484758E-2</v>
      </c>
      <c r="Z25" s="87">
        <f>$E$8/(1-Y25)</f>
        <v>3525841.856616219</v>
      </c>
      <c r="AA25" s="79" t="str">
        <f>IF(OR(OR(Z25=Z19,Z25=(Z19+1)),Z25=(Z19-1)),"yes","not yet")</f>
        <v>not yet</v>
      </c>
      <c r="AB25" s="88">
        <f>100*(1-Y25)</f>
        <v>92.51404913095152</v>
      </c>
      <c r="AC25" s="79"/>
      <c r="AD25" s="79"/>
      <c r="AE25" s="79"/>
      <c r="AF25" s="79" t="s">
        <v>255</v>
      </c>
      <c r="AG25" s="79"/>
      <c r="AH25" s="79"/>
      <c r="AI25" s="79"/>
      <c r="AJ25" s="79"/>
      <c r="AK25" s="79"/>
      <c r="AL25" s="79"/>
      <c r="AM25" s="79"/>
      <c r="AN25" s="79"/>
    </row>
    <row r="26" spans="1:40">
      <c r="A26" s="83"/>
      <c r="B26" s="83"/>
      <c r="C26" s="83"/>
      <c r="D26" s="83"/>
      <c r="E26" s="83"/>
      <c r="F26" s="83"/>
      <c r="G26" s="83"/>
      <c r="H26" s="83"/>
      <c r="I26" s="83"/>
      <c r="J26" s="79"/>
      <c r="K26" s="79"/>
      <c r="L26" s="79"/>
      <c r="M26" s="79"/>
      <c r="N26" s="79"/>
      <c r="O26" s="79"/>
      <c r="P26" s="79"/>
      <c r="Q26" s="79"/>
      <c r="R26" s="88">
        <f>100*(+Z20/$E$9)</f>
        <v>325.37221910160719</v>
      </c>
      <c r="S26" s="95">
        <f>EXP(5.6922-(0.68367*LN(R26)))</f>
        <v>5.6813545734001112</v>
      </c>
      <c r="T26" s="89">
        <f>(+S26*R26)/100</f>
        <v>18.485549450502589</v>
      </c>
      <c r="U26" s="88">
        <f>100*((((T26/100)-((T26/100)-0.03574)*$E$21)-0.03574-0.00619)/0.344)</f>
        <v>28.197070406243579</v>
      </c>
      <c r="V26" s="673">
        <f>+$E$20</f>
        <v>0.25</v>
      </c>
      <c r="W26" s="88">
        <f>U26+V26</f>
        <v>28.447070406243579</v>
      </c>
      <c r="X26" s="88">
        <f>100*($E$17*$E$19+($E$18*(W26/100))/(1-$E$21))</f>
        <v>24.186020825509676</v>
      </c>
      <c r="Y26" s="89">
        <f>X26/R26</f>
        <v>7.4333392359957035E-2</v>
      </c>
      <c r="Z26" s="87">
        <f>$E$8/(1-Y26)</f>
        <v>3523837.8921604273</v>
      </c>
      <c r="AA26" s="79" t="str">
        <f>IF(OR(OR(Z26=Z20,Z26=(Z20+1)),Z26=(Z20-1)),"yes","not yet")</f>
        <v>not yet</v>
      </c>
      <c r="AB26" s="88">
        <f>100*(1-Y26)</f>
        <v>92.566660764004297</v>
      </c>
      <c r="AC26" s="79"/>
      <c r="AD26" s="79"/>
      <c r="AE26" s="79"/>
      <c r="AF26" s="88">
        <f>HLOOKUP($AF$25,$AF$19:$AN$23,$E$12+1)</f>
        <v>92.514135530501378</v>
      </c>
      <c r="AG26" s="79"/>
      <c r="AH26" s="79"/>
      <c r="AI26" s="79"/>
      <c r="AJ26" s="79"/>
      <c r="AK26" s="79"/>
      <c r="AL26" s="79"/>
      <c r="AM26" s="79"/>
      <c r="AN26" s="79"/>
    </row>
    <row r="27" spans="1:40">
      <c r="A27" s="83"/>
      <c r="B27" s="83"/>
      <c r="C27" s="83"/>
      <c r="D27" s="83"/>
      <c r="E27" s="83"/>
      <c r="F27" s="83"/>
      <c r="G27" s="83"/>
      <c r="H27" s="118"/>
      <c r="I27" s="83"/>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row>
    <row r="28" spans="1:40">
      <c r="A28" s="83"/>
      <c r="B28" s="170"/>
      <c r="C28" s="83"/>
      <c r="D28" s="83"/>
      <c r="E28" s="119"/>
      <c r="F28" s="83"/>
      <c r="G28" s="83"/>
      <c r="H28" s="83"/>
      <c r="I28" s="83"/>
      <c r="J28" s="79"/>
      <c r="K28" s="79"/>
      <c r="L28" s="79"/>
      <c r="M28" s="79"/>
      <c r="N28" s="79"/>
      <c r="O28" s="79"/>
      <c r="P28" s="79"/>
      <c r="Q28" s="79"/>
      <c r="R28" s="79" t="s">
        <v>259</v>
      </c>
      <c r="S28" s="84" t="s">
        <v>207</v>
      </c>
      <c r="T28" s="84" t="s">
        <v>208</v>
      </c>
      <c r="U28" s="84" t="s">
        <v>209</v>
      </c>
      <c r="V28" s="79"/>
      <c r="W28" s="79"/>
      <c r="X28" s="79"/>
      <c r="Y28" s="79"/>
      <c r="Z28" s="79"/>
      <c r="AA28" s="79"/>
      <c r="AB28" s="79"/>
      <c r="AC28" s="79"/>
      <c r="AD28" s="79"/>
      <c r="AE28" s="79"/>
      <c r="AF28" s="79" t="str">
        <f>HLOOKUP(1,$AF$13:$AN$17,$E$12+1)</f>
        <v>not yet</v>
      </c>
      <c r="AG28" s="79" t="str">
        <f>HLOOKUP(2,$AF$13:$AN$17,$E$12+1)</f>
        <v>not yet</v>
      </c>
      <c r="AH28" s="79" t="str">
        <f>HLOOKUP(3,$AF$13:$AN$17,$E$12+1)</f>
        <v>not yet</v>
      </c>
      <c r="AI28" s="79" t="str">
        <f>HLOOKUP(4,$AF$13:$AN$17,$E$12+1)</f>
        <v>not yet</v>
      </c>
      <c r="AJ28" s="79" t="str">
        <f>HLOOKUP(5,$AF$13:$AN$17,$E$12+1)</f>
        <v>not yet</v>
      </c>
      <c r="AK28" s="79" t="str">
        <f>HLOOKUP(6,$AF$13:$AN$17,$E$12+1)</f>
        <v>not yet</v>
      </c>
      <c r="AL28" s="79" t="str">
        <f>HLOOKUP(7,$AF$13:$AN$17,$E$12+1)</f>
        <v>yes</v>
      </c>
      <c r="AM28" s="79" t="str">
        <f>HLOOKUP(8,$AF$13:$AN$17,$E$12+1)</f>
        <v>yes</v>
      </c>
      <c r="AN28" s="79" t="str">
        <f>HLOOKUP(9,$AF$13:$AN$17,$E$12+1)</f>
        <v>yes</v>
      </c>
    </row>
    <row r="29" spans="1:40">
      <c r="A29" s="83"/>
      <c r="B29" s="83"/>
      <c r="C29" s="83"/>
      <c r="D29" s="83"/>
      <c r="E29" s="110"/>
      <c r="F29" s="83"/>
      <c r="G29" s="83"/>
      <c r="H29" s="83"/>
      <c r="I29" s="83"/>
      <c r="J29" s="79"/>
      <c r="K29" s="79"/>
      <c r="L29" s="79"/>
      <c r="M29" s="79"/>
      <c r="N29" s="79"/>
      <c r="O29" s="79"/>
      <c r="P29" s="79"/>
      <c r="Q29" s="79"/>
      <c r="R29" s="88">
        <f>100*(+Z23/$E$9)</f>
        <v>326.28268481923743</v>
      </c>
      <c r="S29" s="95">
        <f>EXP(5.7226-(0.68367*LN(+R29)))</f>
        <v>5.8455418423031755</v>
      </c>
      <c r="T29" s="89">
        <f>(+S29*R29)/100</f>
        <v>19.072990865298717</v>
      </c>
      <c r="U29" s="88">
        <f>100*((((T29/100)-((T29/100)-0.03574)*$E$21)-0.03574-0.00619)/0.344)</f>
        <v>29.378783949961377</v>
      </c>
      <c r="V29" s="673">
        <f>+$E$20</f>
        <v>0.25</v>
      </c>
      <c r="W29" s="88">
        <f>U29+V29</f>
        <v>29.628783949961377</v>
      </c>
      <c r="X29" s="88">
        <f>100*($E$17*$E$19+($E$18*(W29/100))/(1-$E$21))</f>
        <v>25.09050265012041</v>
      </c>
      <c r="Y29" s="89">
        <f>X29/R29</f>
        <v>7.6898051344712628E-2</v>
      </c>
      <c r="Z29" s="87">
        <f>$E$8/(1-Y29)</f>
        <v>3533628.1894554514</v>
      </c>
      <c r="AA29" s="79" t="str">
        <f>IF(OR(OR(Z29=Z23,Z29=(Z23+1)),Z29=(Z15-1)),"yes","not yet")</f>
        <v>not yet</v>
      </c>
      <c r="AB29" s="88">
        <f>100*(1-Y29)</f>
        <v>92.310194865528743</v>
      </c>
      <c r="AC29" s="79"/>
      <c r="AD29" s="79"/>
      <c r="AE29" s="79">
        <v>1</v>
      </c>
      <c r="AF29" s="88">
        <f>R5</f>
        <v>376.48981661409209</v>
      </c>
      <c r="AG29" s="88">
        <f>R11</f>
        <v>323.95135904745393</v>
      </c>
      <c r="AH29" s="88">
        <f>R17</f>
        <v>326.40538193514203</v>
      </c>
      <c r="AI29" s="88">
        <f>R23</f>
        <v>326.27589375209209</v>
      </c>
      <c r="AJ29" s="88">
        <f>R29</f>
        <v>326.28268481923743</v>
      </c>
      <c r="AK29" s="88">
        <f>R35</f>
        <v>326.2823285445661</v>
      </c>
      <c r="AL29" s="88">
        <f>R41</f>
        <v>326.28231105094125</v>
      </c>
      <c r="AM29" s="88">
        <f>R47</f>
        <v>326.28231105094125</v>
      </c>
      <c r="AN29" s="88">
        <f>R53</f>
        <v>326.28231105094125</v>
      </c>
    </row>
    <row r="30" spans="1:40">
      <c r="A30" s="83"/>
      <c r="B30" s="171"/>
      <c r="C30" s="172"/>
      <c r="D30" s="172"/>
      <c r="E30" s="172"/>
      <c r="F30" s="172"/>
      <c r="G30" s="172"/>
      <c r="H30" s="172"/>
      <c r="I30" s="172"/>
      <c r="J30" s="172"/>
      <c r="K30" s="172"/>
      <c r="L30" s="172"/>
      <c r="M30" s="83"/>
      <c r="N30" s="83"/>
      <c r="O30" s="83"/>
      <c r="P30" s="79"/>
      <c r="Q30" s="79"/>
      <c r="R30" s="88">
        <f>100*(+Z24/$E$9)</f>
        <v>325.85276918286115</v>
      </c>
      <c r="S30" s="95">
        <f>EXP(5.70827-(0.68367*LN(+R30)))</f>
        <v>5.7675691565541394</v>
      </c>
      <c r="T30" s="89">
        <f>(+S30*R30)/100</f>
        <v>18.793783811168254</v>
      </c>
      <c r="U30" s="88">
        <f>100*((((T30/100)-((T30/100)-0.03574)*$E$21)-0.03574-0.00619)/0.344)</f>
        <v>28.817123248047771</v>
      </c>
      <c r="V30" s="673">
        <f>+$E$20</f>
        <v>0.25</v>
      </c>
      <c r="W30" s="88">
        <f>U30+V30</f>
        <v>29.067123248047771</v>
      </c>
      <c r="X30" s="88">
        <f>100*($E$17*$E$19+($E$18*(W30/100))/(1-$E$21))</f>
        <v>24.660608367212635</v>
      </c>
      <c r="Y30" s="89">
        <f>X30/R30</f>
        <v>7.5680217262090121E-2</v>
      </c>
      <c r="Z30" s="87">
        <f>$E$8/(1-Y30)</f>
        <v>3528972.4708126159</v>
      </c>
      <c r="AA30" s="79" t="str">
        <f>IF(OR(OR(Z30=Z24,Z30=(Z24+1)),Z30=(Z24-1)),"yes","not yet")</f>
        <v>not yet</v>
      </c>
      <c r="AB30" s="88">
        <f>100*(1-Y30)</f>
        <v>92.431978273790989</v>
      </c>
      <c r="AC30" s="79"/>
      <c r="AD30" s="79"/>
      <c r="AE30" s="79">
        <v>2</v>
      </c>
      <c r="AF30" s="88">
        <f>R6</f>
        <v>376.48981661409209</v>
      </c>
      <c r="AG30" s="88">
        <f>R12</f>
        <v>323.54727083263032</v>
      </c>
      <c r="AH30" s="88">
        <f>R18</f>
        <v>325.97185448117381</v>
      </c>
      <c r="AI30" s="88">
        <f>R24</f>
        <v>325.84630721400322</v>
      </c>
      <c r="AJ30" s="88">
        <f>R30</f>
        <v>325.85276918286115</v>
      </c>
      <c r="AK30" s="88">
        <f>R36</f>
        <v>325.85243647941735</v>
      </c>
      <c r="AL30" s="88">
        <f>R42</f>
        <v>325.85248534264878</v>
      </c>
      <c r="AM30" s="88">
        <f>R48</f>
        <v>325.85248534264878</v>
      </c>
      <c r="AN30" s="88">
        <f>R54</f>
        <v>325.85248534264878</v>
      </c>
    </row>
    <row r="31" spans="1:40">
      <c r="A31" s="83"/>
      <c r="B31" s="83"/>
      <c r="C31" s="83"/>
      <c r="D31" s="112" t="s">
        <v>265</v>
      </c>
      <c r="E31" s="110"/>
      <c r="F31" s="83"/>
      <c r="G31" s="83"/>
      <c r="H31" s="83"/>
      <c r="I31" s="83"/>
      <c r="J31" s="79"/>
      <c r="K31" s="79"/>
      <c r="L31" s="79"/>
      <c r="M31" s="79"/>
      <c r="N31" s="79"/>
      <c r="O31" s="79"/>
      <c r="P31" s="79"/>
      <c r="Q31" s="79"/>
      <c r="R31" s="88">
        <f>100*(+Z25/$E$9)</f>
        <v>325.56336699190786</v>
      </c>
      <c r="S31" s="95">
        <f>EXP(5.6985-(0.68367*LN(R31)))</f>
        <v>5.7149649529112212</v>
      </c>
      <c r="T31" s="89">
        <f>(+S31*R31)/100</f>
        <v>18.605832323105275</v>
      </c>
      <c r="U31" s="88">
        <f>100*((((T31/100)-((T31/100)-0.03574)*$E$21)-0.03574-0.00619)/0.344)</f>
        <v>28.439034789502475</v>
      </c>
      <c r="V31" s="673">
        <f>+$E$20</f>
        <v>0.25</v>
      </c>
      <c r="W31" s="88">
        <f>U31+V31</f>
        <v>28.689034789502475</v>
      </c>
      <c r="X31" s="88">
        <f>100*($E$17*$E$19+($E$18*(W31/100))/(1-$E$21))</f>
        <v>24.37122001191511</v>
      </c>
      <c r="Y31" s="89">
        <f>X31/R31</f>
        <v>7.4858606596610353E-2</v>
      </c>
      <c r="Z31" s="87">
        <f>$E$8/(1-Y31)</f>
        <v>3525838.4186116462</v>
      </c>
      <c r="AA31" s="79" t="str">
        <f>IF(OR(OR(Z31=Z25,Z31=(Z25+1)),Z31=(Z25-1)),"yes","not yet")</f>
        <v>not yet</v>
      </c>
      <c r="AB31" s="88">
        <f>100*(1-Y31)</f>
        <v>92.514139340338957</v>
      </c>
      <c r="AC31" s="79"/>
      <c r="AD31" s="79"/>
      <c r="AE31" s="79">
        <v>3</v>
      </c>
      <c r="AF31" s="88">
        <f>R7</f>
        <v>376.48981661409209</v>
      </c>
      <c r="AG31" s="88">
        <f>R13</f>
        <v>323.27563785666297</v>
      </c>
      <c r="AH31" s="88">
        <f>R19</f>
        <v>325.68002946931693</v>
      </c>
      <c r="AI31" s="88">
        <f>R25</f>
        <v>325.55712154520836</v>
      </c>
      <c r="AJ31" s="88">
        <f>R31</f>
        <v>325.56336699190786</v>
      </c>
      <c r="AK31" s="88">
        <f>R37</f>
        <v>325.56304953911501</v>
      </c>
      <c r="AL31" s="88">
        <f>R43</f>
        <v>325.56310322239341</v>
      </c>
      <c r="AM31" s="88">
        <f>R49</f>
        <v>325.56310322239341</v>
      </c>
      <c r="AN31" s="88">
        <f>R55</f>
        <v>325.56310322239341</v>
      </c>
    </row>
    <row r="32" spans="1:40">
      <c r="A32" s="83"/>
      <c r="B32" s="83"/>
      <c r="C32" s="83"/>
      <c r="D32" s="112"/>
      <c r="E32" s="110"/>
      <c r="F32" s="83"/>
      <c r="G32" s="83"/>
      <c r="H32" s="83"/>
      <c r="I32" s="83"/>
      <c r="J32" s="79"/>
      <c r="K32" s="79"/>
      <c r="L32" s="79"/>
      <c r="M32" s="79"/>
      <c r="N32" s="79"/>
      <c r="O32" s="79"/>
      <c r="P32" s="79"/>
      <c r="Q32" s="79"/>
      <c r="R32" s="88">
        <f>100*(+Z26/$E$9)</f>
        <v>325.37832822894251</v>
      </c>
      <c r="S32" s="95">
        <f>EXP(5.6922-(0.68367*LN(R32)))</f>
        <v>5.6812816460788946</v>
      </c>
      <c r="T32" s="89">
        <f>(+S32*R32)/100</f>
        <v>18.485659241989254</v>
      </c>
      <c r="U32" s="88">
        <f>100*((((T32/100)-((T32/100)-0.03574)*$E$21)-0.03574-0.00619)/0.344)</f>
        <v>28.197291265862102</v>
      </c>
      <c r="V32" s="673">
        <f>+$E$20</f>
        <v>0.25</v>
      </c>
      <c r="W32" s="88">
        <f>U32+V32</f>
        <v>28.447291265862102</v>
      </c>
      <c r="X32" s="88">
        <f>100*($E$17*$E$19+($E$18*(W32/100))/(1-$E$21))</f>
        <v>24.186189871139899</v>
      </c>
      <c r="Y32" s="89">
        <f>X32/R32</f>
        <v>7.4332516252041306E-2</v>
      </c>
      <c r="Z32" s="87">
        <f>$E$8/(1-Y32)</f>
        <v>3523834.5569862686</v>
      </c>
      <c r="AA32" s="79" t="str">
        <f>IF(OR(OR(Z32=Z26,Z32=(Z26+1)),Z32=(Z26-1)),"yes","not yet")</f>
        <v>not yet</v>
      </c>
      <c r="AB32" s="88">
        <f>100*(1-Y32)</f>
        <v>92.566748374795864</v>
      </c>
      <c r="AC32" s="79"/>
      <c r="AD32" s="79"/>
      <c r="AE32" s="79">
        <v>4</v>
      </c>
      <c r="AF32" s="88">
        <f>R8</f>
        <v>376.48981661409209</v>
      </c>
      <c r="AG32" s="88">
        <f>R14</f>
        <v>323.10212167537185</v>
      </c>
      <c r="AH32" s="88">
        <f>R20</f>
        <v>325.49344554489136</v>
      </c>
      <c r="AI32" s="88">
        <f>R26</f>
        <v>325.37221910160719</v>
      </c>
      <c r="AJ32" s="88">
        <f>R32</f>
        <v>325.37832822894251</v>
      </c>
      <c r="AK32" s="88">
        <f>R38</f>
        <v>325.37802027113474</v>
      </c>
      <c r="AL32" s="88">
        <f>R44</f>
        <v>325.37806117740564</v>
      </c>
      <c r="AM32" s="88">
        <f>R50</f>
        <v>325.37806117740564</v>
      </c>
      <c r="AN32" s="88">
        <f>R56</f>
        <v>325.37806117740564</v>
      </c>
    </row>
    <row r="33" spans="1:40">
      <c r="A33" s="83"/>
      <c r="B33" s="170"/>
      <c r="C33" s="83"/>
      <c r="D33" s="83"/>
      <c r="E33" s="110"/>
      <c r="F33" s="83"/>
      <c r="G33" s="83"/>
      <c r="H33" s="83"/>
      <c r="I33" s="83"/>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row>
    <row r="34" spans="1:40">
      <c r="A34" s="83"/>
      <c r="B34" s="83"/>
      <c r="C34" s="83"/>
      <c r="D34" s="83"/>
      <c r="E34" s="114"/>
      <c r="F34" s="120"/>
      <c r="G34" s="83"/>
      <c r="H34" s="83"/>
      <c r="I34" s="83"/>
      <c r="J34" s="79"/>
      <c r="K34" s="79"/>
      <c r="L34" s="79"/>
      <c r="M34" s="79"/>
      <c r="N34" s="79"/>
      <c r="O34" s="79"/>
      <c r="P34" s="79"/>
      <c r="Q34" s="79"/>
      <c r="R34" s="79" t="s">
        <v>260</v>
      </c>
      <c r="S34" s="84" t="s">
        <v>207</v>
      </c>
      <c r="T34" s="84" t="s">
        <v>208</v>
      </c>
      <c r="U34" s="84" t="s">
        <v>209</v>
      </c>
      <c r="V34" s="79"/>
      <c r="W34" s="79"/>
      <c r="X34" s="79"/>
      <c r="Y34" s="79"/>
      <c r="Z34" s="79"/>
      <c r="AA34" s="79"/>
      <c r="AB34" s="79"/>
      <c r="AC34" s="79"/>
      <c r="AD34" s="79"/>
      <c r="AE34" s="79"/>
      <c r="AF34" s="79" t="s">
        <v>255</v>
      </c>
      <c r="AG34" s="79"/>
      <c r="AH34" s="79"/>
      <c r="AI34" s="79"/>
      <c r="AJ34" s="79"/>
      <c r="AK34" s="79"/>
      <c r="AL34" s="79"/>
      <c r="AM34" s="79"/>
      <c r="AN34" s="79"/>
    </row>
    <row r="35" spans="1:40">
      <c r="A35" s="79"/>
      <c r="B35" s="79"/>
      <c r="C35" s="90"/>
      <c r="D35" s="79"/>
      <c r="E35" s="88"/>
      <c r="F35" s="104"/>
      <c r="G35" s="79"/>
      <c r="H35" s="79"/>
      <c r="I35" s="79"/>
      <c r="J35" s="79"/>
      <c r="K35" s="79"/>
      <c r="L35" s="79"/>
      <c r="M35" s="79"/>
      <c r="N35" s="79"/>
      <c r="O35" s="79"/>
      <c r="P35" s="79"/>
      <c r="Q35" s="79"/>
      <c r="R35" s="88">
        <f>100*(+Z29/$E$9)</f>
        <v>326.2823285445661</v>
      </c>
      <c r="S35" s="95">
        <f>EXP(5.7226-(0.68367*LN(+R35)))</f>
        <v>5.8455462060808578</v>
      </c>
      <c r="T35" s="89">
        <f>(+S35*R35)/100</f>
        <v>19.072984277349164</v>
      </c>
      <c r="U35" s="88">
        <f>100*((((T35/100)-((T35/100)-0.03574)*$E$21)-0.03574-0.00619)/0.344)</f>
        <v>29.378770697458208</v>
      </c>
      <c r="V35" s="673">
        <f>+$E$20</f>
        <v>0.25</v>
      </c>
      <c r="W35" s="88">
        <f>U35+V35</f>
        <v>29.628770697458208</v>
      </c>
      <c r="X35" s="88">
        <f>100*($E$17*$E$19+($E$18*(W35/100))/(1-$E$21))</f>
        <v>25.09049250667379</v>
      </c>
      <c r="Y35" s="89">
        <f>X35/R35</f>
        <v>7.6898104223400321E-2</v>
      </c>
      <c r="Z35" s="87">
        <f>ROUND($E$8/(1-Y35),0)</f>
        <v>3533628</v>
      </c>
      <c r="AA35" s="79" t="str">
        <f>IF(OR(OR(Z35=Z29,Z35=(Z29+1)),Z35=(Z21-1)),"yes","not yet")</f>
        <v>not yet</v>
      </c>
      <c r="AB35" s="88">
        <f>100*(1-Y35)</f>
        <v>92.310189577659969</v>
      </c>
      <c r="AC35" s="79"/>
      <c r="AD35" s="79"/>
      <c r="AE35" s="79"/>
      <c r="AF35" s="88">
        <f>HLOOKUP($AF$34,$AF$28:$AN$32,$E$12+1)</f>
        <v>325.56310322239341</v>
      </c>
      <c r="AG35" s="79"/>
      <c r="AH35" s="79"/>
      <c r="AI35" s="79"/>
      <c r="AJ35" s="79"/>
      <c r="AK35" s="79"/>
      <c r="AL35" s="79"/>
      <c r="AM35" s="79"/>
      <c r="AN35" s="79"/>
    </row>
    <row r="36" spans="1:40">
      <c r="A36" s="79"/>
      <c r="B36" s="79"/>
      <c r="C36" s="90"/>
      <c r="D36" s="79"/>
      <c r="E36" s="88"/>
      <c r="F36" s="104"/>
      <c r="G36" s="79"/>
      <c r="H36" s="79"/>
      <c r="I36" s="79"/>
      <c r="J36" s="79"/>
      <c r="K36" s="79"/>
      <c r="L36" s="79"/>
      <c r="M36" s="79"/>
      <c r="N36" s="79"/>
      <c r="O36" s="79"/>
      <c r="P36" s="79"/>
      <c r="Q36" s="79"/>
      <c r="R36" s="88">
        <f>100*(+Z30/$E$9)</f>
        <v>325.85243647941735</v>
      </c>
      <c r="S36" s="95">
        <f>EXP(5.70827-(0.68367*LN(+R36)))</f>
        <v>5.7675731825709828</v>
      </c>
      <c r="T36" s="89">
        <f>(+S36*R36)/100</f>
        <v>18.793777741141021</v>
      </c>
      <c r="U36" s="88">
        <f>100*((((T36/100)-((T36/100)-0.03574)*$E$21)-0.03574-0.00619)/0.344)</f>
        <v>28.817111037411593</v>
      </c>
      <c r="V36" s="673">
        <f>+$E$20</f>
        <v>0.25</v>
      </c>
      <c r="W36" s="88">
        <f>U36+V36</f>
        <v>29.067111037411593</v>
      </c>
      <c r="X36" s="88">
        <f>100*($E$17*$E$19+($E$18*(W36/100))/(1-$E$21))</f>
        <v>24.660599021209496</v>
      </c>
      <c r="Y36" s="89">
        <f>X36/R36</f>
        <v>7.5680265851770595E-2</v>
      </c>
      <c r="Z36" s="87">
        <f>ROUND($E$8/(1-Y36),0)</f>
        <v>3528973</v>
      </c>
      <c r="AA36" s="79" t="str">
        <f>IF(OR(OR(Z36=Z30,Z36=(Z30+1)),Z36=(Z30-1)),"yes","not yet")</f>
        <v>not yet</v>
      </c>
      <c r="AB36" s="88">
        <f>100*(1-Y36)</f>
        <v>92.431973414822949</v>
      </c>
      <c r="AC36" s="79"/>
      <c r="AD36" s="79"/>
      <c r="AE36" s="79"/>
      <c r="AF36" s="79"/>
      <c r="AG36" s="79"/>
      <c r="AH36" s="79"/>
      <c r="AI36" s="79"/>
      <c r="AJ36" s="79"/>
      <c r="AK36" s="79"/>
      <c r="AL36" s="79"/>
      <c r="AM36" s="79"/>
      <c r="AN36" s="79"/>
    </row>
    <row r="37" spans="1:40">
      <c r="A37" s="79"/>
      <c r="B37" s="79"/>
      <c r="C37" s="90"/>
      <c r="D37" s="79"/>
      <c r="E37" s="79"/>
      <c r="F37" s="104"/>
      <c r="G37" s="79"/>
      <c r="H37" s="79"/>
      <c r="I37" s="79"/>
      <c r="J37" s="79"/>
      <c r="K37" s="79"/>
      <c r="L37" s="79"/>
      <c r="M37" s="79"/>
      <c r="N37" s="79"/>
      <c r="O37" s="79"/>
      <c r="P37" s="79"/>
      <c r="Q37" s="79"/>
      <c r="R37" s="88">
        <f>100*(+Z31/$E$9)</f>
        <v>325.56304953911501</v>
      </c>
      <c r="S37" s="95">
        <f>EXP(5.6985-(0.68367*LN(R37)))</f>
        <v>5.7149687627278407</v>
      </c>
      <c r="T37" s="89">
        <f>(+S37*R37)/100</f>
        <v>18.605826584144587</v>
      </c>
      <c r="U37" s="88">
        <f>100*((((T37/100)-((T37/100)-0.03574)*$E$21)-0.03574-0.00619)/0.344)</f>
        <v>28.439023244849</v>
      </c>
      <c r="V37" s="673">
        <f>+$E$20</f>
        <v>0.25</v>
      </c>
      <c r="W37" s="88">
        <f>U37+V37</f>
        <v>28.689023244849</v>
      </c>
      <c r="X37" s="88">
        <f>100*($E$17*$E$19+($E$18*(W37/100))/(1-$E$21))</f>
        <v>24.37121117565416</v>
      </c>
      <c r="Y37" s="89">
        <f>X37/R37</f>
        <v>7.4858652448904717E-2</v>
      </c>
      <c r="Z37" s="87">
        <f>ROUND($E$8/(1-Y37),0)</f>
        <v>3525839</v>
      </c>
      <c r="AA37" s="79" t="str">
        <f>IF(OR(OR(Z37=Z31,Z37=(Z31+1)),Z37=(Z31-1)),"yes","not yet")</f>
        <v>not yet</v>
      </c>
      <c r="AB37" s="88">
        <f>100*(1-Y37)</f>
        <v>92.514134755109524</v>
      </c>
      <c r="AC37" s="79"/>
      <c r="AD37" s="79"/>
      <c r="AE37" s="79"/>
      <c r="AF37" s="79" t="str">
        <f>HLOOKUP(1,$AF$13:$AN$17,$E$12+1)</f>
        <v>not yet</v>
      </c>
      <c r="AG37" s="79" t="str">
        <f>HLOOKUP(2,$AF$13:$AN$17,$E$12+1)</f>
        <v>not yet</v>
      </c>
      <c r="AH37" s="79" t="str">
        <f>HLOOKUP(3,$AF$13:$AN$17,$E$12+1)</f>
        <v>not yet</v>
      </c>
      <c r="AI37" s="79" t="str">
        <f>HLOOKUP(4,$AF$13:$AN$17,$E$12+1)</f>
        <v>not yet</v>
      </c>
      <c r="AJ37" s="79" t="str">
        <f>HLOOKUP(5,$AF$13:$AN$17,$E$12+1)</f>
        <v>not yet</v>
      </c>
      <c r="AK37" s="79" t="str">
        <f>HLOOKUP(6,$AF$13:$AN$17,$E$12+1)</f>
        <v>not yet</v>
      </c>
      <c r="AL37" s="79" t="str">
        <f>HLOOKUP(7,$AF$13:$AN$17,$E$12+1)</f>
        <v>yes</v>
      </c>
      <c r="AM37" s="79" t="str">
        <f>HLOOKUP(8,$AF$13:$AN$17,$E$12+1)</f>
        <v>yes</v>
      </c>
      <c r="AN37" s="79" t="str">
        <f>HLOOKUP(9,$AF$13:$AN$17,$E$12+1)</f>
        <v>yes</v>
      </c>
    </row>
    <row r="38" spans="1:40">
      <c r="A38" s="79"/>
      <c r="B38" s="79"/>
      <c r="C38" s="90"/>
      <c r="D38" s="79"/>
      <c r="E38" s="79"/>
      <c r="F38" s="104"/>
      <c r="G38" s="79"/>
      <c r="H38" s="79"/>
      <c r="I38" s="79"/>
      <c r="J38" s="79"/>
      <c r="K38" s="79"/>
      <c r="L38" s="79"/>
      <c r="M38" s="79"/>
      <c r="N38" s="79"/>
      <c r="O38" s="79"/>
      <c r="P38" s="79"/>
      <c r="Q38" s="79"/>
      <c r="R38" s="88">
        <f>100*(+Z32/$E$9)</f>
        <v>325.37802027113474</v>
      </c>
      <c r="S38" s="95">
        <f>EXP(5.6922-(0.68367*LN(R38)))</f>
        <v>5.6812853222505728</v>
      </c>
      <c r="T38" s="89">
        <f>(+S38*R38)/100</f>
        <v>18.485653707493473</v>
      </c>
      <c r="U38" s="88">
        <f>100*((((T38/100)-((T38/100)-0.03574)*$E$21)-0.03574-0.00619)/0.344)</f>
        <v>28.197280132515946</v>
      </c>
      <c r="V38" s="673">
        <f>+$E$20</f>
        <v>0.25</v>
      </c>
      <c r="W38" s="88">
        <f>U38+V38</f>
        <v>28.447280132515946</v>
      </c>
      <c r="X38" s="88">
        <f>100*($E$17*$E$19+($E$18*(W38/100))/(1-$E$21))</f>
        <v>24.186181349692973</v>
      </c>
      <c r="Y38" s="89">
        <f>X38/R38</f>
        <v>7.433256041554015E-2</v>
      </c>
      <c r="Z38" s="87">
        <f>ROUND($E$8/(1-Y38),0)</f>
        <v>3523835</v>
      </c>
      <c r="AA38" s="79" t="str">
        <f>IF(OR(OR(Z38=Z32,Z38=(Z32+1)),Z38=(Z32-1)),"yes","not yet")</f>
        <v>not yet</v>
      </c>
      <c r="AB38" s="88">
        <f>100*(1-Y38)</f>
        <v>92.566743958445983</v>
      </c>
      <c r="AC38" s="79"/>
      <c r="AD38" s="79"/>
      <c r="AE38" s="79">
        <v>1</v>
      </c>
      <c r="AF38" s="87">
        <f>Z5</f>
        <v>3508383.8571604798</v>
      </c>
      <c r="AG38" s="87">
        <f>Z11</f>
        <v>3534960.8541194764</v>
      </c>
      <c r="AH38" s="87">
        <f>Z17</f>
        <v>3533558.5008389065</v>
      </c>
      <c r="AI38" s="87">
        <f>Z23</f>
        <v>3533632.0478998469</v>
      </c>
      <c r="AJ38" s="87">
        <f>Z29</f>
        <v>3533628.1894554514</v>
      </c>
      <c r="AK38" s="87">
        <f>Z35</f>
        <v>3533628</v>
      </c>
      <c r="AL38" s="87">
        <f>Z41</f>
        <v>3533628</v>
      </c>
      <c r="AM38" s="87">
        <f>Z47</f>
        <v>3533628</v>
      </c>
      <c r="AN38" s="87">
        <f>Z53</f>
        <v>3533628</v>
      </c>
    </row>
    <row r="39" spans="1:40">
      <c r="A39" s="79"/>
      <c r="B39" s="79"/>
      <c r="C39" s="90"/>
      <c r="D39" s="79"/>
      <c r="E39" s="79"/>
      <c r="F39" s="104"/>
      <c r="G39" s="79"/>
      <c r="H39" s="88"/>
      <c r="I39" s="79"/>
      <c r="J39" s="79"/>
      <c r="K39" s="79"/>
      <c r="L39" s="79"/>
      <c r="M39" s="79"/>
      <c r="N39" s="79"/>
      <c r="O39" s="79"/>
      <c r="P39" s="79"/>
      <c r="Q39" s="79"/>
      <c r="R39" s="79"/>
      <c r="S39" s="79"/>
      <c r="T39" s="79"/>
      <c r="U39" s="79"/>
      <c r="V39" s="79"/>
      <c r="W39" s="79"/>
      <c r="X39" s="79"/>
      <c r="Y39" s="79"/>
      <c r="Z39" s="79"/>
      <c r="AA39" s="79"/>
      <c r="AB39" s="79"/>
      <c r="AC39" s="79"/>
      <c r="AD39" s="79"/>
      <c r="AE39" s="79">
        <v>2</v>
      </c>
      <c r="AF39" s="87">
        <f>Z6</f>
        <v>3504007.5934710028</v>
      </c>
      <c r="AG39" s="87">
        <f>Z12</f>
        <v>3530265.7643207787</v>
      </c>
      <c r="AH39" s="87">
        <f>Z18</f>
        <v>3528906.0910453</v>
      </c>
      <c r="AI39" s="87">
        <f>Z24</f>
        <v>3528976.0739812977</v>
      </c>
      <c r="AJ39" s="87">
        <f>Z30</f>
        <v>3528972.4708126159</v>
      </c>
      <c r="AK39" s="87">
        <f>Z36</f>
        <v>3528973</v>
      </c>
      <c r="AL39" s="87">
        <f>Z42</f>
        <v>3528973</v>
      </c>
      <c r="AM39" s="87">
        <f>Z48</f>
        <v>3528973</v>
      </c>
      <c r="AN39" s="87">
        <f>Z54</f>
        <v>3528973</v>
      </c>
    </row>
    <row r="40" spans="1:40">
      <c r="A40" s="79"/>
      <c r="B40" s="79"/>
      <c r="C40" s="90"/>
      <c r="D40" s="79"/>
      <c r="E40" s="92"/>
      <c r="F40" s="104"/>
      <c r="G40" s="79"/>
      <c r="H40" s="96"/>
      <c r="I40" s="79"/>
      <c r="J40" s="79"/>
      <c r="K40" s="79"/>
      <c r="L40" s="79"/>
      <c r="M40" s="79"/>
      <c r="N40" s="79"/>
      <c r="O40" s="79"/>
      <c r="P40" s="79"/>
      <c r="Q40" s="79"/>
      <c r="R40" s="79" t="s">
        <v>261</v>
      </c>
      <c r="S40" s="84" t="s">
        <v>207</v>
      </c>
      <c r="T40" s="84" t="s">
        <v>208</v>
      </c>
      <c r="U40" s="84" t="s">
        <v>209</v>
      </c>
      <c r="V40" s="79"/>
      <c r="W40" s="79"/>
      <c r="X40" s="79"/>
      <c r="Y40" s="79"/>
      <c r="Z40" s="79"/>
      <c r="AA40" s="79"/>
      <c r="AB40" s="79"/>
      <c r="AC40" s="79"/>
      <c r="AD40" s="79"/>
      <c r="AE40" s="79">
        <v>3</v>
      </c>
      <c r="AF40" s="87">
        <f>Z7</f>
        <v>3501065.8161907392</v>
      </c>
      <c r="AG40" s="87">
        <f>Z13</f>
        <v>3527105.3078753273</v>
      </c>
      <c r="AH40" s="87">
        <f>Z19</f>
        <v>3525774.21860894</v>
      </c>
      <c r="AI40" s="87">
        <f>Z25</f>
        <v>3525841.856616219</v>
      </c>
      <c r="AJ40" s="87">
        <f>Z31</f>
        <v>3525838.4186116462</v>
      </c>
      <c r="AK40" s="87">
        <f>Z37</f>
        <v>3525839</v>
      </c>
      <c r="AL40" s="87">
        <f>Z43</f>
        <v>3525839</v>
      </c>
      <c r="AM40" s="87">
        <f>Z49</f>
        <v>3525839</v>
      </c>
      <c r="AN40" s="87">
        <f>Z55</f>
        <v>3525839</v>
      </c>
    </row>
    <row r="41" spans="1:40">
      <c r="A41" s="79"/>
      <c r="B41" s="79"/>
      <c r="C41" s="105"/>
      <c r="D41" s="96"/>
      <c r="E41" s="79"/>
      <c r="F41" s="104"/>
      <c r="G41" s="79"/>
      <c r="H41" s="79"/>
      <c r="I41" s="79"/>
      <c r="J41" s="79"/>
      <c r="K41" s="79"/>
      <c r="L41" s="79"/>
      <c r="M41" s="79"/>
      <c r="N41" s="79"/>
      <c r="O41" s="79"/>
      <c r="P41" s="79"/>
      <c r="Q41" s="79"/>
      <c r="R41" s="88">
        <f>100*(+Z35/$E$9)</f>
        <v>326.28231105094125</v>
      </c>
      <c r="S41" s="95">
        <f>EXP(5.7226-(0.68367*LN(+R41)))</f>
        <v>5.8455464203491418</v>
      </c>
      <c r="T41" s="89">
        <f>(+S41*R41)/100</f>
        <v>19.072983953870747</v>
      </c>
      <c r="U41" s="88">
        <f>100*((((T41/100)-((T41/100)-0.03574)*$E$21)-0.03574-0.00619)/0.344)</f>
        <v>29.378770046739994</v>
      </c>
      <c r="V41" s="673">
        <f>+$E$20</f>
        <v>0.25</v>
      </c>
      <c r="W41" s="88">
        <f>U41+V41</f>
        <v>29.628770046739994</v>
      </c>
      <c r="X41" s="88">
        <f>100*($E$17*$E$19+($E$18*(W41/100))/(1-$E$21))</f>
        <v>25.090492008615016</v>
      </c>
      <c r="Y41" s="89">
        <f>X41/R41</f>
        <v>7.6898106819826131E-2</v>
      </c>
      <c r="Z41" s="87">
        <f>ROUND($E$8/(1-Y41),0)</f>
        <v>3533628</v>
      </c>
      <c r="AA41" s="79" t="str">
        <f>IF(OR(OR(Z41=Z35,Z41=(Z35+1)),Z41=(Z27-1)),"yes","not yet")</f>
        <v>yes</v>
      </c>
      <c r="AB41" s="88">
        <f>100*(1-Y41)</f>
        <v>92.310189318017393</v>
      </c>
      <c r="AC41" s="79"/>
      <c r="AD41" s="79"/>
      <c r="AE41" s="79">
        <v>4</v>
      </c>
      <c r="AF41" s="87">
        <f>Z8</f>
        <v>3499186.6409615073</v>
      </c>
      <c r="AG41" s="87">
        <f>Z14</f>
        <v>3525084.6093655722</v>
      </c>
      <c r="AH41" s="87">
        <f>Z20</f>
        <v>3523771.7304879231</v>
      </c>
      <c r="AI41" s="87">
        <f>Z26</f>
        <v>3523837.8921604273</v>
      </c>
      <c r="AJ41" s="87">
        <f>Z32</f>
        <v>3523834.5569862686</v>
      </c>
      <c r="AK41" s="87">
        <f>Z38</f>
        <v>3523835</v>
      </c>
      <c r="AL41" s="87">
        <f>Z44</f>
        <v>3523835</v>
      </c>
      <c r="AM41" s="87">
        <f>Z50</f>
        <v>3523835</v>
      </c>
      <c r="AN41" s="87">
        <f>Z56</f>
        <v>3523835</v>
      </c>
    </row>
    <row r="42" spans="1:40">
      <c r="A42" s="79"/>
      <c r="B42" s="79"/>
      <c r="C42" s="106"/>
      <c r="D42" s="96"/>
      <c r="E42" s="79"/>
      <c r="F42" s="104"/>
      <c r="G42" s="79"/>
      <c r="H42" s="95"/>
      <c r="I42" s="79"/>
      <c r="J42" s="79"/>
      <c r="K42" s="79"/>
      <c r="L42" s="79"/>
      <c r="M42" s="79"/>
      <c r="N42" s="79"/>
      <c r="O42" s="79"/>
      <c r="P42" s="79"/>
      <c r="Q42" s="79"/>
      <c r="R42" s="88">
        <f>100*(+Z36/$E$9)</f>
        <v>325.85248534264878</v>
      </c>
      <c r="S42" s="95">
        <f>EXP(5.70827-(0.68367*LN(+R42)))</f>
        <v>5.7675725912806293</v>
      </c>
      <c r="T42" s="89">
        <f>(+S42*R42)/100</f>
        <v>18.793778632629341</v>
      </c>
      <c r="U42" s="88">
        <f>100*((((T42/100)-((T42/100)-0.03574)*$E$21)-0.03574-0.00619)/0.344)</f>
        <v>28.817112830754372</v>
      </c>
      <c r="V42" s="673">
        <f>+$E$20</f>
        <v>0.25</v>
      </c>
      <c r="W42" s="88">
        <f>U42+V42</f>
        <v>29.067112830754372</v>
      </c>
      <c r="X42" s="88">
        <f>100*($E$17*$E$19+($E$18*(W42/100))/(1-$E$21))</f>
        <v>24.660600393831444</v>
      </c>
      <c r="Y42" s="89">
        <f>X42/R42</f>
        <v>7.5680258715534104E-2</v>
      </c>
      <c r="Z42" s="87">
        <f>ROUND($E$8/(1-Y42),0)</f>
        <v>3528973</v>
      </c>
      <c r="AA42" s="79" t="str">
        <f>IF(OR(OR(Z42=Z36,Z42=(Z36+1)),Z42=(Z36-1)),"yes","not yet")</f>
        <v>yes</v>
      </c>
      <c r="AB42" s="88">
        <f>100*(1-Y42)</f>
        <v>92.431974128446598</v>
      </c>
      <c r="AC42" s="79"/>
      <c r="AD42" s="79"/>
      <c r="AE42" s="79"/>
      <c r="AF42" s="79"/>
      <c r="AG42" s="79"/>
      <c r="AH42" s="79"/>
      <c r="AI42" s="79"/>
      <c r="AJ42" s="79"/>
      <c r="AK42" s="79"/>
      <c r="AL42" s="79"/>
      <c r="AM42" s="79"/>
      <c r="AN42" s="79"/>
    </row>
    <row r="43" spans="1:40">
      <c r="A43" s="79"/>
      <c r="B43" s="79"/>
      <c r="C43" s="90"/>
      <c r="D43" s="79"/>
      <c r="E43" s="98"/>
      <c r="F43" s="104"/>
      <c r="G43" s="79"/>
      <c r="H43" s="95"/>
      <c r="I43" s="79"/>
      <c r="J43" s="79"/>
      <c r="K43" s="79"/>
      <c r="L43" s="79"/>
      <c r="M43" s="79"/>
      <c r="N43" s="79"/>
      <c r="O43" s="79"/>
      <c r="P43" s="79"/>
      <c r="Q43" s="79"/>
      <c r="R43" s="88">
        <f>100*(+Z37/$E$9)</f>
        <v>325.56310322239341</v>
      </c>
      <c r="S43" s="95">
        <f>EXP(5.6985-(0.68367*LN(R43)))</f>
        <v>5.7149681184632737</v>
      </c>
      <c r="T43" s="89">
        <f>(+S43*R43)/100</f>
        <v>18.605827554639461</v>
      </c>
      <c r="U43" s="88">
        <f>100*((((T43/100)-((T43/100)-0.03574)*$E$21)-0.03574-0.00619)/0.344)</f>
        <v>28.439025197123573</v>
      </c>
      <c r="V43" s="673">
        <f>+$E$20</f>
        <v>0.25</v>
      </c>
      <c r="W43" s="88">
        <f>U43+V43</f>
        <v>28.689025197123573</v>
      </c>
      <c r="X43" s="88">
        <f>100*($E$17*$E$19+($E$18*(W43/100))/(1-$E$21))</f>
        <v>24.371212669922272</v>
      </c>
      <c r="Y43" s="89">
        <f>X43/R43</f>
        <v>7.4858644694986223E-2</v>
      </c>
      <c r="Z43" s="87">
        <f>ROUND($E$8/(1-Y43),0)</f>
        <v>3525839</v>
      </c>
      <c r="AA43" s="79" t="str">
        <f>IF(OR(OR(Z43=Z37,Z43=(Z37+1)),Z43=(Z37-1)),"yes","not yet")</f>
        <v>yes</v>
      </c>
      <c r="AB43" s="88">
        <f>100*(1-Y43)</f>
        <v>92.514135530501378</v>
      </c>
      <c r="AC43" s="79"/>
      <c r="AD43" s="79"/>
      <c r="AE43" s="79"/>
      <c r="AF43" s="79" t="s">
        <v>255</v>
      </c>
      <c r="AG43" s="79"/>
      <c r="AH43" s="79"/>
      <c r="AI43" s="79"/>
      <c r="AJ43" s="79"/>
      <c r="AK43" s="79"/>
      <c r="AL43" s="79"/>
      <c r="AM43" s="79"/>
      <c r="AN43" s="79"/>
    </row>
    <row r="44" spans="1:40">
      <c r="A44" s="79"/>
      <c r="B44" s="79"/>
      <c r="C44" s="90"/>
      <c r="D44" s="79"/>
      <c r="E44" s="98"/>
      <c r="F44" s="104"/>
      <c r="G44" s="79"/>
      <c r="H44" s="95"/>
      <c r="I44" s="79"/>
      <c r="J44" s="79"/>
      <c r="K44" s="79"/>
      <c r="L44" s="79"/>
      <c r="M44" s="79"/>
      <c r="N44" s="79"/>
      <c r="O44" s="79"/>
      <c r="P44" s="79"/>
      <c r="Q44" s="79"/>
      <c r="R44" s="88">
        <f>100*(+Z38/$E$9)</f>
        <v>325.37806117740564</v>
      </c>
      <c r="S44" s="95">
        <f>EXP(5.6922-(0.68367*LN(R44)))</f>
        <v>5.681284833941544</v>
      </c>
      <c r="T44" s="89">
        <f>(+S44*R44)/100</f>
        <v>18.485654442644986</v>
      </c>
      <c r="U44" s="88">
        <f>100*((((T44/100)-((T44/100)-0.03574)*$E$21)-0.03574-0.00619)/0.344)</f>
        <v>28.197281611367238</v>
      </c>
      <c r="V44" s="673">
        <f>+$E$20</f>
        <v>0.25</v>
      </c>
      <c r="W44" s="88">
        <f>U44+V44</f>
        <v>28.447281611367238</v>
      </c>
      <c r="X44" s="88">
        <f>100*($E$17*$E$19+($E$18*(W44/100))/(1-$E$21))</f>
        <v>24.186182481603595</v>
      </c>
      <c r="Y44" s="89">
        <f>X44/R44</f>
        <v>7.4332554549265017E-2</v>
      </c>
      <c r="Z44" s="87">
        <f>ROUND($E$8/(1-Y44),0)</f>
        <v>3523835</v>
      </c>
      <c r="AA44" s="79" t="str">
        <f>IF(OR(OR(Z44=Z38,Z44=(Z38+1)),Z44=(Z38-1)),"yes","not yet")</f>
        <v>yes</v>
      </c>
      <c r="AB44" s="88">
        <f>100*(1-Y44)</f>
        <v>92.566744545073504</v>
      </c>
      <c r="AC44" s="79"/>
      <c r="AD44" s="79"/>
      <c r="AE44" s="79"/>
      <c r="AF44" s="87">
        <f>HLOOKUP($AF$34,$AF$37:$AN$41,$E$12+1)</f>
        <v>3525839</v>
      </c>
      <c r="AG44" s="79"/>
      <c r="AH44" s="79"/>
      <c r="AI44" s="79"/>
      <c r="AJ44" s="79"/>
      <c r="AK44" s="79"/>
      <c r="AL44" s="79"/>
      <c r="AM44" s="79"/>
      <c r="AN44" s="79"/>
    </row>
    <row r="45" spans="1:40">
      <c r="A45" s="79"/>
      <c r="B45" s="79"/>
      <c r="C45" s="79"/>
      <c r="D45" s="79"/>
      <c r="E45" s="98"/>
      <c r="F45" s="79"/>
      <c r="G45" s="79"/>
      <c r="H45" s="95"/>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row>
    <row r="46" spans="1:40">
      <c r="A46" s="79"/>
      <c r="B46" s="79"/>
      <c r="C46" s="79"/>
      <c r="D46" s="79"/>
      <c r="E46" s="79"/>
      <c r="F46" s="79"/>
      <c r="G46" s="79"/>
      <c r="H46" s="96"/>
      <c r="I46" s="79"/>
      <c r="J46" s="79"/>
      <c r="K46" s="79"/>
      <c r="L46" s="79"/>
      <c r="M46" s="79"/>
      <c r="N46" s="79"/>
      <c r="O46" s="79"/>
      <c r="P46" s="79"/>
      <c r="Q46" s="79"/>
      <c r="R46" s="79" t="s">
        <v>262</v>
      </c>
      <c r="S46" s="84" t="s">
        <v>207</v>
      </c>
      <c r="T46" s="84" t="s">
        <v>208</v>
      </c>
      <c r="U46" s="84" t="s">
        <v>209</v>
      </c>
      <c r="V46" s="79"/>
      <c r="W46" s="79"/>
      <c r="X46" s="79"/>
      <c r="Y46" s="79"/>
      <c r="Z46" s="79"/>
      <c r="AA46" s="79"/>
      <c r="AB46" s="79"/>
      <c r="AC46" s="79"/>
      <c r="AD46" s="79"/>
      <c r="AE46" s="79"/>
      <c r="AF46" s="79"/>
      <c r="AG46" s="79"/>
      <c r="AH46" s="79"/>
      <c r="AI46" s="79"/>
      <c r="AJ46" s="79"/>
      <c r="AK46" s="79"/>
      <c r="AL46" s="79"/>
      <c r="AM46" s="79"/>
      <c r="AN46" s="79"/>
    </row>
    <row r="47" spans="1:40">
      <c r="A47" s="79"/>
      <c r="B47" s="79"/>
      <c r="C47" s="79"/>
      <c r="D47" s="79"/>
      <c r="E47" s="79"/>
      <c r="F47" s="79"/>
      <c r="G47" s="79"/>
      <c r="H47" s="100"/>
      <c r="I47" s="79"/>
      <c r="J47" s="79"/>
      <c r="K47" s="79"/>
      <c r="L47" s="79"/>
      <c r="M47" s="79"/>
      <c r="N47" s="79"/>
      <c r="O47" s="79"/>
      <c r="P47" s="79"/>
      <c r="Q47" s="79"/>
      <c r="R47" s="88">
        <f>100*(+Z41/$E$9)</f>
        <v>326.28231105094125</v>
      </c>
      <c r="S47" s="95">
        <f>EXP(5.7226-(0.68367*LN(+R47)))</f>
        <v>5.8455464203491418</v>
      </c>
      <c r="T47" s="89">
        <f>(+S47*R47)/100</f>
        <v>19.072983953870747</v>
      </c>
      <c r="U47" s="88">
        <f>100*((((T47/100)-((T47/100)-0.03574)*$E$21)-0.03574-0.00619)/0.344)</f>
        <v>29.378770046739994</v>
      </c>
      <c r="V47" s="673">
        <f>+$E$20</f>
        <v>0.25</v>
      </c>
      <c r="W47" s="88">
        <f>U47+V47</f>
        <v>29.628770046739994</v>
      </c>
      <c r="X47" s="88">
        <f>100*($E$17*$E$19+($E$18*(W47/100))/(1-$E$21))</f>
        <v>25.090492008615016</v>
      </c>
      <c r="Y47" s="89">
        <f>X47/R47</f>
        <v>7.6898106819826131E-2</v>
      </c>
      <c r="Z47" s="87">
        <f>ROUND($E$8/(1-Y47),0)</f>
        <v>3533628</v>
      </c>
      <c r="AA47" s="79" t="str">
        <f>IF(OR(OR(Z47=Z41,Z47=(Z41+1)),Z47=(Z33-1)),"yes","not yet")</f>
        <v>yes</v>
      </c>
      <c r="AB47" s="88">
        <f>100*(1-Y47)</f>
        <v>92.310189318017393</v>
      </c>
      <c r="AC47" s="79"/>
      <c r="AD47" s="79"/>
      <c r="AE47" s="79"/>
      <c r="AF47" s="79"/>
      <c r="AG47" s="79"/>
      <c r="AH47" s="79"/>
      <c r="AI47" s="79"/>
      <c r="AJ47" s="79"/>
      <c r="AK47" s="79"/>
      <c r="AL47" s="79"/>
      <c r="AM47" s="79"/>
      <c r="AN47" s="79"/>
    </row>
    <row r="48" spans="1:40">
      <c r="A48" s="79"/>
      <c r="B48" s="79"/>
      <c r="C48" s="79"/>
      <c r="D48" s="79"/>
      <c r="E48" s="79"/>
      <c r="F48" s="79"/>
      <c r="G48" s="79"/>
      <c r="H48" s="79"/>
      <c r="I48" s="79"/>
      <c r="J48" s="79"/>
      <c r="K48" s="79"/>
      <c r="L48" s="79"/>
      <c r="M48" s="79"/>
      <c r="N48" s="79"/>
      <c r="O48" s="79"/>
      <c r="P48" s="79"/>
      <c r="Q48" s="79"/>
      <c r="R48" s="88">
        <f>100*(+Z42/$E$9)</f>
        <v>325.85248534264878</v>
      </c>
      <c r="S48" s="95">
        <f>EXP(5.70827-(0.68367*LN(+R48)))</f>
        <v>5.7675725912806293</v>
      </c>
      <c r="T48" s="89">
        <f>(+S48*R48)/100</f>
        <v>18.793778632629341</v>
      </c>
      <c r="U48" s="88">
        <f>100*((((T48/100)-((T48/100)-0.03574)*$E$21)-0.03574-0.00619)/0.344)</f>
        <v>28.817112830754372</v>
      </c>
      <c r="V48" s="673">
        <f>+$E$20</f>
        <v>0.25</v>
      </c>
      <c r="W48" s="88">
        <f>U48+V48</f>
        <v>29.067112830754372</v>
      </c>
      <c r="X48" s="88">
        <f>100*($E$17*$E$19+($E$18*(W48/100))/(1-$E$21))</f>
        <v>24.660600393831444</v>
      </c>
      <c r="Y48" s="89">
        <f>X48/R48</f>
        <v>7.5680258715534104E-2</v>
      </c>
      <c r="Z48" s="87">
        <f>ROUND($E$8/(1-Y48),0)</f>
        <v>3528973</v>
      </c>
      <c r="AA48" s="79" t="str">
        <f>IF(OR(OR(Z48=Z42,Z48=(Z42+1)),Z48=(Z42-1)),"yes","not yet")</f>
        <v>yes</v>
      </c>
      <c r="AB48" s="88">
        <f>100*(1-Y48)</f>
        <v>92.431974128446598</v>
      </c>
      <c r="AC48" s="79"/>
      <c r="AD48" s="79"/>
      <c r="AE48" s="79"/>
      <c r="AF48" s="79"/>
      <c r="AG48" s="79"/>
      <c r="AH48" s="79"/>
      <c r="AI48" s="79"/>
      <c r="AJ48" s="79"/>
      <c r="AK48" s="79"/>
      <c r="AL48" s="79"/>
      <c r="AM48" s="79"/>
      <c r="AN48" s="79"/>
    </row>
    <row r="49" spans="1:40">
      <c r="A49" s="79"/>
      <c r="B49" s="79"/>
      <c r="C49" s="79"/>
      <c r="D49" s="79"/>
      <c r="E49" s="79"/>
      <c r="F49" s="79"/>
      <c r="G49" s="79"/>
      <c r="H49" s="89"/>
      <c r="I49" s="79"/>
      <c r="J49" s="79"/>
      <c r="K49" s="79"/>
      <c r="L49" s="79"/>
      <c r="M49" s="79"/>
      <c r="N49" s="79"/>
      <c r="O49" s="79"/>
      <c r="P49" s="79"/>
      <c r="Q49" s="79"/>
      <c r="R49" s="88">
        <f>100*(+Z43/$E$9)</f>
        <v>325.56310322239341</v>
      </c>
      <c r="S49" s="95">
        <f>EXP(5.6985-(0.68367*LN(R49)))</f>
        <v>5.7149681184632737</v>
      </c>
      <c r="T49" s="89">
        <f>(+S49*R49)/100</f>
        <v>18.605827554639461</v>
      </c>
      <c r="U49" s="88">
        <f>100*((((T49/100)-((T49/100)-0.03574)*$E$21)-0.03574-0.00619)/0.344)</f>
        <v>28.439025197123573</v>
      </c>
      <c r="V49" s="673">
        <f>+$E$20</f>
        <v>0.25</v>
      </c>
      <c r="W49" s="88">
        <f>U49+V49</f>
        <v>28.689025197123573</v>
      </c>
      <c r="X49" s="88">
        <f>100*($E$17*$E$19+($E$18*(W49/100))/(1-$E$21))</f>
        <v>24.371212669922272</v>
      </c>
      <c r="Y49" s="89">
        <f>X49/R49</f>
        <v>7.4858644694986223E-2</v>
      </c>
      <c r="Z49" s="87">
        <f>ROUND($E$8/(1-Y49),0)</f>
        <v>3525839</v>
      </c>
      <c r="AA49" s="79" t="str">
        <f>IF(OR(OR(Z49=Z43,Z49=(Z43+1)),Z49=(Z43-1)),"yes","not yet")</f>
        <v>yes</v>
      </c>
      <c r="AB49" s="88">
        <f>100*(1-Y49)</f>
        <v>92.514135530501378</v>
      </c>
      <c r="AC49" s="79"/>
      <c r="AD49" s="79"/>
      <c r="AE49" s="79"/>
      <c r="AF49" s="79"/>
      <c r="AG49" s="79"/>
      <c r="AH49" s="79"/>
      <c r="AI49" s="79"/>
      <c r="AJ49" s="79"/>
      <c r="AK49" s="79"/>
      <c r="AL49" s="79"/>
      <c r="AM49" s="79"/>
      <c r="AN49" s="79"/>
    </row>
    <row r="50" spans="1:40">
      <c r="A50" s="79"/>
      <c r="B50" s="79"/>
      <c r="C50" s="79"/>
      <c r="D50" s="79"/>
      <c r="E50" s="79"/>
      <c r="F50" s="79"/>
      <c r="G50" s="79"/>
      <c r="H50" s="79"/>
      <c r="I50" s="79"/>
      <c r="J50" s="79"/>
      <c r="K50" s="79"/>
      <c r="L50" s="79"/>
      <c r="M50" s="79"/>
      <c r="N50" s="79"/>
      <c r="O50" s="79"/>
      <c r="P50" s="79"/>
      <c r="Q50" s="79"/>
      <c r="R50" s="88">
        <f>100*(+Z44/$E$9)</f>
        <v>325.37806117740564</v>
      </c>
      <c r="S50" s="95">
        <f>EXP(5.6922-(0.68367*LN(R50)))</f>
        <v>5.681284833941544</v>
      </c>
      <c r="T50" s="89">
        <f>(+S50*R50)/100</f>
        <v>18.485654442644986</v>
      </c>
      <c r="U50" s="88">
        <f>100*((((T50/100)-((T50/100)-0.03574)*$E$21)-0.03574-0.00619)/0.344)</f>
        <v>28.197281611367238</v>
      </c>
      <c r="V50" s="673">
        <f>+$E$20</f>
        <v>0.25</v>
      </c>
      <c r="W50" s="88">
        <f>U50+V50</f>
        <v>28.447281611367238</v>
      </c>
      <c r="X50" s="88">
        <f>100*($E$17*$E$19+($E$18*(W50/100))/(1-$E$21))</f>
        <v>24.186182481603595</v>
      </c>
      <c r="Y50" s="89">
        <f>X50/R50</f>
        <v>7.4332554549265017E-2</v>
      </c>
      <c r="Z50" s="87">
        <f>ROUND($E$8/(1-Y50),0)</f>
        <v>3523835</v>
      </c>
      <c r="AA50" s="79" t="str">
        <f>IF(OR(OR(Z50=Z44,Z50=(Z44+1)),Z50=(Z44-1)),"yes","not yet")</f>
        <v>yes</v>
      </c>
      <c r="AB50" s="88">
        <f>100*(1-Y50)</f>
        <v>92.566744545073504</v>
      </c>
      <c r="AC50" s="79"/>
      <c r="AD50" s="79"/>
      <c r="AE50" s="79"/>
      <c r="AF50" s="79"/>
      <c r="AG50" s="79"/>
      <c r="AH50" s="79"/>
      <c r="AI50" s="79"/>
      <c r="AJ50" s="79"/>
      <c r="AK50" s="79"/>
      <c r="AL50" s="79"/>
      <c r="AM50" s="79"/>
      <c r="AN50" s="79"/>
    </row>
    <row r="51" spans="1:40">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row>
    <row r="52" spans="1:40">
      <c r="A52" s="79"/>
      <c r="B52" s="79"/>
      <c r="C52" s="79"/>
      <c r="D52" s="79"/>
      <c r="E52" s="79"/>
      <c r="F52" s="79"/>
      <c r="G52" s="79"/>
      <c r="H52" s="79"/>
      <c r="I52" s="79"/>
      <c r="J52" s="79"/>
      <c r="K52" s="79"/>
      <c r="L52" s="79"/>
      <c r="M52" s="79"/>
      <c r="N52" s="79"/>
      <c r="O52" s="79"/>
      <c r="P52" s="79"/>
      <c r="Q52" s="79"/>
      <c r="R52" s="79" t="s">
        <v>263</v>
      </c>
      <c r="S52" s="84" t="s">
        <v>207</v>
      </c>
      <c r="T52" s="84" t="s">
        <v>208</v>
      </c>
      <c r="U52" s="84" t="s">
        <v>209</v>
      </c>
      <c r="V52" s="79"/>
      <c r="W52" s="79"/>
      <c r="X52" s="79"/>
      <c r="Y52" s="79"/>
      <c r="Z52" s="79"/>
      <c r="AA52" s="79"/>
      <c r="AB52" s="79"/>
      <c r="AC52" s="79"/>
      <c r="AD52" s="79"/>
      <c r="AE52" s="79"/>
      <c r="AF52" s="79"/>
      <c r="AG52" s="79"/>
      <c r="AH52" s="79"/>
      <c r="AI52" s="79"/>
      <c r="AJ52" s="79"/>
      <c r="AK52" s="79"/>
      <c r="AL52" s="79"/>
      <c r="AM52" s="79"/>
      <c r="AN52" s="79"/>
    </row>
    <row r="53" spans="1:40">
      <c r="A53" s="79"/>
      <c r="B53" s="79"/>
      <c r="C53" s="79"/>
      <c r="D53" s="79"/>
      <c r="E53" s="79"/>
      <c r="F53" s="79"/>
      <c r="G53" s="79"/>
      <c r="H53" s="79"/>
      <c r="I53" s="79"/>
      <c r="J53" s="79"/>
      <c r="K53" s="79"/>
      <c r="L53" s="79"/>
      <c r="M53" s="79"/>
      <c r="N53" s="79"/>
      <c r="O53" s="79"/>
      <c r="P53" s="79"/>
      <c r="Q53" s="79"/>
      <c r="R53" s="88">
        <f>100*(+Z47/$E$9)</f>
        <v>326.28231105094125</v>
      </c>
      <c r="S53" s="95">
        <f>EXP(5.7226-(0.68367*LN(+R53)))</f>
        <v>5.8455464203491418</v>
      </c>
      <c r="T53" s="89">
        <f>(+S53*R53)/100</f>
        <v>19.072983953870747</v>
      </c>
      <c r="U53" s="88">
        <f>100*((((T53/100)-((T53/100)-0.03574)*$E$21)-0.03574-0.00619)/0.344)</f>
        <v>29.378770046739994</v>
      </c>
      <c r="V53" s="673">
        <f>+$E$20</f>
        <v>0.25</v>
      </c>
      <c r="W53" s="88">
        <f>U53+V53</f>
        <v>29.628770046739994</v>
      </c>
      <c r="X53" s="88">
        <f>100*($E$17*$E$19+($E$18*(W53/100))/(1-$E$21))</f>
        <v>25.090492008615016</v>
      </c>
      <c r="Y53" s="89">
        <f>X53/R53</f>
        <v>7.6898106819826131E-2</v>
      </c>
      <c r="Z53" s="87">
        <f>ROUND($E$8/(1-Y53),0)</f>
        <v>3533628</v>
      </c>
      <c r="AA53" s="79" t="str">
        <f>IF(OR(OR(Z53=Z47,Z53=(Z47+1)),Z53=(Z39-1)),"yes","not yet")</f>
        <v>yes</v>
      </c>
      <c r="AB53" s="88">
        <f>100*(1-Y53)</f>
        <v>92.310189318017393</v>
      </c>
      <c r="AC53" s="79"/>
      <c r="AD53" s="79"/>
      <c r="AE53" s="79"/>
      <c r="AF53" s="79"/>
      <c r="AG53" s="79"/>
      <c r="AH53" s="79"/>
      <c r="AI53" s="79"/>
      <c r="AJ53" s="79"/>
      <c r="AK53" s="79"/>
      <c r="AL53" s="79"/>
      <c r="AM53" s="79"/>
      <c r="AN53" s="79"/>
    </row>
    <row r="54" spans="1:40">
      <c r="A54" s="79"/>
      <c r="B54" s="79"/>
      <c r="C54" s="79"/>
      <c r="D54" s="79"/>
      <c r="E54" s="79"/>
      <c r="F54" s="79"/>
      <c r="G54" s="79"/>
      <c r="H54" s="79"/>
      <c r="I54" s="79"/>
      <c r="J54" s="79"/>
      <c r="K54" s="79"/>
      <c r="L54" s="79"/>
      <c r="M54" s="79"/>
      <c r="N54" s="79"/>
      <c r="O54" s="79"/>
      <c r="P54" s="79"/>
      <c r="Q54" s="79"/>
      <c r="R54" s="88">
        <f>100*(+Z48/$E$9)</f>
        <v>325.85248534264878</v>
      </c>
      <c r="S54" s="95">
        <f>EXP(5.70827-(0.68367*LN(+R54)))</f>
        <v>5.7675725912806293</v>
      </c>
      <c r="T54" s="89">
        <f>(+S54*R54)/100</f>
        <v>18.793778632629341</v>
      </c>
      <c r="U54" s="88">
        <f>100*((((T54/100)-((T54/100)-0.03574)*$E$21)-0.03574-0.00619)/0.344)</f>
        <v>28.817112830754372</v>
      </c>
      <c r="V54" s="673">
        <f>+$E$20</f>
        <v>0.25</v>
      </c>
      <c r="W54" s="88">
        <f>U54+V54</f>
        <v>29.067112830754372</v>
      </c>
      <c r="X54" s="88">
        <f>100*($E$17*$E$19+($E$18*(W54/100))/(1-$E$21))</f>
        <v>24.660600393831444</v>
      </c>
      <c r="Y54" s="89">
        <f>X54/R54</f>
        <v>7.5680258715534104E-2</v>
      </c>
      <c r="Z54" s="87">
        <f>ROUND($E$8/(1-Y54),0)</f>
        <v>3528973</v>
      </c>
      <c r="AA54" s="79" t="str">
        <f>IF(OR(OR(Z54=Z48,Z54=(Z48+1)),Z54=(Z48-1)),"yes","not yet")</f>
        <v>yes</v>
      </c>
      <c r="AB54" s="88">
        <f>100*(1-Y54)</f>
        <v>92.431974128446598</v>
      </c>
      <c r="AC54" s="79"/>
      <c r="AD54" s="79"/>
      <c r="AE54" s="79"/>
      <c r="AF54" s="79"/>
      <c r="AG54" s="79"/>
      <c r="AH54" s="79"/>
      <c r="AI54" s="79"/>
      <c r="AJ54" s="79"/>
      <c r="AK54" s="79"/>
      <c r="AL54" s="79"/>
      <c r="AM54" s="79"/>
      <c r="AN54" s="79"/>
    </row>
    <row r="55" spans="1:40">
      <c r="A55" s="79"/>
      <c r="B55" s="79"/>
      <c r="C55" s="79"/>
      <c r="D55" s="79"/>
      <c r="E55" s="79"/>
      <c r="F55" s="79"/>
      <c r="G55" s="79"/>
      <c r="H55" s="79"/>
      <c r="I55" s="79"/>
      <c r="J55" s="79"/>
      <c r="K55" s="79"/>
      <c r="L55" s="79"/>
      <c r="M55" s="79"/>
      <c r="N55" s="79"/>
      <c r="O55" s="79"/>
      <c r="P55" s="79"/>
      <c r="Q55" s="79"/>
      <c r="R55" s="88">
        <f>100*(+Z49/$E$9)</f>
        <v>325.56310322239341</v>
      </c>
      <c r="S55" s="95">
        <f>EXP(5.6985-(0.68367*LN(R55)))</f>
        <v>5.7149681184632737</v>
      </c>
      <c r="T55" s="89">
        <f>(+S55*R55)/100</f>
        <v>18.605827554639461</v>
      </c>
      <c r="U55" s="88">
        <f>100*((((T55/100)-((T55/100)-0.03574)*$E$21)-0.03574-0.00619)/0.344)</f>
        <v>28.439025197123573</v>
      </c>
      <c r="V55" s="673">
        <f>+$E$20</f>
        <v>0.25</v>
      </c>
      <c r="W55" s="88">
        <f>U55+V55</f>
        <v>28.689025197123573</v>
      </c>
      <c r="X55" s="88">
        <f>100*($E$17*$E$19+($E$18*(W55/100))/(1-$E$21))</f>
        <v>24.371212669922272</v>
      </c>
      <c r="Y55" s="89">
        <f>X55/R55</f>
        <v>7.4858644694986223E-2</v>
      </c>
      <c r="Z55" s="87">
        <f>ROUND($E$8/(1-Y55),0)</f>
        <v>3525839</v>
      </c>
      <c r="AA55" s="79" t="str">
        <f>IF(OR(OR(Z55=Z49,Z55=(Z49+1)),Z55=(Z49-1)),"yes","not yet")</f>
        <v>yes</v>
      </c>
      <c r="AB55" s="88">
        <f>100*(1-Y55)</f>
        <v>92.514135530501378</v>
      </c>
      <c r="AC55" s="79"/>
      <c r="AD55" s="79"/>
      <c r="AE55" s="79"/>
      <c r="AF55" s="79"/>
      <c r="AG55" s="79"/>
      <c r="AH55" s="79"/>
      <c r="AI55" s="79"/>
      <c r="AJ55" s="79"/>
      <c r="AK55" s="79"/>
      <c r="AL55" s="79"/>
      <c r="AM55" s="79"/>
      <c r="AN55" s="79"/>
    </row>
    <row r="56" spans="1:40">
      <c r="A56" s="79"/>
      <c r="B56" s="79"/>
      <c r="C56" s="79"/>
      <c r="D56" s="79"/>
      <c r="E56" s="79"/>
      <c r="F56" s="79"/>
      <c r="G56" s="79"/>
      <c r="H56" s="79"/>
      <c r="I56" s="79"/>
      <c r="J56" s="79"/>
      <c r="K56" s="79"/>
      <c r="L56" s="79"/>
      <c r="M56" s="79"/>
      <c r="N56" s="79"/>
      <c r="O56" s="79"/>
      <c r="P56" s="79"/>
      <c r="Q56" s="79"/>
      <c r="R56" s="88">
        <f>100*(+Z50/$E$9)</f>
        <v>325.37806117740564</v>
      </c>
      <c r="S56" s="95">
        <f>EXP(5.6922-(0.68367*LN(R56)))</f>
        <v>5.681284833941544</v>
      </c>
      <c r="T56" s="89">
        <f>(+S56*R56)/100</f>
        <v>18.485654442644986</v>
      </c>
      <c r="U56" s="88">
        <f>100*((((T56/100)-((T56/100)-0.03574)*$E$21)-0.03574-0.00619)/0.344)</f>
        <v>28.197281611367238</v>
      </c>
      <c r="V56" s="673">
        <f>+$E$20</f>
        <v>0.25</v>
      </c>
      <c r="W56" s="88">
        <f>U56+V56</f>
        <v>28.447281611367238</v>
      </c>
      <c r="X56" s="88">
        <f>100*($E$17*$E$19+($E$18*(W56/100))/(1-$E$21))</f>
        <v>24.186182481603595</v>
      </c>
      <c r="Y56" s="89">
        <f>X56/R56</f>
        <v>7.4332554549265017E-2</v>
      </c>
      <c r="Z56" s="87">
        <f>ROUND($E$8/(1-Y56),0)</f>
        <v>3523835</v>
      </c>
      <c r="AA56" s="79" t="str">
        <f>IF(OR(OR(Z56=Z50,Z56=(Z50+1)),Z56=(Z50-1)),"yes","not yet")</f>
        <v>yes</v>
      </c>
      <c r="AB56" s="88">
        <f>100*(1-Y56)</f>
        <v>92.566744545073504</v>
      </c>
      <c r="AC56" s="79"/>
      <c r="AD56" s="79"/>
      <c r="AE56" s="79"/>
      <c r="AF56" s="79"/>
      <c r="AG56" s="79"/>
      <c r="AH56" s="79"/>
      <c r="AI56" s="79"/>
      <c r="AJ56" s="79"/>
      <c r="AK56" s="79"/>
      <c r="AL56" s="79"/>
      <c r="AM56" s="79"/>
      <c r="AN56" s="79"/>
    </row>
  </sheetData>
  <customSheetViews>
    <customSheetView guid="{3B54C4DD-9207-4EC3-9D58-6DDE29113D77}" scale="80" showPageBreaks="1" showGridLines="0" fitToPage="1" printArea="1" showRuler="0" topLeftCell="B1">
      <selection activeCell="J28" sqref="J28"/>
      <pageMargins left="0.75" right="0.75" top="1" bottom="1" header="0.5" footer="0.5"/>
      <pageSetup scale="81" orientation="landscape" horizontalDpi="1200" verticalDpi="1200" r:id="rId1"/>
      <headerFooter alignWithMargins="0">
        <oddHeader>&amp;L&amp;12&amp;A</oddHeader>
      </headerFooter>
    </customSheetView>
    <customSheetView guid="{F69ABAD1-EF76-489D-B027-1BD1F4CFE8A6}" scale="80" showGridLines="0" fitToPage="1" topLeftCell="B1">
      <selection activeCell="J28" sqref="J28"/>
      <pageMargins left="0.75" right="0.75" top="1" bottom="1" header="0.5" footer="0.5"/>
      <pageSetup scale="81" orientation="landscape" horizontalDpi="1200" verticalDpi="1200" r:id="rId2"/>
      <headerFooter alignWithMargins="0">
        <oddHeader>&amp;L&amp;12&amp;A</oddHeader>
      </headerFooter>
    </customSheetView>
  </customSheetViews>
  <phoneticPr fontId="0" type="noConversion"/>
  <pageMargins left="0.75" right="0.75" top="1" bottom="1" header="0.5" footer="0.5"/>
  <pageSetup scale="81" orientation="landscape" r:id="rId3"/>
  <headerFooter alignWithMargins="0">
    <oddHeader>&amp;L&amp;12&amp;A</oddHeader>
  </headerFooter>
  <legacy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7"/>
    <pageSetUpPr fitToPage="1"/>
  </sheetPr>
  <dimension ref="A1:P121"/>
  <sheetViews>
    <sheetView workbookViewId="0">
      <selection activeCell="K1" sqref="K1"/>
    </sheetView>
  </sheetViews>
  <sheetFormatPr defaultRowHeight="12.75"/>
  <cols>
    <col min="1" max="1" width="22.5" style="1236" bestFit="1" customWidth="1"/>
    <col min="2" max="2" width="18.1640625" style="1236" bestFit="1" customWidth="1"/>
    <col min="3" max="3" width="16.1640625" style="1236" customWidth="1"/>
    <col min="4" max="8" width="15.33203125" style="1236" customWidth="1"/>
    <col min="9" max="10" width="10.5" style="1236" customWidth="1"/>
    <col min="11" max="11" width="17.5" style="1236" bestFit="1" customWidth="1"/>
    <col min="12" max="12" width="7.83203125" style="1236" customWidth="1"/>
    <col min="13" max="13" width="8.5" style="1236" customWidth="1"/>
    <col min="14" max="14" width="10" style="1236" customWidth="1"/>
    <col min="15" max="16" width="7.6640625" style="1236" customWidth="1"/>
    <col min="17" max="30" width="17.5" style="1236" bestFit="1" customWidth="1"/>
    <col min="31" max="31" width="12.33203125" style="1236" bestFit="1" customWidth="1"/>
    <col min="32" max="16384" width="9.33203125" style="1236"/>
  </cols>
  <sheetData>
    <row r="1" spans="1:16">
      <c r="A1" s="1303" t="s">
        <v>1389</v>
      </c>
      <c r="B1" s="1304" t="s">
        <v>1435</v>
      </c>
      <c r="K1" s="1375" t="s">
        <v>1686</v>
      </c>
      <c r="L1" s="1375"/>
      <c r="M1" s="1375"/>
      <c r="N1" s="1375"/>
      <c r="O1" s="1375"/>
    </row>
    <row r="2" spans="1:16" ht="13.5" thickBot="1">
      <c r="K2" s="2248" t="s">
        <v>1391</v>
      </c>
      <c r="L2" s="2248"/>
      <c r="M2" s="2248"/>
      <c r="N2" s="2248"/>
      <c r="O2" s="2248"/>
      <c r="P2" s="2248"/>
    </row>
    <row r="3" spans="1:16">
      <c r="A3" s="1285" t="s">
        <v>1392</v>
      </c>
      <c r="B3" s="1286"/>
      <c r="C3" s="1286"/>
      <c r="D3" s="1285" t="s">
        <v>1393</v>
      </c>
      <c r="E3" s="1286"/>
      <c r="F3" s="1286"/>
      <c r="G3" s="1286"/>
      <c r="H3" s="1286"/>
      <c r="I3" s="1287"/>
      <c r="J3" s="541"/>
      <c r="K3" s="1305"/>
      <c r="L3" s="1284" t="s">
        <v>1574</v>
      </c>
      <c r="M3" s="1284" t="s">
        <v>1575</v>
      </c>
      <c r="N3" s="1284" t="s">
        <v>1576</v>
      </c>
      <c r="O3" s="1284" t="s">
        <v>1577</v>
      </c>
      <c r="P3" s="1308" t="s">
        <v>105</v>
      </c>
    </row>
    <row r="4" spans="1:16">
      <c r="A4" s="1285" t="s">
        <v>1394</v>
      </c>
      <c r="B4" s="1285" t="s">
        <v>1395</v>
      </c>
      <c r="C4" s="1285" t="s">
        <v>1396</v>
      </c>
      <c r="D4" s="1288" t="s">
        <v>1397</v>
      </c>
      <c r="E4" s="1289" t="s">
        <v>1398</v>
      </c>
      <c r="F4" s="1289" t="s">
        <v>1399</v>
      </c>
      <c r="G4" s="1289" t="s">
        <v>1400</v>
      </c>
      <c r="H4" s="1289">
        <v>70</v>
      </c>
      <c r="I4" s="1290" t="s">
        <v>1401</v>
      </c>
      <c r="J4" s="541"/>
      <c r="K4" s="1305"/>
      <c r="L4" s="1284"/>
      <c r="M4" s="1284"/>
      <c r="N4" s="1284"/>
      <c r="O4" s="1284"/>
      <c r="P4" s="1284"/>
    </row>
    <row r="5" spans="1:16">
      <c r="A5" s="1288" t="s">
        <v>426</v>
      </c>
      <c r="B5" s="1288">
        <v>0.09</v>
      </c>
      <c r="C5" s="1288" t="s">
        <v>1402</v>
      </c>
      <c r="D5" s="1291"/>
      <c r="E5" s="1292"/>
      <c r="F5" s="1292">
        <v>6</v>
      </c>
      <c r="G5" s="1292"/>
      <c r="H5" s="1292"/>
      <c r="I5" s="1293">
        <v>6</v>
      </c>
      <c r="J5" s="1307"/>
      <c r="K5" s="1305" t="str">
        <f>+A5&amp;" "&amp;B5</f>
        <v>BB 0.09</v>
      </c>
      <c r="L5" s="1306">
        <f>SUM(D5)</f>
        <v>0</v>
      </c>
      <c r="M5" s="1306">
        <f>SUM(E5)</f>
        <v>0</v>
      </c>
      <c r="N5" s="1306">
        <f>SUM(F5)</f>
        <v>6</v>
      </c>
      <c r="O5" s="1306">
        <f>SUM(G5:H5)</f>
        <v>0</v>
      </c>
      <c r="P5" s="1306">
        <f>SUM(L5:O5)</f>
        <v>6</v>
      </c>
    </row>
    <row r="6" spans="1:16">
      <c r="A6" s="1294"/>
      <c r="B6" s="1288" t="s">
        <v>1472</v>
      </c>
      <c r="C6" s="1286"/>
      <c r="D6" s="1291"/>
      <c r="E6" s="1292"/>
      <c r="F6" s="1292">
        <v>6</v>
      </c>
      <c r="G6" s="1292"/>
      <c r="H6" s="1292"/>
      <c r="I6" s="1293">
        <v>6</v>
      </c>
      <c r="J6" s="1307"/>
      <c r="K6" s="1305" t="str">
        <f t="shared" ref="K6:K69" si="0">+A6&amp;" "&amp;B6</f>
        <v xml:space="preserve"> 0.09 Total</v>
      </c>
      <c r="L6" s="1306">
        <f t="shared" ref="L6:L69" si="1">SUM(D6)</f>
        <v>0</v>
      </c>
      <c r="M6" s="1306">
        <f t="shared" ref="M6:M69" si="2">SUM(E6)</f>
        <v>0</v>
      </c>
      <c r="N6" s="1306">
        <f t="shared" ref="N6:N69" si="3">SUM(F6)</f>
        <v>6</v>
      </c>
      <c r="O6" s="1306">
        <f t="shared" ref="O6:O69" si="4">SUM(G6:H6)</f>
        <v>0</v>
      </c>
      <c r="P6" s="1306">
        <f t="shared" ref="P6:P69" si="5">SUM(L6:O6)</f>
        <v>6</v>
      </c>
    </row>
    <row r="7" spans="1:16">
      <c r="A7" s="1288" t="s">
        <v>1473</v>
      </c>
      <c r="B7" s="1286"/>
      <c r="C7" s="1286"/>
      <c r="D7" s="1291"/>
      <c r="E7" s="1292"/>
      <c r="F7" s="1292">
        <v>6</v>
      </c>
      <c r="G7" s="1292"/>
      <c r="H7" s="1292"/>
      <c r="I7" s="1293">
        <v>6</v>
      </c>
      <c r="J7" s="1307"/>
      <c r="K7" s="1305" t="str">
        <f t="shared" si="0"/>
        <v xml:space="preserve">BB Total </v>
      </c>
      <c r="L7" s="1306">
        <f t="shared" si="1"/>
        <v>0</v>
      </c>
      <c r="M7" s="1306">
        <f t="shared" si="2"/>
        <v>0</v>
      </c>
      <c r="N7" s="1306">
        <f t="shared" si="3"/>
        <v>6</v>
      </c>
      <c r="O7" s="1306">
        <f t="shared" si="4"/>
        <v>0</v>
      </c>
      <c r="P7" s="1306">
        <f t="shared" si="5"/>
        <v>6</v>
      </c>
    </row>
    <row r="8" spans="1:16">
      <c r="A8" s="1288" t="s">
        <v>428</v>
      </c>
      <c r="B8" s="1288">
        <v>0.16</v>
      </c>
      <c r="C8" s="1288" t="s">
        <v>1402</v>
      </c>
      <c r="D8" s="1291">
        <v>76</v>
      </c>
      <c r="E8" s="1292"/>
      <c r="F8" s="1292">
        <v>249</v>
      </c>
      <c r="G8" s="1292"/>
      <c r="H8" s="1292"/>
      <c r="I8" s="1293">
        <v>325</v>
      </c>
      <c r="J8" s="1307"/>
      <c r="K8" s="1305" t="str">
        <f t="shared" si="0"/>
        <v>CA 0.16</v>
      </c>
      <c r="L8" s="1306">
        <f t="shared" si="1"/>
        <v>76</v>
      </c>
      <c r="M8" s="1306">
        <f t="shared" si="2"/>
        <v>0</v>
      </c>
      <c r="N8" s="1306">
        <f t="shared" si="3"/>
        <v>249</v>
      </c>
      <c r="O8" s="1306">
        <f t="shared" si="4"/>
        <v>0</v>
      </c>
      <c r="P8" s="1306">
        <f t="shared" si="5"/>
        <v>325</v>
      </c>
    </row>
    <row r="9" spans="1:16">
      <c r="A9" s="1294"/>
      <c r="B9" s="1288" t="s">
        <v>1403</v>
      </c>
      <c r="C9" s="1286"/>
      <c r="D9" s="1291">
        <v>76</v>
      </c>
      <c r="E9" s="1292"/>
      <c r="F9" s="1292">
        <v>249</v>
      </c>
      <c r="G9" s="1292"/>
      <c r="H9" s="1292"/>
      <c r="I9" s="1293">
        <v>325</v>
      </c>
      <c r="J9" s="1307"/>
      <c r="K9" s="1305" t="str">
        <f t="shared" si="0"/>
        <v xml:space="preserve"> 0.16 Total</v>
      </c>
      <c r="L9" s="1306">
        <f t="shared" si="1"/>
        <v>76</v>
      </c>
      <c r="M9" s="1306">
        <f t="shared" si="2"/>
        <v>0</v>
      </c>
      <c r="N9" s="1306">
        <f t="shared" si="3"/>
        <v>249</v>
      </c>
      <c r="O9" s="1306">
        <f t="shared" si="4"/>
        <v>0</v>
      </c>
      <c r="P9" s="1306">
        <f t="shared" si="5"/>
        <v>325</v>
      </c>
    </row>
    <row r="10" spans="1:16">
      <c r="A10" s="1294"/>
      <c r="B10" s="1288">
        <v>0.3</v>
      </c>
      <c r="C10" s="1288" t="s">
        <v>1402</v>
      </c>
      <c r="D10" s="1291">
        <v>8</v>
      </c>
      <c r="E10" s="1292"/>
      <c r="F10" s="1292">
        <v>3154</v>
      </c>
      <c r="G10" s="1292"/>
      <c r="H10" s="1292"/>
      <c r="I10" s="1293">
        <v>3162</v>
      </c>
      <c r="J10" s="1307"/>
      <c r="K10" s="1305" t="str">
        <f t="shared" si="0"/>
        <v xml:space="preserve"> 0.3</v>
      </c>
      <c r="L10" s="1306">
        <f t="shared" si="1"/>
        <v>8</v>
      </c>
      <c r="M10" s="1306">
        <f t="shared" si="2"/>
        <v>0</v>
      </c>
      <c r="N10" s="1306">
        <f t="shared" si="3"/>
        <v>3154</v>
      </c>
      <c r="O10" s="1306">
        <f t="shared" si="4"/>
        <v>0</v>
      </c>
      <c r="P10" s="1306">
        <f t="shared" si="5"/>
        <v>3162</v>
      </c>
    </row>
    <row r="11" spans="1:16">
      <c r="A11" s="1294"/>
      <c r="B11" s="1288" t="s">
        <v>1404</v>
      </c>
      <c r="C11" s="1286"/>
      <c r="D11" s="1291">
        <v>8</v>
      </c>
      <c r="E11" s="1292"/>
      <c r="F11" s="1292">
        <v>3154</v>
      </c>
      <c r="G11" s="1292"/>
      <c r="H11" s="1292"/>
      <c r="I11" s="1293">
        <v>3162</v>
      </c>
      <c r="J11" s="1307"/>
      <c r="K11" s="1305" t="str">
        <f t="shared" si="0"/>
        <v xml:space="preserve"> 0.3 Total</v>
      </c>
      <c r="L11" s="1306">
        <f t="shared" si="1"/>
        <v>8</v>
      </c>
      <c r="M11" s="1306">
        <f t="shared" si="2"/>
        <v>0</v>
      </c>
      <c r="N11" s="1306">
        <f t="shared" si="3"/>
        <v>3154</v>
      </c>
      <c r="O11" s="1306">
        <f t="shared" si="4"/>
        <v>0</v>
      </c>
      <c r="P11" s="1306">
        <f t="shared" si="5"/>
        <v>3162</v>
      </c>
    </row>
    <row r="12" spans="1:16">
      <c r="A12" s="1294"/>
      <c r="B12" s="1288">
        <v>0.45</v>
      </c>
      <c r="C12" s="1288" t="s">
        <v>1402</v>
      </c>
      <c r="D12" s="1291">
        <v>83</v>
      </c>
      <c r="E12" s="1292"/>
      <c r="F12" s="1292">
        <v>1214</v>
      </c>
      <c r="G12" s="1292"/>
      <c r="H12" s="1292"/>
      <c r="I12" s="1293">
        <v>1297</v>
      </c>
      <c r="J12" s="1307"/>
      <c r="K12" s="1305" t="str">
        <f t="shared" si="0"/>
        <v xml:space="preserve"> 0.45</v>
      </c>
      <c r="L12" s="1306">
        <f t="shared" si="1"/>
        <v>83</v>
      </c>
      <c r="M12" s="1306">
        <f t="shared" si="2"/>
        <v>0</v>
      </c>
      <c r="N12" s="1306">
        <f t="shared" si="3"/>
        <v>1214</v>
      </c>
      <c r="O12" s="1306">
        <f t="shared" si="4"/>
        <v>0</v>
      </c>
      <c r="P12" s="1306">
        <f t="shared" si="5"/>
        <v>1297</v>
      </c>
    </row>
    <row r="13" spans="1:16">
      <c r="A13" s="1294"/>
      <c r="B13" s="1288" t="s">
        <v>1405</v>
      </c>
      <c r="C13" s="1286"/>
      <c r="D13" s="1291">
        <v>83</v>
      </c>
      <c r="E13" s="1292"/>
      <c r="F13" s="1292">
        <v>1214</v>
      </c>
      <c r="G13" s="1292"/>
      <c r="H13" s="1292"/>
      <c r="I13" s="1293">
        <v>1297</v>
      </c>
      <c r="J13" s="1307"/>
      <c r="K13" s="1305" t="str">
        <f t="shared" si="0"/>
        <v xml:space="preserve"> 0.45 Total</v>
      </c>
      <c r="L13" s="1306">
        <f t="shared" si="1"/>
        <v>83</v>
      </c>
      <c r="M13" s="1306">
        <f t="shared" si="2"/>
        <v>0</v>
      </c>
      <c r="N13" s="1306">
        <f t="shared" si="3"/>
        <v>1214</v>
      </c>
      <c r="O13" s="1306">
        <f t="shared" si="4"/>
        <v>0</v>
      </c>
      <c r="P13" s="1306">
        <f t="shared" si="5"/>
        <v>1297</v>
      </c>
    </row>
    <row r="14" spans="1:16">
      <c r="A14" s="1288" t="s">
        <v>1406</v>
      </c>
      <c r="B14" s="1286"/>
      <c r="C14" s="1286"/>
      <c r="D14" s="1291">
        <v>167</v>
      </c>
      <c r="E14" s="1292"/>
      <c r="F14" s="1292">
        <v>4617</v>
      </c>
      <c r="G14" s="1292"/>
      <c r="H14" s="1292"/>
      <c r="I14" s="1293">
        <v>4784</v>
      </c>
      <c r="J14" s="1307"/>
      <c r="K14" s="1305" t="str">
        <f t="shared" si="0"/>
        <v xml:space="preserve">CA Total </v>
      </c>
      <c r="L14" s="1306">
        <f t="shared" si="1"/>
        <v>167</v>
      </c>
      <c r="M14" s="1306">
        <f t="shared" si="2"/>
        <v>0</v>
      </c>
      <c r="N14" s="1306">
        <f t="shared" si="3"/>
        <v>4617</v>
      </c>
      <c r="O14" s="1306">
        <f t="shared" si="4"/>
        <v>0</v>
      </c>
      <c r="P14" s="1306">
        <f t="shared" si="5"/>
        <v>4784</v>
      </c>
    </row>
    <row r="15" spans="1:16">
      <c r="A15" s="1288" t="s">
        <v>429</v>
      </c>
      <c r="B15" s="1288">
        <v>0.1</v>
      </c>
      <c r="C15" s="1288" t="s">
        <v>1402</v>
      </c>
      <c r="D15" s="1291"/>
      <c r="E15" s="1292"/>
      <c r="F15" s="1292">
        <v>899</v>
      </c>
      <c r="G15" s="1292"/>
      <c r="H15" s="1292"/>
      <c r="I15" s="1293">
        <v>899</v>
      </c>
      <c r="J15" s="1307"/>
      <c r="K15" s="1305" t="str">
        <f t="shared" si="0"/>
        <v>CN 0.1</v>
      </c>
      <c r="L15" s="1306">
        <f t="shared" si="1"/>
        <v>0</v>
      </c>
      <c r="M15" s="1306">
        <f t="shared" si="2"/>
        <v>0</v>
      </c>
      <c r="N15" s="1306">
        <f t="shared" si="3"/>
        <v>899</v>
      </c>
      <c r="O15" s="1306">
        <f t="shared" si="4"/>
        <v>0</v>
      </c>
      <c r="P15" s="1306">
        <f t="shared" si="5"/>
        <v>899</v>
      </c>
    </row>
    <row r="16" spans="1:16">
      <c r="A16" s="1294"/>
      <c r="B16" s="1288" t="s">
        <v>1407</v>
      </c>
      <c r="C16" s="1286"/>
      <c r="D16" s="1291"/>
      <c r="E16" s="1292"/>
      <c r="F16" s="1292">
        <v>899</v>
      </c>
      <c r="G16" s="1292"/>
      <c r="H16" s="1292"/>
      <c r="I16" s="1293">
        <v>899</v>
      </c>
      <c r="J16" s="1307"/>
      <c r="K16" s="1305" t="str">
        <f t="shared" si="0"/>
        <v xml:space="preserve"> 0.1 Total</v>
      </c>
      <c r="L16" s="1306">
        <f t="shared" si="1"/>
        <v>0</v>
      </c>
      <c r="M16" s="1306">
        <f t="shared" si="2"/>
        <v>0</v>
      </c>
      <c r="N16" s="1306">
        <f t="shared" si="3"/>
        <v>899</v>
      </c>
      <c r="O16" s="1306">
        <f t="shared" si="4"/>
        <v>0</v>
      </c>
      <c r="P16" s="1306">
        <f t="shared" si="5"/>
        <v>899</v>
      </c>
    </row>
    <row r="17" spans="1:16">
      <c r="A17" s="1294"/>
      <c r="B17" s="1288">
        <v>0.16</v>
      </c>
      <c r="C17" s="1288" t="s">
        <v>1402</v>
      </c>
      <c r="D17" s="1291">
        <v>110</v>
      </c>
      <c r="E17" s="1292"/>
      <c r="F17" s="1292">
        <v>5221</v>
      </c>
      <c r="G17" s="1292"/>
      <c r="H17" s="1292"/>
      <c r="I17" s="1293">
        <v>5331</v>
      </c>
      <c r="J17" s="1307"/>
      <c r="K17" s="1305" t="str">
        <f t="shared" si="0"/>
        <v xml:space="preserve"> 0.16</v>
      </c>
      <c r="L17" s="1306">
        <f t="shared" si="1"/>
        <v>110</v>
      </c>
      <c r="M17" s="1306">
        <f t="shared" si="2"/>
        <v>0</v>
      </c>
      <c r="N17" s="1306">
        <f t="shared" si="3"/>
        <v>5221</v>
      </c>
      <c r="O17" s="1306">
        <f t="shared" si="4"/>
        <v>0</v>
      </c>
      <c r="P17" s="1306">
        <f t="shared" si="5"/>
        <v>5331</v>
      </c>
    </row>
    <row r="18" spans="1:16">
      <c r="A18" s="1294"/>
      <c r="B18" s="1288" t="s">
        <v>1403</v>
      </c>
      <c r="C18" s="1286"/>
      <c r="D18" s="1291">
        <v>110</v>
      </c>
      <c r="E18" s="1292"/>
      <c r="F18" s="1292">
        <v>5221</v>
      </c>
      <c r="G18" s="1292"/>
      <c r="H18" s="1292"/>
      <c r="I18" s="1293">
        <v>5331</v>
      </c>
      <c r="J18" s="1307"/>
      <c r="K18" s="1305" t="str">
        <f t="shared" si="0"/>
        <v xml:space="preserve"> 0.16 Total</v>
      </c>
      <c r="L18" s="1306">
        <f t="shared" si="1"/>
        <v>110</v>
      </c>
      <c r="M18" s="1306">
        <f t="shared" si="2"/>
        <v>0</v>
      </c>
      <c r="N18" s="1306">
        <f t="shared" si="3"/>
        <v>5221</v>
      </c>
      <c r="O18" s="1306">
        <f t="shared" si="4"/>
        <v>0</v>
      </c>
      <c r="P18" s="1306">
        <f t="shared" si="5"/>
        <v>5331</v>
      </c>
    </row>
    <row r="19" spans="1:16">
      <c r="A19" s="1288" t="s">
        <v>1408</v>
      </c>
      <c r="B19" s="1286"/>
      <c r="C19" s="1286"/>
      <c r="D19" s="1291">
        <v>110</v>
      </c>
      <c r="E19" s="1292"/>
      <c r="F19" s="1292">
        <v>6120</v>
      </c>
      <c r="G19" s="1292"/>
      <c r="H19" s="1292"/>
      <c r="I19" s="1293">
        <v>6230</v>
      </c>
      <c r="J19" s="1307"/>
      <c r="K19" s="1305" t="str">
        <f t="shared" si="0"/>
        <v xml:space="preserve">CN Total </v>
      </c>
      <c r="L19" s="1306">
        <f t="shared" si="1"/>
        <v>110</v>
      </c>
      <c r="M19" s="1306">
        <f t="shared" si="2"/>
        <v>0</v>
      </c>
      <c r="N19" s="1306">
        <f t="shared" si="3"/>
        <v>6120</v>
      </c>
      <c r="O19" s="1306">
        <f t="shared" si="4"/>
        <v>0</v>
      </c>
      <c r="P19" s="1306">
        <f t="shared" si="5"/>
        <v>6230</v>
      </c>
    </row>
    <row r="20" spans="1:16">
      <c r="A20" s="1288" t="s">
        <v>432</v>
      </c>
      <c r="B20" s="1288">
        <v>1</v>
      </c>
      <c r="C20" s="1288" t="s">
        <v>1402</v>
      </c>
      <c r="D20" s="1291">
        <v>21</v>
      </c>
      <c r="E20" s="1292"/>
      <c r="F20" s="1292"/>
      <c r="G20" s="1292"/>
      <c r="H20" s="1292"/>
      <c r="I20" s="1293">
        <v>21</v>
      </c>
      <c r="J20" s="1307"/>
      <c r="K20" s="1305" t="str">
        <f t="shared" si="0"/>
        <v>FL 1</v>
      </c>
      <c r="L20" s="1306">
        <f t="shared" si="1"/>
        <v>21</v>
      </c>
      <c r="M20" s="1306">
        <f t="shared" si="2"/>
        <v>0</v>
      </c>
      <c r="N20" s="1306">
        <f t="shared" si="3"/>
        <v>0</v>
      </c>
      <c r="O20" s="1306">
        <f t="shared" si="4"/>
        <v>0</v>
      </c>
      <c r="P20" s="1306">
        <f t="shared" si="5"/>
        <v>21</v>
      </c>
    </row>
    <row r="21" spans="1:16">
      <c r="A21" s="1294"/>
      <c r="B21" s="1288" t="s">
        <v>1409</v>
      </c>
      <c r="C21" s="1286"/>
      <c r="D21" s="1291">
        <v>21</v>
      </c>
      <c r="E21" s="1292"/>
      <c r="F21" s="1292"/>
      <c r="G21" s="1292"/>
      <c r="H21" s="1292"/>
      <c r="I21" s="1293">
        <v>21</v>
      </c>
      <c r="J21" s="1307"/>
      <c r="K21" s="1305" t="str">
        <f t="shared" si="0"/>
        <v xml:space="preserve"> 1 Total</v>
      </c>
      <c r="L21" s="1306">
        <f t="shared" si="1"/>
        <v>21</v>
      </c>
      <c r="M21" s="1306">
        <f t="shared" si="2"/>
        <v>0</v>
      </c>
      <c r="N21" s="1306">
        <f t="shared" si="3"/>
        <v>0</v>
      </c>
      <c r="O21" s="1306">
        <f t="shared" si="4"/>
        <v>0</v>
      </c>
      <c r="P21" s="1306">
        <f t="shared" si="5"/>
        <v>21</v>
      </c>
    </row>
    <row r="22" spans="1:16">
      <c r="A22" s="1294"/>
      <c r="B22" s="1288">
        <v>1.25</v>
      </c>
      <c r="C22" s="1288" t="s">
        <v>1402</v>
      </c>
      <c r="D22" s="1291">
        <v>21</v>
      </c>
      <c r="E22" s="1292"/>
      <c r="F22" s="1292"/>
      <c r="G22" s="1292"/>
      <c r="H22" s="1292"/>
      <c r="I22" s="1293">
        <v>21</v>
      </c>
      <c r="J22" s="1307"/>
      <c r="K22" s="1305" t="str">
        <f t="shared" si="0"/>
        <v xml:space="preserve"> 1.25</v>
      </c>
      <c r="L22" s="1306">
        <f t="shared" si="1"/>
        <v>21</v>
      </c>
      <c r="M22" s="1306">
        <f t="shared" si="2"/>
        <v>0</v>
      </c>
      <c r="N22" s="1306">
        <f t="shared" si="3"/>
        <v>0</v>
      </c>
      <c r="O22" s="1306">
        <f t="shared" si="4"/>
        <v>0</v>
      </c>
      <c r="P22" s="1306">
        <f t="shared" si="5"/>
        <v>21</v>
      </c>
    </row>
    <row r="23" spans="1:16">
      <c r="A23" s="1294"/>
      <c r="B23" s="1288" t="s">
        <v>1410</v>
      </c>
      <c r="C23" s="1286"/>
      <c r="D23" s="1291">
        <v>21</v>
      </c>
      <c r="E23" s="1292"/>
      <c r="F23" s="1292"/>
      <c r="G23" s="1292"/>
      <c r="H23" s="1292"/>
      <c r="I23" s="1293">
        <v>21</v>
      </c>
      <c r="J23" s="1307"/>
      <c r="K23" s="1305" t="str">
        <f t="shared" si="0"/>
        <v xml:space="preserve"> 1.25 Total</v>
      </c>
      <c r="L23" s="1306">
        <f t="shared" si="1"/>
        <v>21</v>
      </c>
      <c r="M23" s="1306">
        <f t="shared" si="2"/>
        <v>0</v>
      </c>
      <c r="N23" s="1306">
        <f t="shared" si="3"/>
        <v>0</v>
      </c>
      <c r="O23" s="1306">
        <f t="shared" si="4"/>
        <v>0</v>
      </c>
      <c r="P23" s="1306">
        <f t="shared" si="5"/>
        <v>21</v>
      </c>
    </row>
    <row r="24" spans="1:16">
      <c r="A24" s="1294"/>
      <c r="B24" s="1288">
        <v>2</v>
      </c>
      <c r="C24" s="1288" t="s">
        <v>1402</v>
      </c>
      <c r="D24" s="1291">
        <v>42</v>
      </c>
      <c r="E24" s="1292"/>
      <c r="F24" s="1292"/>
      <c r="G24" s="1292"/>
      <c r="H24" s="1292"/>
      <c r="I24" s="1293">
        <v>42</v>
      </c>
      <c r="J24" s="1307"/>
      <c r="K24" s="1305" t="str">
        <f t="shared" si="0"/>
        <v xml:space="preserve"> 2</v>
      </c>
      <c r="L24" s="1306">
        <f t="shared" si="1"/>
        <v>42</v>
      </c>
      <c r="M24" s="1306">
        <f t="shared" si="2"/>
        <v>0</v>
      </c>
      <c r="N24" s="1306">
        <f t="shared" si="3"/>
        <v>0</v>
      </c>
      <c r="O24" s="1306">
        <f t="shared" si="4"/>
        <v>0</v>
      </c>
      <c r="P24" s="1306">
        <f t="shared" si="5"/>
        <v>42</v>
      </c>
    </row>
    <row r="25" spans="1:16">
      <c r="A25" s="1294"/>
      <c r="B25" s="1288" t="s">
        <v>1411</v>
      </c>
      <c r="C25" s="1286"/>
      <c r="D25" s="1291">
        <v>42</v>
      </c>
      <c r="E25" s="1292"/>
      <c r="F25" s="1292"/>
      <c r="G25" s="1292"/>
      <c r="H25" s="1292"/>
      <c r="I25" s="1293">
        <v>42</v>
      </c>
      <c r="J25" s="1307"/>
      <c r="K25" s="1305" t="str">
        <f t="shared" si="0"/>
        <v xml:space="preserve"> 2 Total</v>
      </c>
      <c r="L25" s="1306">
        <f t="shared" si="1"/>
        <v>42</v>
      </c>
      <c r="M25" s="1306">
        <f t="shared" si="2"/>
        <v>0</v>
      </c>
      <c r="N25" s="1306">
        <f t="shared" si="3"/>
        <v>0</v>
      </c>
      <c r="O25" s="1306">
        <f t="shared" si="4"/>
        <v>0</v>
      </c>
      <c r="P25" s="1306">
        <f t="shared" si="5"/>
        <v>42</v>
      </c>
    </row>
    <row r="26" spans="1:16">
      <c r="A26" s="1294"/>
      <c r="B26" s="1288">
        <v>3</v>
      </c>
      <c r="C26" s="1288" t="s">
        <v>1412</v>
      </c>
      <c r="D26" s="1291">
        <v>1</v>
      </c>
      <c r="E26" s="1292"/>
      <c r="F26" s="1292"/>
      <c r="G26" s="1292"/>
      <c r="H26" s="1292"/>
      <c r="I26" s="1293">
        <v>1</v>
      </c>
      <c r="J26" s="1307"/>
      <c r="K26" s="1305" t="str">
        <f t="shared" si="0"/>
        <v xml:space="preserve"> 3</v>
      </c>
      <c r="L26" s="1306">
        <f t="shared" si="1"/>
        <v>1</v>
      </c>
      <c r="M26" s="1306">
        <f t="shared" si="2"/>
        <v>0</v>
      </c>
      <c r="N26" s="1306">
        <f t="shared" si="3"/>
        <v>0</v>
      </c>
      <c r="O26" s="1306">
        <f t="shared" si="4"/>
        <v>0</v>
      </c>
      <c r="P26" s="1306">
        <f t="shared" si="5"/>
        <v>1</v>
      </c>
    </row>
    <row r="27" spans="1:16">
      <c r="A27" s="1294"/>
      <c r="B27" s="1294"/>
      <c r="C27" s="1295" t="s">
        <v>1402</v>
      </c>
      <c r="D27" s="1296">
        <v>36</v>
      </c>
      <c r="E27" s="1054"/>
      <c r="F27" s="1054"/>
      <c r="G27" s="1054"/>
      <c r="H27" s="1054"/>
      <c r="I27" s="1297">
        <v>36</v>
      </c>
      <c r="J27" s="1307"/>
      <c r="K27" s="1305" t="str">
        <f t="shared" si="0"/>
        <v xml:space="preserve"> </v>
      </c>
      <c r="L27" s="1306">
        <f t="shared" si="1"/>
        <v>36</v>
      </c>
      <c r="M27" s="1306">
        <f t="shared" si="2"/>
        <v>0</v>
      </c>
      <c r="N27" s="1306">
        <f t="shared" si="3"/>
        <v>0</v>
      </c>
      <c r="O27" s="1306">
        <f t="shared" si="4"/>
        <v>0</v>
      </c>
      <c r="P27" s="1306">
        <f t="shared" si="5"/>
        <v>36</v>
      </c>
    </row>
    <row r="28" spans="1:16">
      <c r="A28" s="1294"/>
      <c r="B28" s="1288" t="s">
        <v>1413</v>
      </c>
      <c r="C28" s="1286"/>
      <c r="D28" s="1291">
        <v>37</v>
      </c>
      <c r="E28" s="1292"/>
      <c r="F28" s="1292"/>
      <c r="G28" s="1292"/>
      <c r="H28" s="1292"/>
      <c r="I28" s="1293">
        <v>37</v>
      </c>
      <c r="J28" s="1307"/>
      <c r="K28" s="1305" t="str">
        <f t="shared" si="0"/>
        <v xml:space="preserve"> 3 Total</v>
      </c>
      <c r="L28" s="1306">
        <f t="shared" si="1"/>
        <v>37</v>
      </c>
      <c r="M28" s="1306">
        <f t="shared" si="2"/>
        <v>0</v>
      </c>
      <c r="N28" s="1306">
        <f t="shared" si="3"/>
        <v>0</v>
      </c>
      <c r="O28" s="1306">
        <f t="shared" si="4"/>
        <v>0</v>
      </c>
      <c r="P28" s="1306">
        <f t="shared" si="5"/>
        <v>37</v>
      </c>
    </row>
    <row r="29" spans="1:16">
      <c r="A29" s="1294"/>
      <c r="B29" s="1288">
        <v>4</v>
      </c>
      <c r="C29" s="1288" t="s">
        <v>1402</v>
      </c>
      <c r="D29" s="1291">
        <v>78</v>
      </c>
      <c r="E29" s="1292"/>
      <c r="F29" s="1292"/>
      <c r="G29" s="1292"/>
      <c r="H29" s="1292"/>
      <c r="I29" s="1293">
        <v>78</v>
      </c>
      <c r="J29" s="1307"/>
      <c r="K29" s="1305" t="str">
        <f t="shared" si="0"/>
        <v xml:space="preserve"> 4</v>
      </c>
      <c r="L29" s="1306">
        <f t="shared" si="1"/>
        <v>78</v>
      </c>
      <c r="M29" s="1306">
        <f t="shared" si="2"/>
        <v>0</v>
      </c>
      <c r="N29" s="1306">
        <f t="shared" si="3"/>
        <v>0</v>
      </c>
      <c r="O29" s="1306">
        <f t="shared" si="4"/>
        <v>0</v>
      </c>
      <c r="P29" s="1306">
        <f t="shared" si="5"/>
        <v>78</v>
      </c>
    </row>
    <row r="30" spans="1:16">
      <c r="A30" s="1294"/>
      <c r="B30" s="1288" t="s">
        <v>1414</v>
      </c>
      <c r="C30" s="1286"/>
      <c r="D30" s="1291">
        <v>78</v>
      </c>
      <c r="E30" s="1292"/>
      <c r="F30" s="1292"/>
      <c r="G30" s="1292"/>
      <c r="H30" s="1292"/>
      <c r="I30" s="1293">
        <v>78</v>
      </c>
      <c r="J30" s="1307"/>
      <c r="K30" s="1305" t="str">
        <f t="shared" si="0"/>
        <v xml:space="preserve"> 4 Total</v>
      </c>
      <c r="L30" s="1306">
        <f t="shared" si="1"/>
        <v>78</v>
      </c>
      <c r="M30" s="1306">
        <f t="shared" si="2"/>
        <v>0</v>
      </c>
      <c r="N30" s="1306">
        <f t="shared" si="3"/>
        <v>0</v>
      </c>
      <c r="O30" s="1306">
        <f t="shared" si="4"/>
        <v>0</v>
      </c>
      <c r="P30" s="1306">
        <f t="shared" si="5"/>
        <v>78</v>
      </c>
    </row>
    <row r="31" spans="1:16">
      <c r="A31" s="1294"/>
      <c r="B31" s="1288">
        <v>6</v>
      </c>
      <c r="C31" s="1288" t="s">
        <v>1412</v>
      </c>
      <c r="D31" s="1291">
        <v>1</v>
      </c>
      <c r="E31" s="1292"/>
      <c r="F31" s="1292"/>
      <c r="G31" s="1292"/>
      <c r="H31" s="1292"/>
      <c r="I31" s="1293">
        <v>1</v>
      </c>
      <c r="J31" s="1307"/>
      <c r="K31" s="1305" t="str">
        <f t="shared" si="0"/>
        <v xml:space="preserve"> 6</v>
      </c>
      <c r="L31" s="1306">
        <f t="shared" si="1"/>
        <v>1</v>
      </c>
      <c r="M31" s="1306">
        <f t="shared" si="2"/>
        <v>0</v>
      </c>
      <c r="N31" s="1306">
        <f t="shared" si="3"/>
        <v>0</v>
      </c>
      <c r="O31" s="1306">
        <f t="shared" si="4"/>
        <v>0</v>
      </c>
      <c r="P31" s="1306">
        <f t="shared" si="5"/>
        <v>1</v>
      </c>
    </row>
    <row r="32" spans="1:16">
      <c r="A32" s="1294"/>
      <c r="B32" s="1294"/>
      <c r="C32" s="1295" t="s">
        <v>1402</v>
      </c>
      <c r="D32" s="1296">
        <v>36</v>
      </c>
      <c r="E32" s="1054"/>
      <c r="F32" s="1054"/>
      <c r="G32" s="1054"/>
      <c r="H32" s="1054"/>
      <c r="I32" s="1297">
        <v>36</v>
      </c>
      <c r="J32" s="1307"/>
      <c r="K32" s="1305" t="str">
        <f t="shared" si="0"/>
        <v xml:space="preserve"> </v>
      </c>
      <c r="L32" s="1306">
        <f t="shared" si="1"/>
        <v>36</v>
      </c>
      <c r="M32" s="1306">
        <f t="shared" si="2"/>
        <v>0</v>
      </c>
      <c r="N32" s="1306">
        <f t="shared" si="3"/>
        <v>0</v>
      </c>
      <c r="O32" s="1306">
        <f t="shared" si="4"/>
        <v>0</v>
      </c>
      <c r="P32" s="1306">
        <f t="shared" si="5"/>
        <v>36</v>
      </c>
    </row>
    <row r="33" spans="1:16">
      <c r="A33" s="1294"/>
      <c r="B33" s="1288" t="s">
        <v>1415</v>
      </c>
      <c r="C33" s="1286"/>
      <c r="D33" s="1291">
        <v>37</v>
      </c>
      <c r="E33" s="1292"/>
      <c r="F33" s="1292"/>
      <c r="G33" s="1292"/>
      <c r="H33" s="1292"/>
      <c r="I33" s="1293">
        <v>37</v>
      </c>
      <c r="J33" s="1307"/>
      <c r="K33" s="1305" t="str">
        <f t="shared" si="0"/>
        <v xml:space="preserve"> 6 Total</v>
      </c>
      <c r="L33" s="1306">
        <f t="shared" si="1"/>
        <v>37</v>
      </c>
      <c r="M33" s="1306">
        <f t="shared" si="2"/>
        <v>0</v>
      </c>
      <c r="N33" s="1306">
        <f t="shared" si="3"/>
        <v>0</v>
      </c>
      <c r="O33" s="1306">
        <f t="shared" si="4"/>
        <v>0</v>
      </c>
      <c r="P33" s="1306">
        <f t="shared" si="5"/>
        <v>37</v>
      </c>
    </row>
    <row r="34" spans="1:16">
      <c r="A34" s="1294"/>
      <c r="B34" s="1288">
        <v>8</v>
      </c>
      <c r="C34" s="1288" t="s">
        <v>1402</v>
      </c>
      <c r="D34" s="1291">
        <v>21</v>
      </c>
      <c r="E34" s="1292"/>
      <c r="F34" s="1292"/>
      <c r="G34" s="1292"/>
      <c r="H34" s="1292"/>
      <c r="I34" s="1293">
        <v>21</v>
      </c>
      <c r="J34" s="1307"/>
      <c r="K34" s="1305" t="str">
        <f t="shared" si="0"/>
        <v xml:space="preserve"> 8</v>
      </c>
      <c r="L34" s="1306">
        <f t="shared" si="1"/>
        <v>21</v>
      </c>
      <c r="M34" s="1306">
        <f t="shared" si="2"/>
        <v>0</v>
      </c>
      <c r="N34" s="1306">
        <f t="shared" si="3"/>
        <v>0</v>
      </c>
      <c r="O34" s="1306">
        <f t="shared" si="4"/>
        <v>0</v>
      </c>
      <c r="P34" s="1306">
        <f t="shared" si="5"/>
        <v>21</v>
      </c>
    </row>
    <row r="35" spans="1:16">
      <c r="A35" s="1294"/>
      <c r="B35" s="1288" t="s">
        <v>1416</v>
      </c>
      <c r="C35" s="1286"/>
      <c r="D35" s="1291">
        <v>21</v>
      </c>
      <c r="E35" s="1292"/>
      <c r="F35" s="1292"/>
      <c r="G35" s="1292"/>
      <c r="H35" s="1292"/>
      <c r="I35" s="1293">
        <v>21</v>
      </c>
      <c r="J35" s="1307"/>
      <c r="K35" s="1305" t="str">
        <f t="shared" si="0"/>
        <v xml:space="preserve"> 8 Total</v>
      </c>
      <c r="L35" s="1306">
        <f t="shared" si="1"/>
        <v>21</v>
      </c>
      <c r="M35" s="1306">
        <f t="shared" si="2"/>
        <v>0</v>
      </c>
      <c r="N35" s="1306">
        <f t="shared" si="3"/>
        <v>0</v>
      </c>
      <c r="O35" s="1306">
        <f t="shared" si="4"/>
        <v>0</v>
      </c>
      <c r="P35" s="1306">
        <f t="shared" si="5"/>
        <v>21</v>
      </c>
    </row>
    <row r="36" spans="1:16">
      <c r="A36" s="1288" t="s">
        <v>1417</v>
      </c>
      <c r="B36" s="1286"/>
      <c r="C36" s="1286"/>
      <c r="D36" s="1291">
        <v>257</v>
      </c>
      <c r="E36" s="1292"/>
      <c r="F36" s="1292"/>
      <c r="G36" s="1292"/>
      <c r="H36" s="1292"/>
      <c r="I36" s="1293">
        <v>257</v>
      </c>
      <c r="J36" s="1307"/>
      <c r="K36" s="1305" t="str">
        <f t="shared" si="0"/>
        <v xml:space="preserve">FL Total </v>
      </c>
      <c r="L36" s="1306">
        <f t="shared" si="1"/>
        <v>257</v>
      </c>
      <c r="M36" s="1306">
        <f t="shared" si="2"/>
        <v>0</v>
      </c>
      <c r="N36" s="1306">
        <f t="shared" si="3"/>
        <v>0</v>
      </c>
      <c r="O36" s="1306">
        <f t="shared" si="4"/>
        <v>0</v>
      </c>
      <c r="P36" s="1306">
        <f t="shared" si="5"/>
        <v>257</v>
      </c>
    </row>
    <row r="37" spans="1:16">
      <c r="A37" s="1288" t="s">
        <v>431</v>
      </c>
      <c r="B37" s="1288">
        <v>1</v>
      </c>
      <c r="C37" s="1288" t="s">
        <v>1402</v>
      </c>
      <c r="D37" s="1291"/>
      <c r="E37" s="1292"/>
      <c r="F37" s="1292"/>
      <c r="G37" s="1292">
        <v>12</v>
      </c>
      <c r="H37" s="1292">
        <v>9</v>
      </c>
      <c r="I37" s="1293">
        <v>21</v>
      </c>
      <c r="J37" s="1307"/>
      <c r="K37" s="1305" t="str">
        <f t="shared" si="0"/>
        <v>FR 1</v>
      </c>
      <c r="L37" s="1306">
        <f t="shared" si="1"/>
        <v>0</v>
      </c>
      <c r="M37" s="1306">
        <f t="shared" si="2"/>
        <v>0</v>
      </c>
      <c r="N37" s="1306">
        <f t="shared" si="3"/>
        <v>0</v>
      </c>
      <c r="O37" s="1306">
        <f t="shared" si="4"/>
        <v>21</v>
      </c>
      <c r="P37" s="1306">
        <f t="shared" si="5"/>
        <v>21</v>
      </c>
    </row>
    <row r="38" spans="1:16">
      <c r="A38" s="1294"/>
      <c r="B38" s="1288" t="s">
        <v>1409</v>
      </c>
      <c r="C38" s="1286"/>
      <c r="D38" s="1291"/>
      <c r="E38" s="1292"/>
      <c r="F38" s="1292"/>
      <c r="G38" s="1292">
        <v>12</v>
      </c>
      <c r="H38" s="1292">
        <v>9</v>
      </c>
      <c r="I38" s="1293">
        <v>21</v>
      </c>
      <c r="J38" s="1307"/>
      <c r="K38" s="1305" t="str">
        <f t="shared" si="0"/>
        <v xml:space="preserve"> 1 Total</v>
      </c>
      <c r="L38" s="1306">
        <f t="shared" si="1"/>
        <v>0</v>
      </c>
      <c r="M38" s="1306">
        <f t="shared" si="2"/>
        <v>0</v>
      </c>
      <c r="N38" s="1306">
        <f t="shared" si="3"/>
        <v>0</v>
      </c>
      <c r="O38" s="1306">
        <f t="shared" si="4"/>
        <v>21</v>
      </c>
      <c r="P38" s="1306">
        <f t="shared" si="5"/>
        <v>21</v>
      </c>
    </row>
    <row r="39" spans="1:16">
      <c r="A39" s="1294"/>
      <c r="B39" s="1288">
        <v>1.25</v>
      </c>
      <c r="C39" s="1288" t="s">
        <v>1402</v>
      </c>
      <c r="D39" s="1291"/>
      <c r="E39" s="1292"/>
      <c r="F39" s="1292"/>
      <c r="G39" s="1292">
        <v>17</v>
      </c>
      <c r="H39" s="1292"/>
      <c r="I39" s="1293">
        <v>17</v>
      </c>
      <c r="J39" s="1307"/>
      <c r="K39" s="1305" t="str">
        <f t="shared" si="0"/>
        <v xml:space="preserve"> 1.25</v>
      </c>
      <c r="L39" s="1306">
        <f t="shared" si="1"/>
        <v>0</v>
      </c>
      <c r="M39" s="1306">
        <f t="shared" si="2"/>
        <v>0</v>
      </c>
      <c r="N39" s="1306">
        <f t="shared" si="3"/>
        <v>0</v>
      </c>
      <c r="O39" s="1306">
        <f t="shared" si="4"/>
        <v>17</v>
      </c>
      <c r="P39" s="1306">
        <f t="shared" si="5"/>
        <v>17</v>
      </c>
    </row>
    <row r="40" spans="1:16">
      <c r="A40" s="1294"/>
      <c r="B40" s="1288" t="s">
        <v>1410</v>
      </c>
      <c r="C40" s="1286"/>
      <c r="D40" s="1291"/>
      <c r="E40" s="1292"/>
      <c r="F40" s="1292"/>
      <c r="G40" s="1292">
        <v>17</v>
      </c>
      <c r="H40" s="1292"/>
      <c r="I40" s="1293">
        <v>17</v>
      </c>
      <c r="J40" s="1307"/>
      <c r="K40" s="1305" t="str">
        <f t="shared" si="0"/>
        <v xml:space="preserve"> 1.25 Total</v>
      </c>
      <c r="L40" s="1306">
        <f t="shared" si="1"/>
        <v>0</v>
      </c>
      <c r="M40" s="1306">
        <f t="shared" si="2"/>
        <v>0</v>
      </c>
      <c r="N40" s="1306">
        <f t="shared" si="3"/>
        <v>0</v>
      </c>
      <c r="O40" s="1306">
        <f t="shared" si="4"/>
        <v>17</v>
      </c>
      <c r="P40" s="1306">
        <f t="shared" si="5"/>
        <v>17</v>
      </c>
    </row>
    <row r="41" spans="1:16">
      <c r="A41" s="1294"/>
      <c r="B41" s="1288">
        <v>1.5</v>
      </c>
      <c r="C41" s="1288" t="s">
        <v>1402</v>
      </c>
      <c r="D41" s="1291"/>
      <c r="E41" s="1292"/>
      <c r="F41" s="1292"/>
      <c r="G41" s="1292">
        <v>2</v>
      </c>
      <c r="H41" s="1292">
        <v>1</v>
      </c>
      <c r="I41" s="1293">
        <v>3</v>
      </c>
      <c r="J41" s="1307"/>
      <c r="K41" s="1305" t="str">
        <f t="shared" si="0"/>
        <v xml:space="preserve"> 1.5</v>
      </c>
      <c r="L41" s="1306">
        <f t="shared" si="1"/>
        <v>0</v>
      </c>
      <c r="M41" s="1306">
        <f t="shared" si="2"/>
        <v>0</v>
      </c>
      <c r="N41" s="1306">
        <f t="shared" si="3"/>
        <v>0</v>
      </c>
      <c r="O41" s="1306">
        <f t="shared" si="4"/>
        <v>3</v>
      </c>
      <c r="P41" s="1306">
        <f t="shared" si="5"/>
        <v>3</v>
      </c>
    </row>
    <row r="42" spans="1:16">
      <c r="A42" s="1294"/>
      <c r="B42" s="1288" t="s">
        <v>1418</v>
      </c>
      <c r="C42" s="1286"/>
      <c r="D42" s="1291"/>
      <c r="E42" s="1292"/>
      <c r="F42" s="1292"/>
      <c r="G42" s="1292">
        <v>2</v>
      </c>
      <c r="H42" s="1292">
        <v>1</v>
      </c>
      <c r="I42" s="1293">
        <v>3</v>
      </c>
      <c r="J42" s="1307"/>
      <c r="K42" s="1305" t="str">
        <f t="shared" si="0"/>
        <v xml:space="preserve"> 1.5 Total</v>
      </c>
      <c r="L42" s="1306">
        <f t="shared" si="1"/>
        <v>0</v>
      </c>
      <c r="M42" s="1306">
        <f t="shared" si="2"/>
        <v>0</v>
      </c>
      <c r="N42" s="1306">
        <f t="shared" si="3"/>
        <v>0</v>
      </c>
      <c r="O42" s="1306">
        <f t="shared" si="4"/>
        <v>3</v>
      </c>
      <c r="P42" s="1306">
        <f t="shared" si="5"/>
        <v>3</v>
      </c>
    </row>
    <row r="43" spans="1:16">
      <c r="A43" s="1294"/>
      <c r="B43" s="1288">
        <v>2</v>
      </c>
      <c r="C43" s="1288" t="s">
        <v>1402</v>
      </c>
      <c r="D43" s="1291">
        <v>22</v>
      </c>
      <c r="E43" s="1292"/>
      <c r="F43" s="1292"/>
      <c r="G43" s="1292">
        <v>26</v>
      </c>
      <c r="H43" s="1292">
        <v>2</v>
      </c>
      <c r="I43" s="1293">
        <v>50</v>
      </c>
      <c r="J43" s="1307"/>
      <c r="K43" s="1305" t="str">
        <f t="shared" si="0"/>
        <v xml:space="preserve"> 2</v>
      </c>
      <c r="L43" s="1306">
        <f t="shared" si="1"/>
        <v>22</v>
      </c>
      <c r="M43" s="1306">
        <f t="shared" si="2"/>
        <v>0</v>
      </c>
      <c r="N43" s="1306">
        <f t="shared" si="3"/>
        <v>0</v>
      </c>
      <c r="O43" s="1306">
        <f t="shared" si="4"/>
        <v>28</v>
      </c>
      <c r="P43" s="1306">
        <f t="shared" si="5"/>
        <v>50</v>
      </c>
    </row>
    <row r="44" spans="1:16">
      <c r="A44" s="1294"/>
      <c r="B44" s="1288" t="s">
        <v>1411</v>
      </c>
      <c r="C44" s="1286"/>
      <c r="D44" s="1291">
        <v>22</v>
      </c>
      <c r="E44" s="1292"/>
      <c r="F44" s="1292"/>
      <c r="G44" s="1292">
        <v>26</v>
      </c>
      <c r="H44" s="1292">
        <v>2</v>
      </c>
      <c r="I44" s="1293">
        <v>50</v>
      </c>
      <c r="J44" s="1307"/>
      <c r="K44" s="1305" t="str">
        <f t="shared" si="0"/>
        <v xml:space="preserve"> 2 Total</v>
      </c>
      <c r="L44" s="1306">
        <f t="shared" si="1"/>
        <v>22</v>
      </c>
      <c r="M44" s="1306">
        <f t="shared" si="2"/>
        <v>0</v>
      </c>
      <c r="N44" s="1306">
        <f t="shared" si="3"/>
        <v>0</v>
      </c>
      <c r="O44" s="1306">
        <f t="shared" si="4"/>
        <v>28</v>
      </c>
      <c r="P44" s="1306">
        <f t="shared" si="5"/>
        <v>50</v>
      </c>
    </row>
    <row r="45" spans="1:16">
      <c r="A45" s="1294"/>
      <c r="B45" s="1288">
        <v>3</v>
      </c>
      <c r="C45" s="1288" t="s">
        <v>1402</v>
      </c>
      <c r="D45" s="1291"/>
      <c r="E45" s="1292"/>
      <c r="F45" s="1292"/>
      <c r="G45" s="1292">
        <v>28</v>
      </c>
      <c r="H45" s="1292">
        <v>3</v>
      </c>
      <c r="I45" s="1293">
        <v>31</v>
      </c>
      <c r="J45" s="1307"/>
      <c r="K45" s="1305" t="str">
        <f t="shared" si="0"/>
        <v xml:space="preserve"> 3</v>
      </c>
      <c r="L45" s="1306">
        <f t="shared" si="1"/>
        <v>0</v>
      </c>
      <c r="M45" s="1306">
        <f t="shared" si="2"/>
        <v>0</v>
      </c>
      <c r="N45" s="1306">
        <f t="shared" si="3"/>
        <v>0</v>
      </c>
      <c r="O45" s="1306">
        <f t="shared" si="4"/>
        <v>31</v>
      </c>
      <c r="P45" s="1306">
        <f t="shared" si="5"/>
        <v>31</v>
      </c>
    </row>
    <row r="46" spans="1:16">
      <c r="A46" s="1294"/>
      <c r="B46" s="1288" t="s">
        <v>1413</v>
      </c>
      <c r="C46" s="1286"/>
      <c r="D46" s="1291"/>
      <c r="E46" s="1292"/>
      <c r="F46" s="1292"/>
      <c r="G46" s="1292">
        <v>28</v>
      </c>
      <c r="H46" s="1292">
        <v>3</v>
      </c>
      <c r="I46" s="1293">
        <v>31</v>
      </c>
      <c r="J46" s="1307"/>
      <c r="K46" s="1305" t="str">
        <f t="shared" si="0"/>
        <v xml:space="preserve"> 3 Total</v>
      </c>
      <c r="L46" s="1306">
        <f t="shared" si="1"/>
        <v>0</v>
      </c>
      <c r="M46" s="1306">
        <f t="shared" si="2"/>
        <v>0</v>
      </c>
      <c r="N46" s="1306">
        <f t="shared" si="3"/>
        <v>0</v>
      </c>
      <c r="O46" s="1306">
        <f t="shared" si="4"/>
        <v>31</v>
      </c>
      <c r="P46" s="1306">
        <f t="shared" si="5"/>
        <v>31</v>
      </c>
    </row>
    <row r="47" spans="1:16">
      <c r="A47" s="1294"/>
      <c r="B47" s="1288">
        <v>4</v>
      </c>
      <c r="C47" s="1288" t="s">
        <v>1402</v>
      </c>
      <c r="D47" s="1291"/>
      <c r="E47" s="1292"/>
      <c r="F47" s="1292"/>
      <c r="G47" s="1292">
        <v>30</v>
      </c>
      <c r="H47" s="1292">
        <v>6</v>
      </c>
      <c r="I47" s="1293">
        <v>36</v>
      </c>
      <c r="J47" s="1307"/>
      <c r="K47" s="1305" t="str">
        <f t="shared" si="0"/>
        <v xml:space="preserve"> 4</v>
      </c>
      <c r="L47" s="1306">
        <f t="shared" si="1"/>
        <v>0</v>
      </c>
      <c r="M47" s="1306">
        <f t="shared" si="2"/>
        <v>0</v>
      </c>
      <c r="N47" s="1306">
        <f t="shared" si="3"/>
        <v>0</v>
      </c>
      <c r="O47" s="1306">
        <f t="shared" si="4"/>
        <v>36</v>
      </c>
      <c r="P47" s="1306">
        <f t="shared" si="5"/>
        <v>36</v>
      </c>
    </row>
    <row r="48" spans="1:16">
      <c r="A48" s="1294"/>
      <c r="B48" s="1288" t="s">
        <v>1414</v>
      </c>
      <c r="C48" s="1286"/>
      <c r="D48" s="1291"/>
      <c r="E48" s="1292"/>
      <c r="F48" s="1292"/>
      <c r="G48" s="1292">
        <v>30</v>
      </c>
      <c r="H48" s="1292">
        <v>6</v>
      </c>
      <c r="I48" s="1293">
        <v>36</v>
      </c>
      <c r="J48" s="1307"/>
      <c r="K48" s="1305" t="str">
        <f t="shared" si="0"/>
        <v xml:space="preserve"> 4 Total</v>
      </c>
      <c r="L48" s="1306">
        <f t="shared" si="1"/>
        <v>0</v>
      </c>
      <c r="M48" s="1306">
        <f t="shared" si="2"/>
        <v>0</v>
      </c>
      <c r="N48" s="1306">
        <f t="shared" si="3"/>
        <v>0</v>
      </c>
      <c r="O48" s="1306">
        <f t="shared" si="4"/>
        <v>36</v>
      </c>
      <c r="P48" s="1306">
        <f t="shared" si="5"/>
        <v>36</v>
      </c>
    </row>
    <row r="49" spans="1:16">
      <c r="A49" s="1294"/>
      <c r="B49" s="1288">
        <v>6</v>
      </c>
      <c r="C49" s="1288" t="s">
        <v>1402</v>
      </c>
      <c r="D49" s="1291"/>
      <c r="E49" s="1292"/>
      <c r="F49" s="1292"/>
      <c r="G49" s="1292">
        <v>14</v>
      </c>
      <c r="H49" s="1292">
        <v>3</v>
      </c>
      <c r="I49" s="1293">
        <v>17</v>
      </c>
      <c r="J49" s="1307"/>
      <c r="K49" s="1305" t="str">
        <f t="shared" si="0"/>
        <v xml:space="preserve"> 6</v>
      </c>
      <c r="L49" s="1306">
        <f t="shared" si="1"/>
        <v>0</v>
      </c>
      <c r="M49" s="1306">
        <f t="shared" si="2"/>
        <v>0</v>
      </c>
      <c r="N49" s="1306">
        <f t="shared" si="3"/>
        <v>0</v>
      </c>
      <c r="O49" s="1306">
        <f t="shared" si="4"/>
        <v>17</v>
      </c>
      <c r="P49" s="1306">
        <f t="shared" si="5"/>
        <v>17</v>
      </c>
    </row>
    <row r="50" spans="1:16">
      <c r="A50" s="1294"/>
      <c r="B50" s="1288" t="s">
        <v>1415</v>
      </c>
      <c r="C50" s="1286"/>
      <c r="D50" s="1291"/>
      <c r="E50" s="1292"/>
      <c r="F50" s="1292"/>
      <c r="G50" s="1292">
        <v>14</v>
      </c>
      <c r="H50" s="1292">
        <v>3</v>
      </c>
      <c r="I50" s="1293">
        <v>17</v>
      </c>
      <c r="J50" s="1307"/>
      <c r="K50" s="1305" t="str">
        <f t="shared" si="0"/>
        <v xml:space="preserve"> 6 Total</v>
      </c>
      <c r="L50" s="1306">
        <f t="shared" si="1"/>
        <v>0</v>
      </c>
      <c r="M50" s="1306">
        <f t="shared" si="2"/>
        <v>0</v>
      </c>
      <c r="N50" s="1306">
        <f t="shared" si="3"/>
        <v>0</v>
      </c>
      <c r="O50" s="1306">
        <f t="shared" si="4"/>
        <v>17</v>
      </c>
      <c r="P50" s="1306">
        <f t="shared" si="5"/>
        <v>17</v>
      </c>
    </row>
    <row r="51" spans="1:16">
      <c r="A51" s="1294"/>
      <c r="B51" s="1288">
        <v>8</v>
      </c>
      <c r="C51" s="1288" t="s">
        <v>1402</v>
      </c>
      <c r="D51" s="1291">
        <v>1</v>
      </c>
      <c r="E51" s="1292"/>
      <c r="F51" s="1292"/>
      <c r="G51" s="1292">
        <v>9</v>
      </c>
      <c r="H51" s="1292">
        <v>2</v>
      </c>
      <c r="I51" s="1293">
        <v>12</v>
      </c>
      <c r="J51" s="1307"/>
      <c r="K51" s="1305" t="str">
        <f t="shared" si="0"/>
        <v xml:space="preserve"> 8</v>
      </c>
      <c r="L51" s="1306">
        <f t="shared" si="1"/>
        <v>1</v>
      </c>
      <c r="M51" s="1306">
        <f t="shared" si="2"/>
        <v>0</v>
      </c>
      <c r="N51" s="1306">
        <f t="shared" si="3"/>
        <v>0</v>
      </c>
      <c r="O51" s="1306">
        <f t="shared" si="4"/>
        <v>11</v>
      </c>
      <c r="P51" s="1306">
        <f t="shared" si="5"/>
        <v>12</v>
      </c>
    </row>
    <row r="52" spans="1:16">
      <c r="A52" s="1294"/>
      <c r="B52" s="1288" t="s">
        <v>1416</v>
      </c>
      <c r="C52" s="1286"/>
      <c r="D52" s="1291">
        <v>1</v>
      </c>
      <c r="E52" s="1292"/>
      <c r="F52" s="1292"/>
      <c r="G52" s="1292">
        <v>9</v>
      </c>
      <c r="H52" s="1292">
        <v>2</v>
      </c>
      <c r="I52" s="1293">
        <v>12</v>
      </c>
      <c r="J52" s="1307"/>
      <c r="K52" s="1305" t="str">
        <f t="shared" si="0"/>
        <v xml:space="preserve"> 8 Total</v>
      </c>
      <c r="L52" s="1306">
        <f t="shared" si="1"/>
        <v>1</v>
      </c>
      <c r="M52" s="1306">
        <f t="shared" si="2"/>
        <v>0</v>
      </c>
      <c r="N52" s="1306">
        <f t="shared" si="3"/>
        <v>0</v>
      </c>
      <c r="O52" s="1306">
        <f t="shared" si="4"/>
        <v>11</v>
      </c>
      <c r="P52" s="1306">
        <f t="shared" si="5"/>
        <v>12</v>
      </c>
    </row>
    <row r="53" spans="1:16">
      <c r="A53" s="1288" t="s">
        <v>1419</v>
      </c>
      <c r="B53" s="1286"/>
      <c r="C53" s="1286"/>
      <c r="D53" s="1291">
        <v>23</v>
      </c>
      <c r="E53" s="1292"/>
      <c r="F53" s="1292"/>
      <c r="G53" s="1292">
        <v>138</v>
      </c>
      <c r="H53" s="1292">
        <v>26</v>
      </c>
      <c r="I53" s="1293">
        <v>187</v>
      </c>
      <c r="J53" s="1307"/>
      <c r="K53" s="1305" t="str">
        <f t="shared" si="0"/>
        <v xml:space="preserve">FR Total </v>
      </c>
      <c r="L53" s="1306">
        <f t="shared" si="1"/>
        <v>23</v>
      </c>
      <c r="M53" s="1306">
        <f t="shared" si="2"/>
        <v>0</v>
      </c>
      <c r="N53" s="1306">
        <f t="shared" si="3"/>
        <v>0</v>
      </c>
      <c r="O53" s="1306">
        <f t="shared" si="4"/>
        <v>164</v>
      </c>
      <c r="P53" s="1306">
        <f t="shared" si="5"/>
        <v>187</v>
      </c>
    </row>
    <row r="54" spans="1:16">
      <c r="A54" s="1288" t="s">
        <v>433</v>
      </c>
      <c r="B54" s="1288">
        <v>10</v>
      </c>
      <c r="C54" s="1288" t="s">
        <v>1402</v>
      </c>
      <c r="D54" s="1291"/>
      <c r="E54" s="1292">
        <v>1</v>
      </c>
      <c r="F54" s="1292"/>
      <c r="G54" s="1292"/>
      <c r="H54" s="1292"/>
      <c r="I54" s="1293">
        <v>1</v>
      </c>
      <c r="J54" s="1307"/>
      <c r="K54" s="1305" t="str">
        <f t="shared" si="0"/>
        <v>IR 10</v>
      </c>
      <c r="L54" s="1306">
        <f t="shared" si="1"/>
        <v>0</v>
      </c>
      <c r="M54" s="1306">
        <f t="shared" si="2"/>
        <v>1</v>
      </c>
      <c r="N54" s="1306">
        <f t="shared" si="3"/>
        <v>0</v>
      </c>
      <c r="O54" s="1306">
        <f t="shared" si="4"/>
        <v>0</v>
      </c>
      <c r="P54" s="1306">
        <f t="shared" si="5"/>
        <v>1</v>
      </c>
    </row>
    <row r="55" spans="1:16">
      <c r="A55" s="1294"/>
      <c r="B55" s="1288" t="s">
        <v>1420</v>
      </c>
      <c r="C55" s="1286"/>
      <c r="D55" s="1291"/>
      <c r="E55" s="1292">
        <v>1</v>
      </c>
      <c r="F55" s="1292"/>
      <c r="G55" s="1292"/>
      <c r="H55" s="1292"/>
      <c r="I55" s="1293">
        <v>1</v>
      </c>
      <c r="J55" s="1307"/>
      <c r="K55" s="1305" t="str">
        <f t="shared" si="0"/>
        <v xml:space="preserve"> 10 Total</v>
      </c>
      <c r="L55" s="1306">
        <f t="shared" si="1"/>
        <v>0</v>
      </c>
      <c r="M55" s="1306">
        <f t="shared" si="2"/>
        <v>1</v>
      </c>
      <c r="N55" s="1306">
        <f t="shared" si="3"/>
        <v>0</v>
      </c>
      <c r="O55" s="1306">
        <f t="shared" si="4"/>
        <v>0</v>
      </c>
      <c r="P55" s="1306">
        <f t="shared" si="5"/>
        <v>1</v>
      </c>
    </row>
    <row r="56" spans="1:16">
      <c r="A56" s="1294"/>
      <c r="B56" s="1288">
        <v>12</v>
      </c>
      <c r="C56" s="1288" t="s">
        <v>1402</v>
      </c>
      <c r="D56" s="1291"/>
      <c r="E56" s="1292">
        <v>9</v>
      </c>
      <c r="F56" s="1292"/>
      <c r="G56" s="1292"/>
      <c r="H56" s="1292"/>
      <c r="I56" s="1293">
        <v>9</v>
      </c>
      <c r="J56" s="1307"/>
      <c r="K56" s="1305" t="str">
        <f t="shared" si="0"/>
        <v xml:space="preserve"> 12</v>
      </c>
      <c r="L56" s="1306">
        <f t="shared" si="1"/>
        <v>0</v>
      </c>
      <c r="M56" s="1306">
        <f t="shared" si="2"/>
        <v>9</v>
      </c>
      <c r="N56" s="1306">
        <f t="shared" si="3"/>
        <v>0</v>
      </c>
      <c r="O56" s="1306">
        <f t="shared" si="4"/>
        <v>0</v>
      </c>
      <c r="P56" s="1306">
        <f t="shared" si="5"/>
        <v>9</v>
      </c>
    </row>
    <row r="57" spans="1:16">
      <c r="A57" s="1294"/>
      <c r="B57" s="1288" t="s">
        <v>1421</v>
      </c>
      <c r="C57" s="1286"/>
      <c r="D57" s="1291"/>
      <c r="E57" s="1292">
        <v>9</v>
      </c>
      <c r="F57" s="1292"/>
      <c r="G57" s="1292"/>
      <c r="H57" s="1292"/>
      <c r="I57" s="1293">
        <v>9</v>
      </c>
      <c r="J57" s="1307"/>
      <c r="K57" s="1305" t="str">
        <f t="shared" si="0"/>
        <v xml:space="preserve"> 12 Total</v>
      </c>
      <c r="L57" s="1306">
        <f t="shared" si="1"/>
        <v>0</v>
      </c>
      <c r="M57" s="1306">
        <f t="shared" si="2"/>
        <v>9</v>
      </c>
      <c r="N57" s="1306">
        <f t="shared" si="3"/>
        <v>0</v>
      </c>
      <c r="O57" s="1306">
        <f t="shared" si="4"/>
        <v>0</v>
      </c>
      <c r="P57" s="1306">
        <f t="shared" si="5"/>
        <v>9</v>
      </c>
    </row>
    <row r="58" spans="1:16">
      <c r="A58" s="1294"/>
      <c r="B58" s="1288">
        <v>20</v>
      </c>
      <c r="C58" s="1288" t="s">
        <v>1402</v>
      </c>
      <c r="D58" s="1291"/>
      <c r="E58" s="1292">
        <v>6</v>
      </c>
      <c r="F58" s="1292"/>
      <c r="G58" s="1292"/>
      <c r="H58" s="1292"/>
      <c r="I58" s="1293">
        <v>6</v>
      </c>
      <c r="J58" s="1307"/>
      <c r="K58" s="1305" t="str">
        <f t="shared" si="0"/>
        <v xml:space="preserve"> 20</v>
      </c>
      <c r="L58" s="1306">
        <f t="shared" si="1"/>
        <v>0</v>
      </c>
      <c r="M58" s="1306">
        <f t="shared" si="2"/>
        <v>6</v>
      </c>
      <c r="N58" s="1306">
        <f t="shared" si="3"/>
        <v>0</v>
      </c>
      <c r="O58" s="1306">
        <f t="shared" si="4"/>
        <v>0</v>
      </c>
      <c r="P58" s="1306">
        <f t="shared" si="5"/>
        <v>6</v>
      </c>
    </row>
    <row r="59" spans="1:16">
      <c r="A59" s="1294"/>
      <c r="B59" s="1288" t="s">
        <v>1422</v>
      </c>
      <c r="C59" s="1286"/>
      <c r="D59" s="1291"/>
      <c r="E59" s="1292">
        <v>6</v>
      </c>
      <c r="F59" s="1292"/>
      <c r="G59" s="1292"/>
      <c r="H59" s="1292"/>
      <c r="I59" s="1293">
        <v>6</v>
      </c>
      <c r="J59" s="1307"/>
      <c r="K59" s="1305" t="str">
        <f t="shared" si="0"/>
        <v xml:space="preserve"> 20 Total</v>
      </c>
      <c r="L59" s="1306">
        <f t="shared" si="1"/>
        <v>0</v>
      </c>
      <c r="M59" s="1306">
        <f t="shared" si="2"/>
        <v>6</v>
      </c>
      <c r="N59" s="1306">
        <f t="shared" si="3"/>
        <v>0</v>
      </c>
      <c r="O59" s="1306">
        <f t="shared" si="4"/>
        <v>0</v>
      </c>
      <c r="P59" s="1306">
        <f t="shared" si="5"/>
        <v>6</v>
      </c>
    </row>
    <row r="60" spans="1:16">
      <c r="A60" s="1294"/>
      <c r="B60" s="1288">
        <v>25</v>
      </c>
      <c r="C60" s="1288" t="s">
        <v>1412</v>
      </c>
      <c r="D60" s="1291"/>
      <c r="E60" s="1292">
        <v>1</v>
      </c>
      <c r="F60" s="1292"/>
      <c r="G60" s="1292"/>
      <c r="H60" s="1292"/>
      <c r="I60" s="1293">
        <v>1</v>
      </c>
      <c r="J60" s="1307"/>
      <c r="K60" s="1305" t="str">
        <f t="shared" si="0"/>
        <v xml:space="preserve"> 25</v>
      </c>
      <c r="L60" s="1306">
        <f t="shared" si="1"/>
        <v>0</v>
      </c>
      <c r="M60" s="1306">
        <f t="shared" si="2"/>
        <v>1</v>
      </c>
      <c r="N60" s="1306">
        <f t="shared" si="3"/>
        <v>0</v>
      </c>
      <c r="O60" s="1306">
        <f t="shared" si="4"/>
        <v>0</v>
      </c>
      <c r="P60" s="1306">
        <f t="shared" si="5"/>
        <v>1</v>
      </c>
    </row>
    <row r="61" spans="1:16">
      <c r="A61" s="1294"/>
      <c r="B61" s="1294"/>
      <c r="C61" s="1295" t="s">
        <v>1402</v>
      </c>
      <c r="D61" s="1296"/>
      <c r="E61" s="1054">
        <v>6</v>
      </c>
      <c r="F61" s="1054"/>
      <c r="G61" s="1054"/>
      <c r="H61" s="1054"/>
      <c r="I61" s="1297">
        <v>6</v>
      </c>
      <c r="J61" s="1307"/>
      <c r="K61" s="1305" t="str">
        <f t="shared" si="0"/>
        <v xml:space="preserve"> </v>
      </c>
      <c r="L61" s="1306">
        <f t="shared" si="1"/>
        <v>0</v>
      </c>
      <c r="M61" s="1306">
        <f t="shared" si="2"/>
        <v>6</v>
      </c>
      <c r="N61" s="1306">
        <f t="shared" si="3"/>
        <v>0</v>
      </c>
      <c r="O61" s="1306">
        <f t="shared" si="4"/>
        <v>0</v>
      </c>
      <c r="P61" s="1306">
        <f t="shared" si="5"/>
        <v>6</v>
      </c>
    </row>
    <row r="62" spans="1:16">
      <c r="A62" s="1294"/>
      <c r="B62" s="1288" t="s">
        <v>1423</v>
      </c>
      <c r="C62" s="1286"/>
      <c r="D62" s="1291"/>
      <c r="E62" s="1292">
        <v>7</v>
      </c>
      <c r="F62" s="1292"/>
      <c r="G62" s="1292"/>
      <c r="H62" s="1292"/>
      <c r="I62" s="1293">
        <v>7</v>
      </c>
      <c r="J62" s="1307"/>
      <c r="K62" s="1305" t="str">
        <f t="shared" si="0"/>
        <v xml:space="preserve"> 25 Total</v>
      </c>
      <c r="L62" s="1306">
        <f t="shared" si="1"/>
        <v>0</v>
      </c>
      <c r="M62" s="1306">
        <f t="shared" si="2"/>
        <v>7</v>
      </c>
      <c r="N62" s="1306">
        <f t="shared" si="3"/>
        <v>0</v>
      </c>
      <c r="O62" s="1306">
        <f t="shared" si="4"/>
        <v>0</v>
      </c>
      <c r="P62" s="1306">
        <f t="shared" si="5"/>
        <v>7</v>
      </c>
    </row>
    <row r="63" spans="1:16">
      <c r="A63" s="1294"/>
      <c r="B63" s="1288">
        <v>30</v>
      </c>
      <c r="C63" s="1288" t="s">
        <v>1412</v>
      </c>
      <c r="D63" s="1291"/>
      <c r="E63" s="1292">
        <v>1</v>
      </c>
      <c r="F63" s="1292"/>
      <c r="G63" s="1292"/>
      <c r="H63" s="1292"/>
      <c r="I63" s="1293">
        <v>1</v>
      </c>
      <c r="J63" s="1307"/>
      <c r="K63" s="1305" t="str">
        <f t="shared" si="0"/>
        <v xml:space="preserve"> 30</v>
      </c>
      <c r="L63" s="1306">
        <f t="shared" si="1"/>
        <v>0</v>
      </c>
      <c r="M63" s="1306">
        <f t="shared" si="2"/>
        <v>1</v>
      </c>
      <c r="N63" s="1306">
        <f t="shared" si="3"/>
        <v>0</v>
      </c>
      <c r="O63" s="1306">
        <f t="shared" si="4"/>
        <v>0</v>
      </c>
      <c r="P63" s="1306">
        <f t="shared" si="5"/>
        <v>1</v>
      </c>
    </row>
    <row r="64" spans="1:16">
      <c r="A64" s="1294"/>
      <c r="B64" s="1294"/>
      <c r="C64" s="1295" t="s">
        <v>1402</v>
      </c>
      <c r="D64" s="1296"/>
      <c r="E64" s="1054">
        <v>12</v>
      </c>
      <c r="F64" s="1054"/>
      <c r="G64" s="1054"/>
      <c r="H64" s="1054"/>
      <c r="I64" s="1297">
        <v>12</v>
      </c>
      <c r="J64" s="1307"/>
      <c r="K64" s="1305" t="str">
        <f t="shared" si="0"/>
        <v xml:space="preserve"> </v>
      </c>
      <c r="L64" s="1306">
        <f t="shared" si="1"/>
        <v>0</v>
      </c>
      <c r="M64" s="1306">
        <f t="shared" si="2"/>
        <v>12</v>
      </c>
      <c r="N64" s="1306">
        <f t="shared" si="3"/>
        <v>0</v>
      </c>
      <c r="O64" s="1306">
        <f t="shared" si="4"/>
        <v>0</v>
      </c>
      <c r="P64" s="1306">
        <f t="shared" si="5"/>
        <v>12</v>
      </c>
    </row>
    <row r="65" spans="1:16">
      <c r="A65" s="1294"/>
      <c r="B65" s="1288" t="s">
        <v>1424</v>
      </c>
      <c r="C65" s="1286"/>
      <c r="D65" s="1291"/>
      <c r="E65" s="1292">
        <v>13</v>
      </c>
      <c r="F65" s="1292"/>
      <c r="G65" s="1292"/>
      <c r="H65" s="1292"/>
      <c r="I65" s="1293">
        <v>13</v>
      </c>
      <c r="J65" s="1307"/>
      <c r="K65" s="1305" t="str">
        <f t="shared" si="0"/>
        <v xml:space="preserve"> 30 Total</v>
      </c>
      <c r="L65" s="1306">
        <f t="shared" si="1"/>
        <v>0</v>
      </c>
      <c r="M65" s="1306">
        <f t="shared" si="2"/>
        <v>13</v>
      </c>
      <c r="N65" s="1306">
        <f t="shared" si="3"/>
        <v>0</v>
      </c>
      <c r="O65" s="1306">
        <f t="shared" si="4"/>
        <v>0</v>
      </c>
      <c r="P65" s="1306">
        <f t="shared" si="5"/>
        <v>13</v>
      </c>
    </row>
    <row r="66" spans="1:16">
      <c r="A66" s="1294"/>
      <c r="B66" s="1288">
        <v>40</v>
      </c>
      <c r="C66" s="1288" t="s">
        <v>1412</v>
      </c>
      <c r="D66" s="1291"/>
      <c r="E66" s="1292">
        <v>1</v>
      </c>
      <c r="F66" s="1292"/>
      <c r="G66" s="1292"/>
      <c r="H66" s="1292"/>
      <c r="I66" s="1293">
        <v>1</v>
      </c>
      <c r="J66" s="1307"/>
      <c r="K66" s="1305" t="str">
        <f t="shared" si="0"/>
        <v xml:space="preserve"> 40</v>
      </c>
      <c r="L66" s="1306">
        <f t="shared" si="1"/>
        <v>0</v>
      </c>
      <c r="M66" s="1306">
        <f t="shared" si="2"/>
        <v>1</v>
      </c>
      <c r="N66" s="1306">
        <f t="shared" si="3"/>
        <v>0</v>
      </c>
      <c r="O66" s="1306">
        <f t="shared" si="4"/>
        <v>0</v>
      </c>
      <c r="P66" s="1306">
        <f t="shared" si="5"/>
        <v>1</v>
      </c>
    </row>
    <row r="67" spans="1:16">
      <c r="A67" s="1294"/>
      <c r="B67" s="1294"/>
      <c r="C67" s="1295" t="s">
        <v>1402</v>
      </c>
      <c r="D67" s="1296"/>
      <c r="E67" s="1054">
        <v>6</v>
      </c>
      <c r="F67" s="1054"/>
      <c r="G67" s="1054"/>
      <c r="H67" s="1054"/>
      <c r="I67" s="1297">
        <v>6</v>
      </c>
      <c r="J67" s="1307"/>
      <c r="K67" s="1305" t="str">
        <f t="shared" si="0"/>
        <v xml:space="preserve"> </v>
      </c>
      <c r="L67" s="1306">
        <f t="shared" si="1"/>
        <v>0</v>
      </c>
      <c r="M67" s="1306">
        <f t="shared" si="2"/>
        <v>6</v>
      </c>
      <c r="N67" s="1306">
        <f t="shared" si="3"/>
        <v>0</v>
      </c>
      <c r="O67" s="1306">
        <f t="shared" si="4"/>
        <v>0</v>
      </c>
      <c r="P67" s="1306">
        <f t="shared" si="5"/>
        <v>6</v>
      </c>
    </row>
    <row r="68" spans="1:16">
      <c r="A68" s="1294"/>
      <c r="B68" s="1288" t="s">
        <v>1425</v>
      </c>
      <c r="C68" s="1286"/>
      <c r="D68" s="1291"/>
      <c r="E68" s="1292">
        <v>7</v>
      </c>
      <c r="F68" s="1292"/>
      <c r="G68" s="1292"/>
      <c r="H68" s="1292"/>
      <c r="I68" s="1293">
        <v>7</v>
      </c>
      <c r="J68" s="1307"/>
      <c r="K68" s="1305" t="str">
        <f t="shared" si="0"/>
        <v xml:space="preserve"> 40 Total</v>
      </c>
      <c r="L68" s="1306">
        <f t="shared" si="1"/>
        <v>0</v>
      </c>
      <c r="M68" s="1306">
        <f t="shared" si="2"/>
        <v>7</v>
      </c>
      <c r="N68" s="1306">
        <f t="shared" si="3"/>
        <v>0</v>
      </c>
      <c r="O68" s="1306">
        <f t="shared" si="4"/>
        <v>0</v>
      </c>
      <c r="P68" s="1306">
        <f t="shared" si="5"/>
        <v>7</v>
      </c>
    </row>
    <row r="69" spans="1:16">
      <c r="A69" s="1288" t="s">
        <v>1426</v>
      </c>
      <c r="B69" s="1286"/>
      <c r="C69" s="1286"/>
      <c r="D69" s="1291"/>
      <c r="E69" s="1292">
        <v>43</v>
      </c>
      <c r="F69" s="1292"/>
      <c r="G69" s="1292"/>
      <c r="H69" s="1292"/>
      <c r="I69" s="1293">
        <v>43</v>
      </c>
      <c r="J69" s="1307"/>
      <c r="K69" s="1305" t="str">
        <f t="shared" si="0"/>
        <v xml:space="preserve">IR Total </v>
      </c>
      <c r="L69" s="1306">
        <f t="shared" si="1"/>
        <v>0</v>
      </c>
      <c r="M69" s="1306">
        <f t="shared" si="2"/>
        <v>43</v>
      </c>
      <c r="N69" s="1306">
        <f t="shared" si="3"/>
        <v>0</v>
      </c>
      <c r="O69" s="1306">
        <f t="shared" si="4"/>
        <v>0</v>
      </c>
      <c r="P69" s="1306">
        <f t="shared" si="5"/>
        <v>43</v>
      </c>
    </row>
    <row r="70" spans="1:16">
      <c r="A70" s="1288" t="s">
        <v>434</v>
      </c>
      <c r="B70" s="1288">
        <v>0.16</v>
      </c>
      <c r="C70" s="1288" t="s">
        <v>1402</v>
      </c>
      <c r="D70" s="1291"/>
      <c r="E70" s="1292"/>
      <c r="F70" s="1292">
        <v>111</v>
      </c>
      <c r="G70" s="1292"/>
      <c r="H70" s="1292">
        <v>1</v>
      </c>
      <c r="I70" s="1293">
        <v>112</v>
      </c>
      <c r="J70" s="1307"/>
      <c r="K70" s="1305" t="str">
        <f t="shared" ref="K70:K107" si="6">+A70&amp;" "&amp;B70</f>
        <v>RC 0.16</v>
      </c>
      <c r="L70" s="1306">
        <f t="shared" ref="L70:L107" si="7">SUM(D70)</f>
        <v>0</v>
      </c>
      <c r="M70" s="1306">
        <f t="shared" ref="M70:M107" si="8">SUM(E70)</f>
        <v>0</v>
      </c>
      <c r="N70" s="1306">
        <f t="shared" ref="N70:N107" si="9">SUM(F70)</f>
        <v>111</v>
      </c>
      <c r="O70" s="1306">
        <f t="shared" ref="O70:O107" si="10">SUM(G70:H70)</f>
        <v>1</v>
      </c>
      <c r="P70" s="1306">
        <f t="shared" ref="P70:P107" si="11">SUM(L70:O70)</f>
        <v>112</v>
      </c>
    </row>
    <row r="71" spans="1:16">
      <c r="A71" s="1294"/>
      <c r="B71" s="1288" t="s">
        <v>1403</v>
      </c>
      <c r="C71" s="1286"/>
      <c r="D71" s="1291"/>
      <c r="E71" s="1292"/>
      <c r="F71" s="1292">
        <v>111</v>
      </c>
      <c r="G71" s="1292"/>
      <c r="H71" s="1292">
        <v>1</v>
      </c>
      <c r="I71" s="1293">
        <v>112</v>
      </c>
      <c r="J71" s="1307"/>
      <c r="K71" s="1305" t="str">
        <f t="shared" si="6"/>
        <v xml:space="preserve"> 0.16 Total</v>
      </c>
      <c r="L71" s="1306">
        <f t="shared" si="7"/>
        <v>0</v>
      </c>
      <c r="M71" s="1306">
        <f t="shared" si="8"/>
        <v>0</v>
      </c>
      <c r="N71" s="1306">
        <f t="shared" si="9"/>
        <v>111</v>
      </c>
      <c r="O71" s="1306">
        <f t="shared" si="10"/>
        <v>1</v>
      </c>
      <c r="P71" s="1306">
        <f t="shared" si="11"/>
        <v>112</v>
      </c>
    </row>
    <row r="72" spans="1:16">
      <c r="A72" s="1294"/>
      <c r="B72" s="1288">
        <v>0.3</v>
      </c>
      <c r="C72" s="1288" t="s">
        <v>1402</v>
      </c>
      <c r="D72" s="1291"/>
      <c r="E72" s="1292"/>
      <c r="F72" s="1292">
        <v>980</v>
      </c>
      <c r="G72" s="1292">
        <v>68</v>
      </c>
      <c r="H72" s="1292">
        <v>1</v>
      </c>
      <c r="I72" s="1293">
        <v>1049</v>
      </c>
      <c r="J72" s="1307"/>
      <c r="K72" s="1305" t="str">
        <f t="shared" si="6"/>
        <v xml:space="preserve"> 0.3</v>
      </c>
      <c r="L72" s="1306">
        <f t="shared" si="7"/>
        <v>0</v>
      </c>
      <c r="M72" s="1306">
        <f t="shared" si="8"/>
        <v>0</v>
      </c>
      <c r="N72" s="1306">
        <f t="shared" si="9"/>
        <v>980</v>
      </c>
      <c r="O72" s="1306">
        <f t="shared" si="10"/>
        <v>69</v>
      </c>
      <c r="P72" s="1306">
        <f t="shared" si="11"/>
        <v>1049</v>
      </c>
    </row>
    <row r="73" spans="1:16">
      <c r="A73" s="1294"/>
      <c r="B73" s="1288" t="s">
        <v>1404</v>
      </c>
      <c r="C73" s="1286"/>
      <c r="D73" s="1291"/>
      <c r="E73" s="1292"/>
      <c r="F73" s="1292">
        <v>980</v>
      </c>
      <c r="G73" s="1292">
        <v>68</v>
      </c>
      <c r="H73" s="1292">
        <v>1</v>
      </c>
      <c r="I73" s="1293">
        <v>1049</v>
      </c>
      <c r="J73" s="1307"/>
      <c r="K73" s="1305" t="str">
        <f t="shared" si="6"/>
        <v xml:space="preserve"> 0.3 Total</v>
      </c>
      <c r="L73" s="1306">
        <f t="shared" si="7"/>
        <v>0</v>
      </c>
      <c r="M73" s="1306">
        <f t="shared" si="8"/>
        <v>0</v>
      </c>
      <c r="N73" s="1306">
        <f t="shared" si="9"/>
        <v>980</v>
      </c>
      <c r="O73" s="1306">
        <f t="shared" si="10"/>
        <v>69</v>
      </c>
      <c r="P73" s="1306">
        <f t="shared" si="11"/>
        <v>1049</v>
      </c>
    </row>
    <row r="74" spans="1:16">
      <c r="A74" s="1294"/>
      <c r="B74" s="1288">
        <v>0.45</v>
      </c>
      <c r="C74" s="1288" t="s">
        <v>1402</v>
      </c>
      <c r="D74" s="1291"/>
      <c r="E74" s="1292"/>
      <c r="F74" s="1292">
        <v>9674</v>
      </c>
      <c r="G74" s="1292">
        <v>274</v>
      </c>
      <c r="H74" s="1292">
        <v>143</v>
      </c>
      <c r="I74" s="1293">
        <v>10091</v>
      </c>
      <c r="J74" s="1307"/>
      <c r="K74" s="1305" t="str">
        <f t="shared" si="6"/>
        <v xml:space="preserve"> 0.45</v>
      </c>
      <c r="L74" s="1306">
        <f t="shared" si="7"/>
        <v>0</v>
      </c>
      <c r="M74" s="1306">
        <f t="shared" si="8"/>
        <v>0</v>
      </c>
      <c r="N74" s="1306">
        <f t="shared" si="9"/>
        <v>9674</v>
      </c>
      <c r="O74" s="1306">
        <f t="shared" si="10"/>
        <v>417</v>
      </c>
      <c r="P74" s="1306">
        <f t="shared" si="11"/>
        <v>10091</v>
      </c>
    </row>
    <row r="75" spans="1:16">
      <c r="A75" s="1294"/>
      <c r="B75" s="1288" t="s">
        <v>1405</v>
      </c>
      <c r="C75" s="1286"/>
      <c r="D75" s="1291"/>
      <c r="E75" s="1292"/>
      <c r="F75" s="1292">
        <v>9674</v>
      </c>
      <c r="G75" s="1292">
        <v>274</v>
      </c>
      <c r="H75" s="1292">
        <v>143</v>
      </c>
      <c r="I75" s="1293">
        <v>10091</v>
      </c>
      <c r="J75" s="1307"/>
      <c r="K75" s="1305" t="str">
        <f t="shared" si="6"/>
        <v xml:space="preserve"> 0.45 Total</v>
      </c>
      <c r="L75" s="1306">
        <f t="shared" si="7"/>
        <v>0</v>
      </c>
      <c r="M75" s="1306">
        <f t="shared" si="8"/>
        <v>0</v>
      </c>
      <c r="N75" s="1306">
        <f t="shared" si="9"/>
        <v>9674</v>
      </c>
      <c r="O75" s="1306">
        <f t="shared" si="10"/>
        <v>417</v>
      </c>
      <c r="P75" s="1306">
        <f t="shared" si="11"/>
        <v>10091</v>
      </c>
    </row>
    <row r="76" spans="1:16">
      <c r="A76" s="1288" t="s">
        <v>1427</v>
      </c>
      <c r="B76" s="1286"/>
      <c r="C76" s="1286"/>
      <c r="D76" s="1291"/>
      <c r="E76" s="1292"/>
      <c r="F76" s="1292">
        <v>10765</v>
      </c>
      <c r="G76" s="1292">
        <v>342</v>
      </c>
      <c r="H76" s="1292">
        <v>145</v>
      </c>
      <c r="I76" s="1293">
        <v>11252</v>
      </c>
      <c r="J76" s="1307"/>
      <c r="K76" s="1305" t="str">
        <f t="shared" si="6"/>
        <v xml:space="preserve">RC Total </v>
      </c>
      <c r="L76" s="1306">
        <f t="shared" si="7"/>
        <v>0</v>
      </c>
      <c r="M76" s="1306">
        <f t="shared" si="8"/>
        <v>0</v>
      </c>
      <c r="N76" s="1306">
        <f t="shared" si="9"/>
        <v>10765</v>
      </c>
      <c r="O76" s="1306">
        <f t="shared" si="10"/>
        <v>487</v>
      </c>
      <c r="P76" s="1306">
        <f t="shared" si="11"/>
        <v>11252</v>
      </c>
    </row>
    <row r="77" spans="1:16">
      <c r="A77" s="1288" t="s">
        <v>430</v>
      </c>
      <c r="B77" s="1288">
        <v>20</v>
      </c>
      <c r="C77" s="1288" t="s">
        <v>1412</v>
      </c>
      <c r="D77" s="1291"/>
      <c r="E77" s="1292">
        <v>5</v>
      </c>
      <c r="F77" s="1292"/>
      <c r="G77" s="1292"/>
      <c r="H77" s="1292"/>
      <c r="I77" s="1293">
        <v>5</v>
      </c>
      <c r="J77" s="1307"/>
      <c r="K77" s="1305" t="str">
        <f t="shared" si="6"/>
        <v>RO 20</v>
      </c>
      <c r="L77" s="1306">
        <f t="shared" si="7"/>
        <v>0</v>
      </c>
      <c r="M77" s="1306">
        <f t="shared" si="8"/>
        <v>5</v>
      </c>
      <c r="N77" s="1306">
        <f t="shared" si="9"/>
        <v>0</v>
      </c>
      <c r="O77" s="1306">
        <f t="shared" si="10"/>
        <v>0</v>
      </c>
      <c r="P77" s="1306">
        <f t="shared" si="11"/>
        <v>5</v>
      </c>
    </row>
    <row r="78" spans="1:16">
      <c r="A78" s="1294"/>
      <c r="B78" s="1288" t="s">
        <v>1422</v>
      </c>
      <c r="C78" s="1286"/>
      <c r="D78" s="1291"/>
      <c r="E78" s="1292">
        <v>5</v>
      </c>
      <c r="F78" s="1292"/>
      <c r="G78" s="1292"/>
      <c r="H78" s="1292"/>
      <c r="I78" s="1293">
        <v>5</v>
      </c>
      <c r="J78" s="1307"/>
      <c r="K78" s="1305" t="str">
        <f t="shared" si="6"/>
        <v xml:space="preserve"> 20 Total</v>
      </c>
      <c r="L78" s="1306">
        <f t="shared" si="7"/>
        <v>0</v>
      </c>
      <c r="M78" s="1306">
        <f t="shared" si="8"/>
        <v>5</v>
      </c>
      <c r="N78" s="1306">
        <f t="shared" si="9"/>
        <v>0</v>
      </c>
      <c r="O78" s="1306">
        <f t="shared" si="10"/>
        <v>0</v>
      </c>
      <c r="P78" s="1306">
        <f t="shared" si="11"/>
        <v>5</v>
      </c>
    </row>
    <row r="79" spans="1:16">
      <c r="A79" s="1294"/>
      <c r="B79" s="1288">
        <v>25</v>
      </c>
      <c r="C79" s="1288" t="s">
        <v>1412</v>
      </c>
      <c r="D79" s="1291"/>
      <c r="E79" s="1292">
        <v>1</v>
      </c>
      <c r="F79" s="1292"/>
      <c r="G79" s="1292"/>
      <c r="H79" s="1292"/>
      <c r="I79" s="1293">
        <v>1</v>
      </c>
      <c r="J79" s="1307"/>
      <c r="K79" s="1305" t="str">
        <f t="shared" si="6"/>
        <v xml:space="preserve"> 25</v>
      </c>
      <c r="L79" s="1306">
        <f t="shared" si="7"/>
        <v>0</v>
      </c>
      <c r="M79" s="1306">
        <f t="shared" si="8"/>
        <v>1</v>
      </c>
      <c r="N79" s="1306">
        <f t="shared" si="9"/>
        <v>0</v>
      </c>
      <c r="O79" s="1306">
        <f t="shared" si="10"/>
        <v>0</v>
      </c>
      <c r="P79" s="1306">
        <f t="shared" si="11"/>
        <v>1</v>
      </c>
    </row>
    <row r="80" spans="1:16">
      <c r="A80" s="1294"/>
      <c r="B80" s="1288" t="s">
        <v>1423</v>
      </c>
      <c r="C80" s="1286"/>
      <c r="D80" s="1291"/>
      <c r="E80" s="1292">
        <v>1</v>
      </c>
      <c r="F80" s="1292"/>
      <c r="G80" s="1292"/>
      <c r="H80" s="1292"/>
      <c r="I80" s="1293">
        <v>1</v>
      </c>
      <c r="J80" s="1307"/>
      <c r="K80" s="1305" t="str">
        <f t="shared" si="6"/>
        <v xml:space="preserve"> 25 Total</v>
      </c>
      <c r="L80" s="1306">
        <f t="shared" si="7"/>
        <v>0</v>
      </c>
      <c r="M80" s="1306">
        <f t="shared" si="8"/>
        <v>1</v>
      </c>
      <c r="N80" s="1306">
        <f t="shared" si="9"/>
        <v>0</v>
      </c>
      <c r="O80" s="1306">
        <f t="shared" si="10"/>
        <v>0</v>
      </c>
      <c r="P80" s="1306">
        <f t="shared" si="11"/>
        <v>1</v>
      </c>
    </row>
    <row r="81" spans="1:16">
      <c r="A81" s="1294"/>
      <c r="B81" s="1288">
        <v>30</v>
      </c>
      <c r="C81" s="1288" t="s">
        <v>1412</v>
      </c>
      <c r="D81" s="1291"/>
      <c r="E81" s="1292">
        <v>5</v>
      </c>
      <c r="F81" s="1292"/>
      <c r="G81" s="1292"/>
      <c r="H81" s="1292"/>
      <c r="I81" s="1293">
        <v>5</v>
      </c>
      <c r="J81" s="1307"/>
      <c r="K81" s="1305" t="str">
        <f t="shared" si="6"/>
        <v xml:space="preserve"> 30</v>
      </c>
      <c r="L81" s="1306">
        <f t="shared" si="7"/>
        <v>0</v>
      </c>
      <c r="M81" s="1306">
        <f t="shared" si="8"/>
        <v>5</v>
      </c>
      <c r="N81" s="1306">
        <f t="shared" si="9"/>
        <v>0</v>
      </c>
      <c r="O81" s="1306">
        <f t="shared" si="10"/>
        <v>0</v>
      </c>
      <c r="P81" s="1306">
        <f t="shared" si="11"/>
        <v>5</v>
      </c>
    </row>
    <row r="82" spans="1:16">
      <c r="A82" s="1294"/>
      <c r="B82" s="1294"/>
      <c r="C82" s="1295" t="s">
        <v>1402</v>
      </c>
      <c r="D82" s="1296"/>
      <c r="E82" s="1054">
        <v>2</v>
      </c>
      <c r="F82" s="1054"/>
      <c r="G82" s="1054"/>
      <c r="H82" s="1054"/>
      <c r="I82" s="1297">
        <v>2</v>
      </c>
      <c r="J82" s="1307"/>
      <c r="K82" s="1305" t="str">
        <f t="shared" si="6"/>
        <v xml:space="preserve"> </v>
      </c>
      <c r="L82" s="1306">
        <f t="shared" si="7"/>
        <v>0</v>
      </c>
      <c r="M82" s="1306">
        <f t="shared" si="8"/>
        <v>2</v>
      </c>
      <c r="N82" s="1306">
        <f t="shared" si="9"/>
        <v>0</v>
      </c>
      <c r="O82" s="1306">
        <f t="shared" si="10"/>
        <v>0</v>
      </c>
      <c r="P82" s="1306">
        <f t="shared" si="11"/>
        <v>2</v>
      </c>
    </row>
    <row r="83" spans="1:16">
      <c r="A83" s="1294"/>
      <c r="B83" s="1288" t="s">
        <v>1424</v>
      </c>
      <c r="C83" s="1286"/>
      <c r="D83" s="1291"/>
      <c r="E83" s="1292">
        <v>7</v>
      </c>
      <c r="F83" s="1292"/>
      <c r="G83" s="1292"/>
      <c r="H83" s="1292"/>
      <c r="I83" s="1293">
        <v>7</v>
      </c>
      <c r="J83" s="1307"/>
      <c r="K83" s="1305" t="str">
        <f t="shared" si="6"/>
        <v xml:space="preserve"> 30 Total</v>
      </c>
      <c r="L83" s="1306">
        <f t="shared" si="7"/>
        <v>0</v>
      </c>
      <c r="M83" s="1306">
        <f t="shared" si="8"/>
        <v>7</v>
      </c>
      <c r="N83" s="1306">
        <f t="shared" si="9"/>
        <v>0</v>
      </c>
      <c r="O83" s="1306">
        <f t="shared" si="10"/>
        <v>0</v>
      </c>
      <c r="P83" s="1306">
        <f t="shared" si="11"/>
        <v>7</v>
      </c>
    </row>
    <row r="84" spans="1:16">
      <c r="A84" s="1294"/>
      <c r="B84" s="1288">
        <v>40</v>
      </c>
      <c r="C84" s="1288" t="s">
        <v>1402</v>
      </c>
      <c r="D84" s="1291"/>
      <c r="E84" s="1292">
        <v>6</v>
      </c>
      <c r="F84" s="1292"/>
      <c r="G84" s="1292"/>
      <c r="H84" s="1292"/>
      <c r="I84" s="1293">
        <v>6</v>
      </c>
      <c r="J84" s="1307"/>
      <c r="K84" s="1305" t="str">
        <f t="shared" si="6"/>
        <v xml:space="preserve"> 40</v>
      </c>
      <c r="L84" s="1306">
        <f t="shared" si="7"/>
        <v>0</v>
      </c>
      <c r="M84" s="1306">
        <f t="shared" si="8"/>
        <v>6</v>
      </c>
      <c r="N84" s="1306">
        <f t="shared" si="9"/>
        <v>0</v>
      </c>
      <c r="O84" s="1306">
        <f t="shared" si="10"/>
        <v>0</v>
      </c>
      <c r="P84" s="1306">
        <f t="shared" si="11"/>
        <v>6</v>
      </c>
    </row>
    <row r="85" spans="1:16">
      <c r="A85" s="1294"/>
      <c r="B85" s="1288" t="s">
        <v>1425</v>
      </c>
      <c r="C85" s="1286"/>
      <c r="D85" s="1291"/>
      <c r="E85" s="1292">
        <v>6</v>
      </c>
      <c r="F85" s="1292"/>
      <c r="G85" s="1292"/>
      <c r="H85" s="1292"/>
      <c r="I85" s="1293">
        <v>6</v>
      </c>
      <c r="J85" s="1307"/>
      <c r="K85" s="1305" t="str">
        <f t="shared" si="6"/>
        <v xml:space="preserve"> 40 Total</v>
      </c>
      <c r="L85" s="1306">
        <f t="shared" si="7"/>
        <v>0</v>
      </c>
      <c r="M85" s="1306">
        <f t="shared" si="8"/>
        <v>6</v>
      </c>
      <c r="N85" s="1306">
        <f t="shared" si="9"/>
        <v>0</v>
      </c>
      <c r="O85" s="1306">
        <f t="shared" si="10"/>
        <v>0</v>
      </c>
      <c r="P85" s="1306">
        <f t="shared" si="11"/>
        <v>6</v>
      </c>
    </row>
    <row r="86" spans="1:16">
      <c r="A86" s="1288" t="s">
        <v>1428</v>
      </c>
      <c r="B86" s="1286"/>
      <c r="C86" s="1286"/>
      <c r="D86" s="1291"/>
      <c r="E86" s="1292">
        <v>19</v>
      </c>
      <c r="F86" s="1292"/>
      <c r="G86" s="1292"/>
      <c r="H86" s="1292"/>
      <c r="I86" s="1293">
        <v>19</v>
      </c>
      <c r="J86" s="1307"/>
      <c r="K86" s="1305" t="str">
        <f t="shared" si="6"/>
        <v xml:space="preserve">RO Total </v>
      </c>
      <c r="L86" s="1306">
        <f t="shared" si="7"/>
        <v>0</v>
      </c>
      <c r="M86" s="1306">
        <f t="shared" si="8"/>
        <v>19</v>
      </c>
      <c r="N86" s="1306">
        <f t="shared" si="9"/>
        <v>0</v>
      </c>
      <c r="O86" s="1306">
        <f t="shared" si="10"/>
        <v>0</v>
      </c>
      <c r="P86" s="1306">
        <f t="shared" si="11"/>
        <v>19</v>
      </c>
    </row>
    <row r="87" spans="1:16">
      <c r="A87" s="1288" t="s">
        <v>680</v>
      </c>
      <c r="B87" s="1288">
        <v>2</v>
      </c>
      <c r="C87" s="1288" t="s">
        <v>1402</v>
      </c>
      <c r="D87" s="1291"/>
      <c r="E87" s="1292"/>
      <c r="F87" s="1292"/>
      <c r="G87" s="1292">
        <v>1</v>
      </c>
      <c r="H87" s="1292"/>
      <c r="I87" s="1293">
        <v>1</v>
      </c>
      <c r="J87" s="1307"/>
      <c r="K87" s="1305" t="str">
        <f t="shared" si="6"/>
        <v>RR 2</v>
      </c>
      <c r="L87" s="1306">
        <f t="shared" si="7"/>
        <v>0</v>
      </c>
      <c r="M87" s="1306">
        <f t="shared" si="8"/>
        <v>0</v>
      </c>
      <c r="N87" s="1306">
        <f t="shared" si="9"/>
        <v>0</v>
      </c>
      <c r="O87" s="1306">
        <f t="shared" si="10"/>
        <v>1</v>
      </c>
      <c r="P87" s="1306">
        <f t="shared" si="11"/>
        <v>1</v>
      </c>
    </row>
    <row r="88" spans="1:16">
      <c r="A88" s="1294"/>
      <c r="B88" s="1288" t="s">
        <v>1411</v>
      </c>
      <c r="C88" s="1286"/>
      <c r="D88" s="1291"/>
      <c r="E88" s="1292"/>
      <c r="F88" s="1292"/>
      <c r="G88" s="1292">
        <v>1</v>
      </c>
      <c r="H88" s="1292"/>
      <c r="I88" s="1293">
        <v>1</v>
      </c>
      <c r="J88" s="1307"/>
      <c r="K88" s="1305" t="str">
        <f t="shared" si="6"/>
        <v xml:space="preserve"> 2 Total</v>
      </c>
      <c r="L88" s="1306">
        <f t="shared" si="7"/>
        <v>0</v>
      </c>
      <c r="M88" s="1306">
        <f t="shared" si="8"/>
        <v>0</v>
      </c>
      <c r="N88" s="1306">
        <f t="shared" si="9"/>
        <v>0</v>
      </c>
      <c r="O88" s="1306">
        <f t="shared" si="10"/>
        <v>1</v>
      </c>
      <c r="P88" s="1306">
        <f t="shared" si="11"/>
        <v>1</v>
      </c>
    </row>
    <row r="89" spans="1:16">
      <c r="A89" s="1294"/>
      <c r="B89" s="1288">
        <v>4</v>
      </c>
      <c r="C89" s="1288" t="s">
        <v>1402</v>
      </c>
      <c r="D89" s="1291"/>
      <c r="E89" s="1292"/>
      <c r="F89" s="1292"/>
      <c r="G89" s="1292">
        <v>1</v>
      </c>
      <c r="H89" s="1292"/>
      <c r="I89" s="1293">
        <v>1</v>
      </c>
      <c r="J89" s="1307"/>
      <c r="K89" s="1305" t="str">
        <f t="shared" si="6"/>
        <v xml:space="preserve"> 4</v>
      </c>
      <c r="L89" s="1306">
        <f t="shared" si="7"/>
        <v>0</v>
      </c>
      <c r="M89" s="1306">
        <f t="shared" si="8"/>
        <v>0</v>
      </c>
      <c r="N89" s="1306">
        <f t="shared" si="9"/>
        <v>0</v>
      </c>
      <c r="O89" s="1306">
        <f t="shared" si="10"/>
        <v>1</v>
      </c>
      <c r="P89" s="1306">
        <f t="shared" si="11"/>
        <v>1</v>
      </c>
    </row>
    <row r="90" spans="1:16">
      <c r="A90" s="1294"/>
      <c r="B90" s="1288" t="s">
        <v>1414</v>
      </c>
      <c r="C90" s="1286"/>
      <c r="D90" s="1291"/>
      <c r="E90" s="1292"/>
      <c r="F90" s="1292"/>
      <c r="G90" s="1292">
        <v>1</v>
      </c>
      <c r="H90" s="1292"/>
      <c r="I90" s="1293">
        <v>1</v>
      </c>
      <c r="J90" s="1307"/>
      <c r="K90" s="1305" t="str">
        <f t="shared" si="6"/>
        <v xml:space="preserve"> 4 Total</v>
      </c>
      <c r="L90" s="1306">
        <f t="shared" si="7"/>
        <v>0</v>
      </c>
      <c r="M90" s="1306">
        <f t="shared" si="8"/>
        <v>0</v>
      </c>
      <c r="N90" s="1306">
        <f t="shared" si="9"/>
        <v>0</v>
      </c>
      <c r="O90" s="1306">
        <f t="shared" si="10"/>
        <v>1</v>
      </c>
      <c r="P90" s="1306">
        <f t="shared" si="11"/>
        <v>1</v>
      </c>
    </row>
    <row r="91" spans="1:16">
      <c r="A91" s="1294"/>
      <c r="B91" s="1288">
        <v>6</v>
      </c>
      <c r="C91" s="1288" t="s">
        <v>1402</v>
      </c>
      <c r="D91" s="1291"/>
      <c r="E91" s="1292"/>
      <c r="F91" s="1292"/>
      <c r="G91" s="1292">
        <v>1</v>
      </c>
      <c r="H91" s="1292"/>
      <c r="I91" s="1293">
        <v>1</v>
      </c>
      <c r="J91" s="1307"/>
      <c r="K91" s="1305" t="str">
        <f t="shared" si="6"/>
        <v xml:space="preserve"> 6</v>
      </c>
      <c r="L91" s="1306">
        <f t="shared" si="7"/>
        <v>0</v>
      </c>
      <c r="M91" s="1306">
        <f t="shared" si="8"/>
        <v>0</v>
      </c>
      <c r="N91" s="1306">
        <f t="shared" si="9"/>
        <v>0</v>
      </c>
      <c r="O91" s="1306">
        <f t="shared" si="10"/>
        <v>1</v>
      </c>
      <c r="P91" s="1306">
        <f t="shared" si="11"/>
        <v>1</v>
      </c>
    </row>
    <row r="92" spans="1:16">
      <c r="A92" s="1294"/>
      <c r="B92" s="1288" t="s">
        <v>1415</v>
      </c>
      <c r="C92" s="1286"/>
      <c r="D92" s="1291"/>
      <c r="E92" s="1292"/>
      <c r="F92" s="1292"/>
      <c r="G92" s="1292">
        <v>1</v>
      </c>
      <c r="H92" s="1292"/>
      <c r="I92" s="1293">
        <v>1</v>
      </c>
      <c r="J92" s="1307"/>
      <c r="K92" s="1305" t="str">
        <f t="shared" si="6"/>
        <v xml:space="preserve"> 6 Total</v>
      </c>
      <c r="L92" s="1306">
        <f t="shared" si="7"/>
        <v>0</v>
      </c>
      <c r="M92" s="1306">
        <f t="shared" si="8"/>
        <v>0</v>
      </c>
      <c r="N92" s="1306">
        <f t="shared" si="9"/>
        <v>0</v>
      </c>
      <c r="O92" s="1306">
        <f t="shared" si="10"/>
        <v>1</v>
      </c>
      <c r="P92" s="1306">
        <f t="shared" si="11"/>
        <v>1</v>
      </c>
    </row>
    <row r="93" spans="1:16">
      <c r="A93" s="1288" t="s">
        <v>1429</v>
      </c>
      <c r="B93" s="1286"/>
      <c r="C93" s="1286"/>
      <c r="D93" s="1291"/>
      <c r="E93" s="1292"/>
      <c r="F93" s="1292"/>
      <c r="G93" s="1292">
        <v>3</v>
      </c>
      <c r="H93" s="1292"/>
      <c r="I93" s="1293">
        <v>3</v>
      </c>
      <c r="J93" s="1307"/>
      <c r="K93" s="1305" t="str">
        <f t="shared" si="6"/>
        <v xml:space="preserve">RR Total </v>
      </c>
      <c r="L93" s="1306">
        <f t="shared" si="7"/>
        <v>0</v>
      </c>
      <c r="M93" s="1306">
        <f t="shared" si="8"/>
        <v>0</v>
      </c>
      <c r="N93" s="1306">
        <f t="shared" si="9"/>
        <v>0</v>
      </c>
      <c r="O93" s="1306">
        <f t="shared" si="10"/>
        <v>3</v>
      </c>
      <c r="P93" s="1306">
        <f t="shared" si="11"/>
        <v>3</v>
      </c>
    </row>
    <row r="94" spans="1:16">
      <c r="A94" s="1288" t="s">
        <v>1432</v>
      </c>
      <c r="B94" s="1288">
        <v>0</v>
      </c>
      <c r="C94" s="1288" t="s">
        <v>1402</v>
      </c>
      <c r="D94" s="1291">
        <v>2101</v>
      </c>
      <c r="E94" s="1292">
        <v>286</v>
      </c>
      <c r="F94" s="1292"/>
      <c r="G94" s="1292">
        <v>227</v>
      </c>
      <c r="H94" s="1292">
        <v>130</v>
      </c>
      <c r="I94" s="1293">
        <v>2744</v>
      </c>
      <c r="J94" s="1307"/>
      <c r="K94" s="1305" t="str">
        <f t="shared" si="6"/>
        <v>UN 0</v>
      </c>
      <c r="L94" s="1306">
        <f t="shared" si="7"/>
        <v>2101</v>
      </c>
      <c r="M94" s="1306">
        <f t="shared" si="8"/>
        <v>286</v>
      </c>
      <c r="N94" s="1306">
        <f t="shared" si="9"/>
        <v>0</v>
      </c>
      <c r="O94" s="1306">
        <f t="shared" si="10"/>
        <v>357</v>
      </c>
      <c r="P94" s="1306">
        <f t="shared" si="11"/>
        <v>2744</v>
      </c>
    </row>
    <row r="95" spans="1:16">
      <c r="A95" s="1294"/>
      <c r="B95" s="1288" t="s">
        <v>1433</v>
      </c>
      <c r="C95" s="1286"/>
      <c r="D95" s="1291">
        <v>2101</v>
      </c>
      <c r="E95" s="1292">
        <v>286</v>
      </c>
      <c r="F95" s="1292"/>
      <c r="G95" s="1292">
        <v>227</v>
      </c>
      <c r="H95" s="1292">
        <v>130</v>
      </c>
      <c r="I95" s="1293">
        <v>2744</v>
      </c>
      <c r="J95" s="1307"/>
      <c r="K95" s="1305" t="str">
        <f t="shared" si="6"/>
        <v xml:space="preserve"> 0 Total</v>
      </c>
      <c r="L95" s="1306">
        <f t="shared" si="7"/>
        <v>2101</v>
      </c>
      <c r="M95" s="1306">
        <f t="shared" si="8"/>
        <v>286</v>
      </c>
      <c r="N95" s="1306">
        <f t="shared" si="9"/>
        <v>0</v>
      </c>
      <c r="O95" s="1306">
        <f t="shared" si="10"/>
        <v>357</v>
      </c>
      <c r="P95" s="1306">
        <f t="shared" si="11"/>
        <v>2744</v>
      </c>
    </row>
    <row r="96" spans="1:16">
      <c r="A96" s="1288" t="s">
        <v>1434</v>
      </c>
      <c r="B96" s="1286"/>
      <c r="C96" s="1286"/>
      <c r="D96" s="1291">
        <v>2101</v>
      </c>
      <c r="E96" s="1292">
        <v>286</v>
      </c>
      <c r="F96" s="1292"/>
      <c r="G96" s="1292">
        <v>227</v>
      </c>
      <c r="H96" s="1292">
        <v>130</v>
      </c>
      <c r="I96" s="1293">
        <v>2744</v>
      </c>
      <c r="J96" s="1307"/>
      <c r="K96" s="1305" t="str">
        <f t="shared" si="6"/>
        <v xml:space="preserve">UN Total </v>
      </c>
      <c r="L96" s="1306">
        <f t="shared" si="7"/>
        <v>2101</v>
      </c>
      <c r="M96" s="1306">
        <f t="shared" si="8"/>
        <v>286</v>
      </c>
      <c r="N96" s="1306">
        <f t="shared" si="9"/>
        <v>0</v>
      </c>
      <c r="O96" s="1306">
        <f t="shared" si="10"/>
        <v>357</v>
      </c>
      <c r="P96" s="1306">
        <f t="shared" si="11"/>
        <v>2744</v>
      </c>
    </row>
    <row r="97" spans="1:16">
      <c r="A97" s="1288" t="s">
        <v>427</v>
      </c>
      <c r="B97" s="1288">
        <v>0.16</v>
      </c>
      <c r="C97" s="1288" t="s">
        <v>1402</v>
      </c>
      <c r="D97" s="1291"/>
      <c r="E97" s="1292"/>
      <c r="F97" s="1292">
        <v>716</v>
      </c>
      <c r="G97" s="1292"/>
      <c r="H97" s="1292"/>
      <c r="I97" s="1293">
        <v>716</v>
      </c>
      <c r="J97" s="1307"/>
      <c r="K97" s="1305" t="str">
        <f t="shared" si="6"/>
        <v>YC 0.16</v>
      </c>
      <c r="L97" s="1306">
        <f t="shared" si="7"/>
        <v>0</v>
      </c>
      <c r="M97" s="1306">
        <f t="shared" si="8"/>
        <v>0</v>
      </c>
      <c r="N97" s="1306">
        <f t="shared" si="9"/>
        <v>716</v>
      </c>
      <c r="O97" s="1306">
        <f t="shared" si="10"/>
        <v>0</v>
      </c>
      <c r="P97" s="1306">
        <f t="shared" si="11"/>
        <v>716</v>
      </c>
    </row>
    <row r="98" spans="1:16">
      <c r="A98" s="1294"/>
      <c r="B98" s="1288" t="s">
        <v>1403</v>
      </c>
      <c r="C98" s="1286"/>
      <c r="D98" s="1291"/>
      <c r="E98" s="1292"/>
      <c r="F98" s="1292">
        <v>716</v>
      </c>
      <c r="G98" s="1292"/>
      <c r="H98" s="1292"/>
      <c r="I98" s="1293">
        <v>716</v>
      </c>
      <c r="J98" s="1307"/>
      <c r="K98" s="1305" t="str">
        <f t="shared" si="6"/>
        <v xml:space="preserve"> 0.16 Total</v>
      </c>
      <c r="L98" s="1306">
        <f t="shared" si="7"/>
        <v>0</v>
      </c>
      <c r="M98" s="1306">
        <f t="shared" si="8"/>
        <v>0</v>
      </c>
      <c r="N98" s="1306">
        <f t="shared" si="9"/>
        <v>716</v>
      </c>
      <c r="O98" s="1306">
        <f t="shared" si="10"/>
        <v>0</v>
      </c>
      <c r="P98" s="1306">
        <f t="shared" si="11"/>
        <v>716</v>
      </c>
    </row>
    <row r="99" spans="1:16">
      <c r="A99" s="1294"/>
      <c r="B99" s="1288">
        <v>0.3</v>
      </c>
      <c r="C99" s="1288" t="s">
        <v>1402</v>
      </c>
      <c r="D99" s="1291"/>
      <c r="E99" s="1292"/>
      <c r="F99" s="1292">
        <v>28</v>
      </c>
      <c r="G99" s="1292"/>
      <c r="H99" s="1292"/>
      <c r="I99" s="1293">
        <v>28</v>
      </c>
      <c r="J99" s="1307"/>
      <c r="K99" s="1305" t="str">
        <f t="shared" si="6"/>
        <v xml:space="preserve"> 0.3</v>
      </c>
      <c r="L99" s="1306">
        <f t="shared" si="7"/>
        <v>0</v>
      </c>
      <c r="M99" s="1306">
        <f t="shared" si="8"/>
        <v>0</v>
      </c>
      <c r="N99" s="1306">
        <f t="shared" si="9"/>
        <v>28</v>
      </c>
      <c r="O99" s="1306">
        <f t="shared" si="10"/>
        <v>0</v>
      </c>
      <c r="P99" s="1306">
        <f t="shared" si="11"/>
        <v>28</v>
      </c>
    </row>
    <row r="100" spans="1:16">
      <c r="A100" s="1294"/>
      <c r="B100" s="1288" t="s">
        <v>1404</v>
      </c>
      <c r="C100" s="1286"/>
      <c r="D100" s="1291"/>
      <c r="E100" s="1292"/>
      <c r="F100" s="1292">
        <v>28</v>
      </c>
      <c r="G100" s="1292"/>
      <c r="H100" s="1292"/>
      <c r="I100" s="1293">
        <v>28</v>
      </c>
      <c r="J100" s="1307"/>
      <c r="K100" s="1305" t="str">
        <f t="shared" si="6"/>
        <v xml:space="preserve"> 0.3 Total</v>
      </c>
      <c r="L100" s="1306">
        <f t="shared" si="7"/>
        <v>0</v>
      </c>
      <c r="M100" s="1306">
        <f t="shared" si="8"/>
        <v>0</v>
      </c>
      <c r="N100" s="1306">
        <f t="shared" si="9"/>
        <v>28</v>
      </c>
      <c r="O100" s="1306">
        <f t="shared" si="10"/>
        <v>0</v>
      </c>
      <c r="P100" s="1306">
        <f t="shared" si="11"/>
        <v>28</v>
      </c>
    </row>
    <row r="101" spans="1:16">
      <c r="A101" s="1294"/>
      <c r="B101" s="1288">
        <v>0.45</v>
      </c>
      <c r="C101" s="1288" t="s">
        <v>1402</v>
      </c>
      <c r="D101" s="1291"/>
      <c r="E101" s="1292"/>
      <c r="F101" s="1292">
        <v>6614</v>
      </c>
      <c r="G101" s="1292"/>
      <c r="H101" s="1292"/>
      <c r="I101" s="1293">
        <v>6614</v>
      </c>
      <c r="J101" s="1307"/>
      <c r="K101" s="1305" t="str">
        <f t="shared" si="6"/>
        <v xml:space="preserve"> 0.45</v>
      </c>
      <c r="L101" s="1306">
        <f t="shared" si="7"/>
        <v>0</v>
      </c>
      <c r="M101" s="1306">
        <f t="shared" si="8"/>
        <v>0</v>
      </c>
      <c r="N101" s="1306">
        <f t="shared" si="9"/>
        <v>6614</v>
      </c>
      <c r="O101" s="1306">
        <f t="shared" si="10"/>
        <v>0</v>
      </c>
      <c r="P101" s="1306">
        <f t="shared" si="11"/>
        <v>6614</v>
      </c>
    </row>
    <row r="102" spans="1:16">
      <c r="A102" s="1294"/>
      <c r="B102" s="1288" t="s">
        <v>1405</v>
      </c>
      <c r="C102" s="1286"/>
      <c r="D102" s="1291"/>
      <c r="E102" s="1292"/>
      <c r="F102" s="1292">
        <v>6614</v>
      </c>
      <c r="G102" s="1292"/>
      <c r="H102" s="1292"/>
      <c r="I102" s="1293">
        <v>6614</v>
      </c>
      <c r="J102" s="1307"/>
      <c r="K102" s="1305" t="str">
        <f t="shared" si="6"/>
        <v xml:space="preserve"> 0.45 Total</v>
      </c>
      <c r="L102" s="1306">
        <f t="shared" si="7"/>
        <v>0</v>
      </c>
      <c r="M102" s="1306">
        <f t="shared" si="8"/>
        <v>0</v>
      </c>
      <c r="N102" s="1306">
        <f t="shared" si="9"/>
        <v>6614</v>
      </c>
      <c r="O102" s="1306">
        <f t="shared" si="10"/>
        <v>0</v>
      </c>
      <c r="P102" s="1306">
        <f t="shared" si="11"/>
        <v>6614</v>
      </c>
    </row>
    <row r="103" spans="1:16">
      <c r="A103" s="1288" t="s">
        <v>1430</v>
      </c>
      <c r="B103" s="1286"/>
      <c r="C103" s="1286"/>
      <c r="D103" s="1291"/>
      <c r="E103" s="1292"/>
      <c r="F103" s="1292">
        <v>7358</v>
      </c>
      <c r="G103" s="1292"/>
      <c r="H103" s="1292"/>
      <c r="I103" s="1293">
        <v>7358</v>
      </c>
      <c r="J103" s="1307"/>
      <c r="K103" s="1305" t="str">
        <f t="shared" si="6"/>
        <v xml:space="preserve">YC Total </v>
      </c>
      <c r="L103" s="1306">
        <f t="shared" si="7"/>
        <v>0</v>
      </c>
      <c r="M103" s="1306">
        <f t="shared" si="8"/>
        <v>0</v>
      </c>
      <c r="N103" s="1306">
        <f t="shared" si="9"/>
        <v>7358</v>
      </c>
      <c r="O103" s="1306">
        <f t="shared" si="10"/>
        <v>0</v>
      </c>
      <c r="P103" s="1306">
        <f t="shared" si="11"/>
        <v>7358</v>
      </c>
    </row>
    <row r="104" spans="1:16">
      <c r="A104" s="1288" t="s">
        <v>436</v>
      </c>
      <c r="B104" s="1288">
        <v>0.45</v>
      </c>
      <c r="C104" s="1288" t="s">
        <v>1402</v>
      </c>
      <c r="D104" s="1291">
        <v>29</v>
      </c>
      <c r="E104" s="1292"/>
      <c r="F104" s="1292">
        <v>3</v>
      </c>
      <c r="G104" s="1292">
        <v>2</v>
      </c>
      <c r="H104" s="1292"/>
      <c r="I104" s="1293">
        <v>34</v>
      </c>
      <c r="J104" s="1307"/>
      <c r="K104" s="1305" t="str">
        <f t="shared" si="6"/>
        <v>YW 0.45</v>
      </c>
      <c r="L104" s="1306">
        <f t="shared" si="7"/>
        <v>29</v>
      </c>
      <c r="M104" s="1306">
        <f t="shared" si="8"/>
        <v>0</v>
      </c>
      <c r="N104" s="1306">
        <f t="shared" si="9"/>
        <v>3</v>
      </c>
      <c r="O104" s="1306">
        <f t="shared" si="10"/>
        <v>2</v>
      </c>
      <c r="P104" s="1306">
        <f t="shared" si="11"/>
        <v>34</v>
      </c>
    </row>
    <row r="105" spans="1:16">
      <c r="A105" s="1294"/>
      <c r="B105" s="1288" t="s">
        <v>1405</v>
      </c>
      <c r="C105" s="1286"/>
      <c r="D105" s="1291">
        <v>29</v>
      </c>
      <c r="E105" s="1292"/>
      <c r="F105" s="1292">
        <v>3</v>
      </c>
      <c r="G105" s="1292">
        <v>2</v>
      </c>
      <c r="H105" s="1292"/>
      <c r="I105" s="1293">
        <v>34</v>
      </c>
      <c r="J105" s="1307"/>
      <c r="K105" s="1305" t="str">
        <f t="shared" si="6"/>
        <v xml:space="preserve"> 0.45 Total</v>
      </c>
      <c r="L105" s="1306">
        <f t="shared" si="7"/>
        <v>29</v>
      </c>
      <c r="M105" s="1306">
        <f t="shared" si="8"/>
        <v>0</v>
      </c>
      <c r="N105" s="1306">
        <f t="shared" si="9"/>
        <v>3</v>
      </c>
      <c r="O105" s="1306">
        <f t="shared" si="10"/>
        <v>2</v>
      </c>
      <c r="P105" s="1306">
        <f t="shared" si="11"/>
        <v>34</v>
      </c>
    </row>
    <row r="106" spans="1:16">
      <c r="A106" s="1288" t="s">
        <v>1431</v>
      </c>
      <c r="B106" s="1286"/>
      <c r="C106" s="1286"/>
      <c r="D106" s="1291">
        <v>29</v>
      </c>
      <c r="E106" s="1292"/>
      <c r="F106" s="1292">
        <v>3</v>
      </c>
      <c r="G106" s="1292">
        <v>2</v>
      </c>
      <c r="H106" s="1292"/>
      <c r="I106" s="1293">
        <v>34</v>
      </c>
      <c r="J106" s="1307"/>
      <c r="K106" s="1305" t="str">
        <f t="shared" si="6"/>
        <v xml:space="preserve">YW Total </v>
      </c>
      <c r="L106" s="1306">
        <f t="shared" si="7"/>
        <v>29</v>
      </c>
      <c r="M106" s="1306">
        <f t="shared" si="8"/>
        <v>0</v>
      </c>
      <c r="N106" s="1306">
        <f t="shared" si="9"/>
        <v>3</v>
      </c>
      <c r="O106" s="1306">
        <f t="shared" si="10"/>
        <v>2</v>
      </c>
      <c r="P106" s="1306">
        <f t="shared" si="11"/>
        <v>34</v>
      </c>
    </row>
    <row r="107" spans="1:16">
      <c r="A107" s="1298" t="s">
        <v>1401</v>
      </c>
      <c r="B107" s="1299"/>
      <c r="C107" s="1299"/>
      <c r="D107" s="1300">
        <v>2687</v>
      </c>
      <c r="E107" s="1301">
        <v>348</v>
      </c>
      <c r="F107" s="1301">
        <v>28869</v>
      </c>
      <c r="G107" s="1301">
        <v>712</v>
      </c>
      <c r="H107" s="1301">
        <v>301</v>
      </c>
      <c r="I107" s="1302">
        <v>32917</v>
      </c>
      <c r="J107" s="1307"/>
      <c r="K107" s="1305" t="str">
        <f t="shared" si="6"/>
        <v xml:space="preserve">Grand Total </v>
      </c>
      <c r="L107" s="1306">
        <f t="shared" si="7"/>
        <v>2687</v>
      </c>
      <c r="M107" s="1306">
        <f t="shared" si="8"/>
        <v>348</v>
      </c>
      <c r="N107" s="1306">
        <f t="shared" si="9"/>
        <v>28869</v>
      </c>
      <c r="O107" s="1306">
        <f t="shared" si="10"/>
        <v>1013</v>
      </c>
      <c r="P107" s="1306">
        <f t="shared" si="11"/>
        <v>32917</v>
      </c>
    </row>
    <row r="108" spans="1:16">
      <c r="K108" s="1237" t="str">
        <f t="shared" ref="K108:K120" si="12">+A108&amp;" "&amp;B108</f>
        <v xml:space="preserve"> </v>
      </c>
    </row>
    <row r="109" spans="1:16">
      <c r="K109" s="1237" t="str">
        <f t="shared" si="12"/>
        <v xml:space="preserve"> </v>
      </c>
    </row>
    <row r="110" spans="1:16">
      <c r="K110" s="1237" t="str">
        <f t="shared" si="12"/>
        <v xml:space="preserve"> </v>
      </c>
    </row>
    <row r="111" spans="1:16">
      <c r="K111" s="1237" t="str">
        <f t="shared" si="12"/>
        <v xml:space="preserve"> </v>
      </c>
    </row>
    <row r="112" spans="1:16">
      <c r="K112" s="1237" t="str">
        <f t="shared" si="12"/>
        <v xml:space="preserve"> </v>
      </c>
    </row>
    <row r="113" spans="11:11">
      <c r="K113" s="1237" t="str">
        <f t="shared" si="12"/>
        <v xml:space="preserve"> </v>
      </c>
    </row>
    <row r="114" spans="11:11">
      <c r="K114" s="1237" t="str">
        <f t="shared" si="12"/>
        <v xml:space="preserve"> </v>
      </c>
    </row>
    <row r="115" spans="11:11">
      <c r="K115" s="1237" t="str">
        <f t="shared" si="12"/>
        <v xml:space="preserve"> </v>
      </c>
    </row>
    <row r="116" spans="11:11">
      <c r="K116" s="1237" t="str">
        <f t="shared" si="12"/>
        <v xml:space="preserve"> </v>
      </c>
    </row>
    <row r="117" spans="11:11">
      <c r="K117" s="1237" t="str">
        <f t="shared" si="12"/>
        <v xml:space="preserve"> </v>
      </c>
    </row>
    <row r="118" spans="11:11">
      <c r="K118" s="1237" t="str">
        <f t="shared" si="12"/>
        <v xml:space="preserve"> </v>
      </c>
    </row>
    <row r="119" spans="11:11">
      <c r="K119" s="1237" t="str">
        <f t="shared" si="12"/>
        <v xml:space="preserve"> </v>
      </c>
    </row>
    <row r="120" spans="11:11">
      <c r="K120" s="1237" t="str">
        <f t="shared" si="12"/>
        <v xml:space="preserve"> </v>
      </c>
    </row>
    <row r="121" spans="11:11">
      <c r="K121" s="1237"/>
    </row>
  </sheetData>
  <mergeCells count="1">
    <mergeCell ref="K2:P2"/>
  </mergeCells>
  <pageMargins left="0.7" right="0.7" top="0.75" bottom="0.75" header="0.3" footer="0.3"/>
  <pageSetup scale="4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7"/>
    <pageSetUpPr fitToPage="1"/>
  </sheetPr>
  <dimension ref="A1:AZ150"/>
  <sheetViews>
    <sheetView workbookViewId="0">
      <selection activeCell="K20" sqref="K20"/>
    </sheetView>
  </sheetViews>
  <sheetFormatPr defaultRowHeight="12.75"/>
  <cols>
    <col min="1" max="1" width="22.5" style="1236" bestFit="1" customWidth="1"/>
    <col min="2" max="2" width="18.1640625" style="1236" bestFit="1" customWidth="1"/>
    <col min="3" max="3" width="16.1640625" style="1236" bestFit="1" customWidth="1"/>
    <col min="4" max="4" width="7.1640625" style="1236" customWidth="1"/>
    <col min="5" max="5" width="6.33203125" style="1236" customWidth="1"/>
    <col min="6" max="6" width="5.1640625" style="1236" customWidth="1"/>
    <col min="7" max="7" width="5.33203125" style="1236" customWidth="1"/>
    <col min="8" max="8" width="6" style="1236" customWidth="1"/>
    <col min="9" max="9" width="6.1640625" style="1236" customWidth="1"/>
    <col min="10" max="10" width="6" style="1236" customWidth="1"/>
    <col min="11" max="11" width="6.5" style="1236" customWidth="1"/>
    <col min="12" max="12" width="7.5" style="1236" customWidth="1"/>
    <col min="13" max="13" width="7.6640625" style="1236" customWidth="1"/>
    <col min="14" max="14" width="6.6640625" style="1236" customWidth="1"/>
    <col min="15" max="16" width="7" style="1236" customWidth="1"/>
    <col min="17" max="17" width="5.6640625" style="1236" customWidth="1"/>
    <col min="18" max="18" width="7.1640625" style="1236" customWidth="1"/>
    <col min="19" max="19" width="7" style="1236" customWidth="1"/>
    <col min="20" max="20" width="8.33203125" style="1236" customWidth="1"/>
    <col min="21" max="21" width="6.83203125" style="1236" customWidth="1"/>
    <col min="22" max="22" width="8.6640625" style="1236" customWidth="1"/>
    <col min="23" max="23" width="10.83203125" style="1236" customWidth="1"/>
    <col min="24" max="24" width="13.5" style="1236" customWidth="1"/>
    <col min="25" max="25" width="12.83203125" style="1236" customWidth="1"/>
    <col min="26" max="26" width="12.33203125" style="1236" customWidth="1"/>
    <col min="27" max="27" width="14.5" style="1236" customWidth="1"/>
    <col min="28" max="28" width="11.6640625" style="1236" customWidth="1"/>
    <col min="29" max="29" width="8.6640625" style="1236" customWidth="1"/>
    <col min="30" max="30" width="8.33203125" style="1236" customWidth="1"/>
    <col min="31" max="31" width="7.5" style="1236" customWidth="1"/>
    <col min="32" max="32" width="10" style="1236" customWidth="1"/>
    <col min="33" max="33" width="9.6640625" style="1236" customWidth="1"/>
    <col min="34" max="34" width="7.33203125" style="1236" customWidth="1"/>
    <col min="35" max="35" width="11" style="1236" customWidth="1"/>
    <col min="36" max="36" width="9.33203125" style="1236" customWidth="1"/>
    <col min="37" max="37" width="9" style="1236" customWidth="1"/>
    <col min="38" max="38" width="8.83203125" style="1236" customWidth="1"/>
    <col min="39" max="39" width="10.5" style="1236" bestFit="1" customWidth="1"/>
    <col min="40" max="16384" width="9.33203125" style="1236"/>
  </cols>
  <sheetData>
    <row r="1" spans="1:39">
      <c r="A1" s="1303" t="s">
        <v>1389</v>
      </c>
      <c r="B1" s="1304" t="s">
        <v>1390</v>
      </c>
    </row>
    <row r="2" spans="1:39" ht="13.5" thickBot="1">
      <c r="J2" s="2249"/>
      <c r="K2" s="2249"/>
      <c r="L2" s="2249"/>
      <c r="M2" s="2249"/>
      <c r="N2" s="2249"/>
      <c r="O2" s="1241"/>
      <c r="P2" s="2249"/>
      <c r="Q2" s="2250"/>
      <c r="R2" s="2250"/>
      <c r="S2" s="2250"/>
      <c r="T2" s="2250"/>
    </row>
    <row r="3" spans="1:39">
      <c r="A3" s="1285" t="s">
        <v>1392</v>
      </c>
      <c r="B3" s="1286"/>
      <c r="C3" s="1286"/>
      <c r="D3" s="1285" t="s">
        <v>1393</v>
      </c>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c r="AD3" s="1286"/>
      <c r="AE3" s="1286"/>
      <c r="AF3" s="1286"/>
      <c r="AG3" s="1286"/>
      <c r="AH3" s="1286"/>
      <c r="AI3" s="1286"/>
      <c r="AJ3" s="1287"/>
      <c r="AK3"/>
      <c r="AL3"/>
      <c r="AM3"/>
    </row>
    <row r="4" spans="1:39">
      <c r="A4" s="1285" t="s">
        <v>1394</v>
      </c>
      <c r="B4" s="1285" t="s">
        <v>1395</v>
      </c>
      <c r="C4" s="1285" t="s">
        <v>1396</v>
      </c>
      <c r="D4" s="1288" t="s">
        <v>1436</v>
      </c>
      <c r="E4" s="1289" t="s">
        <v>1437</v>
      </c>
      <c r="F4" s="1289" t="s">
        <v>1438</v>
      </c>
      <c r="G4" s="1289" t="s">
        <v>1439</v>
      </c>
      <c r="H4" s="1289" t="s">
        <v>1440</v>
      </c>
      <c r="I4" s="1289" t="s">
        <v>1441</v>
      </c>
      <c r="J4" s="1289" t="s">
        <v>1443</v>
      </c>
      <c r="K4" s="1289" t="s">
        <v>1444</v>
      </c>
      <c r="L4" s="1289" t="s">
        <v>1445</v>
      </c>
      <c r="M4" s="1289" t="s">
        <v>1446</v>
      </c>
      <c r="N4" s="1289" t="s">
        <v>1447</v>
      </c>
      <c r="O4" s="1289" t="s">
        <v>1448</v>
      </c>
      <c r="P4" s="1289" t="s">
        <v>1449</v>
      </c>
      <c r="Q4" s="1289" t="s">
        <v>1450</v>
      </c>
      <c r="R4" s="1289" t="s">
        <v>1452</v>
      </c>
      <c r="S4" s="1289" t="s">
        <v>1453</v>
      </c>
      <c r="T4" s="1289" t="s">
        <v>1454</v>
      </c>
      <c r="U4" s="1289" t="s">
        <v>1455</v>
      </c>
      <c r="V4" s="1289" t="s">
        <v>1456</v>
      </c>
      <c r="W4" s="1289" t="s">
        <v>1457</v>
      </c>
      <c r="X4" s="1289" t="s">
        <v>1458</v>
      </c>
      <c r="Y4" s="1289" t="s">
        <v>1459</v>
      </c>
      <c r="Z4" s="1289" t="s">
        <v>1461</v>
      </c>
      <c r="AA4" s="1289" t="s">
        <v>1462</v>
      </c>
      <c r="AB4" s="1289" t="s">
        <v>1463</v>
      </c>
      <c r="AC4" s="1289" t="s">
        <v>1464</v>
      </c>
      <c r="AD4" s="1289" t="s">
        <v>1465</v>
      </c>
      <c r="AE4" s="1289" t="s">
        <v>1466</v>
      </c>
      <c r="AF4" s="1289" t="s">
        <v>1467</v>
      </c>
      <c r="AG4" s="1289" t="s">
        <v>1468</v>
      </c>
      <c r="AH4" s="1289" t="s">
        <v>1470</v>
      </c>
      <c r="AI4" s="1289">
        <v>70</v>
      </c>
      <c r="AJ4" s="1290" t="s">
        <v>1401</v>
      </c>
      <c r="AK4"/>
      <c r="AL4"/>
      <c r="AM4"/>
    </row>
    <row r="5" spans="1:39">
      <c r="A5" s="1288" t="s">
        <v>426</v>
      </c>
      <c r="B5" s="1288">
        <v>0.08</v>
      </c>
      <c r="C5" s="1288" t="s">
        <v>1402</v>
      </c>
      <c r="D5" s="1291"/>
      <c r="E5" s="1292"/>
      <c r="F5" s="1292"/>
      <c r="G5" s="1292"/>
      <c r="H5" s="1292"/>
      <c r="I5" s="1292"/>
      <c r="J5" s="1292"/>
      <c r="K5" s="1292"/>
      <c r="L5" s="1292"/>
      <c r="M5" s="1292"/>
      <c r="N5" s="1292"/>
      <c r="O5" s="1292"/>
      <c r="P5" s="1292"/>
      <c r="Q5" s="1292"/>
      <c r="R5" s="1292"/>
      <c r="S5" s="1292"/>
      <c r="T5" s="1292"/>
      <c r="U5" s="1292"/>
      <c r="V5" s="1292"/>
      <c r="W5" s="1292"/>
      <c r="X5" s="1292"/>
      <c r="Y5" s="1292">
        <v>1</v>
      </c>
      <c r="Z5" s="1292"/>
      <c r="AA5" s="1292">
        <v>5</v>
      </c>
      <c r="AB5" s="1292"/>
      <c r="AC5" s="1292"/>
      <c r="AD5" s="1292"/>
      <c r="AE5" s="1292"/>
      <c r="AF5" s="1292"/>
      <c r="AG5" s="1292"/>
      <c r="AH5" s="1292"/>
      <c r="AI5" s="1292"/>
      <c r="AJ5" s="1293">
        <v>6</v>
      </c>
      <c r="AK5"/>
      <c r="AL5"/>
      <c r="AM5"/>
    </row>
    <row r="6" spans="1:39">
      <c r="A6" s="1294"/>
      <c r="B6" s="1288" t="s">
        <v>1471</v>
      </c>
      <c r="C6" s="1286"/>
      <c r="D6" s="1291"/>
      <c r="E6" s="1292"/>
      <c r="F6" s="1292"/>
      <c r="G6" s="1292"/>
      <c r="H6" s="1292"/>
      <c r="I6" s="1292"/>
      <c r="J6" s="1292"/>
      <c r="K6" s="1292"/>
      <c r="L6" s="1292"/>
      <c r="M6" s="1292"/>
      <c r="N6" s="1292"/>
      <c r="O6" s="1292"/>
      <c r="P6" s="1292"/>
      <c r="Q6" s="1292"/>
      <c r="R6" s="1292"/>
      <c r="S6" s="1292"/>
      <c r="T6" s="1292"/>
      <c r="U6" s="1292"/>
      <c r="V6" s="1292"/>
      <c r="W6" s="1292"/>
      <c r="X6" s="1292"/>
      <c r="Y6" s="1292">
        <v>1</v>
      </c>
      <c r="Z6" s="1292"/>
      <c r="AA6" s="1292">
        <v>5</v>
      </c>
      <c r="AB6" s="1292"/>
      <c r="AC6" s="1292"/>
      <c r="AD6" s="1292"/>
      <c r="AE6" s="1292"/>
      <c r="AF6" s="1292"/>
      <c r="AG6" s="1292"/>
      <c r="AH6" s="1292"/>
      <c r="AI6" s="1292"/>
      <c r="AJ6" s="1293">
        <v>6</v>
      </c>
      <c r="AK6"/>
      <c r="AL6"/>
      <c r="AM6"/>
    </row>
    <row r="7" spans="1:39">
      <c r="A7" s="1294"/>
      <c r="B7" s="1288">
        <v>0.09</v>
      </c>
      <c r="C7" s="1288" t="s">
        <v>1402</v>
      </c>
      <c r="D7" s="1291"/>
      <c r="E7" s="1292"/>
      <c r="F7" s="1292"/>
      <c r="G7" s="1292"/>
      <c r="H7" s="1292"/>
      <c r="I7" s="1292"/>
      <c r="J7" s="1292"/>
      <c r="K7" s="1292"/>
      <c r="L7" s="1292"/>
      <c r="M7" s="1292"/>
      <c r="N7" s="1292"/>
      <c r="O7" s="1292"/>
      <c r="P7" s="1292"/>
      <c r="Q7" s="1292"/>
      <c r="R7" s="1292"/>
      <c r="S7" s="1292"/>
      <c r="T7" s="1292">
        <v>1</v>
      </c>
      <c r="U7" s="1292"/>
      <c r="V7" s="1292"/>
      <c r="W7" s="1292"/>
      <c r="X7" s="1292"/>
      <c r="Y7" s="1292"/>
      <c r="Z7" s="1292"/>
      <c r="AA7" s="1292">
        <v>1</v>
      </c>
      <c r="AB7" s="1292"/>
      <c r="AC7" s="1292"/>
      <c r="AD7" s="1292"/>
      <c r="AE7" s="1292"/>
      <c r="AF7" s="1292"/>
      <c r="AG7" s="1292"/>
      <c r="AH7" s="1292"/>
      <c r="AI7" s="1292"/>
      <c r="AJ7" s="1293">
        <v>2</v>
      </c>
      <c r="AK7"/>
      <c r="AL7"/>
      <c r="AM7"/>
    </row>
    <row r="8" spans="1:39">
      <c r="A8" s="1294"/>
      <c r="B8" s="1288" t="s">
        <v>1472</v>
      </c>
      <c r="C8" s="1286"/>
      <c r="D8" s="1291"/>
      <c r="E8" s="1292"/>
      <c r="F8" s="1292"/>
      <c r="G8" s="1292"/>
      <c r="H8" s="1292"/>
      <c r="I8" s="1292"/>
      <c r="J8" s="1292"/>
      <c r="K8" s="1292"/>
      <c r="L8" s="1292"/>
      <c r="M8" s="1292"/>
      <c r="N8" s="1292"/>
      <c r="O8" s="1292"/>
      <c r="P8" s="1292"/>
      <c r="Q8" s="1292"/>
      <c r="R8" s="1292"/>
      <c r="S8" s="1292"/>
      <c r="T8" s="1292">
        <v>1</v>
      </c>
      <c r="U8" s="1292"/>
      <c r="V8" s="1292"/>
      <c r="W8" s="1292"/>
      <c r="X8" s="1292"/>
      <c r="Y8" s="1292"/>
      <c r="Z8" s="1292"/>
      <c r="AA8" s="1292">
        <v>1</v>
      </c>
      <c r="AB8" s="1292"/>
      <c r="AC8" s="1292"/>
      <c r="AD8" s="1292"/>
      <c r="AE8" s="1292"/>
      <c r="AF8" s="1292"/>
      <c r="AG8" s="1292"/>
      <c r="AH8" s="1292"/>
      <c r="AI8" s="1292"/>
      <c r="AJ8" s="1293">
        <v>2</v>
      </c>
      <c r="AK8"/>
      <c r="AL8"/>
      <c r="AM8"/>
    </row>
    <row r="9" spans="1:39">
      <c r="A9" s="1288" t="s">
        <v>1473</v>
      </c>
      <c r="B9" s="1286"/>
      <c r="C9" s="1286"/>
      <c r="D9" s="1291"/>
      <c r="E9" s="1292"/>
      <c r="F9" s="1292"/>
      <c r="G9" s="1292"/>
      <c r="H9" s="1292"/>
      <c r="I9" s="1292"/>
      <c r="J9" s="1292"/>
      <c r="K9" s="1292"/>
      <c r="L9" s="1292"/>
      <c r="M9" s="1292"/>
      <c r="N9" s="1292"/>
      <c r="O9" s="1292"/>
      <c r="P9" s="1292"/>
      <c r="Q9" s="1292"/>
      <c r="R9" s="1292"/>
      <c r="S9" s="1292"/>
      <c r="T9" s="1292">
        <v>1</v>
      </c>
      <c r="U9" s="1292"/>
      <c r="V9" s="1292"/>
      <c r="W9" s="1292"/>
      <c r="X9" s="1292"/>
      <c r="Y9" s="1292">
        <v>1</v>
      </c>
      <c r="Z9" s="1292"/>
      <c r="AA9" s="1292">
        <v>6</v>
      </c>
      <c r="AB9" s="1292"/>
      <c r="AC9" s="1292"/>
      <c r="AD9" s="1292"/>
      <c r="AE9" s="1292"/>
      <c r="AF9" s="1292"/>
      <c r="AG9" s="1292"/>
      <c r="AH9" s="1292"/>
      <c r="AI9" s="1292"/>
      <c r="AJ9" s="1293">
        <v>8</v>
      </c>
      <c r="AK9"/>
      <c r="AL9"/>
      <c r="AM9"/>
    </row>
    <row r="10" spans="1:39">
      <c r="A10" s="1288" t="s">
        <v>428</v>
      </c>
      <c r="B10" s="1288">
        <v>0.15</v>
      </c>
      <c r="C10" s="1288" t="s">
        <v>1402</v>
      </c>
      <c r="D10" s="1291"/>
      <c r="E10" s="1292"/>
      <c r="F10" s="1292"/>
      <c r="G10" s="1292"/>
      <c r="H10" s="1292"/>
      <c r="I10" s="1292"/>
      <c r="J10" s="1292"/>
      <c r="K10" s="1292"/>
      <c r="L10" s="1292"/>
      <c r="M10" s="1292"/>
      <c r="N10" s="1292"/>
      <c r="O10" s="1292"/>
      <c r="P10" s="1292"/>
      <c r="Q10" s="1292"/>
      <c r="R10" s="1292"/>
      <c r="S10" s="1292"/>
      <c r="T10" s="1292"/>
      <c r="U10" s="1292"/>
      <c r="V10" s="1292"/>
      <c r="W10" s="1292">
        <v>1</v>
      </c>
      <c r="X10" s="1292"/>
      <c r="Y10" s="1292"/>
      <c r="Z10" s="1292"/>
      <c r="AA10" s="1292"/>
      <c r="AB10" s="1292"/>
      <c r="AC10" s="1292"/>
      <c r="AD10" s="1292"/>
      <c r="AE10" s="1292"/>
      <c r="AF10" s="1292"/>
      <c r="AG10" s="1292"/>
      <c r="AH10" s="1292"/>
      <c r="AI10" s="1292"/>
      <c r="AJ10" s="1293">
        <v>1</v>
      </c>
      <c r="AK10"/>
      <c r="AL10"/>
      <c r="AM10"/>
    </row>
    <row r="11" spans="1:39">
      <c r="A11" s="1294"/>
      <c r="B11" s="1288" t="s">
        <v>1474</v>
      </c>
      <c r="C11" s="1286"/>
      <c r="D11" s="1291"/>
      <c r="E11" s="1292"/>
      <c r="F11" s="1292"/>
      <c r="G11" s="1292"/>
      <c r="H11" s="1292"/>
      <c r="I11" s="1292"/>
      <c r="J11" s="1292"/>
      <c r="K11" s="1292"/>
      <c r="L11" s="1292"/>
      <c r="M11" s="1292"/>
      <c r="N11" s="1292"/>
      <c r="O11" s="1292"/>
      <c r="P11" s="1292"/>
      <c r="Q11" s="1292"/>
      <c r="R11" s="1292"/>
      <c r="S11" s="1292"/>
      <c r="T11" s="1292"/>
      <c r="U11" s="1292"/>
      <c r="V11" s="1292"/>
      <c r="W11" s="1292">
        <v>1</v>
      </c>
      <c r="X11" s="1292"/>
      <c r="Y11" s="1292"/>
      <c r="Z11" s="1292"/>
      <c r="AA11" s="1292"/>
      <c r="AB11" s="1292"/>
      <c r="AC11" s="1292"/>
      <c r="AD11" s="1292"/>
      <c r="AE11" s="1292"/>
      <c r="AF11" s="1292"/>
      <c r="AG11" s="1292"/>
      <c r="AH11" s="1292"/>
      <c r="AI11" s="1292"/>
      <c r="AJ11" s="1293">
        <v>1</v>
      </c>
      <c r="AK11"/>
      <c r="AL11"/>
      <c r="AM11"/>
    </row>
    <row r="12" spans="1:39">
      <c r="A12" s="1294"/>
      <c r="B12" s="1288">
        <v>0.16</v>
      </c>
      <c r="C12" s="1288" t="s">
        <v>1402</v>
      </c>
      <c r="D12" s="1291">
        <v>26</v>
      </c>
      <c r="E12" s="1292">
        <v>2</v>
      </c>
      <c r="F12" s="1292">
        <v>2</v>
      </c>
      <c r="G12" s="1292">
        <v>9</v>
      </c>
      <c r="H12" s="1292"/>
      <c r="I12" s="1292">
        <v>1</v>
      </c>
      <c r="J12" s="1292">
        <v>3</v>
      </c>
      <c r="K12" s="1292"/>
      <c r="L12" s="1292"/>
      <c r="M12" s="1292"/>
      <c r="N12" s="1292"/>
      <c r="O12" s="1292"/>
      <c r="P12" s="1292"/>
      <c r="Q12" s="1292"/>
      <c r="R12" s="1292"/>
      <c r="S12" s="1292"/>
      <c r="T12" s="1292">
        <v>10856</v>
      </c>
      <c r="U12" s="1292">
        <v>1218</v>
      </c>
      <c r="V12" s="1292">
        <v>1770</v>
      </c>
      <c r="W12" s="1292">
        <v>252</v>
      </c>
      <c r="X12" s="1292">
        <v>31</v>
      </c>
      <c r="Y12" s="1292">
        <v>495</v>
      </c>
      <c r="Z12" s="1292">
        <v>453</v>
      </c>
      <c r="AA12" s="1292"/>
      <c r="AB12" s="1292"/>
      <c r="AC12" s="1292"/>
      <c r="AD12" s="1292"/>
      <c r="AE12" s="1292"/>
      <c r="AF12" s="1292"/>
      <c r="AG12" s="1292"/>
      <c r="AH12" s="1292"/>
      <c r="AI12" s="1292"/>
      <c r="AJ12" s="1293">
        <v>15118</v>
      </c>
      <c r="AK12"/>
      <c r="AL12"/>
      <c r="AM12"/>
    </row>
    <row r="13" spans="1:39">
      <c r="A13" s="1294"/>
      <c r="B13" s="1288" t="s">
        <v>1403</v>
      </c>
      <c r="C13" s="1286"/>
      <c r="D13" s="1291">
        <v>26</v>
      </c>
      <c r="E13" s="1292">
        <v>2</v>
      </c>
      <c r="F13" s="1292">
        <v>2</v>
      </c>
      <c r="G13" s="1292">
        <v>9</v>
      </c>
      <c r="H13" s="1292"/>
      <c r="I13" s="1292">
        <v>1</v>
      </c>
      <c r="J13" s="1292">
        <v>3</v>
      </c>
      <c r="K13" s="1292"/>
      <c r="L13" s="1292"/>
      <c r="M13" s="1292"/>
      <c r="N13" s="1292"/>
      <c r="O13" s="1292"/>
      <c r="P13" s="1292"/>
      <c r="Q13" s="1292"/>
      <c r="R13" s="1292"/>
      <c r="S13" s="1292"/>
      <c r="T13" s="1292">
        <v>10856</v>
      </c>
      <c r="U13" s="1292">
        <v>1218</v>
      </c>
      <c r="V13" s="1292">
        <v>1770</v>
      </c>
      <c r="W13" s="1292">
        <v>252</v>
      </c>
      <c r="X13" s="1292">
        <v>31</v>
      </c>
      <c r="Y13" s="1292">
        <v>495</v>
      </c>
      <c r="Z13" s="1292">
        <v>453</v>
      </c>
      <c r="AA13" s="1292"/>
      <c r="AB13" s="1292"/>
      <c r="AC13" s="1292"/>
      <c r="AD13" s="1292"/>
      <c r="AE13" s="1292"/>
      <c r="AF13" s="1292"/>
      <c r="AG13" s="1292"/>
      <c r="AH13" s="1292"/>
      <c r="AI13" s="1292"/>
      <c r="AJ13" s="1293">
        <v>15118</v>
      </c>
      <c r="AK13"/>
      <c r="AL13"/>
      <c r="AM13"/>
    </row>
    <row r="14" spans="1:39">
      <c r="A14" s="1294"/>
      <c r="B14" s="1288">
        <v>0.24</v>
      </c>
      <c r="C14" s="1288" t="s">
        <v>1402</v>
      </c>
      <c r="D14" s="1291"/>
      <c r="E14" s="1292"/>
      <c r="F14" s="1292"/>
      <c r="G14" s="1292"/>
      <c r="H14" s="1292"/>
      <c r="I14" s="1292"/>
      <c r="J14" s="1292">
        <v>1</v>
      </c>
      <c r="K14" s="1292"/>
      <c r="L14" s="1292"/>
      <c r="M14" s="1292"/>
      <c r="N14" s="1292"/>
      <c r="O14" s="1292"/>
      <c r="P14" s="1292"/>
      <c r="Q14" s="1292"/>
      <c r="R14" s="1292"/>
      <c r="S14" s="1292"/>
      <c r="T14" s="1292">
        <v>2</v>
      </c>
      <c r="U14" s="1292"/>
      <c r="V14" s="1292"/>
      <c r="W14" s="1292"/>
      <c r="X14" s="1292"/>
      <c r="Y14" s="1292"/>
      <c r="Z14" s="1292">
        <v>17</v>
      </c>
      <c r="AA14" s="1292"/>
      <c r="AB14" s="1292"/>
      <c r="AC14" s="1292"/>
      <c r="AD14" s="1292"/>
      <c r="AE14" s="1292"/>
      <c r="AF14" s="1292"/>
      <c r="AG14" s="1292"/>
      <c r="AH14" s="1292"/>
      <c r="AI14" s="1292"/>
      <c r="AJ14" s="1293">
        <v>20</v>
      </c>
      <c r="AK14"/>
      <c r="AL14"/>
      <c r="AM14"/>
    </row>
    <row r="15" spans="1:39">
      <c r="A15" s="1294"/>
      <c r="B15" s="1288" t="s">
        <v>1475</v>
      </c>
      <c r="C15" s="1286"/>
      <c r="D15" s="1291"/>
      <c r="E15" s="1292"/>
      <c r="F15" s="1292"/>
      <c r="G15" s="1292"/>
      <c r="H15" s="1292"/>
      <c r="I15" s="1292"/>
      <c r="J15" s="1292">
        <v>1</v>
      </c>
      <c r="K15" s="1292"/>
      <c r="L15" s="1292"/>
      <c r="M15" s="1292"/>
      <c r="N15" s="1292"/>
      <c r="O15" s="1292"/>
      <c r="P15" s="1292"/>
      <c r="Q15" s="1292"/>
      <c r="R15" s="1292"/>
      <c r="S15" s="1292"/>
      <c r="T15" s="1292">
        <v>2</v>
      </c>
      <c r="U15" s="1292"/>
      <c r="V15" s="1292"/>
      <c r="W15" s="1292"/>
      <c r="X15" s="1292"/>
      <c r="Y15" s="1292"/>
      <c r="Z15" s="1292">
        <v>17</v>
      </c>
      <c r="AA15" s="1292"/>
      <c r="AB15" s="1292"/>
      <c r="AC15" s="1292"/>
      <c r="AD15" s="1292"/>
      <c r="AE15" s="1292"/>
      <c r="AF15" s="1292"/>
      <c r="AG15" s="1292"/>
      <c r="AH15" s="1292"/>
      <c r="AI15" s="1292"/>
      <c r="AJ15" s="1293">
        <v>20</v>
      </c>
      <c r="AK15"/>
      <c r="AL15"/>
      <c r="AM15"/>
    </row>
    <row r="16" spans="1:39">
      <c r="A16" s="1294"/>
      <c r="B16" s="1288">
        <v>0.3</v>
      </c>
      <c r="C16" s="1288" t="s">
        <v>1402</v>
      </c>
      <c r="D16" s="1291">
        <v>59</v>
      </c>
      <c r="E16" s="1292">
        <v>5</v>
      </c>
      <c r="F16" s="1292">
        <v>2</v>
      </c>
      <c r="G16" s="1292">
        <v>2</v>
      </c>
      <c r="H16" s="1292"/>
      <c r="I16" s="1292">
        <v>1</v>
      </c>
      <c r="J16" s="1292">
        <v>18</v>
      </c>
      <c r="K16" s="1292"/>
      <c r="L16" s="1292"/>
      <c r="M16" s="1292"/>
      <c r="N16" s="1292"/>
      <c r="O16" s="1292"/>
      <c r="P16" s="1292"/>
      <c r="Q16" s="1292"/>
      <c r="R16" s="1292"/>
      <c r="S16" s="1292"/>
      <c r="T16" s="1292">
        <v>6480</v>
      </c>
      <c r="U16" s="1292">
        <v>834</v>
      </c>
      <c r="V16" s="1292">
        <v>1731</v>
      </c>
      <c r="W16" s="1292">
        <v>2358</v>
      </c>
      <c r="X16" s="1292">
        <v>407</v>
      </c>
      <c r="Y16" s="1292">
        <v>297</v>
      </c>
      <c r="Z16" s="1292">
        <v>488</v>
      </c>
      <c r="AA16" s="1292"/>
      <c r="AB16" s="1292"/>
      <c r="AC16" s="1292"/>
      <c r="AD16" s="1292"/>
      <c r="AE16" s="1292"/>
      <c r="AF16" s="1292"/>
      <c r="AG16" s="1292"/>
      <c r="AH16" s="1292"/>
      <c r="AI16" s="1292"/>
      <c r="AJ16" s="1293">
        <v>12682</v>
      </c>
      <c r="AK16"/>
      <c r="AL16"/>
      <c r="AM16"/>
    </row>
    <row r="17" spans="1:39">
      <c r="A17" s="1294"/>
      <c r="B17" s="1288" t="s">
        <v>1404</v>
      </c>
      <c r="C17" s="1286"/>
      <c r="D17" s="1291">
        <v>59</v>
      </c>
      <c r="E17" s="1292">
        <v>5</v>
      </c>
      <c r="F17" s="1292">
        <v>2</v>
      </c>
      <c r="G17" s="1292">
        <v>2</v>
      </c>
      <c r="H17" s="1292"/>
      <c r="I17" s="1292">
        <v>1</v>
      </c>
      <c r="J17" s="1292">
        <v>18</v>
      </c>
      <c r="K17" s="1292"/>
      <c r="L17" s="1292"/>
      <c r="M17" s="1292"/>
      <c r="N17" s="1292"/>
      <c r="O17" s="1292"/>
      <c r="P17" s="1292"/>
      <c r="Q17" s="1292"/>
      <c r="R17" s="1292"/>
      <c r="S17" s="1292"/>
      <c r="T17" s="1292">
        <v>6480</v>
      </c>
      <c r="U17" s="1292">
        <v>834</v>
      </c>
      <c r="V17" s="1292">
        <v>1731</v>
      </c>
      <c r="W17" s="1292">
        <v>2358</v>
      </c>
      <c r="X17" s="1292">
        <v>407</v>
      </c>
      <c r="Y17" s="1292">
        <v>297</v>
      </c>
      <c r="Z17" s="1292">
        <v>488</v>
      </c>
      <c r="AA17" s="1292"/>
      <c r="AB17" s="1292"/>
      <c r="AC17" s="1292"/>
      <c r="AD17" s="1292"/>
      <c r="AE17" s="1292"/>
      <c r="AF17" s="1292"/>
      <c r="AG17" s="1292"/>
      <c r="AH17" s="1292"/>
      <c r="AI17" s="1292"/>
      <c r="AJ17" s="1293">
        <v>12682</v>
      </c>
      <c r="AK17"/>
      <c r="AL17"/>
      <c r="AM17"/>
    </row>
    <row r="18" spans="1:39">
      <c r="A18" s="1294"/>
      <c r="B18" s="1288">
        <v>0.32</v>
      </c>
      <c r="C18" s="1288" t="s">
        <v>1402</v>
      </c>
      <c r="D18" s="1291">
        <v>2</v>
      </c>
      <c r="E18" s="1292"/>
      <c r="F18" s="1292"/>
      <c r="G18" s="1292"/>
      <c r="H18" s="1292"/>
      <c r="I18" s="1292"/>
      <c r="J18" s="1292"/>
      <c r="K18" s="1292"/>
      <c r="L18" s="1292"/>
      <c r="M18" s="1292"/>
      <c r="N18" s="1292"/>
      <c r="O18" s="1292"/>
      <c r="P18" s="1292"/>
      <c r="Q18" s="1292"/>
      <c r="R18" s="1292"/>
      <c r="S18" s="1292"/>
      <c r="T18" s="1292">
        <v>2</v>
      </c>
      <c r="U18" s="1292"/>
      <c r="V18" s="1292"/>
      <c r="W18" s="1292"/>
      <c r="X18" s="1292"/>
      <c r="Y18" s="1292"/>
      <c r="Z18" s="1292"/>
      <c r="AA18" s="1292"/>
      <c r="AB18" s="1292"/>
      <c r="AC18" s="1292"/>
      <c r="AD18" s="1292"/>
      <c r="AE18" s="1292"/>
      <c r="AF18" s="1292"/>
      <c r="AG18" s="1292"/>
      <c r="AH18" s="1292"/>
      <c r="AI18" s="1292"/>
      <c r="AJ18" s="1293">
        <v>4</v>
      </c>
      <c r="AK18"/>
      <c r="AL18"/>
      <c r="AM18"/>
    </row>
    <row r="19" spans="1:39">
      <c r="A19" s="1294"/>
      <c r="B19" s="1288" t="s">
        <v>1476</v>
      </c>
      <c r="C19" s="1286"/>
      <c r="D19" s="1291">
        <v>2</v>
      </c>
      <c r="E19" s="1292"/>
      <c r="F19" s="1292"/>
      <c r="G19" s="1292"/>
      <c r="H19" s="1292"/>
      <c r="I19" s="1292"/>
      <c r="J19" s="1292"/>
      <c r="K19" s="1292"/>
      <c r="L19" s="1292"/>
      <c r="M19" s="1292"/>
      <c r="N19" s="1292"/>
      <c r="O19" s="1292"/>
      <c r="P19" s="1292"/>
      <c r="Q19" s="1292"/>
      <c r="R19" s="1292"/>
      <c r="S19" s="1292"/>
      <c r="T19" s="1292">
        <v>2</v>
      </c>
      <c r="U19" s="1292"/>
      <c r="V19" s="1292"/>
      <c r="W19" s="1292"/>
      <c r="X19" s="1292"/>
      <c r="Y19" s="1292"/>
      <c r="Z19" s="1292"/>
      <c r="AA19" s="1292"/>
      <c r="AB19" s="1292"/>
      <c r="AC19" s="1292"/>
      <c r="AD19" s="1292"/>
      <c r="AE19" s="1292"/>
      <c r="AF19" s="1292"/>
      <c r="AG19" s="1292"/>
      <c r="AH19" s="1292"/>
      <c r="AI19" s="1292"/>
      <c r="AJ19" s="1293">
        <v>4</v>
      </c>
      <c r="AK19"/>
      <c r="AL19"/>
      <c r="AM19"/>
    </row>
    <row r="20" spans="1:39">
      <c r="A20" s="1294"/>
      <c r="B20" s="1288">
        <v>0.45</v>
      </c>
      <c r="C20" s="1288" t="s">
        <v>1402</v>
      </c>
      <c r="D20" s="1291">
        <v>339</v>
      </c>
      <c r="E20" s="1292">
        <v>25</v>
      </c>
      <c r="F20" s="1292">
        <v>33</v>
      </c>
      <c r="G20" s="1292">
        <v>6</v>
      </c>
      <c r="H20" s="1292">
        <v>5</v>
      </c>
      <c r="I20" s="1292"/>
      <c r="J20" s="1292">
        <v>42</v>
      </c>
      <c r="K20" s="1292"/>
      <c r="L20" s="1292"/>
      <c r="M20" s="1292"/>
      <c r="N20" s="1292"/>
      <c r="O20" s="1292"/>
      <c r="P20" s="1292"/>
      <c r="Q20" s="1292"/>
      <c r="R20" s="1292"/>
      <c r="S20" s="1292"/>
      <c r="T20" s="1292">
        <v>2491</v>
      </c>
      <c r="U20" s="1292">
        <v>241</v>
      </c>
      <c r="V20" s="1292">
        <v>952</v>
      </c>
      <c r="W20" s="1292">
        <v>521</v>
      </c>
      <c r="X20" s="1292">
        <v>266</v>
      </c>
      <c r="Y20" s="1292">
        <v>50</v>
      </c>
      <c r="Z20" s="1292">
        <v>88</v>
      </c>
      <c r="AA20" s="1292"/>
      <c r="AB20" s="1292"/>
      <c r="AC20" s="1292"/>
      <c r="AD20" s="1292"/>
      <c r="AE20" s="1292"/>
      <c r="AF20" s="1292"/>
      <c r="AG20" s="1292"/>
      <c r="AH20" s="1292"/>
      <c r="AI20" s="1292"/>
      <c r="AJ20" s="1293">
        <v>5059</v>
      </c>
      <c r="AK20"/>
      <c r="AL20"/>
      <c r="AM20"/>
    </row>
    <row r="21" spans="1:39">
      <c r="A21" s="1294"/>
      <c r="B21" s="1288" t="s">
        <v>1405</v>
      </c>
      <c r="C21" s="1286"/>
      <c r="D21" s="1291">
        <v>339</v>
      </c>
      <c r="E21" s="1292">
        <v>25</v>
      </c>
      <c r="F21" s="1292">
        <v>33</v>
      </c>
      <c r="G21" s="1292">
        <v>6</v>
      </c>
      <c r="H21" s="1292">
        <v>5</v>
      </c>
      <c r="I21" s="1292"/>
      <c r="J21" s="1292">
        <v>42</v>
      </c>
      <c r="K21" s="1292"/>
      <c r="L21" s="1292"/>
      <c r="M21" s="1292"/>
      <c r="N21" s="1292"/>
      <c r="O21" s="1292"/>
      <c r="P21" s="1292"/>
      <c r="Q21" s="1292"/>
      <c r="R21" s="1292"/>
      <c r="S21" s="1292"/>
      <c r="T21" s="1292">
        <v>2491</v>
      </c>
      <c r="U21" s="1292">
        <v>241</v>
      </c>
      <c r="V21" s="1292">
        <v>952</v>
      </c>
      <c r="W21" s="1292">
        <v>521</v>
      </c>
      <c r="X21" s="1292">
        <v>266</v>
      </c>
      <c r="Y21" s="1292">
        <v>50</v>
      </c>
      <c r="Z21" s="1292">
        <v>88</v>
      </c>
      <c r="AA21" s="1292"/>
      <c r="AB21" s="1292"/>
      <c r="AC21" s="1292"/>
      <c r="AD21" s="1292"/>
      <c r="AE21" s="1292"/>
      <c r="AF21" s="1292"/>
      <c r="AG21" s="1292"/>
      <c r="AH21" s="1292"/>
      <c r="AI21" s="1292"/>
      <c r="AJ21" s="1293">
        <v>5059</v>
      </c>
      <c r="AK21"/>
      <c r="AL21"/>
      <c r="AM21"/>
    </row>
    <row r="22" spans="1:39">
      <c r="A22" s="1288" t="s">
        <v>1406</v>
      </c>
      <c r="B22" s="1286"/>
      <c r="C22" s="1286"/>
      <c r="D22" s="1291">
        <v>426</v>
      </c>
      <c r="E22" s="1292">
        <v>32</v>
      </c>
      <c r="F22" s="1292">
        <v>37</v>
      </c>
      <c r="G22" s="1292">
        <v>17</v>
      </c>
      <c r="H22" s="1292">
        <v>5</v>
      </c>
      <c r="I22" s="1292">
        <v>2</v>
      </c>
      <c r="J22" s="1292">
        <v>64</v>
      </c>
      <c r="K22" s="1292"/>
      <c r="L22" s="1292"/>
      <c r="M22" s="1292"/>
      <c r="N22" s="1292"/>
      <c r="O22" s="1292"/>
      <c r="P22" s="1292"/>
      <c r="Q22" s="1292"/>
      <c r="R22" s="1292"/>
      <c r="S22" s="1292"/>
      <c r="T22" s="1292">
        <v>19831</v>
      </c>
      <c r="U22" s="1292">
        <v>2293</v>
      </c>
      <c r="V22" s="1292">
        <v>4453</v>
      </c>
      <c r="W22" s="1292">
        <v>3132</v>
      </c>
      <c r="X22" s="1292">
        <v>704</v>
      </c>
      <c r="Y22" s="1292">
        <v>842</v>
      </c>
      <c r="Z22" s="1292">
        <v>1046</v>
      </c>
      <c r="AA22" s="1292"/>
      <c r="AB22" s="1292"/>
      <c r="AC22" s="1292"/>
      <c r="AD22" s="1292"/>
      <c r="AE22" s="1292"/>
      <c r="AF22" s="1292"/>
      <c r="AG22" s="1292"/>
      <c r="AH22" s="1292"/>
      <c r="AI22" s="1292"/>
      <c r="AJ22" s="1293">
        <v>32884</v>
      </c>
      <c r="AK22"/>
      <c r="AL22"/>
      <c r="AM22"/>
    </row>
    <row r="23" spans="1:39">
      <c r="A23" s="1288" t="s">
        <v>429</v>
      </c>
      <c r="B23" s="1288">
        <v>0.05</v>
      </c>
      <c r="C23" s="1288" t="s">
        <v>1402</v>
      </c>
      <c r="D23" s="1291"/>
      <c r="E23" s="1292"/>
      <c r="F23" s="1292"/>
      <c r="G23" s="1292"/>
      <c r="H23" s="1292"/>
      <c r="I23" s="1292"/>
      <c r="J23" s="1292"/>
      <c r="K23" s="1292"/>
      <c r="L23" s="1292"/>
      <c r="M23" s="1292"/>
      <c r="N23" s="1292"/>
      <c r="O23" s="1292"/>
      <c r="P23" s="1292"/>
      <c r="Q23" s="1292"/>
      <c r="R23" s="1292"/>
      <c r="S23" s="1292"/>
      <c r="T23" s="1292">
        <v>2</v>
      </c>
      <c r="U23" s="1292"/>
      <c r="V23" s="1292"/>
      <c r="W23" s="1292"/>
      <c r="X23" s="1292"/>
      <c r="Y23" s="1292"/>
      <c r="Z23" s="1292"/>
      <c r="AA23" s="1292"/>
      <c r="AB23" s="1292"/>
      <c r="AC23" s="1292"/>
      <c r="AD23" s="1292"/>
      <c r="AE23" s="1292"/>
      <c r="AF23" s="1292"/>
      <c r="AG23" s="1292"/>
      <c r="AH23" s="1292"/>
      <c r="AI23" s="1292"/>
      <c r="AJ23" s="1293">
        <v>2</v>
      </c>
      <c r="AK23"/>
      <c r="AL23"/>
      <c r="AM23"/>
    </row>
    <row r="24" spans="1:39">
      <c r="A24" s="1294"/>
      <c r="B24" s="1288" t="s">
        <v>1477</v>
      </c>
      <c r="C24" s="1286"/>
      <c r="D24" s="1291"/>
      <c r="E24" s="1292"/>
      <c r="F24" s="1292"/>
      <c r="G24" s="1292"/>
      <c r="H24" s="1292"/>
      <c r="I24" s="1292"/>
      <c r="J24" s="1292"/>
      <c r="K24" s="1292"/>
      <c r="L24" s="1292"/>
      <c r="M24" s="1292"/>
      <c r="N24" s="1292"/>
      <c r="O24" s="1292"/>
      <c r="P24" s="1292"/>
      <c r="Q24" s="1292"/>
      <c r="R24" s="1292"/>
      <c r="S24" s="1292"/>
      <c r="T24" s="1292">
        <v>2</v>
      </c>
      <c r="U24" s="1292"/>
      <c r="V24" s="1292"/>
      <c r="W24" s="1292"/>
      <c r="X24" s="1292"/>
      <c r="Y24" s="1292"/>
      <c r="Z24" s="1292"/>
      <c r="AA24" s="1292"/>
      <c r="AB24" s="1292"/>
      <c r="AC24" s="1292"/>
      <c r="AD24" s="1292"/>
      <c r="AE24" s="1292"/>
      <c r="AF24" s="1292"/>
      <c r="AG24" s="1292"/>
      <c r="AH24" s="1292"/>
      <c r="AI24" s="1292"/>
      <c r="AJ24" s="1293">
        <v>2</v>
      </c>
      <c r="AK24"/>
      <c r="AL24"/>
      <c r="AM24"/>
    </row>
    <row r="25" spans="1:39">
      <c r="A25" s="1294"/>
      <c r="B25" s="1288">
        <v>0.1</v>
      </c>
      <c r="C25" s="1288" t="s">
        <v>1402</v>
      </c>
      <c r="D25" s="1291"/>
      <c r="E25" s="1292"/>
      <c r="F25" s="1292"/>
      <c r="G25" s="1292"/>
      <c r="H25" s="1292"/>
      <c r="I25" s="1292"/>
      <c r="J25" s="1292">
        <v>2</v>
      </c>
      <c r="K25" s="1292"/>
      <c r="L25" s="1292"/>
      <c r="M25" s="1292"/>
      <c r="N25" s="1292"/>
      <c r="O25" s="1292"/>
      <c r="P25" s="1292"/>
      <c r="Q25" s="1292"/>
      <c r="R25" s="1292"/>
      <c r="S25" s="1292"/>
      <c r="T25" s="1292">
        <v>6481</v>
      </c>
      <c r="U25" s="1292">
        <v>805</v>
      </c>
      <c r="V25" s="1292">
        <v>1262</v>
      </c>
      <c r="W25" s="1292">
        <v>716</v>
      </c>
      <c r="X25" s="1292">
        <v>53</v>
      </c>
      <c r="Y25" s="1292">
        <v>78</v>
      </c>
      <c r="Z25" s="1292">
        <v>180</v>
      </c>
      <c r="AA25" s="1292"/>
      <c r="AB25" s="1292"/>
      <c r="AC25" s="1292"/>
      <c r="AD25" s="1292"/>
      <c r="AE25" s="1292"/>
      <c r="AF25" s="1292"/>
      <c r="AG25" s="1292"/>
      <c r="AH25" s="1292"/>
      <c r="AI25" s="1292"/>
      <c r="AJ25" s="1293">
        <v>9577</v>
      </c>
      <c r="AK25"/>
      <c r="AL25"/>
      <c r="AM25"/>
    </row>
    <row r="26" spans="1:39">
      <c r="A26" s="1294"/>
      <c r="B26" s="1288" t="s">
        <v>1407</v>
      </c>
      <c r="C26" s="1286"/>
      <c r="D26" s="1291"/>
      <c r="E26" s="1292"/>
      <c r="F26" s="1292"/>
      <c r="G26" s="1292"/>
      <c r="H26" s="1292"/>
      <c r="I26" s="1292"/>
      <c r="J26" s="1292">
        <v>2</v>
      </c>
      <c r="K26" s="1292"/>
      <c r="L26" s="1292"/>
      <c r="M26" s="1292"/>
      <c r="N26" s="1292"/>
      <c r="O26" s="1292"/>
      <c r="P26" s="1292"/>
      <c r="Q26" s="1292"/>
      <c r="R26" s="1292"/>
      <c r="S26" s="1292"/>
      <c r="T26" s="1292">
        <v>6481</v>
      </c>
      <c r="U26" s="1292">
        <v>805</v>
      </c>
      <c r="V26" s="1292">
        <v>1262</v>
      </c>
      <c r="W26" s="1292">
        <v>716</v>
      </c>
      <c r="X26" s="1292">
        <v>53</v>
      </c>
      <c r="Y26" s="1292">
        <v>78</v>
      </c>
      <c r="Z26" s="1292">
        <v>180</v>
      </c>
      <c r="AA26" s="1292"/>
      <c r="AB26" s="1292"/>
      <c r="AC26" s="1292"/>
      <c r="AD26" s="1292"/>
      <c r="AE26" s="1292"/>
      <c r="AF26" s="1292"/>
      <c r="AG26" s="1292"/>
      <c r="AH26" s="1292"/>
      <c r="AI26" s="1292"/>
      <c r="AJ26" s="1293">
        <v>9577</v>
      </c>
      <c r="AK26"/>
      <c r="AL26"/>
      <c r="AM26"/>
    </row>
    <row r="27" spans="1:39">
      <c r="A27" s="1294"/>
      <c r="B27" s="1288">
        <v>0.16</v>
      </c>
      <c r="C27" s="1288" t="s">
        <v>1402</v>
      </c>
      <c r="D27" s="1291">
        <v>10</v>
      </c>
      <c r="E27" s="1292">
        <v>2</v>
      </c>
      <c r="F27" s="1292"/>
      <c r="G27" s="1292">
        <v>1</v>
      </c>
      <c r="H27" s="1292">
        <v>2</v>
      </c>
      <c r="I27" s="1292"/>
      <c r="J27" s="1292">
        <v>13</v>
      </c>
      <c r="K27" s="1292"/>
      <c r="L27" s="1292"/>
      <c r="M27" s="1292"/>
      <c r="N27" s="1292"/>
      <c r="O27" s="1292"/>
      <c r="P27" s="1292"/>
      <c r="Q27" s="1292"/>
      <c r="R27" s="1292"/>
      <c r="S27" s="1292"/>
      <c r="T27" s="1292">
        <v>3377</v>
      </c>
      <c r="U27" s="1292">
        <v>937</v>
      </c>
      <c r="V27" s="1292">
        <v>932</v>
      </c>
      <c r="W27" s="1292">
        <v>5205</v>
      </c>
      <c r="X27" s="1292">
        <v>269</v>
      </c>
      <c r="Y27" s="1292">
        <v>17</v>
      </c>
      <c r="Z27" s="1292">
        <v>396</v>
      </c>
      <c r="AA27" s="1292"/>
      <c r="AB27" s="1292"/>
      <c r="AC27" s="1292"/>
      <c r="AD27" s="1292"/>
      <c r="AE27" s="1292"/>
      <c r="AF27" s="1292"/>
      <c r="AG27" s="1292"/>
      <c r="AH27" s="1292"/>
      <c r="AI27" s="1292"/>
      <c r="AJ27" s="1293">
        <v>11161</v>
      </c>
      <c r="AK27"/>
      <c r="AL27"/>
      <c r="AM27"/>
    </row>
    <row r="28" spans="1:39">
      <c r="A28" s="1294"/>
      <c r="B28" s="1288" t="s">
        <v>1403</v>
      </c>
      <c r="C28" s="1286"/>
      <c r="D28" s="1291">
        <v>10</v>
      </c>
      <c r="E28" s="1292">
        <v>2</v>
      </c>
      <c r="F28" s="1292"/>
      <c r="G28" s="1292">
        <v>1</v>
      </c>
      <c r="H28" s="1292">
        <v>2</v>
      </c>
      <c r="I28" s="1292"/>
      <c r="J28" s="1292">
        <v>13</v>
      </c>
      <c r="K28" s="1292"/>
      <c r="L28" s="1292"/>
      <c r="M28" s="1292"/>
      <c r="N28" s="1292"/>
      <c r="O28" s="1292"/>
      <c r="P28" s="1292"/>
      <c r="Q28" s="1292"/>
      <c r="R28" s="1292"/>
      <c r="S28" s="1292"/>
      <c r="T28" s="1292">
        <v>3377</v>
      </c>
      <c r="U28" s="1292">
        <v>937</v>
      </c>
      <c r="V28" s="1292">
        <v>932</v>
      </c>
      <c r="W28" s="1292">
        <v>5205</v>
      </c>
      <c r="X28" s="1292">
        <v>269</v>
      </c>
      <c r="Y28" s="1292">
        <v>17</v>
      </c>
      <c r="Z28" s="1292">
        <v>396</v>
      </c>
      <c r="AA28" s="1292"/>
      <c r="AB28" s="1292"/>
      <c r="AC28" s="1292"/>
      <c r="AD28" s="1292"/>
      <c r="AE28" s="1292"/>
      <c r="AF28" s="1292"/>
      <c r="AG28" s="1292"/>
      <c r="AH28" s="1292"/>
      <c r="AI28" s="1292"/>
      <c r="AJ28" s="1293">
        <v>11161</v>
      </c>
      <c r="AK28"/>
      <c r="AL28"/>
      <c r="AM28"/>
    </row>
    <row r="29" spans="1:39">
      <c r="A29" s="1294"/>
      <c r="B29" s="1288">
        <v>0.23</v>
      </c>
      <c r="C29" s="1288" t="s">
        <v>1402</v>
      </c>
      <c r="D29" s="1291"/>
      <c r="E29" s="1292"/>
      <c r="F29" s="1292"/>
      <c r="G29" s="1292"/>
      <c r="H29" s="1292"/>
      <c r="I29" s="1292"/>
      <c r="J29" s="1292"/>
      <c r="K29" s="1292"/>
      <c r="L29" s="1292"/>
      <c r="M29" s="1292"/>
      <c r="N29" s="1292"/>
      <c r="O29" s="1292"/>
      <c r="P29" s="1292"/>
      <c r="Q29" s="1292"/>
      <c r="R29" s="1292"/>
      <c r="S29" s="1292"/>
      <c r="T29" s="1292"/>
      <c r="U29" s="1292"/>
      <c r="V29" s="1292"/>
      <c r="W29" s="1292"/>
      <c r="X29" s="1292"/>
      <c r="Y29" s="1292"/>
      <c r="Z29" s="1292">
        <v>1</v>
      </c>
      <c r="AA29" s="1292"/>
      <c r="AB29" s="1292"/>
      <c r="AC29" s="1292"/>
      <c r="AD29" s="1292"/>
      <c r="AE29" s="1292"/>
      <c r="AF29" s="1292"/>
      <c r="AG29" s="1292"/>
      <c r="AH29" s="1292"/>
      <c r="AI29" s="1292"/>
      <c r="AJ29" s="1293">
        <v>1</v>
      </c>
      <c r="AK29"/>
      <c r="AL29"/>
      <c r="AM29"/>
    </row>
    <row r="30" spans="1:39">
      <c r="A30" s="1294"/>
      <c r="B30" s="1288" t="s">
        <v>1478</v>
      </c>
      <c r="C30" s="1286"/>
      <c r="D30" s="1291"/>
      <c r="E30" s="1292"/>
      <c r="F30" s="1292"/>
      <c r="G30" s="1292"/>
      <c r="H30" s="1292"/>
      <c r="I30" s="1292"/>
      <c r="J30" s="1292"/>
      <c r="K30" s="1292"/>
      <c r="L30" s="1292"/>
      <c r="M30" s="1292"/>
      <c r="N30" s="1292"/>
      <c r="O30" s="1292"/>
      <c r="P30" s="1292"/>
      <c r="Q30" s="1292"/>
      <c r="R30" s="1292"/>
      <c r="S30" s="1292"/>
      <c r="T30" s="1292"/>
      <c r="U30" s="1292"/>
      <c r="V30" s="1292"/>
      <c r="W30" s="1292"/>
      <c r="X30" s="1292"/>
      <c r="Y30" s="1292"/>
      <c r="Z30" s="1292">
        <v>1</v>
      </c>
      <c r="AA30" s="1292"/>
      <c r="AB30" s="1292"/>
      <c r="AC30" s="1292"/>
      <c r="AD30" s="1292"/>
      <c r="AE30" s="1292"/>
      <c r="AF30" s="1292"/>
      <c r="AG30" s="1292"/>
      <c r="AH30" s="1292"/>
      <c r="AI30" s="1292"/>
      <c r="AJ30" s="1293">
        <v>1</v>
      </c>
      <c r="AK30"/>
      <c r="AL30"/>
      <c r="AM30"/>
    </row>
    <row r="31" spans="1:39">
      <c r="A31" s="1288" t="s">
        <v>1408</v>
      </c>
      <c r="B31" s="1286"/>
      <c r="C31" s="1286"/>
      <c r="D31" s="1291">
        <v>10</v>
      </c>
      <c r="E31" s="1292">
        <v>2</v>
      </c>
      <c r="F31" s="1292"/>
      <c r="G31" s="1292">
        <v>1</v>
      </c>
      <c r="H31" s="1292">
        <v>2</v>
      </c>
      <c r="I31" s="1292"/>
      <c r="J31" s="1292">
        <v>15</v>
      </c>
      <c r="K31" s="1292"/>
      <c r="L31" s="1292"/>
      <c r="M31" s="1292"/>
      <c r="N31" s="1292"/>
      <c r="O31" s="1292"/>
      <c r="P31" s="1292"/>
      <c r="Q31" s="1292"/>
      <c r="R31" s="1292"/>
      <c r="S31" s="1292"/>
      <c r="T31" s="1292">
        <v>9860</v>
      </c>
      <c r="U31" s="1292">
        <v>1742</v>
      </c>
      <c r="V31" s="1292">
        <v>2194</v>
      </c>
      <c r="W31" s="1292">
        <v>5921</v>
      </c>
      <c r="X31" s="1292">
        <v>322</v>
      </c>
      <c r="Y31" s="1292">
        <v>95</v>
      </c>
      <c r="Z31" s="1292">
        <v>577</v>
      </c>
      <c r="AA31" s="1292"/>
      <c r="AB31" s="1292"/>
      <c r="AC31" s="1292"/>
      <c r="AD31" s="1292"/>
      <c r="AE31" s="1292"/>
      <c r="AF31" s="1292"/>
      <c r="AG31" s="1292"/>
      <c r="AH31" s="1292"/>
      <c r="AI31" s="1292"/>
      <c r="AJ31" s="1293">
        <v>20741</v>
      </c>
      <c r="AK31"/>
      <c r="AL31"/>
      <c r="AM31"/>
    </row>
    <row r="32" spans="1:39">
      <c r="A32" s="1288" t="s">
        <v>432</v>
      </c>
      <c r="B32" s="1288">
        <v>1</v>
      </c>
      <c r="C32" s="1288" t="s">
        <v>1402</v>
      </c>
      <c r="D32" s="1291">
        <v>61</v>
      </c>
      <c r="E32" s="1292">
        <v>2</v>
      </c>
      <c r="F32" s="1292">
        <v>4</v>
      </c>
      <c r="G32" s="1292">
        <v>11</v>
      </c>
      <c r="H32" s="1292"/>
      <c r="I32" s="1292"/>
      <c r="J32" s="1292">
        <v>44</v>
      </c>
      <c r="K32" s="1292"/>
      <c r="L32" s="1292"/>
      <c r="M32" s="1292"/>
      <c r="N32" s="1292"/>
      <c r="O32" s="1292"/>
      <c r="P32" s="1292"/>
      <c r="Q32" s="1292"/>
      <c r="R32" s="1292"/>
      <c r="S32" s="1292"/>
      <c r="T32" s="1292"/>
      <c r="U32" s="1292"/>
      <c r="V32" s="1292"/>
      <c r="W32" s="1292"/>
      <c r="X32" s="1292"/>
      <c r="Y32" s="1292"/>
      <c r="Z32" s="1292"/>
      <c r="AA32" s="1292"/>
      <c r="AB32" s="1292"/>
      <c r="AC32" s="1292"/>
      <c r="AD32" s="1292"/>
      <c r="AE32" s="1292"/>
      <c r="AF32" s="1292"/>
      <c r="AG32" s="1292"/>
      <c r="AH32" s="1292"/>
      <c r="AI32" s="1292"/>
      <c r="AJ32" s="1293">
        <v>122</v>
      </c>
      <c r="AK32"/>
      <c r="AL32"/>
      <c r="AM32"/>
    </row>
    <row r="33" spans="1:39">
      <c r="A33" s="1294"/>
      <c r="B33" s="1288" t="s">
        <v>1409</v>
      </c>
      <c r="C33" s="1286"/>
      <c r="D33" s="1291">
        <v>61</v>
      </c>
      <c r="E33" s="1292">
        <v>2</v>
      </c>
      <c r="F33" s="1292">
        <v>4</v>
      </c>
      <c r="G33" s="1292">
        <v>11</v>
      </c>
      <c r="H33" s="1292"/>
      <c r="I33" s="1292"/>
      <c r="J33" s="1292">
        <v>44</v>
      </c>
      <c r="K33" s="1292"/>
      <c r="L33" s="1292"/>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3">
        <v>122</v>
      </c>
      <c r="AK33"/>
      <c r="AL33"/>
      <c r="AM33"/>
    </row>
    <row r="34" spans="1:39">
      <c r="A34" s="1294"/>
      <c r="B34" s="1288">
        <v>1.25</v>
      </c>
      <c r="C34" s="1288" t="s">
        <v>1402</v>
      </c>
      <c r="D34" s="1291">
        <v>68</v>
      </c>
      <c r="E34" s="1292">
        <v>4</v>
      </c>
      <c r="F34" s="1292">
        <v>7</v>
      </c>
      <c r="G34" s="1292"/>
      <c r="H34" s="1292"/>
      <c r="I34" s="1292"/>
      <c r="J34" s="1292"/>
      <c r="K34" s="1292"/>
      <c r="L34" s="1292"/>
      <c r="M34" s="1292"/>
      <c r="N34" s="1292"/>
      <c r="O34" s="1292"/>
      <c r="P34" s="1292"/>
      <c r="Q34" s="1292"/>
      <c r="R34" s="1292"/>
      <c r="S34" s="1292"/>
      <c r="T34" s="1292"/>
      <c r="U34" s="1292"/>
      <c r="V34" s="1292"/>
      <c r="W34" s="1292"/>
      <c r="X34" s="1292"/>
      <c r="Y34" s="1292"/>
      <c r="Z34" s="1292"/>
      <c r="AA34" s="1292"/>
      <c r="AB34" s="1292"/>
      <c r="AC34" s="1292"/>
      <c r="AD34" s="1292"/>
      <c r="AE34" s="1292"/>
      <c r="AF34" s="1292"/>
      <c r="AG34" s="1292"/>
      <c r="AH34" s="1292"/>
      <c r="AI34" s="1292"/>
      <c r="AJ34" s="1293">
        <v>79</v>
      </c>
      <c r="AK34"/>
      <c r="AL34"/>
      <c r="AM34"/>
    </row>
    <row r="35" spans="1:39">
      <c r="A35" s="1294"/>
      <c r="B35" s="1288" t="s">
        <v>1410</v>
      </c>
      <c r="C35" s="1286"/>
      <c r="D35" s="1291">
        <v>68</v>
      </c>
      <c r="E35" s="1292">
        <v>4</v>
      </c>
      <c r="F35" s="1292">
        <v>7</v>
      </c>
      <c r="G35" s="1292"/>
      <c r="H35" s="1292"/>
      <c r="I35" s="1292"/>
      <c r="J35" s="1292"/>
      <c r="K35" s="1292"/>
      <c r="L35" s="1292"/>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3">
        <v>79</v>
      </c>
      <c r="AK35"/>
      <c r="AL35"/>
      <c r="AM35"/>
    </row>
    <row r="36" spans="1:39">
      <c r="A36" s="1294"/>
      <c r="B36" s="1288">
        <v>1.5</v>
      </c>
      <c r="C36" s="1288" t="s">
        <v>1402</v>
      </c>
      <c r="D36" s="1291"/>
      <c r="E36" s="1292"/>
      <c r="F36" s="1292"/>
      <c r="G36" s="1292"/>
      <c r="H36" s="1292"/>
      <c r="I36" s="1292"/>
      <c r="J36" s="1292">
        <v>3</v>
      </c>
      <c r="K36" s="1292"/>
      <c r="L36" s="1292"/>
      <c r="M36" s="1292"/>
      <c r="N36" s="1292"/>
      <c r="O36" s="1292"/>
      <c r="P36" s="1292"/>
      <c r="Q36" s="1292"/>
      <c r="R36" s="1292"/>
      <c r="S36" s="1292"/>
      <c r="T36" s="1292"/>
      <c r="U36" s="1292"/>
      <c r="V36" s="1292"/>
      <c r="W36" s="1292"/>
      <c r="X36" s="1292"/>
      <c r="Y36" s="1292"/>
      <c r="Z36" s="1292"/>
      <c r="AA36" s="1292"/>
      <c r="AB36" s="1292"/>
      <c r="AC36" s="1292"/>
      <c r="AD36" s="1292"/>
      <c r="AE36" s="1292"/>
      <c r="AF36" s="1292"/>
      <c r="AG36" s="1292"/>
      <c r="AH36" s="1292"/>
      <c r="AI36" s="1292"/>
      <c r="AJ36" s="1293">
        <v>3</v>
      </c>
      <c r="AK36"/>
      <c r="AL36"/>
      <c r="AM36"/>
    </row>
    <row r="37" spans="1:39">
      <c r="A37" s="1294"/>
      <c r="B37" s="1288" t="s">
        <v>1418</v>
      </c>
      <c r="C37" s="1286"/>
      <c r="D37" s="1291"/>
      <c r="E37" s="1292"/>
      <c r="F37" s="1292"/>
      <c r="G37" s="1292"/>
      <c r="H37" s="1292"/>
      <c r="I37" s="1292"/>
      <c r="J37" s="1292">
        <v>3</v>
      </c>
      <c r="K37" s="1292"/>
      <c r="L37" s="1292"/>
      <c r="M37" s="1292"/>
      <c r="N37" s="1292"/>
      <c r="O37" s="1292"/>
      <c r="P37" s="1292"/>
      <c r="Q37" s="1292"/>
      <c r="R37" s="1292"/>
      <c r="S37" s="1292"/>
      <c r="T37" s="1292"/>
      <c r="U37" s="1292"/>
      <c r="V37" s="1292"/>
      <c r="W37" s="1292"/>
      <c r="X37" s="1292"/>
      <c r="Y37" s="1292"/>
      <c r="Z37" s="1292"/>
      <c r="AA37" s="1292"/>
      <c r="AB37" s="1292"/>
      <c r="AC37" s="1292"/>
      <c r="AD37" s="1292"/>
      <c r="AE37" s="1292"/>
      <c r="AF37" s="1292"/>
      <c r="AG37" s="1292"/>
      <c r="AH37" s="1292"/>
      <c r="AI37" s="1292"/>
      <c r="AJ37" s="1293">
        <v>3</v>
      </c>
      <c r="AK37"/>
      <c r="AL37"/>
      <c r="AM37"/>
    </row>
    <row r="38" spans="1:39">
      <c r="A38" s="1294"/>
      <c r="B38" s="1288">
        <v>2</v>
      </c>
      <c r="C38" s="1288" t="s">
        <v>1412</v>
      </c>
      <c r="D38" s="1291">
        <v>5</v>
      </c>
      <c r="E38" s="1292"/>
      <c r="F38" s="1292">
        <v>5</v>
      </c>
      <c r="G38" s="1292"/>
      <c r="H38" s="1292"/>
      <c r="I38" s="1292"/>
      <c r="J38" s="1292"/>
      <c r="K38" s="1292"/>
      <c r="L38" s="1292"/>
      <c r="M38" s="1292"/>
      <c r="N38" s="1292"/>
      <c r="O38" s="1292"/>
      <c r="P38" s="1292"/>
      <c r="Q38" s="1292"/>
      <c r="R38" s="1292"/>
      <c r="S38" s="1292"/>
      <c r="T38" s="1292"/>
      <c r="U38" s="1292"/>
      <c r="V38" s="1292"/>
      <c r="W38" s="1292"/>
      <c r="X38" s="1292"/>
      <c r="Y38" s="1292"/>
      <c r="Z38" s="1292"/>
      <c r="AA38" s="1292"/>
      <c r="AB38" s="1292"/>
      <c r="AC38" s="1292"/>
      <c r="AD38" s="1292"/>
      <c r="AE38" s="1292"/>
      <c r="AF38" s="1292"/>
      <c r="AG38" s="1292"/>
      <c r="AH38" s="1292"/>
      <c r="AI38" s="1292"/>
      <c r="AJ38" s="1293">
        <v>10</v>
      </c>
      <c r="AK38"/>
      <c r="AL38"/>
      <c r="AM38"/>
    </row>
    <row r="39" spans="1:39">
      <c r="A39" s="1294"/>
      <c r="B39" s="1294"/>
      <c r="C39" s="1295" t="s">
        <v>1402</v>
      </c>
      <c r="D39" s="1296">
        <v>203</v>
      </c>
      <c r="E39" s="1054">
        <v>1</v>
      </c>
      <c r="F39" s="1054">
        <v>21</v>
      </c>
      <c r="G39" s="1054">
        <v>13</v>
      </c>
      <c r="H39" s="1054"/>
      <c r="I39" s="1054"/>
      <c r="J39" s="1054">
        <v>24</v>
      </c>
      <c r="K39" s="1054"/>
      <c r="L39" s="1054"/>
      <c r="M39" s="1054"/>
      <c r="N39" s="1054"/>
      <c r="O39" s="1054"/>
      <c r="P39" s="1054"/>
      <c r="Q39" s="1054"/>
      <c r="R39" s="1054"/>
      <c r="S39" s="1054"/>
      <c r="T39" s="1054"/>
      <c r="U39" s="1054"/>
      <c r="V39" s="1054"/>
      <c r="W39" s="1054"/>
      <c r="X39" s="1054"/>
      <c r="Y39" s="1054"/>
      <c r="Z39" s="1054"/>
      <c r="AA39" s="1054"/>
      <c r="AB39" s="1054"/>
      <c r="AC39" s="1054"/>
      <c r="AD39" s="1054"/>
      <c r="AE39" s="1054"/>
      <c r="AF39" s="1054"/>
      <c r="AG39" s="1054"/>
      <c r="AH39" s="1054"/>
      <c r="AI39" s="1054"/>
      <c r="AJ39" s="1297">
        <v>262</v>
      </c>
      <c r="AK39"/>
      <c r="AL39"/>
      <c r="AM39"/>
    </row>
    <row r="40" spans="1:39">
      <c r="A40" s="1294"/>
      <c r="B40" s="1288" t="s">
        <v>1411</v>
      </c>
      <c r="C40" s="1286"/>
      <c r="D40" s="1291">
        <v>208</v>
      </c>
      <c r="E40" s="1292">
        <v>1</v>
      </c>
      <c r="F40" s="1292">
        <v>26</v>
      </c>
      <c r="G40" s="1292">
        <v>13</v>
      </c>
      <c r="H40" s="1292"/>
      <c r="I40" s="1292"/>
      <c r="J40" s="1292">
        <v>24</v>
      </c>
      <c r="K40" s="1292"/>
      <c r="L40" s="1292"/>
      <c r="M40" s="1292"/>
      <c r="N40" s="1292"/>
      <c r="O40" s="1292"/>
      <c r="P40" s="1292"/>
      <c r="Q40" s="1292"/>
      <c r="R40" s="1292"/>
      <c r="S40" s="1292"/>
      <c r="T40" s="1292"/>
      <c r="U40" s="1292"/>
      <c r="V40" s="1292"/>
      <c r="W40" s="1292"/>
      <c r="X40" s="1292"/>
      <c r="Y40" s="1292"/>
      <c r="Z40" s="1292"/>
      <c r="AA40" s="1292"/>
      <c r="AB40" s="1292"/>
      <c r="AC40" s="1292"/>
      <c r="AD40" s="1292"/>
      <c r="AE40" s="1292"/>
      <c r="AF40" s="1292"/>
      <c r="AG40" s="1292"/>
      <c r="AH40" s="1292"/>
      <c r="AI40" s="1292"/>
      <c r="AJ40" s="1293">
        <v>272</v>
      </c>
      <c r="AK40"/>
      <c r="AL40"/>
      <c r="AM40"/>
    </row>
    <row r="41" spans="1:39">
      <c r="A41" s="1294"/>
      <c r="B41" s="1288">
        <v>3</v>
      </c>
      <c r="C41" s="1288" t="s">
        <v>1412</v>
      </c>
      <c r="D41" s="1291">
        <v>1</v>
      </c>
      <c r="E41" s="1292"/>
      <c r="F41" s="1292"/>
      <c r="G41" s="1292"/>
      <c r="H41" s="1292"/>
      <c r="I41" s="1292"/>
      <c r="J41" s="1292"/>
      <c r="K41" s="1292"/>
      <c r="L41" s="1292"/>
      <c r="M41" s="1292"/>
      <c r="N41" s="1292"/>
      <c r="O41" s="1292"/>
      <c r="P41" s="1292"/>
      <c r="Q41" s="1292"/>
      <c r="R41" s="1292"/>
      <c r="S41" s="1292"/>
      <c r="T41" s="1292"/>
      <c r="U41" s="1292"/>
      <c r="V41" s="1292"/>
      <c r="W41" s="1292"/>
      <c r="X41" s="1292"/>
      <c r="Y41" s="1292"/>
      <c r="Z41" s="1292"/>
      <c r="AA41" s="1292"/>
      <c r="AB41" s="1292"/>
      <c r="AC41" s="1292"/>
      <c r="AD41" s="1292"/>
      <c r="AE41" s="1292"/>
      <c r="AF41" s="1292"/>
      <c r="AG41" s="1292"/>
      <c r="AH41" s="1292"/>
      <c r="AI41" s="1292"/>
      <c r="AJ41" s="1293">
        <v>1</v>
      </c>
      <c r="AK41"/>
      <c r="AL41"/>
      <c r="AM41"/>
    </row>
    <row r="42" spans="1:39">
      <c r="A42" s="1294"/>
      <c r="B42" s="1294"/>
      <c r="C42" s="1295" t="s">
        <v>1402</v>
      </c>
      <c r="D42" s="1296">
        <v>154</v>
      </c>
      <c r="E42" s="1054">
        <v>4</v>
      </c>
      <c r="F42" s="1054">
        <v>16</v>
      </c>
      <c r="G42" s="1054">
        <v>9</v>
      </c>
      <c r="H42" s="1054"/>
      <c r="I42" s="1054"/>
      <c r="J42" s="1054">
        <v>16</v>
      </c>
      <c r="K42" s="1054"/>
      <c r="L42" s="1054"/>
      <c r="M42" s="1054"/>
      <c r="N42" s="1054"/>
      <c r="O42" s="1054"/>
      <c r="P42" s="1054"/>
      <c r="Q42" s="1054"/>
      <c r="R42" s="1054"/>
      <c r="S42" s="1054"/>
      <c r="T42" s="1054"/>
      <c r="U42" s="1054"/>
      <c r="V42" s="1054"/>
      <c r="W42" s="1054"/>
      <c r="X42" s="1054"/>
      <c r="Y42" s="1054"/>
      <c r="Z42" s="1054"/>
      <c r="AA42" s="1054"/>
      <c r="AB42" s="1054"/>
      <c r="AC42" s="1054"/>
      <c r="AD42" s="1054"/>
      <c r="AE42" s="1054"/>
      <c r="AF42" s="1054"/>
      <c r="AG42" s="1054"/>
      <c r="AH42" s="1054"/>
      <c r="AI42" s="1054"/>
      <c r="AJ42" s="1297">
        <v>199</v>
      </c>
      <c r="AK42"/>
      <c r="AL42"/>
      <c r="AM42"/>
    </row>
    <row r="43" spans="1:39">
      <c r="A43" s="1294"/>
      <c r="B43" s="1288" t="s">
        <v>1413</v>
      </c>
      <c r="C43" s="1286"/>
      <c r="D43" s="1291">
        <v>155</v>
      </c>
      <c r="E43" s="1292">
        <v>4</v>
      </c>
      <c r="F43" s="1292">
        <v>16</v>
      </c>
      <c r="G43" s="1292">
        <v>9</v>
      </c>
      <c r="H43" s="1292"/>
      <c r="I43" s="1292"/>
      <c r="J43" s="1292">
        <v>16</v>
      </c>
      <c r="K43" s="1292"/>
      <c r="L43" s="1292"/>
      <c r="M43" s="1292"/>
      <c r="N43" s="1292"/>
      <c r="O43" s="1292"/>
      <c r="P43" s="1292"/>
      <c r="Q43" s="1292"/>
      <c r="R43" s="1292"/>
      <c r="S43" s="1292"/>
      <c r="T43" s="1292"/>
      <c r="U43" s="1292"/>
      <c r="V43" s="1292"/>
      <c r="W43" s="1292"/>
      <c r="X43" s="1292"/>
      <c r="Y43" s="1292"/>
      <c r="Z43" s="1292"/>
      <c r="AA43" s="1292"/>
      <c r="AB43" s="1292"/>
      <c r="AC43" s="1292"/>
      <c r="AD43" s="1292"/>
      <c r="AE43" s="1292"/>
      <c r="AF43" s="1292"/>
      <c r="AG43" s="1292"/>
      <c r="AH43" s="1292"/>
      <c r="AI43" s="1292"/>
      <c r="AJ43" s="1293">
        <v>200</v>
      </c>
      <c r="AK43"/>
      <c r="AL43"/>
      <c r="AM43"/>
    </row>
    <row r="44" spans="1:39">
      <c r="A44" s="1294"/>
      <c r="B44" s="1288">
        <v>4</v>
      </c>
      <c r="C44" s="1288" t="s">
        <v>1412</v>
      </c>
      <c r="D44" s="1291">
        <v>4</v>
      </c>
      <c r="E44" s="1292"/>
      <c r="F44" s="1292"/>
      <c r="G44" s="1292"/>
      <c r="H44" s="1292"/>
      <c r="I44" s="1292"/>
      <c r="J44" s="1292"/>
      <c r="K44" s="1292"/>
      <c r="L44" s="1292"/>
      <c r="M44" s="1292"/>
      <c r="N44" s="1292"/>
      <c r="O44" s="1292"/>
      <c r="P44" s="1292"/>
      <c r="Q44" s="1292"/>
      <c r="R44" s="1292"/>
      <c r="S44" s="1292"/>
      <c r="T44" s="1292"/>
      <c r="U44" s="1292"/>
      <c r="V44" s="1292"/>
      <c r="W44" s="1292"/>
      <c r="X44" s="1292"/>
      <c r="Y44" s="1292"/>
      <c r="Z44" s="1292"/>
      <c r="AA44" s="1292"/>
      <c r="AB44" s="1292"/>
      <c r="AC44" s="1292"/>
      <c r="AD44" s="1292"/>
      <c r="AE44" s="1292"/>
      <c r="AF44" s="1292"/>
      <c r="AG44" s="1292"/>
      <c r="AH44" s="1292"/>
      <c r="AI44" s="1292"/>
      <c r="AJ44" s="1293">
        <v>4</v>
      </c>
      <c r="AK44"/>
      <c r="AL44"/>
      <c r="AM44"/>
    </row>
    <row r="45" spans="1:39">
      <c r="A45" s="1294"/>
      <c r="B45" s="1294"/>
      <c r="C45" s="1295" t="s">
        <v>1402</v>
      </c>
      <c r="D45" s="1296">
        <v>308</v>
      </c>
      <c r="E45" s="1054">
        <v>8</v>
      </c>
      <c r="F45" s="1054">
        <v>18</v>
      </c>
      <c r="G45" s="1054">
        <v>23</v>
      </c>
      <c r="H45" s="1054">
        <v>1</v>
      </c>
      <c r="I45" s="1054"/>
      <c r="J45" s="1054">
        <v>15</v>
      </c>
      <c r="K45" s="1054"/>
      <c r="L45" s="1054"/>
      <c r="M45" s="1054"/>
      <c r="N45" s="1054"/>
      <c r="O45" s="1054"/>
      <c r="P45" s="1054"/>
      <c r="Q45" s="1054"/>
      <c r="R45" s="1054"/>
      <c r="S45" s="1054"/>
      <c r="T45" s="1054"/>
      <c r="U45" s="1054"/>
      <c r="V45" s="1054"/>
      <c r="W45" s="1054"/>
      <c r="X45" s="1054"/>
      <c r="Y45" s="1054"/>
      <c r="Z45" s="1054"/>
      <c r="AA45" s="1054"/>
      <c r="AB45" s="1054"/>
      <c r="AC45" s="1054"/>
      <c r="AD45" s="1054"/>
      <c r="AE45" s="1054"/>
      <c r="AF45" s="1054"/>
      <c r="AG45" s="1054"/>
      <c r="AH45" s="1054"/>
      <c r="AI45" s="1054"/>
      <c r="AJ45" s="1297">
        <v>373</v>
      </c>
      <c r="AK45"/>
      <c r="AL45"/>
      <c r="AM45"/>
    </row>
    <row r="46" spans="1:39">
      <c r="A46" s="1294"/>
      <c r="B46" s="1288" t="s">
        <v>1414</v>
      </c>
      <c r="C46" s="1286"/>
      <c r="D46" s="1291">
        <v>312</v>
      </c>
      <c r="E46" s="1292">
        <v>8</v>
      </c>
      <c r="F46" s="1292">
        <v>18</v>
      </c>
      <c r="G46" s="1292">
        <v>23</v>
      </c>
      <c r="H46" s="1292">
        <v>1</v>
      </c>
      <c r="I46" s="1292"/>
      <c r="J46" s="1292">
        <v>15</v>
      </c>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3">
        <v>377</v>
      </c>
      <c r="AK46"/>
      <c r="AL46"/>
      <c r="AM46"/>
    </row>
    <row r="47" spans="1:39">
      <c r="A47" s="1294"/>
      <c r="B47" s="1288">
        <v>6</v>
      </c>
      <c r="C47" s="1288" t="s">
        <v>1412</v>
      </c>
      <c r="D47" s="1291">
        <v>12</v>
      </c>
      <c r="E47" s="1292"/>
      <c r="F47" s="1292"/>
      <c r="G47" s="1292">
        <v>1</v>
      </c>
      <c r="H47" s="1292"/>
      <c r="I47" s="1292"/>
      <c r="J47" s="1292">
        <v>2</v>
      </c>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3">
        <v>15</v>
      </c>
      <c r="AK47"/>
      <c r="AL47"/>
      <c r="AM47"/>
    </row>
    <row r="48" spans="1:39">
      <c r="A48" s="1294"/>
      <c r="B48" s="1294"/>
      <c r="C48" s="1295" t="s">
        <v>1402</v>
      </c>
      <c r="D48" s="1296">
        <v>221</v>
      </c>
      <c r="E48" s="1054">
        <v>6</v>
      </c>
      <c r="F48" s="1054">
        <v>25</v>
      </c>
      <c r="G48" s="1054">
        <v>15</v>
      </c>
      <c r="H48" s="1054">
        <v>2</v>
      </c>
      <c r="I48" s="1054"/>
      <c r="J48" s="1054">
        <v>13</v>
      </c>
      <c r="K48" s="1054"/>
      <c r="L48" s="1054"/>
      <c r="M48" s="1054"/>
      <c r="N48" s="1054"/>
      <c r="O48" s="1054"/>
      <c r="P48" s="1054"/>
      <c r="Q48" s="1054"/>
      <c r="R48" s="1054"/>
      <c r="S48" s="1054"/>
      <c r="T48" s="1054"/>
      <c r="U48" s="1054"/>
      <c r="V48" s="1054"/>
      <c r="W48" s="1054"/>
      <c r="X48" s="1054"/>
      <c r="Y48" s="1054"/>
      <c r="Z48" s="1054"/>
      <c r="AA48" s="1054"/>
      <c r="AB48" s="1054"/>
      <c r="AC48" s="1054"/>
      <c r="AD48" s="1054"/>
      <c r="AE48" s="1054"/>
      <c r="AF48" s="1054"/>
      <c r="AG48" s="1054"/>
      <c r="AH48" s="1054"/>
      <c r="AI48" s="1054"/>
      <c r="AJ48" s="1297">
        <v>282</v>
      </c>
      <c r="AK48"/>
      <c r="AL48"/>
      <c r="AM48"/>
    </row>
    <row r="49" spans="1:39">
      <c r="A49" s="1294"/>
      <c r="B49" s="1288" t="s">
        <v>1415</v>
      </c>
      <c r="C49" s="1286"/>
      <c r="D49" s="1291">
        <v>233</v>
      </c>
      <c r="E49" s="1292">
        <v>6</v>
      </c>
      <c r="F49" s="1292">
        <v>25</v>
      </c>
      <c r="G49" s="1292">
        <v>16</v>
      </c>
      <c r="H49" s="1292">
        <v>2</v>
      </c>
      <c r="I49" s="1292"/>
      <c r="J49" s="1292">
        <v>15</v>
      </c>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3">
        <v>297</v>
      </c>
      <c r="AK49"/>
      <c r="AL49"/>
      <c r="AM49"/>
    </row>
    <row r="50" spans="1:39">
      <c r="A50" s="1294"/>
      <c r="B50" s="1288">
        <v>8</v>
      </c>
      <c r="C50" s="1288" t="s">
        <v>1402</v>
      </c>
      <c r="D50" s="1291">
        <v>176</v>
      </c>
      <c r="E50" s="1292">
        <v>4</v>
      </c>
      <c r="F50" s="1292">
        <v>6</v>
      </c>
      <c r="G50" s="1292">
        <v>13</v>
      </c>
      <c r="H50" s="1292">
        <v>1</v>
      </c>
      <c r="I50" s="1292"/>
      <c r="J50" s="1292">
        <v>13</v>
      </c>
      <c r="K50" s="1292"/>
      <c r="L50" s="1292"/>
      <c r="M50" s="1292"/>
      <c r="N50" s="1292"/>
      <c r="O50" s="1292"/>
      <c r="P50" s="1292"/>
      <c r="Q50" s="1292"/>
      <c r="R50" s="1292"/>
      <c r="S50" s="1292"/>
      <c r="T50" s="1292"/>
      <c r="U50" s="1292"/>
      <c r="V50" s="1292"/>
      <c r="W50" s="1292"/>
      <c r="X50" s="1292"/>
      <c r="Y50" s="1292"/>
      <c r="Z50" s="1292"/>
      <c r="AA50" s="1292"/>
      <c r="AB50" s="1292"/>
      <c r="AC50" s="1292"/>
      <c r="AD50" s="1292"/>
      <c r="AE50" s="1292"/>
      <c r="AF50" s="1292"/>
      <c r="AG50" s="1292"/>
      <c r="AH50" s="1292"/>
      <c r="AI50" s="1292"/>
      <c r="AJ50" s="1293">
        <v>213</v>
      </c>
      <c r="AK50"/>
      <c r="AL50"/>
      <c r="AM50"/>
    </row>
    <row r="51" spans="1:39">
      <c r="A51" s="1294"/>
      <c r="B51" s="1288" t="s">
        <v>1416</v>
      </c>
      <c r="C51" s="1286"/>
      <c r="D51" s="1291">
        <v>176</v>
      </c>
      <c r="E51" s="1292">
        <v>4</v>
      </c>
      <c r="F51" s="1292">
        <v>6</v>
      </c>
      <c r="G51" s="1292">
        <v>13</v>
      </c>
      <c r="H51" s="1292">
        <v>1</v>
      </c>
      <c r="I51" s="1292"/>
      <c r="J51" s="1292">
        <v>13</v>
      </c>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3">
        <v>213</v>
      </c>
      <c r="AK51"/>
      <c r="AL51"/>
      <c r="AM51"/>
    </row>
    <row r="52" spans="1:39">
      <c r="A52" s="1288" t="s">
        <v>1417</v>
      </c>
      <c r="B52" s="1286"/>
      <c r="C52" s="1286"/>
      <c r="D52" s="1291">
        <v>1213</v>
      </c>
      <c r="E52" s="1292">
        <v>29</v>
      </c>
      <c r="F52" s="1292">
        <v>102</v>
      </c>
      <c r="G52" s="1292">
        <v>85</v>
      </c>
      <c r="H52" s="1292">
        <v>4</v>
      </c>
      <c r="I52" s="1292"/>
      <c r="J52" s="1292">
        <v>130</v>
      </c>
      <c r="K52" s="1292"/>
      <c r="L52" s="1292"/>
      <c r="M52" s="1292"/>
      <c r="N52" s="1292"/>
      <c r="O52" s="1292"/>
      <c r="P52" s="1292"/>
      <c r="Q52" s="1292"/>
      <c r="R52" s="1292"/>
      <c r="S52" s="1292"/>
      <c r="T52" s="1292"/>
      <c r="U52" s="1292"/>
      <c r="V52" s="1292"/>
      <c r="W52" s="1292"/>
      <c r="X52" s="1292"/>
      <c r="Y52" s="1292"/>
      <c r="Z52" s="1292"/>
      <c r="AA52" s="1292"/>
      <c r="AB52" s="1292"/>
      <c r="AC52" s="1292"/>
      <c r="AD52" s="1292"/>
      <c r="AE52" s="1292"/>
      <c r="AF52" s="1292"/>
      <c r="AG52" s="1292"/>
      <c r="AH52" s="1292"/>
      <c r="AI52" s="1292"/>
      <c r="AJ52" s="1293">
        <v>1563</v>
      </c>
      <c r="AK52"/>
      <c r="AL52"/>
      <c r="AM52"/>
    </row>
    <row r="53" spans="1:39">
      <c r="A53" s="1288" t="s">
        <v>431</v>
      </c>
      <c r="B53" s="1288">
        <v>1</v>
      </c>
      <c r="C53" s="1288" t="s">
        <v>1402</v>
      </c>
      <c r="D53" s="1291"/>
      <c r="E53" s="1292"/>
      <c r="F53" s="1292"/>
      <c r="G53" s="1292"/>
      <c r="H53" s="1292"/>
      <c r="I53" s="1292"/>
      <c r="J53" s="1292">
        <v>1</v>
      </c>
      <c r="K53" s="1292"/>
      <c r="L53" s="1292"/>
      <c r="M53" s="1292"/>
      <c r="N53" s="1292"/>
      <c r="O53" s="1292"/>
      <c r="P53" s="1292"/>
      <c r="Q53" s="1292"/>
      <c r="R53" s="1292"/>
      <c r="S53" s="1292"/>
      <c r="T53" s="1292"/>
      <c r="U53" s="1292"/>
      <c r="V53" s="1292"/>
      <c r="W53" s="1292"/>
      <c r="X53" s="1292"/>
      <c r="Y53" s="1292"/>
      <c r="Z53" s="1292"/>
      <c r="AA53" s="1292">
        <v>39</v>
      </c>
      <c r="AB53" s="1292">
        <v>1</v>
      </c>
      <c r="AC53" s="1292">
        <v>9</v>
      </c>
      <c r="AD53" s="1292">
        <v>1</v>
      </c>
      <c r="AE53" s="1292">
        <v>5</v>
      </c>
      <c r="AF53" s="1292"/>
      <c r="AG53" s="1292"/>
      <c r="AH53" s="1292">
        <v>15</v>
      </c>
      <c r="AI53" s="1292">
        <v>3</v>
      </c>
      <c r="AJ53" s="1293">
        <v>74</v>
      </c>
      <c r="AK53"/>
      <c r="AL53"/>
      <c r="AM53"/>
    </row>
    <row r="54" spans="1:39">
      <c r="A54" s="1294"/>
      <c r="B54" s="1288" t="s">
        <v>1409</v>
      </c>
      <c r="C54" s="1286"/>
      <c r="D54" s="1291"/>
      <c r="E54" s="1292"/>
      <c r="F54" s="1292"/>
      <c r="G54" s="1292"/>
      <c r="H54" s="1292"/>
      <c r="I54" s="1292"/>
      <c r="J54" s="1292">
        <v>1</v>
      </c>
      <c r="K54" s="1292"/>
      <c r="L54" s="1292"/>
      <c r="M54" s="1292"/>
      <c r="N54" s="1292"/>
      <c r="O54" s="1292"/>
      <c r="P54" s="1292"/>
      <c r="Q54" s="1292"/>
      <c r="R54" s="1292"/>
      <c r="S54" s="1292"/>
      <c r="T54" s="1292"/>
      <c r="U54" s="1292"/>
      <c r="V54" s="1292"/>
      <c r="W54" s="1292"/>
      <c r="X54" s="1292"/>
      <c r="Y54" s="1292"/>
      <c r="Z54" s="1292"/>
      <c r="AA54" s="1292">
        <v>39</v>
      </c>
      <c r="AB54" s="1292">
        <v>1</v>
      </c>
      <c r="AC54" s="1292">
        <v>9</v>
      </c>
      <c r="AD54" s="1292">
        <v>1</v>
      </c>
      <c r="AE54" s="1292">
        <v>5</v>
      </c>
      <c r="AF54" s="1292"/>
      <c r="AG54" s="1292"/>
      <c r="AH54" s="1292">
        <v>15</v>
      </c>
      <c r="AI54" s="1292">
        <v>3</v>
      </c>
      <c r="AJ54" s="1293">
        <v>74</v>
      </c>
      <c r="AK54"/>
      <c r="AL54"/>
      <c r="AM54"/>
    </row>
    <row r="55" spans="1:39">
      <c r="A55" s="1294"/>
      <c r="B55" s="1288">
        <v>1.25</v>
      </c>
      <c r="C55" s="1288" t="s">
        <v>1402</v>
      </c>
      <c r="D55" s="1291"/>
      <c r="E55" s="1292"/>
      <c r="F55" s="1292"/>
      <c r="G55" s="1292"/>
      <c r="H55" s="1292"/>
      <c r="I55" s="1292"/>
      <c r="J55" s="1292"/>
      <c r="K55" s="1292"/>
      <c r="L55" s="1292"/>
      <c r="M55" s="1292"/>
      <c r="N55" s="1292"/>
      <c r="O55" s="1292"/>
      <c r="P55" s="1292"/>
      <c r="Q55" s="1292"/>
      <c r="R55" s="1292"/>
      <c r="S55" s="1292"/>
      <c r="T55" s="1292"/>
      <c r="U55" s="1292"/>
      <c r="V55" s="1292"/>
      <c r="W55" s="1292"/>
      <c r="X55" s="1292"/>
      <c r="Y55" s="1292"/>
      <c r="Z55" s="1292"/>
      <c r="AA55" s="1292">
        <v>50</v>
      </c>
      <c r="AB55" s="1292">
        <v>5</v>
      </c>
      <c r="AC55" s="1292">
        <v>10</v>
      </c>
      <c r="AD55" s="1292"/>
      <c r="AE55" s="1292"/>
      <c r="AF55" s="1292"/>
      <c r="AG55" s="1292"/>
      <c r="AH55" s="1292"/>
      <c r="AI55" s="1292"/>
      <c r="AJ55" s="1293">
        <v>65</v>
      </c>
      <c r="AK55"/>
      <c r="AL55"/>
      <c r="AM55"/>
    </row>
    <row r="56" spans="1:39">
      <c r="A56" s="1294"/>
      <c r="B56" s="1288" t="s">
        <v>1410</v>
      </c>
      <c r="C56" s="1286"/>
      <c r="D56" s="1291"/>
      <c r="E56" s="1292"/>
      <c r="F56" s="1292"/>
      <c r="G56" s="1292"/>
      <c r="H56" s="1292"/>
      <c r="I56" s="1292"/>
      <c r="J56" s="1292"/>
      <c r="K56" s="1292"/>
      <c r="L56" s="1292"/>
      <c r="M56" s="1292"/>
      <c r="N56" s="1292"/>
      <c r="O56" s="1292"/>
      <c r="P56" s="1292"/>
      <c r="Q56" s="1292"/>
      <c r="R56" s="1292"/>
      <c r="S56" s="1292"/>
      <c r="T56" s="1292"/>
      <c r="U56" s="1292"/>
      <c r="V56" s="1292"/>
      <c r="W56" s="1292"/>
      <c r="X56" s="1292"/>
      <c r="Y56" s="1292"/>
      <c r="Z56" s="1292"/>
      <c r="AA56" s="1292">
        <v>50</v>
      </c>
      <c r="AB56" s="1292">
        <v>5</v>
      </c>
      <c r="AC56" s="1292">
        <v>10</v>
      </c>
      <c r="AD56" s="1292"/>
      <c r="AE56" s="1292"/>
      <c r="AF56" s="1292"/>
      <c r="AG56" s="1292"/>
      <c r="AH56" s="1292"/>
      <c r="AI56" s="1292"/>
      <c r="AJ56" s="1293">
        <v>65</v>
      </c>
      <c r="AK56"/>
      <c r="AL56"/>
      <c r="AM56"/>
    </row>
    <row r="57" spans="1:39">
      <c r="A57" s="1294"/>
      <c r="B57" s="1288">
        <v>1.5</v>
      </c>
      <c r="C57" s="1288" t="s">
        <v>1402</v>
      </c>
      <c r="D57" s="1291"/>
      <c r="E57" s="1292"/>
      <c r="F57" s="1292"/>
      <c r="G57" s="1292"/>
      <c r="H57" s="1292"/>
      <c r="I57" s="1292"/>
      <c r="J57" s="1292"/>
      <c r="K57" s="1292"/>
      <c r="L57" s="1292"/>
      <c r="M57" s="1292"/>
      <c r="N57" s="1292"/>
      <c r="O57" s="1292"/>
      <c r="P57" s="1292"/>
      <c r="Q57" s="1292"/>
      <c r="R57" s="1292"/>
      <c r="S57" s="1292"/>
      <c r="T57" s="1292"/>
      <c r="U57" s="1292"/>
      <c r="V57" s="1292"/>
      <c r="W57" s="1292"/>
      <c r="X57" s="1292"/>
      <c r="Y57" s="1292"/>
      <c r="Z57" s="1292"/>
      <c r="AA57" s="1292">
        <v>9</v>
      </c>
      <c r="AB57" s="1292">
        <v>1</v>
      </c>
      <c r="AC57" s="1292"/>
      <c r="AD57" s="1292">
        <v>1</v>
      </c>
      <c r="AE57" s="1292">
        <v>3</v>
      </c>
      <c r="AF57" s="1292"/>
      <c r="AG57" s="1292"/>
      <c r="AH57" s="1292">
        <v>4</v>
      </c>
      <c r="AI57" s="1292">
        <v>1</v>
      </c>
      <c r="AJ57" s="1293">
        <v>19</v>
      </c>
      <c r="AK57"/>
      <c r="AL57"/>
      <c r="AM57"/>
    </row>
    <row r="58" spans="1:39">
      <c r="A58" s="1294"/>
      <c r="B58" s="1288" t="s">
        <v>1418</v>
      </c>
      <c r="C58" s="1286"/>
      <c r="D58" s="1291"/>
      <c r="E58" s="1292"/>
      <c r="F58" s="1292"/>
      <c r="G58" s="1292"/>
      <c r="H58" s="1292"/>
      <c r="I58" s="1292"/>
      <c r="J58" s="1292"/>
      <c r="K58" s="1292"/>
      <c r="L58" s="1292"/>
      <c r="M58" s="1292"/>
      <c r="N58" s="1292"/>
      <c r="O58" s="1292"/>
      <c r="P58" s="1292"/>
      <c r="Q58" s="1292"/>
      <c r="R58" s="1292"/>
      <c r="S58" s="1292"/>
      <c r="T58" s="1292"/>
      <c r="U58" s="1292"/>
      <c r="V58" s="1292"/>
      <c r="W58" s="1292"/>
      <c r="X58" s="1292"/>
      <c r="Y58" s="1292"/>
      <c r="Z58" s="1292"/>
      <c r="AA58" s="1292">
        <v>9</v>
      </c>
      <c r="AB58" s="1292">
        <v>1</v>
      </c>
      <c r="AC58" s="1292"/>
      <c r="AD58" s="1292">
        <v>1</v>
      </c>
      <c r="AE58" s="1292">
        <v>3</v>
      </c>
      <c r="AF58" s="1292"/>
      <c r="AG58" s="1292"/>
      <c r="AH58" s="1292">
        <v>4</v>
      </c>
      <c r="AI58" s="1292">
        <v>1</v>
      </c>
      <c r="AJ58" s="1293">
        <v>19</v>
      </c>
      <c r="AK58"/>
      <c r="AL58"/>
      <c r="AM58"/>
    </row>
    <row r="59" spans="1:39">
      <c r="A59" s="1294"/>
      <c r="B59" s="1288">
        <v>2</v>
      </c>
      <c r="C59" s="1288" t="s">
        <v>1402</v>
      </c>
      <c r="D59" s="1291"/>
      <c r="E59" s="1292"/>
      <c r="F59" s="1292"/>
      <c r="G59" s="1292">
        <v>1</v>
      </c>
      <c r="H59" s="1292"/>
      <c r="I59" s="1292"/>
      <c r="J59" s="1292"/>
      <c r="K59" s="1292"/>
      <c r="L59" s="1292"/>
      <c r="M59" s="1292"/>
      <c r="N59" s="1292"/>
      <c r="O59" s="1292"/>
      <c r="P59" s="1292"/>
      <c r="Q59" s="1292"/>
      <c r="R59" s="1292"/>
      <c r="S59" s="1292"/>
      <c r="T59" s="1292"/>
      <c r="U59" s="1292"/>
      <c r="V59" s="1292"/>
      <c r="W59" s="1292"/>
      <c r="X59" s="1292"/>
      <c r="Y59" s="1292"/>
      <c r="Z59" s="1292"/>
      <c r="AA59" s="1292">
        <v>166</v>
      </c>
      <c r="AB59" s="1292">
        <v>2</v>
      </c>
      <c r="AC59" s="1292">
        <v>18</v>
      </c>
      <c r="AD59" s="1292">
        <v>3</v>
      </c>
      <c r="AE59" s="1292">
        <v>9</v>
      </c>
      <c r="AF59" s="1292">
        <v>1</v>
      </c>
      <c r="AG59" s="1292">
        <v>3</v>
      </c>
      <c r="AH59" s="1292">
        <v>24</v>
      </c>
      <c r="AI59" s="1292">
        <v>1</v>
      </c>
      <c r="AJ59" s="1293">
        <v>228</v>
      </c>
      <c r="AK59"/>
      <c r="AL59"/>
      <c r="AM59"/>
    </row>
    <row r="60" spans="1:39">
      <c r="A60" s="1294"/>
      <c r="B60" s="1288" t="s">
        <v>1411</v>
      </c>
      <c r="C60" s="1286"/>
      <c r="D60" s="1291"/>
      <c r="E60" s="1292"/>
      <c r="F60" s="1292"/>
      <c r="G60" s="1292">
        <v>1</v>
      </c>
      <c r="H60" s="1292"/>
      <c r="I60" s="1292"/>
      <c r="J60" s="1292"/>
      <c r="K60" s="1292"/>
      <c r="L60" s="1292"/>
      <c r="M60" s="1292"/>
      <c r="N60" s="1292"/>
      <c r="O60" s="1292"/>
      <c r="P60" s="1292"/>
      <c r="Q60" s="1292"/>
      <c r="R60" s="1292"/>
      <c r="S60" s="1292"/>
      <c r="T60" s="1292"/>
      <c r="U60" s="1292"/>
      <c r="V60" s="1292"/>
      <c r="W60" s="1292"/>
      <c r="X60" s="1292"/>
      <c r="Y60" s="1292"/>
      <c r="Z60" s="1292"/>
      <c r="AA60" s="1292">
        <v>166</v>
      </c>
      <c r="AB60" s="1292">
        <v>2</v>
      </c>
      <c r="AC60" s="1292">
        <v>18</v>
      </c>
      <c r="AD60" s="1292">
        <v>3</v>
      </c>
      <c r="AE60" s="1292">
        <v>9</v>
      </c>
      <c r="AF60" s="1292">
        <v>1</v>
      </c>
      <c r="AG60" s="1292">
        <v>3</v>
      </c>
      <c r="AH60" s="1292">
        <v>24</v>
      </c>
      <c r="AI60" s="1292">
        <v>1</v>
      </c>
      <c r="AJ60" s="1293">
        <v>228</v>
      </c>
      <c r="AK60"/>
      <c r="AL60"/>
      <c r="AM60"/>
    </row>
    <row r="61" spans="1:39">
      <c r="A61" s="1294"/>
      <c r="B61" s="1288">
        <v>3</v>
      </c>
      <c r="C61" s="1288" t="s">
        <v>1402</v>
      </c>
      <c r="D61" s="1291"/>
      <c r="E61" s="1292"/>
      <c r="F61" s="1292"/>
      <c r="G61" s="1292"/>
      <c r="H61" s="1292"/>
      <c r="I61" s="1292"/>
      <c r="J61" s="1292"/>
      <c r="K61" s="1292"/>
      <c r="L61" s="1292"/>
      <c r="M61" s="1292"/>
      <c r="N61" s="1292"/>
      <c r="O61" s="1292"/>
      <c r="P61" s="1292"/>
      <c r="Q61" s="1292"/>
      <c r="R61" s="1292"/>
      <c r="S61" s="1292"/>
      <c r="T61" s="1292"/>
      <c r="U61" s="1292"/>
      <c r="V61" s="1292"/>
      <c r="W61" s="1292"/>
      <c r="X61" s="1292"/>
      <c r="Y61" s="1292"/>
      <c r="Z61" s="1292"/>
      <c r="AA61" s="1292">
        <v>131</v>
      </c>
      <c r="AB61" s="1292">
        <v>6</v>
      </c>
      <c r="AC61" s="1292">
        <v>11</v>
      </c>
      <c r="AD61" s="1292">
        <v>3</v>
      </c>
      <c r="AE61" s="1292">
        <v>7</v>
      </c>
      <c r="AF61" s="1292"/>
      <c r="AG61" s="1292"/>
      <c r="AH61" s="1292">
        <v>12</v>
      </c>
      <c r="AI61" s="1292">
        <v>2</v>
      </c>
      <c r="AJ61" s="1293">
        <v>172</v>
      </c>
      <c r="AK61"/>
      <c r="AL61"/>
      <c r="AM61"/>
    </row>
    <row r="62" spans="1:39">
      <c r="A62" s="1294"/>
      <c r="B62" s="1288" t="s">
        <v>1413</v>
      </c>
      <c r="C62" s="1286"/>
      <c r="D62" s="1291"/>
      <c r="E62" s="1292"/>
      <c r="F62" s="1292"/>
      <c r="G62" s="1292"/>
      <c r="H62" s="1292"/>
      <c r="I62" s="1292"/>
      <c r="J62" s="1292"/>
      <c r="K62" s="1292"/>
      <c r="L62" s="1292"/>
      <c r="M62" s="1292"/>
      <c r="N62" s="1292"/>
      <c r="O62" s="1292"/>
      <c r="P62" s="1292"/>
      <c r="Q62" s="1292"/>
      <c r="R62" s="1292"/>
      <c r="S62" s="1292"/>
      <c r="T62" s="1292"/>
      <c r="U62" s="1292"/>
      <c r="V62" s="1292"/>
      <c r="W62" s="1292"/>
      <c r="X62" s="1292"/>
      <c r="Y62" s="1292"/>
      <c r="Z62" s="1292"/>
      <c r="AA62" s="1292">
        <v>131</v>
      </c>
      <c r="AB62" s="1292">
        <v>6</v>
      </c>
      <c r="AC62" s="1292">
        <v>11</v>
      </c>
      <c r="AD62" s="1292">
        <v>3</v>
      </c>
      <c r="AE62" s="1292">
        <v>7</v>
      </c>
      <c r="AF62" s="1292"/>
      <c r="AG62" s="1292"/>
      <c r="AH62" s="1292">
        <v>12</v>
      </c>
      <c r="AI62" s="1292">
        <v>2</v>
      </c>
      <c r="AJ62" s="1293">
        <v>172</v>
      </c>
      <c r="AK62"/>
      <c r="AL62"/>
      <c r="AM62"/>
    </row>
    <row r="63" spans="1:39">
      <c r="A63" s="1294"/>
      <c r="B63" s="1288">
        <v>4</v>
      </c>
      <c r="C63" s="1288" t="s">
        <v>1402</v>
      </c>
      <c r="D63" s="1291"/>
      <c r="E63" s="1292"/>
      <c r="F63" s="1292"/>
      <c r="G63" s="1292"/>
      <c r="H63" s="1292"/>
      <c r="I63" s="1292"/>
      <c r="J63" s="1292"/>
      <c r="K63" s="1292"/>
      <c r="L63" s="1292"/>
      <c r="M63" s="1292"/>
      <c r="N63" s="1292"/>
      <c r="O63" s="1292"/>
      <c r="P63" s="1292"/>
      <c r="Q63" s="1292"/>
      <c r="R63" s="1292"/>
      <c r="S63" s="1292"/>
      <c r="T63" s="1292"/>
      <c r="U63" s="1292"/>
      <c r="V63" s="1292"/>
      <c r="W63" s="1292"/>
      <c r="X63" s="1292"/>
      <c r="Y63" s="1292"/>
      <c r="Z63" s="1292"/>
      <c r="AA63" s="1292">
        <v>284</v>
      </c>
      <c r="AB63" s="1292">
        <v>5</v>
      </c>
      <c r="AC63" s="1292">
        <v>31</v>
      </c>
      <c r="AD63" s="1292">
        <v>3</v>
      </c>
      <c r="AE63" s="1292">
        <v>7</v>
      </c>
      <c r="AF63" s="1292"/>
      <c r="AG63" s="1292">
        <v>3</v>
      </c>
      <c r="AH63" s="1292">
        <v>28</v>
      </c>
      <c r="AI63" s="1292">
        <v>5</v>
      </c>
      <c r="AJ63" s="1293">
        <v>366</v>
      </c>
      <c r="AK63"/>
      <c r="AL63"/>
      <c r="AM63"/>
    </row>
    <row r="64" spans="1:39">
      <c r="A64" s="1294"/>
      <c r="B64" s="1288" t="s">
        <v>1414</v>
      </c>
      <c r="C64" s="1286"/>
      <c r="D64" s="1291"/>
      <c r="E64" s="1292"/>
      <c r="F64" s="1292"/>
      <c r="G64" s="1292"/>
      <c r="H64" s="1292"/>
      <c r="I64" s="1292"/>
      <c r="J64" s="1292"/>
      <c r="K64" s="1292"/>
      <c r="L64" s="1292"/>
      <c r="M64" s="1292"/>
      <c r="N64" s="1292"/>
      <c r="O64" s="1292"/>
      <c r="P64" s="1292"/>
      <c r="Q64" s="1292"/>
      <c r="R64" s="1292"/>
      <c r="S64" s="1292"/>
      <c r="T64" s="1292"/>
      <c r="U64" s="1292"/>
      <c r="V64" s="1292"/>
      <c r="W64" s="1292"/>
      <c r="X64" s="1292"/>
      <c r="Y64" s="1292"/>
      <c r="Z64" s="1292"/>
      <c r="AA64" s="1292">
        <v>284</v>
      </c>
      <c r="AB64" s="1292">
        <v>5</v>
      </c>
      <c r="AC64" s="1292">
        <v>31</v>
      </c>
      <c r="AD64" s="1292">
        <v>3</v>
      </c>
      <c r="AE64" s="1292">
        <v>7</v>
      </c>
      <c r="AF64" s="1292"/>
      <c r="AG64" s="1292">
        <v>3</v>
      </c>
      <c r="AH64" s="1292">
        <v>28</v>
      </c>
      <c r="AI64" s="1292">
        <v>5</v>
      </c>
      <c r="AJ64" s="1293">
        <v>366</v>
      </c>
      <c r="AK64"/>
      <c r="AL64"/>
      <c r="AM64"/>
    </row>
    <row r="65" spans="1:39">
      <c r="A65" s="1294"/>
      <c r="B65" s="1288">
        <v>6</v>
      </c>
      <c r="C65" s="1288" t="s">
        <v>1402</v>
      </c>
      <c r="D65" s="1291"/>
      <c r="E65" s="1292"/>
      <c r="F65" s="1292"/>
      <c r="G65" s="1292">
        <v>2</v>
      </c>
      <c r="H65" s="1292"/>
      <c r="I65" s="1292"/>
      <c r="J65" s="1292"/>
      <c r="K65" s="1292"/>
      <c r="L65" s="1292"/>
      <c r="M65" s="1292"/>
      <c r="N65" s="1292"/>
      <c r="O65" s="1292"/>
      <c r="P65" s="1292"/>
      <c r="Q65" s="1292"/>
      <c r="R65" s="1292"/>
      <c r="S65" s="1292"/>
      <c r="T65" s="1292"/>
      <c r="U65" s="1292"/>
      <c r="V65" s="1292"/>
      <c r="W65" s="1292"/>
      <c r="X65" s="1292"/>
      <c r="Y65" s="1292"/>
      <c r="Z65" s="1292"/>
      <c r="AA65" s="1292">
        <v>126</v>
      </c>
      <c r="AB65" s="1292">
        <v>3</v>
      </c>
      <c r="AC65" s="1292">
        <v>12</v>
      </c>
      <c r="AD65" s="1292">
        <v>1</v>
      </c>
      <c r="AE65" s="1292">
        <v>5</v>
      </c>
      <c r="AF65" s="1292">
        <v>2</v>
      </c>
      <c r="AG65" s="1292">
        <v>2</v>
      </c>
      <c r="AH65" s="1292">
        <v>6</v>
      </c>
      <c r="AI65" s="1292">
        <v>3</v>
      </c>
      <c r="AJ65" s="1293">
        <v>162</v>
      </c>
      <c r="AK65"/>
      <c r="AL65"/>
      <c r="AM65"/>
    </row>
    <row r="66" spans="1:39">
      <c r="A66" s="1294"/>
      <c r="B66" s="1288" t="s">
        <v>1415</v>
      </c>
      <c r="C66" s="1286"/>
      <c r="D66" s="1291"/>
      <c r="E66" s="1292"/>
      <c r="F66" s="1292"/>
      <c r="G66" s="1292">
        <v>2</v>
      </c>
      <c r="H66" s="1292"/>
      <c r="I66" s="1292"/>
      <c r="J66" s="1292"/>
      <c r="K66" s="1292"/>
      <c r="L66" s="1292"/>
      <c r="M66" s="1292"/>
      <c r="N66" s="1292"/>
      <c r="O66" s="1292"/>
      <c r="P66" s="1292"/>
      <c r="Q66" s="1292"/>
      <c r="R66" s="1292"/>
      <c r="S66" s="1292"/>
      <c r="T66" s="1292"/>
      <c r="U66" s="1292"/>
      <c r="V66" s="1292"/>
      <c r="W66" s="1292"/>
      <c r="X66" s="1292"/>
      <c r="Y66" s="1292"/>
      <c r="Z66" s="1292"/>
      <c r="AA66" s="1292">
        <v>126</v>
      </c>
      <c r="AB66" s="1292">
        <v>3</v>
      </c>
      <c r="AC66" s="1292">
        <v>12</v>
      </c>
      <c r="AD66" s="1292">
        <v>1</v>
      </c>
      <c r="AE66" s="1292">
        <v>5</v>
      </c>
      <c r="AF66" s="1292">
        <v>2</v>
      </c>
      <c r="AG66" s="1292">
        <v>2</v>
      </c>
      <c r="AH66" s="1292">
        <v>6</v>
      </c>
      <c r="AI66" s="1292">
        <v>3</v>
      </c>
      <c r="AJ66" s="1293">
        <v>162</v>
      </c>
      <c r="AK66"/>
      <c r="AL66"/>
      <c r="AM66"/>
    </row>
    <row r="67" spans="1:39">
      <c r="A67" s="1294"/>
      <c r="B67" s="1288">
        <v>8</v>
      </c>
      <c r="C67" s="1288" t="s">
        <v>1402</v>
      </c>
      <c r="D67" s="1291"/>
      <c r="E67" s="1292"/>
      <c r="F67" s="1292"/>
      <c r="G67" s="1292"/>
      <c r="H67" s="1292"/>
      <c r="I67" s="1292"/>
      <c r="J67" s="1292">
        <v>1</v>
      </c>
      <c r="K67" s="1292"/>
      <c r="L67" s="1292"/>
      <c r="M67" s="1292"/>
      <c r="N67" s="1292"/>
      <c r="O67" s="1292"/>
      <c r="P67" s="1292"/>
      <c r="Q67" s="1292"/>
      <c r="R67" s="1292"/>
      <c r="S67" s="1292"/>
      <c r="T67" s="1292"/>
      <c r="U67" s="1292"/>
      <c r="V67" s="1292"/>
      <c r="W67" s="1292"/>
      <c r="X67" s="1292"/>
      <c r="Y67" s="1292"/>
      <c r="Z67" s="1292"/>
      <c r="AA67" s="1292">
        <v>134</v>
      </c>
      <c r="AB67" s="1292">
        <v>4</v>
      </c>
      <c r="AC67" s="1292">
        <v>5</v>
      </c>
      <c r="AD67" s="1292">
        <v>2</v>
      </c>
      <c r="AE67" s="1292">
        <v>3</v>
      </c>
      <c r="AF67" s="1292">
        <v>1</v>
      </c>
      <c r="AG67" s="1292"/>
      <c r="AH67" s="1292">
        <v>5</v>
      </c>
      <c r="AI67" s="1292">
        <v>2</v>
      </c>
      <c r="AJ67" s="1293">
        <v>157</v>
      </c>
      <c r="AK67"/>
      <c r="AL67"/>
      <c r="AM67"/>
    </row>
    <row r="68" spans="1:39">
      <c r="A68" s="1294"/>
      <c r="B68" s="1288" t="s">
        <v>1416</v>
      </c>
      <c r="C68" s="1286"/>
      <c r="D68" s="1291"/>
      <c r="E68" s="1292"/>
      <c r="F68" s="1292"/>
      <c r="G68" s="1292"/>
      <c r="H68" s="1292"/>
      <c r="I68" s="1292"/>
      <c r="J68" s="1292">
        <v>1</v>
      </c>
      <c r="K68" s="1292"/>
      <c r="L68" s="1292"/>
      <c r="M68" s="1292"/>
      <c r="N68" s="1292"/>
      <c r="O68" s="1292"/>
      <c r="P68" s="1292"/>
      <c r="Q68" s="1292"/>
      <c r="R68" s="1292"/>
      <c r="S68" s="1292"/>
      <c r="T68" s="1292"/>
      <c r="U68" s="1292"/>
      <c r="V68" s="1292"/>
      <c r="W68" s="1292"/>
      <c r="X68" s="1292"/>
      <c r="Y68" s="1292"/>
      <c r="Z68" s="1292"/>
      <c r="AA68" s="1292">
        <v>134</v>
      </c>
      <c r="AB68" s="1292">
        <v>4</v>
      </c>
      <c r="AC68" s="1292">
        <v>5</v>
      </c>
      <c r="AD68" s="1292">
        <v>2</v>
      </c>
      <c r="AE68" s="1292">
        <v>3</v>
      </c>
      <c r="AF68" s="1292">
        <v>1</v>
      </c>
      <c r="AG68" s="1292"/>
      <c r="AH68" s="1292">
        <v>5</v>
      </c>
      <c r="AI68" s="1292">
        <v>2</v>
      </c>
      <c r="AJ68" s="1293">
        <v>157</v>
      </c>
      <c r="AK68"/>
      <c r="AL68"/>
      <c r="AM68"/>
    </row>
    <row r="69" spans="1:39">
      <c r="A69" s="1288" t="s">
        <v>1419</v>
      </c>
      <c r="B69" s="1286"/>
      <c r="C69" s="1286"/>
      <c r="D69" s="1291"/>
      <c r="E69" s="1292"/>
      <c r="F69" s="1292"/>
      <c r="G69" s="1292">
        <v>3</v>
      </c>
      <c r="H69" s="1292"/>
      <c r="I69" s="1292"/>
      <c r="J69" s="1292">
        <v>2</v>
      </c>
      <c r="K69" s="1292"/>
      <c r="L69" s="1292"/>
      <c r="M69" s="1292"/>
      <c r="N69" s="1292"/>
      <c r="O69" s="1292"/>
      <c r="P69" s="1292"/>
      <c r="Q69" s="1292"/>
      <c r="R69" s="1292"/>
      <c r="S69" s="1292"/>
      <c r="T69" s="1292"/>
      <c r="U69" s="1292"/>
      <c r="V69" s="1292"/>
      <c r="W69" s="1292"/>
      <c r="X69" s="1292"/>
      <c r="Y69" s="1292"/>
      <c r="Z69" s="1292"/>
      <c r="AA69" s="1292">
        <v>939</v>
      </c>
      <c r="AB69" s="1292">
        <v>27</v>
      </c>
      <c r="AC69" s="1292">
        <v>96</v>
      </c>
      <c r="AD69" s="1292">
        <v>14</v>
      </c>
      <c r="AE69" s="1292">
        <v>39</v>
      </c>
      <c r="AF69" s="1292">
        <v>4</v>
      </c>
      <c r="AG69" s="1292">
        <v>8</v>
      </c>
      <c r="AH69" s="1292">
        <v>94</v>
      </c>
      <c r="AI69" s="1292">
        <v>17</v>
      </c>
      <c r="AJ69" s="1293">
        <v>1243</v>
      </c>
      <c r="AK69"/>
      <c r="AL69"/>
      <c r="AM69"/>
    </row>
    <row r="70" spans="1:39">
      <c r="A70" s="1288" t="s">
        <v>433</v>
      </c>
      <c r="B70" s="1288">
        <v>10</v>
      </c>
      <c r="C70" s="1288" t="s">
        <v>1402</v>
      </c>
      <c r="D70" s="1291"/>
      <c r="E70" s="1292"/>
      <c r="F70" s="1292"/>
      <c r="G70" s="1292"/>
      <c r="H70" s="1292"/>
      <c r="I70" s="1292"/>
      <c r="J70" s="1292"/>
      <c r="K70" s="1292">
        <v>1</v>
      </c>
      <c r="L70" s="1292"/>
      <c r="M70" s="1292"/>
      <c r="N70" s="1292">
        <v>3</v>
      </c>
      <c r="O70" s="1292">
        <v>1</v>
      </c>
      <c r="P70" s="1292"/>
      <c r="Q70" s="1292">
        <v>1</v>
      </c>
      <c r="R70" s="1292"/>
      <c r="S70" s="1292">
        <v>1</v>
      </c>
      <c r="T70" s="1292"/>
      <c r="U70" s="1292"/>
      <c r="V70" s="1292"/>
      <c r="W70" s="1292"/>
      <c r="X70" s="1292"/>
      <c r="Y70" s="1292"/>
      <c r="Z70" s="1292"/>
      <c r="AA70" s="1292"/>
      <c r="AB70" s="1292"/>
      <c r="AC70" s="1292"/>
      <c r="AD70" s="1292"/>
      <c r="AE70" s="1292"/>
      <c r="AF70" s="1292"/>
      <c r="AG70" s="1292"/>
      <c r="AH70" s="1292"/>
      <c r="AI70" s="1292"/>
      <c r="AJ70" s="1293">
        <v>7</v>
      </c>
      <c r="AK70"/>
      <c r="AL70"/>
      <c r="AM70"/>
    </row>
    <row r="71" spans="1:39">
      <c r="A71" s="1294"/>
      <c r="B71" s="1288" t="s">
        <v>1420</v>
      </c>
      <c r="C71" s="1286"/>
      <c r="D71" s="1291"/>
      <c r="E71" s="1292"/>
      <c r="F71" s="1292"/>
      <c r="G71" s="1292"/>
      <c r="H71" s="1292"/>
      <c r="I71" s="1292"/>
      <c r="J71" s="1292"/>
      <c r="K71" s="1292">
        <v>1</v>
      </c>
      <c r="L71" s="1292"/>
      <c r="M71" s="1292"/>
      <c r="N71" s="1292">
        <v>3</v>
      </c>
      <c r="O71" s="1292">
        <v>1</v>
      </c>
      <c r="P71" s="1292"/>
      <c r="Q71" s="1292">
        <v>1</v>
      </c>
      <c r="R71" s="1292"/>
      <c r="S71" s="1292">
        <v>1</v>
      </c>
      <c r="T71" s="1292"/>
      <c r="U71" s="1292"/>
      <c r="V71" s="1292"/>
      <c r="W71" s="1292"/>
      <c r="X71" s="1292"/>
      <c r="Y71" s="1292"/>
      <c r="Z71" s="1292"/>
      <c r="AA71" s="1292"/>
      <c r="AB71" s="1292"/>
      <c r="AC71" s="1292"/>
      <c r="AD71" s="1292"/>
      <c r="AE71" s="1292"/>
      <c r="AF71" s="1292"/>
      <c r="AG71" s="1292"/>
      <c r="AH71" s="1292"/>
      <c r="AI71" s="1292"/>
      <c r="AJ71" s="1293">
        <v>7</v>
      </c>
      <c r="AK71"/>
      <c r="AL71"/>
      <c r="AM71"/>
    </row>
    <row r="72" spans="1:39">
      <c r="A72" s="1294"/>
      <c r="B72" s="1288">
        <v>12</v>
      </c>
      <c r="C72" s="1288" t="s">
        <v>1402</v>
      </c>
      <c r="D72" s="1291"/>
      <c r="E72" s="1292"/>
      <c r="F72" s="1292"/>
      <c r="G72" s="1292"/>
      <c r="H72" s="1292"/>
      <c r="I72" s="1292"/>
      <c r="J72" s="1292"/>
      <c r="K72" s="1292">
        <v>10</v>
      </c>
      <c r="L72" s="1292"/>
      <c r="M72" s="1292"/>
      <c r="N72" s="1292">
        <v>1</v>
      </c>
      <c r="O72" s="1292"/>
      <c r="P72" s="1292"/>
      <c r="Q72" s="1292"/>
      <c r="R72" s="1292"/>
      <c r="S72" s="1292"/>
      <c r="T72" s="1292"/>
      <c r="U72" s="1292"/>
      <c r="V72" s="1292"/>
      <c r="W72" s="1292"/>
      <c r="X72" s="1292"/>
      <c r="Y72" s="1292"/>
      <c r="Z72" s="1292"/>
      <c r="AA72" s="1292"/>
      <c r="AB72" s="1292"/>
      <c r="AC72" s="1292"/>
      <c r="AD72" s="1292"/>
      <c r="AE72" s="1292"/>
      <c r="AF72" s="1292"/>
      <c r="AG72" s="1292"/>
      <c r="AH72" s="1292"/>
      <c r="AI72" s="1292"/>
      <c r="AJ72" s="1293">
        <v>11</v>
      </c>
      <c r="AK72"/>
      <c r="AL72"/>
      <c r="AM72"/>
    </row>
    <row r="73" spans="1:39">
      <c r="A73" s="1294"/>
      <c r="B73" s="1288" t="s">
        <v>1421</v>
      </c>
      <c r="C73" s="1286"/>
      <c r="D73" s="1291"/>
      <c r="E73" s="1292"/>
      <c r="F73" s="1292"/>
      <c r="G73" s="1292"/>
      <c r="H73" s="1292"/>
      <c r="I73" s="1292"/>
      <c r="J73" s="1292"/>
      <c r="K73" s="1292">
        <v>10</v>
      </c>
      <c r="L73" s="1292"/>
      <c r="M73" s="1292"/>
      <c r="N73" s="1292">
        <v>1</v>
      </c>
      <c r="O73" s="1292"/>
      <c r="P73" s="1292"/>
      <c r="Q73" s="1292"/>
      <c r="R73" s="1292"/>
      <c r="S73" s="1292"/>
      <c r="T73" s="1292"/>
      <c r="U73" s="1292"/>
      <c r="V73" s="1292"/>
      <c r="W73" s="1292"/>
      <c r="X73" s="1292"/>
      <c r="Y73" s="1292"/>
      <c r="Z73" s="1292"/>
      <c r="AA73" s="1292"/>
      <c r="AB73" s="1292"/>
      <c r="AC73" s="1292"/>
      <c r="AD73" s="1292"/>
      <c r="AE73" s="1292"/>
      <c r="AF73" s="1292"/>
      <c r="AG73" s="1292"/>
      <c r="AH73" s="1292"/>
      <c r="AI73" s="1292"/>
      <c r="AJ73" s="1293">
        <v>11</v>
      </c>
      <c r="AK73"/>
      <c r="AL73"/>
      <c r="AM73"/>
    </row>
    <row r="74" spans="1:39">
      <c r="A74" s="1294"/>
      <c r="B74" s="1288">
        <v>15</v>
      </c>
      <c r="C74" s="1288" t="s">
        <v>1402</v>
      </c>
      <c r="D74" s="1291"/>
      <c r="E74" s="1292"/>
      <c r="F74" s="1292"/>
      <c r="G74" s="1292"/>
      <c r="H74" s="1292"/>
      <c r="I74" s="1292"/>
      <c r="J74" s="1292"/>
      <c r="K74" s="1292">
        <v>3</v>
      </c>
      <c r="L74" s="1292"/>
      <c r="M74" s="1292"/>
      <c r="N74" s="1292"/>
      <c r="O74" s="1292"/>
      <c r="P74" s="1292"/>
      <c r="Q74" s="1292"/>
      <c r="R74" s="1292"/>
      <c r="S74" s="1292"/>
      <c r="T74" s="1292"/>
      <c r="U74" s="1292"/>
      <c r="V74" s="1292"/>
      <c r="W74" s="1292"/>
      <c r="X74" s="1292"/>
      <c r="Y74" s="1292"/>
      <c r="Z74" s="1292"/>
      <c r="AA74" s="1292"/>
      <c r="AB74" s="1292"/>
      <c r="AC74" s="1292"/>
      <c r="AD74" s="1292"/>
      <c r="AE74" s="1292"/>
      <c r="AF74" s="1292"/>
      <c r="AG74" s="1292"/>
      <c r="AH74" s="1292"/>
      <c r="AI74" s="1292"/>
      <c r="AJ74" s="1293">
        <v>3</v>
      </c>
      <c r="AK74"/>
      <c r="AL74"/>
      <c r="AM74"/>
    </row>
    <row r="75" spans="1:39">
      <c r="A75" s="1294"/>
      <c r="B75" s="1288" t="s">
        <v>1479</v>
      </c>
      <c r="C75" s="1286"/>
      <c r="D75" s="1291"/>
      <c r="E75" s="1292"/>
      <c r="F75" s="1292"/>
      <c r="G75" s="1292"/>
      <c r="H75" s="1292"/>
      <c r="I75" s="1292"/>
      <c r="J75" s="1292"/>
      <c r="K75" s="1292">
        <v>3</v>
      </c>
      <c r="L75" s="1292"/>
      <c r="M75" s="1292"/>
      <c r="N75" s="1292"/>
      <c r="O75" s="1292"/>
      <c r="P75" s="1292"/>
      <c r="Q75" s="1292"/>
      <c r="R75" s="1292"/>
      <c r="S75" s="1292"/>
      <c r="T75" s="1292"/>
      <c r="U75" s="1292"/>
      <c r="V75" s="1292"/>
      <c r="W75" s="1292"/>
      <c r="X75" s="1292"/>
      <c r="Y75" s="1292"/>
      <c r="Z75" s="1292"/>
      <c r="AA75" s="1292"/>
      <c r="AB75" s="1292"/>
      <c r="AC75" s="1292"/>
      <c r="AD75" s="1292"/>
      <c r="AE75" s="1292"/>
      <c r="AF75" s="1292"/>
      <c r="AG75" s="1292"/>
      <c r="AH75" s="1292"/>
      <c r="AI75" s="1292"/>
      <c r="AJ75" s="1293">
        <v>3</v>
      </c>
      <c r="AK75"/>
      <c r="AL75"/>
      <c r="AM75"/>
    </row>
    <row r="76" spans="1:39">
      <c r="A76" s="1294"/>
      <c r="B76" s="1288">
        <v>20</v>
      </c>
      <c r="C76" s="1288" t="s">
        <v>1412</v>
      </c>
      <c r="D76" s="1291"/>
      <c r="E76" s="1292"/>
      <c r="F76" s="1292"/>
      <c r="G76" s="1292"/>
      <c r="H76" s="1292"/>
      <c r="I76" s="1292"/>
      <c r="J76" s="1292"/>
      <c r="K76" s="1292">
        <v>3</v>
      </c>
      <c r="L76" s="1292"/>
      <c r="M76" s="1292"/>
      <c r="N76" s="1292"/>
      <c r="O76" s="1292"/>
      <c r="P76" s="1292"/>
      <c r="Q76" s="1292"/>
      <c r="R76" s="1292"/>
      <c r="S76" s="1292"/>
      <c r="T76" s="1292"/>
      <c r="U76" s="1292"/>
      <c r="V76" s="1292"/>
      <c r="W76" s="1292"/>
      <c r="X76" s="1292"/>
      <c r="Y76" s="1292"/>
      <c r="Z76" s="1292"/>
      <c r="AA76" s="1292"/>
      <c r="AB76" s="1292"/>
      <c r="AC76" s="1292"/>
      <c r="AD76" s="1292"/>
      <c r="AE76" s="1292">
        <v>1</v>
      </c>
      <c r="AF76" s="1292"/>
      <c r="AG76" s="1292"/>
      <c r="AH76" s="1292"/>
      <c r="AI76" s="1292"/>
      <c r="AJ76" s="1293">
        <v>4</v>
      </c>
      <c r="AK76"/>
      <c r="AL76"/>
      <c r="AM76"/>
    </row>
    <row r="77" spans="1:39">
      <c r="A77" s="1294"/>
      <c r="B77" s="1294"/>
      <c r="C77" s="1295" t="s">
        <v>1402</v>
      </c>
      <c r="D77" s="1296"/>
      <c r="E77" s="1054"/>
      <c r="F77" s="1054"/>
      <c r="G77" s="1054"/>
      <c r="H77" s="1054"/>
      <c r="I77" s="1054"/>
      <c r="J77" s="1054"/>
      <c r="K77" s="1054">
        <v>22</v>
      </c>
      <c r="L77" s="1054"/>
      <c r="M77" s="1054">
        <v>1</v>
      </c>
      <c r="N77" s="1054">
        <v>5</v>
      </c>
      <c r="O77" s="1054">
        <v>1</v>
      </c>
      <c r="P77" s="1054">
        <v>1</v>
      </c>
      <c r="Q77" s="1054"/>
      <c r="R77" s="1054"/>
      <c r="S77" s="1054">
        <v>1</v>
      </c>
      <c r="T77" s="1054"/>
      <c r="U77" s="1054"/>
      <c r="V77" s="1054"/>
      <c r="W77" s="1054"/>
      <c r="X77" s="1054"/>
      <c r="Y77" s="1054"/>
      <c r="Z77" s="1054"/>
      <c r="AA77" s="1054"/>
      <c r="AB77" s="1054"/>
      <c r="AC77" s="1054"/>
      <c r="AD77" s="1054"/>
      <c r="AE77" s="1054"/>
      <c r="AF77" s="1054"/>
      <c r="AG77" s="1054"/>
      <c r="AH77" s="1054"/>
      <c r="AI77" s="1054"/>
      <c r="AJ77" s="1297">
        <v>31</v>
      </c>
      <c r="AK77"/>
      <c r="AL77"/>
      <c r="AM77"/>
    </row>
    <row r="78" spans="1:39">
      <c r="A78" s="1294"/>
      <c r="B78" s="1288" t="s">
        <v>1422</v>
      </c>
      <c r="C78" s="1286"/>
      <c r="D78" s="1291"/>
      <c r="E78" s="1292"/>
      <c r="F78" s="1292"/>
      <c r="G78" s="1292"/>
      <c r="H78" s="1292"/>
      <c r="I78" s="1292"/>
      <c r="J78" s="1292"/>
      <c r="K78" s="1292">
        <v>25</v>
      </c>
      <c r="L78" s="1292"/>
      <c r="M78" s="1292">
        <v>1</v>
      </c>
      <c r="N78" s="1292">
        <v>5</v>
      </c>
      <c r="O78" s="1292">
        <v>1</v>
      </c>
      <c r="P78" s="1292">
        <v>1</v>
      </c>
      <c r="Q78" s="1292"/>
      <c r="R78" s="1292"/>
      <c r="S78" s="1292">
        <v>1</v>
      </c>
      <c r="T78" s="1292"/>
      <c r="U78" s="1292"/>
      <c r="V78" s="1292"/>
      <c r="W78" s="1292"/>
      <c r="X78" s="1292"/>
      <c r="Y78" s="1292"/>
      <c r="Z78" s="1292"/>
      <c r="AA78" s="1292"/>
      <c r="AB78" s="1292"/>
      <c r="AC78" s="1292"/>
      <c r="AD78" s="1292"/>
      <c r="AE78" s="1292">
        <v>1</v>
      </c>
      <c r="AF78" s="1292"/>
      <c r="AG78" s="1292"/>
      <c r="AH78" s="1292"/>
      <c r="AI78" s="1292"/>
      <c r="AJ78" s="1293">
        <v>35</v>
      </c>
      <c r="AK78"/>
      <c r="AL78"/>
      <c r="AM78"/>
    </row>
    <row r="79" spans="1:39">
      <c r="A79" s="1294"/>
      <c r="B79" s="1288">
        <v>25</v>
      </c>
      <c r="C79" s="1288" t="s">
        <v>1412</v>
      </c>
      <c r="D79" s="1291"/>
      <c r="E79" s="1292"/>
      <c r="F79" s="1292"/>
      <c r="G79" s="1292"/>
      <c r="H79" s="1292"/>
      <c r="I79" s="1292"/>
      <c r="J79" s="1292"/>
      <c r="K79" s="1292">
        <v>5</v>
      </c>
      <c r="L79" s="1292"/>
      <c r="M79" s="1292"/>
      <c r="N79" s="1292"/>
      <c r="O79" s="1292"/>
      <c r="P79" s="1292"/>
      <c r="Q79" s="1292"/>
      <c r="R79" s="1292"/>
      <c r="S79" s="1292"/>
      <c r="T79" s="1292"/>
      <c r="U79" s="1292"/>
      <c r="V79" s="1292"/>
      <c r="W79" s="1292"/>
      <c r="X79" s="1292"/>
      <c r="Y79" s="1292"/>
      <c r="Z79" s="1292"/>
      <c r="AA79" s="1292"/>
      <c r="AB79" s="1292"/>
      <c r="AC79" s="1292"/>
      <c r="AD79" s="1292"/>
      <c r="AE79" s="1292"/>
      <c r="AF79" s="1292"/>
      <c r="AG79" s="1292"/>
      <c r="AH79" s="1292"/>
      <c r="AI79" s="1292"/>
      <c r="AJ79" s="1293">
        <v>5</v>
      </c>
      <c r="AK79"/>
      <c r="AL79"/>
      <c r="AM79"/>
    </row>
    <row r="80" spans="1:39">
      <c r="A80" s="1294"/>
      <c r="B80" s="1294"/>
      <c r="C80" s="1295" t="s">
        <v>1402</v>
      </c>
      <c r="D80" s="1296"/>
      <c r="E80" s="1054"/>
      <c r="F80" s="1054"/>
      <c r="G80" s="1054"/>
      <c r="H80" s="1054"/>
      <c r="I80" s="1054"/>
      <c r="J80" s="1054"/>
      <c r="K80" s="1054">
        <v>23</v>
      </c>
      <c r="L80" s="1054"/>
      <c r="M80" s="1054">
        <v>1</v>
      </c>
      <c r="N80" s="1054">
        <v>5</v>
      </c>
      <c r="O80" s="1054"/>
      <c r="P80" s="1054"/>
      <c r="Q80" s="1054"/>
      <c r="R80" s="1054"/>
      <c r="S80" s="1054"/>
      <c r="T80" s="1054"/>
      <c r="U80" s="1054"/>
      <c r="V80" s="1054"/>
      <c r="W80" s="1054"/>
      <c r="X80" s="1054"/>
      <c r="Y80" s="1054"/>
      <c r="Z80" s="1054"/>
      <c r="AA80" s="1054"/>
      <c r="AB80" s="1054"/>
      <c r="AC80" s="1054"/>
      <c r="AD80" s="1054"/>
      <c r="AE80" s="1054"/>
      <c r="AF80" s="1054"/>
      <c r="AG80" s="1054"/>
      <c r="AH80" s="1054"/>
      <c r="AI80" s="1054"/>
      <c r="AJ80" s="1297">
        <v>29</v>
      </c>
      <c r="AK80"/>
      <c r="AL80"/>
      <c r="AM80"/>
    </row>
    <row r="81" spans="1:39">
      <c r="A81" s="1294"/>
      <c r="B81" s="1288" t="s">
        <v>1423</v>
      </c>
      <c r="C81" s="1286"/>
      <c r="D81" s="1291"/>
      <c r="E81" s="1292"/>
      <c r="F81" s="1292"/>
      <c r="G81" s="1292"/>
      <c r="H81" s="1292"/>
      <c r="I81" s="1292"/>
      <c r="J81" s="1292"/>
      <c r="K81" s="1292">
        <v>28</v>
      </c>
      <c r="L81" s="1292"/>
      <c r="M81" s="1292">
        <v>1</v>
      </c>
      <c r="N81" s="1292">
        <v>5</v>
      </c>
      <c r="O81" s="1292"/>
      <c r="P81" s="1292"/>
      <c r="Q81" s="1292"/>
      <c r="R81" s="1292"/>
      <c r="S81" s="1292"/>
      <c r="T81" s="1292"/>
      <c r="U81" s="1292"/>
      <c r="V81" s="1292"/>
      <c r="W81" s="1292"/>
      <c r="X81" s="1292"/>
      <c r="Y81" s="1292"/>
      <c r="Z81" s="1292"/>
      <c r="AA81" s="1292"/>
      <c r="AB81" s="1292"/>
      <c r="AC81" s="1292"/>
      <c r="AD81" s="1292"/>
      <c r="AE81" s="1292"/>
      <c r="AF81" s="1292"/>
      <c r="AG81" s="1292"/>
      <c r="AH81" s="1292"/>
      <c r="AI81" s="1292"/>
      <c r="AJ81" s="1293">
        <v>34</v>
      </c>
      <c r="AK81"/>
      <c r="AL81"/>
      <c r="AM81"/>
    </row>
    <row r="82" spans="1:39">
      <c r="A82" s="1294"/>
      <c r="B82" s="1288">
        <v>30</v>
      </c>
      <c r="C82" s="1288" t="s">
        <v>1412</v>
      </c>
      <c r="D82" s="1291"/>
      <c r="E82" s="1292"/>
      <c r="F82" s="1292"/>
      <c r="G82" s="1292"/>
      <c r="H82" s="1292"/>
      <c r="I82" s="1292"/>
      <c r="J82" s="1292"/>
      <c r="K82" s="1292">
        <v>6</v>
      </c>
      <c r="L82" s="1292">
        <v>1</v>
      </c>
      <c r="M82" s="1292"/>
      <c r="N82" s="1292">
        <v>1</v>
      </c>
      <c r="O82" s="1292"/>
      <c r="P82" s="1292"/>
      <c r="Q82" s="1292">
        <v>1</v>
      </c>
      <c r="R82" s="1292">
        <v>1</v>
      </c>
      <c r="S82" s="1292"/>
      <c r="T82" s="1292"/>
      <c r="U82" s="1292"/>
      <c r="V82" s="1292"/>
      <c r="W82" s="1292"/>
      <c r="X82" s="1292"/>
      <c r="Y82" s="1292"/>
      <c r="Z82" s="1292"/>
      <c r="AA82" s="1292"/>
      <c r="AB82" s="1292"/>
      <c r="AC82" s="1292"/>
      <c r="AD82" s="1292"/>
      <c r="AE82" s="1292"/>
      <c r="AF82" s="1292"/>
      <c r="AG82" s="1292"/>
      <c r="AH82" s="1292"/>
      <c r="AI82" s="1292"/>
      <c r="AJ82" s="1293">
        <v>10</v>
      </c>
      <c r="AK82"/>
      <c r="AL82"/>
      <c r="AM82"/>
    </row>
    <row r="83" spans="1:39">
      <c r="A83" s="1294"/>
      <c r="B83" s="1294"/>
      <c r="C83" s="1295" t="s">
        <v>1402</v>
      </c>
      <c r="D83" s="1296"/>
      <c r="E83" s="1054"/>
      <c r="F83" s="1054"/>
      <c r="G83" s="1054"/>
      <c r="H83" s="1054"/>
      <c r="I83" s="1054"/>
      <c r="J83" s="1054"/>
      <c r="K83" s="1054">
        <v>18</v>
      </c>
      <c r="L83" s="1054"/>
      <c r="M83" s="1054">
        <v>2</v>
      </c>
      <c r="N83" s="1054">
        <v>11</v>
      </c>
      <c r="O83" s="1054"/>
      <c r="P83" s="1054"/>
      <c r="Q83" s="1054"/>
      <c r="R83" s="1054"/>
      <c r="S83" s="1054"/>
      <c r="T83" s="1054"/>
      <c r="U83" s="1054"/>
      <c r="V83" s="1054"/>
      <c r="W83" s="1054"/>
      <c r="X83" s="1054"/>
      <c r="Y83" s="1054"/>
      <c r="Z83" s="1054"/>
      <c r="AA83" s="1054"/>
      <c r="AB83" s="1054"/>
      <c r="AC83" s="1054"/>
      <c r="AD83" s="1054"/>
      <c r="AE83" s="1054"/>
      <c r="AF83" s="1054"/>
      <c r="AG83" s="1054"/>
      <c r="AH83" s="1054"/>
      <c r="AI83" s="1054"/>
      <c r="AJ83" s="1297">
        <v>31</v>
      </c>
      <c r="AK83"/>
      <c r="AL83"/>
      <c r="AM83"/>
    </row>
    <row r="84" spans="1:39">
      <c r="A84" s="1294"/>
      <c r="B84" s="1288" t="s">
        <v>1424</v>
      </c>
      <c r="C84" s="1286"/>
      <c r="D84" s="1291"/>
      <c r="E84" s="1292"/>
      <c r="F84" s="1292"/>
      <c r="G84" s="1292"/>
      <c r="H84" s="1292"/>
      <c r="I84" s="1292"/>
      <c r="J84" s="1292"/>
      <c r="K84" s="1292">
        <v>24</v>
      </c>
      <c r="L84" s="1292">
        <v>1</v>
      </c>
      <c r="M84" s="1292">
        <v>2</v>
      </c>
      <c r="N84" s="1292">
        <v>12</v>
      </c>
      <c r="O84" s="1292"/>
      <c r="P84" s="1292"/>
      <c r="Q84" s="1292">
        <v>1</v>
      </c>
      <c r="R84" s="1292">
        <v>1</v>
      </c>
      <c r="S84" s="1292"/>
      <c r="T84" s="1292"/>
      <c r="U84" s="1292"/>
      <c r="V84" s="1292"/>
      <c r="W84" s="1292"/>
      <c r="X84" s="1292"/>
      <c r="Y84" s="1292"/>
      <c r="Z84" s="1292"/>
      <c r="AA84" s="1292"/>
      <c r="AB84" s="1292"/>
      <c r="AC84" s="1292"/>
      <c r="AD84" s="1292"/>
      <c r="AE84" s="1292"/>
      <c r="AF84" s="1292"/>
      <c r="AG84" s="1292"/>
      <c r="AH84" s="1292"/>
      <c r="AI84" s="1292"/>
      <c r="AJ84" s="1293">
        <v>41</v>
      </c>
      <c r="AK84"/>
      <c r="AL84"/>
      <c r="AM84"/>
    </row>
    <row r="85" spans="1:39">
      <c r="A85" s="1294"/>
      <c r="B85" s="1288">
        <v>40</v>
      </c>
      <c r="C85" s="1288" t="s">
        <v>1412</v>
      </c>
      <c r="D85" s="1291"/>
      <c r="E85" s="1292"/>
      <c r="F85" s="1292"/>
      <c r="G85" s="1292"/>
      <c r="H85" s="1292"/>
      <c r="I85" s="1292"/>
      <c r="J85" s="1292"/>
      <c r="K85" s="1292">
        <v>9</v>
      </c>
      <c r="L85" s="1292"/>
      <c r="M85" s="1292"/>
      <c r="N85" s="1292">
        <v>3</v>
      </c>
      <c r="O85" s="1292"/>
      <c r="P85" s="1292"/>
      <c r="Q85" s="1292"/>
      <c r="R85" s="1292">
        <v>3</v>
      </c>
      <c r="S85" s="1292"/>
      <c r="T85" s="1292"/>
      <c r="U85" s="1292"/>
      <c r="V85" s="1292"/>
      <c r="W85" s="1292"/>
      <c r="X85" s="1292"/>
      <c r="Y85" s="1292"/>
      <c r="Z85" s="1292"/>
      <c r="AA85" s="1292"/>
      <c r="AB85" s="1292"/>
      <c r="AC85" s="1292"/>
      <c r="AD85" s="1292"/>
      <c r="AE85" s="1292"/>
      <c r="AF85" s="1292"/>
      <c r="AG85" s="1292"/>
      <c r="AH85" s="1292"/>
      <c r="AI85" s="1292"/>
      <c r="AJ85" s="1293">
        <v>15</v>
      </c>
      <c r="AK85"/>
      <c r="AL85"/>
      <c r="AM85"/>
    </row>
    <row r="86" spans="1:39">
      <c r="A86" s="1294"/>
      <c r="B86" s="1294"/>
      <c r="C86" s="1295" t="s">
        <v>1402</v>
      </c>
      <c r="D86" s="1296"/>
      <c r="E86" s="1054"/>
      <c r="F86" s="1054"/>
      <c r="G86" s="1054"/>
      <c r="H86" s="1054"/>
      <c r="I86" s="1054"/>
      <c r="J86" s="1054"/>
      <c r="K86" s="1054">
        <v>16</v>
      </c>
      <c r="L86" s="1054">
        <v>2</v>
      </c>
      <c r="M86" s="1054">
        <v>3</v>
      </c>
      <c r="N86" s="1054">
        <v>13</v>
      </c>
      <c r="O86" s="1054"/>
      <c r="P86" s="1054"/>
      <c r="Q86" s="1054">
        <v>1</v>
      </c>
      <c r="R86" s="1054">
        <v>3</v>
      </c>
      <c r="S86" s="1054"/>
      <c r="T86" s="1054"/>
      <c r="U86" s="1054"/>
      <c r="V86" s="1054"/>
      <c r="W86" s="1054"/>
      <c r="X86" s="1054"/>
      <c r="Y86" s="1054"/>
      <c r="Z86" s="1054"/>
      <c r="AA86" s="1054"/>
      <c r="AB86" s="1054"/>
      <c r="AC86" s="1054"/>
      <c r="AD86" s="1054"/>
      <c r="AE86" s="1054"/>
      <c r="AF86" s="1054"/>
      <c r="AG86" s="1054"/>
      <c r="AH86" s="1054"/>
      <c r="AI86" s="1054"/>
      <c r="AJ86" s="1297">
        <v>38</v>
      </c>
      <c r="AK86"/>
      <c r="AL86"/>
      <c r="AM86"/>
    </row>
    <row r="87" spans="1:39">
      <c r="A87" s="1294"/>
      <c r="B87" s="1288" t="s">
        <v>1425</v>
      </c>
      <c r="C87" s="1286"/>
      <c r="D87" s="1291"/>
      <c r="E87" s="1292"/>
      <c r="F87" s="1292"/>
      <c r="G87" s="1292"/>
      <c r="H87" s="1292"/>
      <c r="I87" s="1292"/>
      <c r="J87" s="1292"/>
      <c r="K87" s="1292">
        <v>25</v>
      </c>
      <c r="L87" s="1292">
        <v>2</v>
      </c>
      <c r="M87" s="1292">
        <v>3</v>
      </c>
      <c r="N87" s="1292">
        <v>16</v>
      </c>
      <c r="O87" s="1292"/>
      <c r="P87" s="1292"/>
      <c r="Q87" s="1292">
        <v>1</v>
      </c>
      <c r="R87" s="1292">
        <v>6</v>
      </c>
      <c r="S87" s="1292"/>
      <c r="T87" s="1292"/>
      <c r="U87" s="1292"/>
      <c r="V87" s="1292"/>
      <c r="W87" s="1292"/>
      <c r="X87" s="1292"/>
      <c r="Y87" s="1292"/>
      <c r="Z87" s="1292"/>
      <c r="AA87" s="1292"/>
      <c r="AB87" s="1292"/>
      <c r="AC87" s="1292"/>
      <c r="AD87" s="1292"/>
      <c r="AE87" s="1292"/>
      <c r="AF87" s="1292"/>
      <c r="AG87" s="1292"/>
      <c r="AH87" s="1292"/>
      <c r="AI87" s="1292"/>
      <c r="AJ87" s="1293">
        <v>53</v>
      </c>
      <c r="AK87"/>
      <c r="AL87"/>
      <c r="AM87"/>
    </row>
    <row r="88" spans="1:39">
      <c r="A88" s="1288" t="s">
        <v>1426</v>
      </c>
      <c r="B88" s="1286"/>
      <c r="C88" s="1286"/>
      <c r="D88" s="1291"/>
      <c r="E88" s="1292"/>
      <c r="F88" s="1292"/>
      <c r="G88" s="1292"/>
      <c r="H88" s="1292"/>
      <c r="I88" s="1292"/>
      <c r="J88" s="1292"/>
      <c r="K88" s="1292">
        <v>116</v>
      </c>
      <c r="L88" s="1292">
        <v>3</v>
      </c>
      <c r="M88" s="1292">
        <v>7</v>
      </c>
      <c r="N88" s="1292">
        <v>42</v>
      </c>
      <c r="O88" s="1292">
        <v>2</v>
      </c>
      <c r="P88" s="1292">
        <v>1</v>
      </c>
      <c r="Q88" s="1292">
        <v>3</v>
      </c>
      <c r="R88" s="1292">
        <v>7</v>
      </c>
      <c r="S88" s="1292">
        <v>2</v>
      </c>
      <c r="T88" s="1292"/>
      <c r="U88" s="1292"/>
      <c r="V88" s="1292"/>
      <c r="W88" s="1292"/>
      <c r="X88" s="1292"/>
      <c r="Y88" s="1292"/>
      <c r="Z88" s="1292"/>
      <c r="AA88" s="1292"/>
      <c r="AB88" s="1292"/>
      <c r="AC88" s="1292"/>
      <c r="AD88" s="1292"/>
      <c r="AE88" s="1292">
        <v>1</v>
      </c>
      <c r="AF88" s="1292"/>
      <c r="AG88" s="1292"/>
      <c r="AH88" s="1292"/>
      <c r="AI88" s="1292"/>
      <c r="AJ88" s="1293">
        <v>184</v>
      </c>
      <c r="AK88"/>
      <c r="AL88"/>
      <c r="AM88"/>
    </row>
    <row r="89" spans="1:39">
      <c r="A89" s="1288" t="s">
        <v>434</v>
      </c>
      <c r="B89" s="1288">
        <v>0.16</v>
      </c>
      <c r="C89" s="1288" t="s">
        <v>1402</v>
      </c>
      <c r="D89" s="1291"/>
      <c r="E89" s="1292"/>
      <c r="F89" s="1292"/>
      <c r="G89" s="1292"/>
      <c r="H89" s="1292"/>
      <c r="I89" s="1292"/>
      <c r="J89" s="1292"/>
      <c r="K89" s="1292"/>
      <c r="L89" s="1292"/>
      <c r="M89" s="1292"/>
      <c r="N89" s="1292"/>
      <c r="O89" s="1292"/>
      <c r="P89" s="1292"/>
      <c r="Q89" s="1292"/>
      <c r="R89" s="1292"/>
      <c r="S89" s="1292"/>
      <c r="T89" s="1292">
        <v>2204</v>
      </c>
      <c r="U89" s="1292">
        <v>13</v>
      </c>
      <c r="V89" s="1292">
        <v>29</v>
      </c>
      <c r="W89" s="1292">
        <v>249</v>
      </c>
      <c r="X89" s="1292">
        <v>1</v>
      </c>
      <c r="Y89" s="1292">
        <v>12</v>
      </c>
      <c r="Z89" s="1292">
        <v>11</v>
      </c>
      <c r="AA89" s="1292">
        <v>115</v>
      </c>
      <c r="AB89" s="1292"/>
      <c r="AC89" s="1292"/>
      <c r="AD89" s="1292"/>
      <c r="AE89" s="1292">
        <v>38</v>
      </c>
      <c r="AF89" s="1292"/>
      <c r="AG89" s="1292"/>
      <c r="AH89" s="1292">
        <v>6</v>
      </c>
      <c r="AI89" s="1292"/>
      <c r="AJ89" s="1293">
        <v>2678</v>
      </c>
      <c r="AK89"/>
      <c r="AL89"/>
      <c r="AM89"/>
    </row>
    <row r="90" spans="1:39">
      <c r="A90" s="1294"/>
      <c r="B90" s="1288" t="s">
        <v>1403</v>
      </c>
      <c r="C90" s="1286"/>
      <c r="D90" s="1291"/>
      <c r="E90" s="1292"/>
      <c r="F90" s="1292"/>
      <c r="G90" s="1292"/>
      <c r="H90" s="1292"/>
      <c r="I90" s="1292"/>
      <c r="J90" s="1292"/>
      <c r="K90" s="1292"/>
      <c r="L90" s="1292"/>
      <c r="M90" s="1292"/>
      <c r="N90" s="1292"/>
      <c r="O90" s="1292"/>
      <c r="P90" s="1292"/>
      <c r="Q90" s="1292"/>
      <c r="R90" s="1292"/>
      <c r="S90" s="1292"/>
      <c r="T90" s="1292">
        <v>2204</v>
      </c>
      <c r="U90" s="1292">
        <v>13</v>
      </c>
      <c r="V90" s="1292">
        <v>29</v>
      </c>
      <c r="W90" s="1292">
        <v>249</v>
      </c>
      <c r="X90" s="1292">
        <v>1</v>
      </c>
      <c r="Y90" s="1292">
        <v>12</v>
      </c>
      <c r="Z90" s="1292">
        <v>11</v>
      </c>
      <c r="AA90" s="1292">
        <v>115</v>
      </c>
      <c r="AB90" s="1292"/>
      <c r="AC90" s="1292"/>
      <c r="AD90" s="1292"/>
      <c r="AE90" s="1292">
        <v>38</v>
      </c>
      <c r="AF90" s="1292"/>
      <c r="AG90" s="1292"/>
      <c r="AH90" s="1292">
        <v>6</v>
      </c>
      <c r="AI90" s="1292"/>
      <c r="AJ90" s="1293">
        <v>2678</v>
      </c>
      <c r="AK90"/>
      <c r="AL90"/>
      <c r="AM90"/>
    </row>
    <row r="91" spans="1:39">
      <c r="A91" s="1294"/>
      <c r="B91" s="1288">
        <v>0.3</v>
      </c>
      <c r="C91" s="1288" t="s">
        <v>1402</v>
      </c>
      <c r="D91" s="1291"/>
      <c r="E91" s="1292"/>
      <c r="F91" s="1292"/>
      <c r="G91" s="1292"/>
      <c r="H91" s="1292"/>
      <c r="I91" s="1292"/>
      <c r="J91" s="1292"/>
      <c r="K91" s="1292"/>
      <c r="L91" s="1292"/>
      <c r="M91" s="1292"/>
      <c r="N91" s="1292"/>
      <c r="O91" s="1292"/>
      <c r="P91" s="1292"/>
      <c r="Q91" s="1292"/>
      <c r="R91" s="1292"/>
      <c r="S91" s="1292"/>
      <c r="T91" s="1292">
        <v>3509</v>
      </c>
      <c r="U91" s="1292">
        <v>30</v>
      </c>
      <c r="V91" s="1292">
        <v>87</v>
      </c>
      <c r="W91" s="1292">
        <v>486</v>
      </c>
      <c r="X91" s="1292">
        <v>9</v>
      </c>
      <c r="Y91" s="1292">
        <v>141</v>
      </c>
      <c r="Z91" s="1292">
        <v>1058</v>
      </c>
      <c r="AA91" s="1292">
        <v>139</v>
      </c>
      <c r="AB91" s="1292">
        <v>5</v>
      </c>
      <c r="AC91" s="1292">
        <v>4</v>
      </c>
      <c r="AD91" s="1292"/>
      <c r="AE91" s="1292">
        <v>3</v>
      </c>
      <c r="AF91" s="1292"/>
      <c r="AG91" s="1292">
        <v>1</v>
      </c>
      <c r="AH91" s="1292">
        <v>21</v>
      </c>
      <c r="AI91" s="1292">
        <v>1</v>
      </c>
      <c r="AJ91" s="1293">
        <v>5494</v>
      </c>
      <c r="AK91"/>
      <c r="AL91"/>
      <c r="AM91"/>
    </row>
    <row r="92" spans="1:39">
      <c r="A92" s="1294"/>
      <c r="B92" s="1288" t="s">
        <v>1404</v>
      </c>
      <c r="C92" s="1286"/>
      <c r="D92" s="1291"/>
      <c r="E92" s="1292"/>
      <c r="F92" s="1292"/>
      <c r="G92" s="1292"/>
      <c r="H92" s="1292"/>
      <c r="I92" s="1292"/>
      <c r="J92" s="1292"/>
      <c r="K92" s="1292"/>
      <c r="L92" s="1292"/>
      <c r="M92" s="1292"/>
      <c r="N92" s="1292"/>
      <c r="O92" s="1292"/>
      <c r="P92" s="1292"/>
      <c r="Q92" s="1292"/>
      <c r="R92" s="1292"/>
      <c r="S92" s="1292"/>
      <c r="T92" s="1292">
        <v>3509</v>
      </c>
      <c r="U92" s="1292">
        <v>30</v>
      </c>
      <c r="V92" s="1292">
        <v>87</v>
      </c>
      <c r="W92" s="1292">
        <v>486</v>
      </c>
      <c r="X92" s="1292">
        <v>9</v>
      </c>
      <c r="Y92" s="1292">
        <v>141</v>
      </c>
      <c r="Z92" s="1292">
        <v>1058</v>
      </c>
      <c r="AA92" s="1292">
        <v>139</v>
      </c>
      <c r="AB92" s="1292">
        <v>5</v>
      </c>
      <c r="AC92" s="1292">
        <v>4</v>
      </c>
      <c r="AD92" s="1292"/>
      <c r="AE92" s="1292">
        <v>3</v>
      </c>
      <c r="AF92" s="1292"/>
      <c r="AG92" s="1292">
        <v>1</v>
      </c>
      <c r="AH92" s="1292">
        <v>21</v>
      </c>
      <c r="AI92" s="1292">
        <v>1</v>
      </c>
      <c r="AJ92" s="1293">
        <v>5494</v>
      </c>
      <c r="AK92"/>
      <c r="AL92"/>
      <c r="AM92"/>
    </row>
    <row r="93" spans="1:39">
      <c r="A93" s="1294"/>
      <c r="B93" s="1288">
        <v>0.32</v>
      </c>
      <c r="C93" s="1288" t="s">
        <v>1402</v>
      </c>
      <c r="D93" s="1291"/>
      <c r="E93" s="1292"/>
      <c r="F93" s="1292"/>
      <c r="G93" s="1292"/>
      <c r="H93" s="1292"/>
      <c r="I93" s="1292"/>
      <c r="J93" s="1292"/>
      <c r="K93" s="1292"/>
      <c r="L93" s="1292"/>
      <c r="M93" s="1292"/>
      <c r="N93" s="1292"/>
      <c r="O93" s="1292"/>
      <c r="P93" s="1292"/>
      <c r="Q93" s="1292"/>
      <c r="R93" s="1292"/>
      <c r="S93" s="1292"/>
      <c r="T93" s="1292">
        <v>1</v>
      </c>
      <c r="U93" s="1292"/>
      <c r="V93" s="1292"/>
      <c r="W93" s="1292"/>
      <c r="X93" s="1292"/>
      <c r="Y93" s="1292"/>
      <c r="Z93" s="1292"/>
      <c r="AA93" s="1292"/>
      <c r="AB93" s="1292"/>
      <c r="AC93" s="1292">
        <v>6</v>
      </c>
      <c r="AD93" s="1292"/>
      <c r="AE93" s="1292"/>
      <c r="AF93" s="1292"/>
      <c r="AG93" s="1292"/>
      <c r="AH93" s="1292"/>
      <c r="AI93" s="1292"/>
      <c r="AJ93" s="1293">
        <v>7</v>
      </c>
      <c r="AK93"/>
      <c r="AL93"/>
      <c r="AM93"/>
    </row>
    <row r="94" spans="1:39">
      <c r="A94" s="1294"/>
      <c r="B94" s="1288" t="s">
        <v>1476</v>
      </c>
      <c r="C94" s="1286"/>
      <c r="D94" s="1291"/>
      <c r="E94" s="1292"/>
      <c r="F94" s="1292"/>
      <c r="G94" s="1292"/>
      <c r="H94" s="1292"/>
      <c r="I94" s="1292"/>
      <c r="J94" s="1292"/>
      <c r="K94" s="1292"/>
      <c r="L94" s="1292"/>
      <c r="M94" s="1292"/>
      <c r="N94" s="1292"/>
      <c r="O94" s="1292"/>
      <c r="P94" s="1292"/>
      <c r="Q94" s="1292"/>
      <c r="R94" s="1292"/>
      <c r="S94" s="1292"/>
      <c r="T94" s="1292">
        <v>1</v>
      </c>
      <c r="U94" s="1292"/>
      <c r="V94" s="1292"/>
      <c r="W94" s="1292"/>
      <c r="X94" s="1292"/>
      <c r="Y94" s="1292"/>
      <c r="Z94" s="1292"/>
      <c r="AA94" s="1292"/>
      <c r="AB94" s="1292"/>
      <c r="AC94" s="1292">
        <v>6</v>
      </c>
      <c r="AD94" s="1292"/>
      <c r="AE94" s="1292"/>
      <c r="AF94" s="1292"/>
      <c r="AG94" s="1292"/>
      <c r="AH94" s="1292"/>
      <c r="AI94" s="1292"/>
      <c r="AJ94" s="1293">
        <v>7</v>
      </c>
      <c r="AK94"/>
      <c r="AL94"/>
      <c r="AM94"/>
    </row>
    <row r="95" spans="1:39">
      <c r="A95" s="1294"/>
      <c r="B95" s="1288">
        <v>0.45</v>
      </c>
      <c r="C95" s="1288" t="s">
        <v>1402</v>
      </c>
      <c r="D95" s="1291"/>
      <c r="E95" s="1292"/>
      <c r="F95" s="1292"/>
      <c r="G95" s="1292"/>
      <c r="H95" s="1292"/>
      <c r="I95" s="1292"/>
      <c r="J95" s="1292">
        <v>1</v>
      </c>
      <c r="K95" s="1292"/>
      <c r="L95" s="1292"/>
      <c r="M95" s="1292"/>
      <c r="N95" s="1292">
        <v>1</v>
      </c>
      <c r="O95" s="1292"/>
      <c r="P95" s="1292"/>
      <c r="Q95" s="1292"/>
      <c r="R95" s="1292"/>
      <c r="S95" s="1292"/>
      <c r="T95" s="1292">
        <v>24002</v>
      </c>
      <c r="U95" s="1292">
        <v>4054</v>
      </c>
      <c r="V95" s="1292">
        <v>6891</v>
      </c>
      <c r="W95" s="1292">
        <v>7913</v>
      </c>
      <c r="X95" s="1292">
        <v>1073</v>
      </c>
      <c r="Y95" s="1292">
        <v>787</v>
      </c>
      <c r="Z95" s="1292">
        <v>551</v>
      </c>
      <c r="AA95" s="1292">
        <v>662</v>
      </c>
      <c r="AB95" s="1292">
        <v>34</v>
      </c>
      <c r="AC95" s="1292">
        <v>54</v>
      </c>
      <c r="AD95" s="1292"/>
      <c r="AE95" s="1292">
        <v>31</v>
      </c>
      <c r="AF95" s="1292">
        <v>8</v>
      </c>
      <c r="AG95" s="1292">
        <v>13</v>
      </c>
      <c r="AH95" s="1292">
        <v>158</v>
      </c>
      <c r="AI95" s="1292">
        <v>7</v>
      </c>
      <c r="AJ95" s="1293">
        <v>46240</v>
      </c>
      <c r="AK95"/>
      <c r="AL95"/>
      <c r="AM95"/>
    </row>
    <row r="96" spans="1:39">
      <c r="A96" s="1294"/>
      <c r="B96" s="1288" t="s">
        <v>1405</v>
      </c>
      <c r="C96" s="1286"/>
      <c r="D96" s="1291"/>
      <c r="E96" s="1292"/>
      <c r="F96" s="1292"/>
      <c r="G96" s="1292"/>
      <c r="H96" s="1292"/>
      <c r="I96" s="1292"/>
      <c r="J96" s="1292">
        <v>1</v>
      </c>
      <c r="K96" s="1292"/>
      <c r="L96" s="1292"/>
      <c r="M96" s="1292"/>
      <c r="N96" s="1292">
        <v>1</v>
      </c>
      <c r="O96" s="1292"/>
      <c r="P96" s="1292"/>
      <c r="Q96" s="1292"/>
      <c r="R96" s="1292"/>
      <c r="S96" s="1292"/>
      <c r="T96" s="1292">
        <v>24002</v>
      </c>
      <c r="U96" s="1292">
        <v>4054</v>
      </c>
      <c r="V96" s="1292">
        <v>6891</v>
      </c>
      <c r="W96" s="1292">
        <v>7913</v>
      </c>
      <c r="X96" s="1292">
        <v>1073</v>
      </c>
      <c r="Y96" s="1292">
        <v>787</v>
      </c>
      <c r="Z96" s="1292">
        <v>551</v>
      </c>
      <c r="AA96" s="1292">
        <v>662</v>
      </c>
      <c r="AB96" s="1292">
        <v>34</v>
      </c>
      <c r="AC96" s="1292">
        <v>54</v>
      </c>
      <c r="AD96" s="1292"/>
      <c r="AE96" s="1292">
        <v>31</v>
      </c>
      <c r="AF96" s="1292">
        <v>8</v>
      </c>
      <c r="AG96" s="1292">
        <v>13</v>
      </c>
      <c r="AH96" s="1292">
        <v>158</v>
      </c>
      <c r="AI96" s="1292">
        <v>7</v>
      </c>
      <c r="AJ96" s="1293">
        <v>46240</v>
      </c>
      <c r="AK96"/>
      <c r="AL96"/>
      <c r="AM96"/>
    </row>
    <row r="97" spans="1:52">
      <c r="A97" s="1294"/>
      <c r="B97" s="1288">
        <v>0.5</v>
      </c>
      <c r="C97" s="1288" t="s">
        <v>1402</v>
      </c>
      <c r="D97" s="1291"/>
      <c r="E97" s="1292"/>
      <c r="F97" s="1292"/>
      <c r="G97" s="1292"/>
      <c r="H97" s="1292"/>
      <c r="I97" s="1292"/>
      <c r="J97" s="1292"/>
      <c r="K97" s="1292"/>
      <c r="L97" s="1292"/>
      <c r="M97" s="1292"/>
      <c r="N97" s="1292"/>
      <c r="O97" s="1292"/>
      <c r="P97" s="1292"/>
      <c r="Q97" s="1292"/>
      <c r="R97" s="1292"/>
      <c r="S97" s="1292"/>
      <c r="T97" s="1292"/>
      <c r="U97" s="1292"/>
      <c r="V97" s="1292"/>
      <c r="W97" s="1292"/>
      <c r="X97" s="1292"/>
      <c r="Y97" s="1292"/>
      <c r="Z97" s="1292"/>
      <c r="AA97" s="1292">
        <v>7</v>
      </c>
      <c r="AB97" s="1292"/>
      <c r="AC97" s="1292"/>
      <c r="AD97" s="1292"/>
      <c r="AE97" s="1292"/>
      <c r="AF97" s="1292"/>
      <c r="AG97" s="1292"/>
      <c r="AH97" s="1292"/>
      <c r="AI97" s="1292"/>
      <c r="AJ97" s="1293">
        <v>7</v>
      </c>
      <c r="AK97"/>
      <c r="AL97"/>
      <c r="AM97"/>
      <c r="AZ97" s="1236">
        <f>SUM(AV97:AY97)</f>
        <v>0</v>
      </c>
    </row>
    <row r="98" spans="1:52">
      <c r="A98" s="1294"/>
      <c r="B98" s="1288" t="s">
        <v>1480</v>
      </c>
      <c r="C98" s="1286"/>
      <c r="D98" s="1291"/>
      <c r="E98" s="1292"/>
      <c r="F98" s="1292"/>
      <c r="G98" s="1292"/>
      <c r="H98" s="1292"/>
      <c r="I98" s="1292"/>
      <c r="J98" s="1292"/>
      <c r="K98" s="1292"/>
      <c r="L98" s="1292"/>
      <c r="M98" s="1292"/>
      <c r="N98" s="1292"/>
      <c r="O98" s="1292"/>
      <c r="P98" s="1292"/>
      <c r="Q98" s="1292"/>
      <c r="R98" s="1292"/>
      <c r="S98" s="1292"/>
      <c r="T98" s="1292"/>
      <c r="U98" s="1292"/>
      <c r="V98" s="1292"/>
      <c r="W98" s="1292"/>
      <c r="X98" s="1292"/>
      <c r="Y98" s="1292"/>
      <c r="Z98" s="1292"/>
      <c r="AA98" s="1292">
        <v>7</v>
      </c>
      <c r="AB98" s="1292"/>
      <c r="AC98" s="1292"/>
      <c r="AD98" s="1292"/>
      <c r="AE98" s="1292"/>
      <c r="AF98" s="1292"/>
      <c r="AG98" s="1292"/>
      <c r="AH98" s="1292"/>
      <c r="AI98" s="1292"/>
      <c r="AJ98" s="1293">
        <v>7</v>
      </c>
      <c r="AK98"/>
      <c r="AL98"/>
      <c r="AM98"/>
    </row>
    <row r="99" spans="1:52">
      <c r="A99" s="1288" t="s">
        <v>1427</v>
      </c>
      <c r="B99" s="1286"/>
      <c r="C99" s="1286"/>
      <c r="D99" s="1291"/>
      <c r="E99" s="1292"/>
      <c r="F99" s="1292"/>
      <c r="G99" s="1292"/>
      <c r="H99" s="1292"/>
      <c r="I99" s="1292"/>
      <c r="J99" s="1292">
        <v>1</v>
      </c>
      <c r="K99" s="1292"/>
      <c r="L99" s="1292"/>
      <c r="M99" s="1292"/>
      <c r="N99" s="1292">
        <v>1</v>
      </c>
      <c r="O99" s="1292"/>
      <c r="P99" s="1292"/>
      <c r="Q99" s="1292"/>
      <c r="R99" s="1292"/>
      <c r="S99" s="1292"/>
      <c r="T99" s="1292">
        <v>29716</v>
      </c>
      <c r="U99" s="1292">
        <v>4097</v>
      </c>
      <c r="V99" s="1292">
        <v>7007</v>
      </c>
      <c r="W99" s="1292">
        <v>8648</v>
      </c>
      <c r="X99" s="1292">
        <v>1083</v>
      </c>
      <c r="Y99" s="1292">
        <v>940</v>
      </c>
      <c r="Z99" s="1292">
        <v>1620</v>
      </c>
      <c r="AA99" s="1292">
        <v>923</v>
      </c>
      <c r="AB99" s="1292">
        <v>39</v>
      </c>
      <c r="AC99" s="1292">
        <v>64</v>
      </c>
      <c r="AD99" s="1292"/>
      <c r="AE99" s="1292">
        <v>72</v>
      </c>
      <c r="AF99" s="1292">
        <v>8</v>
      </c>
      <c r="AG99" s="1292">
        <v>14</v>
      </c>
      <c r="AH99" s="1292">
        <v>185</v>
      </c>
      <c r="AI99" s="1292">
        <v>8</v>
      </c>
      <c r="AJ99" s="1293">
        <v>54426</v>
      </c>
      <c r="AK99"/>
      <c r="AL99"/>
      <c r="AM99"/>
    </row>
    <row r="100" spans="1:52">
      <c r="A100" s="1288" t="s">
        <v>430</v>
      </c>
      <c r="B100" s="1288">
        <v>10</v>
      </c>
      <c r="C100" s="1288" t="s">
        <v>1412</v>
      </c>
      <c r="D100" s="1291"/>
      <c r="E100" s="1292"/>
      <c r="F100" s="1292"/>
      <c r="G100" s="1292"/>
      <c r="H100" s="1292"/>
      <c r="I100" s="1292"/>
      <c r="J100" s="1292"/>
      <c r="K100" s="1292">
        <v>1</v>
      </c>
      <c r="L100" s="1292"/>
      <c r="M100" s="1292">
        <v>1</v>
      </c>
      <c r="N100" s="1292"/>
      <c r="O100" s="1292"/>
      <c r="P100" s="1292"/>
      <c r="Q100" s="1292"/>
      <c r="R100" s="1292"/>
      <c r="S100" s="1292"/>
      <c r="T100" s="1292"/>
      <c r="U100" s="1292"/>
      <c r="V100" s="1292"/>
      <c r="W100" s="1292"/>
      <c r="X100" s="1292"/>
      <c r="Y100" s="1292"/>
      <c r="Z100" s="1292"/>
      <c r="AA100" s="1292"/>
      <c r="AB100" s="1292"/>
      <c r="AC100" s="1292"/>
      <c r="AD100" s="1292"/>
      <c r="AE100" s="1292"/>
      <c r="AF100" s="1292"/>
      <c r="AG100" s="1292"/>
      <c r="AH100" s="1292"/>
      <c r="AI100" s="1292"/>
      <c r="AJ100" s="1293">
        <v>2</v>
      </c>
      <c r="AK100"/>
      <c r="AL100"/>
      <c r="AM100"/>
    </row>
    <row r="101" spans="1:52">
      <c r="A101" s="1294"/>
      <c r="B101" s="1294"/>
      <c r="C101" s="1295" t="s">
        <v>1402</v>
      </c>
      <c r="D101" s="1296"/>
      <c r="E101" s="1054"/>
      <c r="F101" s="1054"/>
      <c r="G101" s="1054"/>
      <c r="H101" s="1054"/>
      <c r="I101" s="1054"/>
      <c r="J101" s="1054"/>
      <c r="K101" s="1054">
        <v>1</v>
      </c>
      <c r="L101" s="1054"/>
      <c r="M101" s="1054"/>
      <c r="N101" s="1054"/>
      <c r="O101" s="1054"/>
      <c r="P101" s="1054"/>
      <c r="Q101" s="1054"/>
      <c r="R101" s="1054"/>
      <c r="S101" s="1054"/>
      <c r="T101" s="1054"/>
      <c r="U101" s="1054"/>
      <c r="V101" s="1054"/>
      <c r="W101" s="1054"/>
      <c r="X101" s="1054"/>
      <c r="Y101" s="1054"/>
      <c r="Z101" s="1054"/>
      <c r="AA101" s="1054"/>
      <c r="AB101" s="1054"/>
      <c r="AC101" s="1054"/>
      <c r="AD101" s="1054"/>
      <c r="AE101" s="1054"/>
      <c r="AF101" s="1054"/>
      <c r="AG101" s="1054"/>
      <c r="AH101" s="1054"/>
      <c r="AI101" s="1054"/>
      <c r="AJ101" s="1297">
        <v>1</v>
      </c>
      <c r="AK101"/>
      <c r="AL101"/>
      <c r="AM101"/>
    </row>
    <row r="102" spans="1:52">
      <c r="A102" s="1294"/>
      <c r="B102" s="1288" t="s">
        <v>1420</v>
      </c>
      <c r="C102" s="1286"/>
      <c r="D102" s="1291"/>
      <c r="E102" s="1292"/>
      <c r="F102" s="1292"/>
      <c r="G102" s="1292"/>
      <c r="H102" s="1292"/>
      <c r="I102" s="1292"/>
      <c r="J102" s="1292"/>
      <c r="K102" s="1292">
        <v>2</v>
      </c>
      <c r="L102" s="1292"/>
      <c r="M102" s="1292">
        <v>1</v>
      </c>
      <c r="N102" s="1292"/>
      <c r="O102" s="1292"/>
      <c r="P102" s="1292"/>
      <c r="Q102" s="1292"/>
      <c r="R102" s="1292"/>
      <c r="S102" s="1292"/>
      <c r="T102" s="1292"/>
      <c r="U102" s="1292"/>
      <c r="V102" s="1292"/>
      <c r="W102" s="1292"/>
      <c r="X102" s="1292"/>
      <c r="Y102" s="1292"/>
      <c r="Z102" s="1292"/>
      <c r="AA102" s="1292"/>
      <c r="AB102" s="1292"/>
      <c r="AC102" s="1292"/>
      <c r="AD102" s="1292"/>
      <c r="AE102" s="1292"/>
      <c r="AF102" s="1292"/>
      <c r="AG102" s="1292"/>
      <c r="AH102" s="1292"/>
      <c r="AI102" s="1292"/>
      <c r="AJ102" s="1293">
        <v>3</v>
      </c>
      <c r="AK102"/>
      <c r="AL102"/>
      <c r="AM102"/>
    </row>
    <row r="103" spans="1:52">
      <c r="A103" s="1294"/>
      <c r="B103" s="1288">
        <v>12</v>
      </c>
      <c r="C103" s="1288" t="s">
        <v>1402</v>
      </c>
      <c r="D103" s="1291"/>
      <c r="E103" s="1292"/>
      <c r="F103" s="1292"/>
      <c r="G103" s="1292"/>
      <c r="H103" s="1292"/>
      <c r="I103" s="1292"/>
      <c r="J103" s="1292"/>
      <c r="K103" s="1292">
        <v>11</v>
      </c>
      <c r="L103" s="1292"/>
      <c r="M103" s="1292">
        <v>1</v>
      </c>
      <c r="N103" s="1292"/>
      <c r="O103" s="1292"/>
      <c r="P103" s="1292"/>
      <c r="Q103" s="1292"/>
      <c r="R103" s="1292"/>
      <c r="S103" s="1292"/>
      <c r="T103" s="1292"/>
      <c r="U103" s="1292"/>
      <c r="V103" s="1292"/>
      <c r="W103" s="1292"/>
      <c r="X103" s="1292"/>
      <c r="Y103" s="1292"/>
      <c r="Z103" s="1292"/>
      <c r="AA103" s="1292"/>
      <c r="AB103" s="1292"/>
      <c r="AC103" s="1292"/>
      <c r="AD103" s="1292"/>
      <c r="AE103" s="1292"/>
      <c r="AF103" s="1292"/>
      <c r="AG103" s="1292"/>
      <c r="AH103" s="1292"/>
      <c r="AI103" s="1292"/>
      <c r="AJ103" s="1293">
        <v>12</v>
      </c>
      <c r="AK103"/>
      <c r="AL103"/>
      <c r="AM103"/>
    </row>
    <row r="104" spans="1:52">
      <c r="A104" s="1294"/>
      <c r="B104" s="1288" t="s">
        <v>1421</v>
      </c>
      <c r="C104" s="1286"/>
      <c r="D104" s="1291"/>
      <c r="E104" s="1292"/>
      <c r="F104" s="1292"/>
      <c r="G104" s="1292"/>
      <c r="H104" s="1292"/>
      <c r="I104" s="1292"/>
      <c r="J104" s="1292"/>
      <c r="K104" s="1292">
        <v>11</v>
      </c>
      <c r="L104" s="1292"/>
      <c r="M104" s="1292">
        <v>1</v>
      </c>
      <c r="N104" s="1292"/>
      <c r="O104" s="1292"/>
      <c r="P104" s="1292"/>
      <c r="Q104" s="1292"/>
      <c r="R104" s="1292"/>
      <c r="S104" s="1292"/>
      <c r="T104" s="1292"/>
      <c r="U104" s="1292"/>
      <c r="V104" s="1292"/>
      <c r="W104" s="1292"/>
      <c r="X104" s="1292"/>
      <c r="Y104" s="1292"/>
      <c r="Z104" s="1292"/>
      <c r="AA104" s="1292"/>
      <c r="AB104" s="1292"/>
      <c r="AC104" s="1292"/>
      <c r="AD104" s="1292"/>
      <c r="AE104" s="1292"/>
      <c r="AF104" s="1292"/>
      <c r="AG104" s="1292"/>
      <c r="AH104" s="1292"/>
      <c r="AI104" s="1292"/>
      <c r="AJ104" s="1293">
        <v>12</v>
      </c>
      <c r="AK104"/>
      <c r="AL104"/>
      <c r="AM104"/>
    </row>
    <row r="105" spans="1:52">
      <c r="A105" s="1294"/>
      <c r="B105" s="1288">
        <v>15</v>
      </c>
      <c r="C105" s="1288" t="s">
        <v>1412</v>
      </c>
      <c r="D105" s="1291"/>
      <c r="E105" s="1292"/>
      <c r="F105" s="1292"/>
      <c r="G105" s="1292"/>
      <c r="H105" s="1292"/>
      <c r="I105" s="1292"/>
      <c r="J105" s="1292"/>
      <c r="K105" s="1292">
        <v>6</v>
      </c>
      <c r="L105" s="1292">
        <v>1</v>
      </c>
      <c r="M105" s="1292">
        <v>1</v>
      </c>
      <c r="N105" s="1292"/>
      <c r="O105" s="1292"/>
      <c r="P105" s="1292"/>
      <c r="Q105" s="1292"/>
      <c r="R105" s="1292"/>
      <c r="S105" s="1292"/>
      <c r="T105" s="1292"/>
      <c r="U105" s="1292"/>
      <c r="V105" s="1292"/>
      <c r="W105" s="1292"/>
      <c r="X105" s="1292"/>
      <c r="Y105" s="1292"/>
      <c r="Z105" s="1292"/>
      <c r="AA105" s="1292"/>
      <c r="AB105" s="1292"/>
      <c r="AC105" s="1292"/>
      <c r="AD105" s="1292"/>
      <c r="AE105" s="1292"/>
      <c r="AF105" s="1292"/>
      <c r="AG105" s="1292"/>
      <c r="AH105" s="1292"/>
      <c r="AI105" s="1292"/>
      <c r="AJ105" s="1293">
        <v>8</v>
      </c>
      <c r="AK105"/>
      <c r="AL105"/>
      <c r="AM105"/>
    </row>
    <row r="106" spans="1:52">
      <c r="A106" s="1294"/>
      <c r="B106" s="1294"/>
      <c r="C106" s="1295" t="s">
        <v>1402</v>
      </c>
      <c r="D106" s="1296"/>
      <c r="E106" s="1054"/>
      <c r="F106" s="1054"/>
      <c r="G106" s="1054"/>
      <c r="H106" s="1054"/>
      <c r="I106" s="1054"/>
      <c r="J106" s="1054"/>
      <c r="K106" s="1054">
        <v>3</v>
      </c>
      <c r="L106" s="1054"/>
      <c r="M106" s="1054"/>
      <c r="N106" s="1054"/>
      <c r="O106" s="1054"/>
      <c r="P106" s="1054"/>
      <c r="Q106" s="1054"/>
      <c r="R106" s="1054"/>
      <c r="S106" s="1054"/>
      <c r="T106" s="1054"/>
      <c r="U106" s="1054"/>
      <c r="V106" s="1054"/>
      <c r="W106" s="1054"/>
      <c r="X106" s="1054"/>
      <c r="Y106" s="1054"/>
      <c r="Z106" s="1054"/>
      <c r="AA106" s="1054"/>
      <c r="AB106" s="1054"/>
      <c r="AC106" s="1054"/>
      <c r="AD106" s="1054"/>
      <c r="AE106" s="1054"/>
      <c r="AF106" s="1054"/>
      <c r="AG106" s="1054"/>
      <c r="AH106" s="1054"/>
      <c r="AI106" s="1054"/>
      <c r="AJ106" s="1297">
        <v>3</v>
      </c>
      <c r="AK106"/>
      <c r="AL106"/>
      <c r="AM106"/>
    </row>
    <row r="107" spans="1:52">
      <c r="A107" s="1294"/>
      <c r="B107" s="1288" t="s">
        <v>1479</v>
      </c>
      <c r="C107" s="1286"/>
      <c r="D107" s="1291"/>
      <c r="E107" s="1292"/>
      <c r="F107" s="1292"/>
      <c r="G107" s="1292"/>
      <c r="H107" s="1292"/>
      <c r="I107" s="1292"/>
      <c r="J107" s="1292"/>
      <c r="K107" s="1292">
        <v>9</v>
      </c>
      <c r="L107" s="1292">
        <v>1</v>
      </c>
      <c r="M107" s="1292">
        <v>1</v>
      </c>
      <c r="N107" s="1292"/>
      <c r="O107" s="1292"/>
      <c r="P107" s="1292"/>
      <c r="Q107" s="1292"/>
      <c r="R107" s="1292"/>
      <c r="S107" s="1292"/>
      <c r="T107" s="1292"/>
      <c r="U107" s="1292"/>
      <c r="V107" s="1292"/>
      <c r="W107" s="1292"/>
      <c r="X107" s="1292"/>
      <c r="Y107" s="1292"/>
      <c r="Z107" s="1292"/>
      <c r="AA107" s="1292"/>
      <c r="AB107" s="1292"/>
      <c r="AC107" s="1292"/>
      <c r="AD107" s="1292"/>
      <c r="AE107" s="1292"/>
      <c r="AF107" s="1292"/>
      <c r="AG107" s="1292"/>
      <c r="AH107" s="1292"/>
      <c r="AI107" s="1292"/>
      <c r="AJ107" s="1293">
        <v>11</v>
      </c>
      <c r="AK107"/>
      <c r="AL107"/>
      <c r="AM107"/>
    </row>
    <row r="108" spans="1:52">
      <c r="A108" s="1294"/>
      <c r="B108" s="1288">
        <v>20</v>
      </c>
      <c r="C108" s="1288" t="s">
        <v>1412</v>
      </c>
      <c r="D108" s="1291"/>
      <c r="E108" s="1292"/>
      <c r="F108" s="1292"/>
      <c r="G108" s="1292"/>
      <c r="H108" s="1292"/>
      <c r="I108" s="1292"/>
      <c r="J108" s="1292"/>
      <c r="K108" s="1292">
        <v>24</v>
      </c>
      <c r="L108" s="1292">
        <v>1</v>
      </c>
      <c r="M108" s="1292">
        <v>1</v>
      </c>
      <c r="N108" s="1292"/>
      <c r="O108" s="1292">
        <v>3</v>
      </c>
      <c r="P108" s="1292"/>
      <c r="Q108" s="1292"/>
      <c r="R108" s="1292">
        <v>2</v>
      </c>
      <c r="S108" s="1292"/>
      <c r="T108" s="1292"/>
      <c r="U108" s="1292"/>
      <c r="V108" s="1292"/>
      <c r="W108" s="1292"/>
      <c r="X108" s="1292"/>
      <c r="Y108" s="1292"/>
      <c r="Z108" s="1292"/>
      <c r="AA108" s="1292"/>
      <c r="AB108" s="1292"/>
      <c r="AC108" s="1292"/>
      <c r="AD108" s="1292"/>
      <c r="AE108" s="1292"/>
      <c r="AF108" s="1292"/>
      <c r="AG108" s="1292"/>
      <c r="AH108" s="1292"/>
      <c r="AI108" s="1292"/>
      <c r="AJ108" s="1293">
        <v>31</v>
      </c>
      <c r="AK108"/>
      <c r="AL108"/>
      <c r="AM108"/>
    </row>
    <row r="109" spans="1:52">
      <c r="A109" s="1294"/>
      <c r="B109" s="1294"/>
      <c r="C109" s="1295" t="s">
        <v>1402</v>
      </c>
      <c r="D109" s="1296"/>
      <c r="E109" s="1054"/>
      <c r="F109" s="1054"/>
      <c r="G109" s="1054"/>
      <c r="H109" s="1054"/>
      <c r="I109" s="1054"/>
      <c r="J109" s="1054"/>
      <c r="K109" s="1054">
        <v>8</v>
      </c>
      <c r="L109" s="1054"/>
      <c r="M109" s="1054">
        <v>1</v>
      </c>
      <c r="N109" s="1054"/>
      <c r="O109" s="1054">
        <v>2</v>
      </c>
      <c r="P109" s="1054"/>
      <c r="Q109" s="1054"/>
      <c r="R109" s="1054">
        <v>1</v>
      </c>
      <c r="S109" s="1054"/>
      <c r="T109" s="1054"/>
      <c r="U109" s="1054"/>
      <c r="V109" s="1054"/>
      <c r="W109" s="1054"/>
      <c r="X109" s="1054"/>
      <c r="Y109" s="1054"/>
      <c r="Z109" s="1054"/>
      <c r="AA109" s="1054"/>
      <c r="AB109" s="1054"/>
      <c r="AC109" s="1054"/>
      <c r="AD109" s="1054"/>
      <c r="AE109" s="1054"/>
      <c r="AF109" s="1054"/>
      <c r="AG109" s="1054"/>
      <c r="AH109" s="1054"/>
      <c r="AI109" s="1054"/>
      <c r="AJ109" s="1297">
        <v>12</v>
      </c>
      <c r="AK109"/>
      <c r="AL109"/>
      <c r="AM109"/>
    </row>
    <row r="110" spans="1:52">
      <c r="A110" s="1294"/>
      <c r="B110" s="1288" t="s">
        <v>1422</v>
      </c>
      <c r="C110" s="1286"/>
      <c r="D110" s="1291"/>
      <c r="E110" s="1292"/>
      <c r="F110" s="1292"/>
      <c r="G110" s="1292"/>
      <c r="H110" s="1292"/>
      <c r="I110" s="1292"/>
      <c r="J110" s="1292"/>
      <c r="K110" s="1292">
        <v>32</v>
      </c>
      <c r="L110" s="1292">
        <v>1</v>
      </c>
      <c r="M110" s="1292">
        <v>2</v>
      </c>
      <c r="N110" s="1292"/>
      <c r="O110" s="1292">
        <v>5</v>
      </c>
      <c r="P110" s="1292"/>
      <c r="Q110" s="1292"/>
      <c r="R110" s="1292">
        <v>3</v>
      </c>
      <c r="S110" s="1292"/>
      <c r="T110" s="1292"/>
      <c r="U110" s="1292"/>
      <c r="V110" s="1292"/>
      <c r="W110" s="1292"/>
      <c r="X110" s="1292"/>
      <c r="Y110" s="1292"/>
      <c r="Z110" s="1292"/>
      <c r="AA110" s="1292"/>
      <c r="AB110" s="1292"/>
      <c r="AC110" s="1292"/>
      <c r="AD110" s="1292"/>
      <c r="AE110" s="1292"/>
      <c r="AF110" s="1292"/>
      <c r="AG110" s="1292"/>
      <c r="AH110" s="1292"/>
      <c r="AI110" s="1292"/>
      <c r="AJ110" s="1293">
        <v>43</v>
      </c>
      <c r="AK110"/>
      <c r="AL110"/>
      <c r="AM110"/>
    </row>
    <row r="111" spans="1:52">
      <c r="A111" s="1294"/>
      <c r="B111" s="1288">
        <v>25</v>
      </c>
      <c r="C111" s="1288" t="s">
        <v>1412</v>
      </c>
      <c r="D111" s="1291"/>
      <c r="E111" s="1292"/>
      <c r="F111" s="1292"/>
      <c r="G111" s="1292"/>
      <c r="H111" s="1292"/>
      <c r="I111" s="1292"/>
      <c r="J111" s="1292"/>
      <c r="K111" s="1292">
        <v>28</v>
      </c>
      <c r="L111" s="1292"/>
      <c r="M111" s="1292">
        <v>3</v>
      </c>
      <c r="N111" s="1292"/>
      <c r="O111" s="1292"/>
      <c r="P111" s="1292"/>
      <c r="Q111" s="1292"/>
      <c r="R111" s="1292">
        <v>1</v>
      </c>
      <c r="S111" s="1292"/>
      <c r="T111" s="1292"/>
      <c r="U111" s="1292"/>
      <c r="V111" s="1292"/>
      <c r="W111" s="1292"/>
      <c r="X111" s="1292"/>
      <c r="Y111" s="1292"/>
      <c r="Z111" s="1292"/>
      <c r="AA111" s="1292"/>
      <c r="AB111" s="1292"/>
      <c r="AC111" s="1292"/>
      <c r="AD111" s="1292"/>
      <c r="AE111" s="1292"/>
      <c r="AF111" s="1292"/>
      <c r="AG111" s="1292"/>
      <c r="AH111" s="1292"/>
      <c r="AI111" s="1292"/>
      <c r="AJ111" s="1293">
        <v>32</v>
      </c>
      <c r="AK111"/>
      <c r="AL111"/>
      <c r="AM111"/>
    </row>
    <row r="112" spans="1:52">
      <c r="A112" s="1294"/>
      <c r="B112" s="1294"/>
      <c r="C112" s="1295" t="s">
        <v>1402</v>
      </c>
      <c r="D112" s="1296"/>
      <c r="E112" s="1054"/>
      <c r="F112" s="1054"/>
      <c r="G112" s="1054"/>
      <c r="H112" s="1054"/>
      <c r="I112" s="1054"/>
      <c r="J112" s="1054"/>
      <c r="K112" s="1054">
        <v>26</v>
      </c>
      <c r="L112" s="1054"/>
      <c r="M112" s="1054">
        <v>3</v>
      </c>
      <c r="N112" s="1054"/>
      <c r="O112" s="1054">
        <v>1</v>
      </c>
      <c r="P112" s="1054">
        <v>1</v>
      </c>
      <c r="Q112" s="1054"/>
      <c r="R112" s="1054">
        <v>1</v>
      </c>
      <c r="S112" s="1054"/>
      <c r="T112" s="1054"/>
      <c r="U112" s="1054"/>
      <c r="V112" s="1054"/>
      <c r="W112" s="1054"/>
      <c r="X112" s="1054"/>
      <c r="Y112" s="1054"/>
      <c r="Z112" s="1054"/>
      <c r="AA112" s="1054"/>
      <c r="AB112" s="1054"/>
      <c r="AC112" s="1054"/>
      <c r="AD112" s="1054"/>
      <c r="AE112" s="1054"/>
      <c r="AF112" s="1054"/>
      <c r="AG112" s="1054"/>
      <c r="AH112" s="1054"/>
      <c r="AI112" s="1054"/>
      <c r="AJ112" s="1297">
        <v>32</v>
      </c>
      <c r="AK112"/>
      <c r="AL112"/>
      <c r="AM112"/>
    </row>
    <row r="113" spans="1:39">
      <c r="A113" s="1294"/>
      <c r="B113" s="1288" t="s">
        <v>1423</v>
      </c>
      <c r="C113" s="1286"/>
      <c r="D113" s="1291"/>
      <c r="E113" s="1292"/>
      <c r="F113" s="1292"/>
      <c r="G113" s="1292"/>
      <c r="H113" s="1292"/>
      <c r="I113" s="1292"/>
      <c r="J113" s="1292"/>
      <c r="K113" s="1292">
        <v>54</v>
      </c>
      <c r="L113" s="1292"/>
      <c r="M113" s="1292">
        <v>6</v>
      </c>
      <c r="N113" s="1292"/>
      <c r="O113" s="1292">
        <v>1</v>
      </c>
      <c r="P113" s="1292">
        <v>1</v>
      </c>
      <c r="Q113" s="1292"/>
      <c r="R113" s="1292">
        <v>2</v>
      </c>
      <c r="S113" s="1292"/>
      <c r="T113" s="1292"/>
      <c r="U113" s="1292"/>
      <c r="V113" s="1292"/>
      <c r="W113" s="1292"/>
      <c r="X113" s="1292"/>
      <c r="Y113" s="1292"/>
      <c r="Z113" s="1292"/>
      <c r="AA113" s="1292"/>
      <c r="AB113" s="1292"/>
      <c r="AC113" s="1292"/>
      <c r="AD113" s="1292"/>
      <c r="AE113" s="1292"/>
      <c r="AF113" s="1292"/>
      <c r="AG113" s="1292"/>
      <c r="AH113" s="1292"/>
      <c r="AI113" s="1292"/>
      <c r="AJ113" s="1293">
        <v>64</v>
      </c>
      <c r="AK113"/>
      <c r="AL113"/>
      <c r="AM113"/>
    </row>
    <row r="114" spans="1:39">
      <c r="A114" s="1294"/>
      <c r="B114" s="1288">
        <v>30</v>
      </c>
      <c r="C114" s="1288" t="s">
        <v>1412</v>
      </c>
      <c r="D114" s="1291"/>
      <c r="E114" s="1292"/>
      <c r="F114" s="1292"/>
      <c r="G114" s="1292"/>
      <c r="H114" s="1292"/>
      <c r="I114" s="1292"/>
      <c r="J114" s="1292"/>
      <c r="K114" s="1292">
        <v>31</v>
      </c>
      <c r="L114" s="1292">
        <v>2</v>
      </c>
      <c r="M114" s="1292">
        <v>1</v>
      </c>
      <c r="N114" s="1292"/>
      <c r="O114" s="1292">
        <v>1</v>
      </c>
      <c r="P114" s="1292"/>
      <c r="Q114" s="1292"/>
      <c r="R114" s="1292">
        <v>2</v>
      </c>
      <c r="S114" s="1292"/>
      <c r="T114" s="1292"/>
      <c r="U114" s="1292"/>
      <c r="V114" s="1292"/>
      <c r="W114" s="1292"/>
      <c r="X114" s="1292"/>
      <c r="Y114" s="1292"/>
      <c r="Z114" s="1292"/>
      <c r="AA114" s="1292"/>
      <c r="AB114" s="1292"/>
      <c r="AC114" s="1292"/>
      <c r="AD114" s="1292"/>
      <c r="AE114" s="1292"/>
      <c r="AF114" s="1292"/>
      <c r="AG114" s="1292"/>
      <c r="AH114" s="1292"/>
      <c r="AI114" s="1292"/>
      <c r="AJ114" s="1293">
        <v>37</v>
      </c>
      <c r="AK114"/>
      <c r="AL114"/>
      <c r="AM114"/>
    </row>
    <row r="115" spans="1:39">
      <c r="A115" s="1294"/>
      <c r="B115" s="1294"/>
      <c r="C115" s="1295" t="s">
        <v>1402</v>
      </c>
      <c r="D115" s="1296"/>
      <c r="E115" s="1054"/>
      <c r="F115" s="1054"/>
      <c r="G115" s="1054"/>
      <c r="H115" s="1054"/>
      <c r="I115" s="1054"/>
      <c r="J115" s="1054"/>
      <c r="K115" s="1054">
        <v>4</v>
      </c>
      <c r="L115" s="1054"/>
      <c r="M115" s="1054"/>
      <c r="N115" s="1054"/>
      <c r="O115" s="1054">
        <v>1</v>
      </c>
      <c r="P115" s="1054"/>
      <c r="Q115" s="1054"/>
      <c r="R115" s="1054"/>
      <c r="S115" s="1054"/>
      <c r="T115" s="1054"/>
      <c r="U115" s="1054"/>
      <c r="V115" s="1054"/>
      <c r="W115" s="1054"/>
      <c r="X115" s="1054"/>
      <c r="Y115" s="1054"/>
      <c r="Z115" s="1054"/>
      <c r="AA115" s="1054"/>
      <c r="AB115" s="1054"/>
      <c r="AC115" s="1054"/>
      <c r="AD115" s="1054"/>
      <c r="AE115" s="1054"/>
      <c r="AF115" s="1054"/>
      <c r="AG115" s="1054"/>
      <c r="AH115" s="1054"/>
      <c r="AI115" s="1054"/>
      <c r="AJ115" s="1297">
        <v>5</v>
      </c>
      <c r="AK115"/>
      <c r="AL115"/>
      <c r="AM115"/>
    </row>
    <row r="116" spans="1:39">
      <c r="A116" s="1294"/>
      <c r="B116" s="1288" t="s">
        <v>1424</v>
      </c>
      <c r="C116" s="1286"/>
      <c r="D116" s="1291"/>
      <c r="E116" s="1292"/>
      <c r="F116" s="1292"/>
      <c r="G116" s="1292"/>
      <c r="H116" s="1292"/>
      <c r="I116" s="1292"/>
      <c r="J116" s="1292"/>
      <c r="K116" s="1292">
        <v>35</v>
      </c>
      <c r="L116" s="1292">
        <v>2</v>
      </c>
      <c r="M116" s="1292">
        <v>1</v>
      </c>
      <c r="N116" s="1292"/>
      <c r="O116" s="1292">
        <v>2</v>
      </c>
      <c r="P116" s="1292"/>
      <c r="Q116" s="1292"/>
      <c r="R116" s="1292">
        <v>2</v>
      </c>
      <c r="S116" s="1292"/>
      <c r="T116" s="1292"/>
      <c r="U116" s="1292"/>
      <c r="V116" s="1292"/>
      <c r="W116" s="1292"/>
      <c r="X116" s="1292"/>
      <c r="Y116" s="1292"/>
      <c r="Z116" s="1292"/>
      <c r="AA116" s="1292"/>
      <c r="AB116" s="1292"/>
      <c r="AC116" s="1292"/>
      <c r="AD116" s="1292"/>
      <c r="AE116" s="1292"/>
      <c r="AF116" s="1292"/>
      <c r="AG116" s="1292"/>
      <c r="AH116" s="1292"/>
      <c r="AI116" s="1292"/>
      <c r="AJ116" s="1293">
        <v>42</v>
      </c>
      <c r="AK116"/>
      <c r="AL116"/>
      <c r="AM116"/>
    </row>
    <row r="117" spans="1:39">
      <c r="A117" s="1294"/>
      <c r="B117" s="1288">
        <v>40</v>
      </c>
      <c r="C117" s="1288" t="s">
        <v>1412</v>
      </c>
      <c r="D117" s="1291"/>
      <c r="E117" s="1292"/>
      <c r="F117" s="1292"/>
      <c r="G117" s="1292"/>
      <c r="H117" s="1292"/>
      <c r="I117" s="1292"/>
      <c r="J117" s="1292"/>
      <c r="K117" s="1292">
        <v>4</v>
      </c>
      <c r="L117" s="1292">
        <v>1</v>
      </c>
      <c r="M117" s="1292"/>
      <c r="N117" s="1292"/>
      <c r="O117" s="1292"/>
      <c r="P117" s="1292"/>
      <c r="Q117" s="1292"/>
      <c r="R117" s="1292">
        <v>1</v>
      </c>
      <c r="S117" s="1292"/>
      <c r="T117" s="1292"/>
      <c r="U117" s="1292"/>
      <c r="V117" s="1292"/>
      <c r="W117" s="1292"/>
      <c r="X117" s="1292"/>
      <c r="Y117" s="1292"/>
      <c r="Z117" s="1292"/>
      <c r="AA117" s="1292"/>
      <c r="AB117" s="1292"/>
      <c r="AC117" s="1292"/>
      <c r="AD117" s="1292"/>
      <c r="AE117" s="1292"/>
      <c r="AF117" s="1292"/>
      <c r="AG117" s="1292"/>
      <c r="AH117" s="1292"/>
      <c r="AI117" s="1292"/>
      <c r="AJ117" s="1293">
        <v>6</v>
      </c>
      <c r="AK117"/>
      <c r="AL117"/>
      <c r="AM117"/>
    </row>
    <row r="118" spans="1:39">
      <c r="A118" s="1294"/>
      <c r="B118" s="1294"/>
      <c r="C118" s="1295" t="s">
        <v>1402</v>
      </c>
      <c r="D118" s="1296"/>
      <c r="E118" s="1054"/>
      <c r="F118" s="1054"/>
      <c r="G118" s="1054"/>
      <c r="H118" s="1054"/>
      <c r="I118" s="1054"/>
      <c r="J118" s="1054"/>
      <c r="K118" s="1054">
        <v>10</v>
      </c>
      <c r="L118" s="1054"/>
      <c r="M118" s="1054">
        <v>2</v>
      </c>
      <c r="N118" s="1054"/>
      <c r="O118" s="1054">
        <v>1</v>
      </c>
      <c r="P118" s="1054"/>
      <c r="Q118" s="1054"/>
      <c r="R118" s="1054"/>
      <c r="S118" s="1054"/>
      <c r="T118" s="1054"/>
      <c r="U118" s="1054"/>
      <c r="V118" s="1054"/>
      <c r="W118" s="1054"/>
      <c r="X118" s="1054"/>
      <c r="Y118" s="1054"/>
      <c r="Z118" s="1054"/>
      <c r="AA118" s="1054"/>
      <c r="AB118" s="1054"/>
      <c r="AC118" s="1054"/>
      <c r="AD118" s="1054"/>
      <c r="AE118" s="1054"/>
      <c r="AF118" s="1054"/>
      <c r="AG118" s="1054"/>
      <c r="AH118" s="1054"/>
      <c r="AI118" s="1054"/>
      <c r="AJ118" s="1297">
        <v>13</v>
      </c>
      <c r="AK118"/>
      <c r="AL118"/>
      <c r="AM118"/>
    </row>
    <row r="119" spans="1:39">
      <c r="A119" s="1294"/>
      <c r="B119" s="1288" t="s">
        <v>1425</v>
      </c>
      <c r="C119" s="1286"/>
      <c r="D119" s="1291"/>
      <c r="E119" s="1292"/>
      <c r="F119" s="1292"/>
      <c r="G119" s="1292"/>
      <c r="H119" s="1292"/>
      <c r="I119" s="1292"/>
      <c r="J119" s="1292"/>
      <c r="K119" s="1292">
        <v>14</v>
      </c>
      <c r="L119" s="1292">
        <v>1</v>
      </c>
      <c r="M119" s="1292">
        <v>2</v>
      </c>
      <c r="N119" s="1292"/>
      <c r="O119" s="1292">
        <v>1</v>
      </c>
      <c r="P119" s="1292"/>
      <c r="Q119" s="1292"/>
      <c r="R119" s="1292">
        <v>1</v>
      </c>
      <c r="S119" s="1292"/>
      <c r="T119" s="1292"/>
      <c r="U119" s="1292"/>
      <c r="V119" s="1292"/>
      <c r="W119" s="1292"/>
      <c r="X119" s="1292"/>
      <c r="Y119" s="1292"/>
      <c r="Z119" s="1292"/>
      <c r="AA119" s="1292"/>
      <c r="AB119" s="1292"/>
      <c r="AC119" s="1292"/>
      <c r="AD119" s="1292"/>
      <c r="AE119" s="1292"/>
      <c r="AF119" s="1292"/>
      <c r="AG119" s="1292"/>
      <c r="AH119" s="1292"/>
      <c r="AI119" s="1292"/>
      <c r="AJ119" s="1293">
        <v>19</v>
      </c>
      <c r="AK119"/>
      <c r="AL119"/>
      <c r="AM119"/>
    </row>
    <row r="120" spans="1:39">
      <c r="A120" s="1288" t="s">
        <v>1428</v>
      </c>
      <c r="B120" s="1286"/>
      <c r="C120" s="1286"/>
      <c r="D120" s="1291"/>
      <c r="E120" s="1292"/>
      <c r="F120" s="1292"/>
      <c r="G120" s="1292"/>
      <c r="H120" s="1292"/>
      <c r="I120" s="1292"/>
      <c r="J120" s="1292"/>
      <c r="K120" s="1292">
        <v>157</v>
      </c>
      <c r="L120" s="1292">
        <v>5</v>
      </c>
      <c r="M120" s="1292">
        <v>14</v>
      </c>
      <c r="N120" s="1292"/>
      <c r="O120" s="1292">
        <v>9</v>
      </c>
      <c r="P120" s="1292">
        <v>1</v>
      </c>
      <c r="Q120" s="1292"/>
      <c r="R120" s="1292">
        <v>8</v>
      </c>
      <c r="S120" s="1292"/>
      <c r="T120" s="1292"/>
      <c r="U120" s="1292"/>
      <c r="V120" s="1292"/>
      <c r="W120" s="1292"/>
      <c r="X120" s="1292"/>
      <c r="Y120" s="1292"/>
      <c r="Z120" s="1292"/>
      <c r="AA120" s="1292"/>
      <c r="AB120" s="1292"/>
      <c r="AC120" s="1292"/>
      <c r="AD120" s="1292"/>
      <c r="AE120" s="1292"/>
      <c r="AF120" s="1292"/>
      <c r="AG120" s="1292"/>
      <c r="AH120" s="1292"/>
      <c r="AI120" s="1292"/>
      <c r="AJ120" s="1293">
        <v>194</v>
      </c>
      <c r="AK120"/>
      <c r="AL120"/>
      <c r="AM120"/>
    </row>
    <row r="121" spans="1:39">
      <c r="A121" s="1288" t="s">
        <v>680</v>
      </c>
      <c r="B121" s="1288">
        <v>2</v>
      </c>
      <c r="C121" s="1288" t="s">
        <v>1402</v>
      </c>
      <c r="D121" s="1291"/>
      <c r="E121" s="1292"/>
      <c r="F121" s="1292"/>
      <c r="G121" s="1292"/>
      <c r="H121" s="1292"/>
      <c r="I121" s="1292">
        <v>1</v>
      </c>
      <c r="J121" s="1292"/>
      <c r="K121" s="1292"/>
      <c r="L121" s="1292"/>
      <c r="M121" s="1292"/>
      <c r="N121" s="1292"/>
      <c r="O121" s="1292"/>
      <c r="P121" s="1292"/>
      <c r="Q121" s="1292"/>
      <c r="R121" s="1292"/>
      <c r="S121" s="1292"/>
      <c r="T121" s="1292"/>
      <c r="U121" s="1292"/>
      <c r="V121" s="1292"/>
      <c r="W121" s="1292"/>
      <c r="X121" s="1292"/>
      <c r="Y121" s="1292"/>
      <c r="Z121" s="1292"/>
      <c r="AA121" s="1292"/>
      <c r="AB121" s="1292"/>
      <c r="AC121" s="1292"/>
      <c r="AD121" s="1292"/>
      <c r="AE121" s="1292"/>
      <c r="AF121" s="1292"/>
      <c r="AG121" s="1292"/>
      <c r="AH121" s="1292"/>
      <c r="AI121" s="1292"/>
      <c r="AJ121" s="1293">
        <v>1</v>
      </c>
      <c r="AK121"/>
      <c r="AL121"/>
      <c r="AM121"/>
    </row>
    <row r="122" spans="1:39">
      <c r="A122" s="1294"/>
      <c r="B122" s="1288" t="s">
        <v>1411</v>
      </c>
      <c r="C122" s="1286"/>
      <c r="D122" s="1291"/>
      <c r="E122" s="1292"/>
      <c r="F122" s="1292"/>
      <c r="G122" s="1292"/>
      <c r="H122" s="1292"/>
      <c r="I122" s="1292">
        <v>1</v>
      </c>
      <c r="J122" s="1292"/>
      <c r="K122" s="1292"/>
      <c r="L122" s="1292"/>
      <c r="M122" s="1292"/>
      <c r="N122" s="1292"/>
      <c r="O122" s="1292"/>
      <c r="P122" s="1292"/>
      <c r="Q122" s="1292"/>
      <c r="R122" s="1292"/>
      <c r="S122" s="1292"/>
      <c r="T122" s="1292"/>
      <c r="U122" s="1292"/>
      <c r="V122" s="1292"/>
      <c r="W122" s="1292"/>
      <c r="X122" s="1292"/>
      <c r="Y122" s="1292"/>
      <c r="Z122" s="1292"/>
      <c r="AA122" s="1292"/>
      <c r="AB122" s="1292"/>
      <c r="AC122" s="1292"/>
      <c r="AD122" s="1292"/>
      <c r="AE122" s="1292"/>
      <c r="AF122" s="1292"/>
      <c r="AG122" s="1292"/>
      <c r="AH122" s="1292"/>
      <c r="AI122" s="1292"/>
      <c r="AJ122" s="1293">
        <v>1</v>
      </c>
      <c r="AK122"/>
      <c r="AL122"/>
      <c r="AM122"/>
    </row>
    <row r="123" spans="1:39">
      <c r="A123" s="1294"/>
      <c r="B123" s="1288">
        <v>4</v>
      </c>
      <c r="C123" s="1288" t="s">
        <v>1402</v>
      </c>
      <c r="D123" s="1291"/>
      <c r="E123" s="1292"/>
      <c r="F123" s="1292"/>
      <c r="G123" s="1292"/>
      <c r="H123" s="1292"/>
      <c r="I123" s="1292"/>
      <c r="J123" s="1292"/>
      <c r="K123" s="1292">
        <v>1</v>
      </c>
      <c r="L123" s="1292"/>
      <c r="M123" s="1292"/>
      <c r="N123" s="1292"/>
      <c r="O123" s="1292"/>
      <c r="P123" s="1292"/>
      <c r="Q123" s="1292"/>
      <c r="R123" s="1292"/>
      <c r="S123" s="1292"/>
      <c r="T123" s="1292"/>
      <c r="U123" s="1292"/>
      <c r="V123" s="1292"/>
      <c r="W123" s="1292"/>
      <c r="X123" s="1292"/>
      <c r="Y123" s="1292"/>
      <c r="Z123" s="1292"/>
      <c r="AA123" s="1292"/>
      <c r="AB123" s="1292"/>
      <c r="AC123" s="1292"/>
      <c r="AD123" s="1292"/>
      <c r="AE123" s="1292"/>
      <c r="AF123" s="1292"/>
      <c r="AG123" s="1292"/>
      <c r="AH123" s="1292">
        <v>1</v>
      </c>
      <c r="AI123" s="1292"/>
      <c r="AJ123" s="1293">
        <v>2</v>
      </c>
      <c r="AK123"/>
      <c r="AL123"/>
      <c r="AM123"/>
    </row>
    <row r="124" spans="1:39">
      <c r="A124" s="1294"/>
      <c r="B124" s="1288" t="s">
        <v>1414</v>
      </c>
      <c r="C124" s="1286"/>
      <c r="D124" s="1291"/>
      <c r="E124" s="1292"/>
      <c r="F124" s="1292"/>
      <c r="G124" s="1292"/>
      <c r="H124" s="1292"/>
      <c r="I124" s="1292"/>
      <c r="J124" s="1292"/>
      <c r="K124" s="1292">
        <v>1</v>
      </c>
      <c r="L124" s="1292"/>
      <c r="M124" s="1292"/>
      <c r="N124" s="1292"/>
      <c r="O124" s="1292"/>
      <c r="P124" s="1292"/>
      <c r="Q124" s="1292"/>
      <c r="R124" s="1292"/>
      <c r="S124" s="1292"/>
      <c r="T124" s="1292"/>
      <c r="U124" s="1292"/>
      <c r="V124" s="1292"/>
      <c r="W124" s="1292"/>
      <c r="X124" s="1292"/>
      <c r="Y124" s="1292"/>
      <c r="Z124" s="1292"/>
      <c r="AA124" s="1292"/>
      <c r="AB124" s="1292"/>
      <c r="AC124" s="1292"/>
      <c r="AD124" s="1292"/>
      <c r="AE124" s="1292"/>
      <c r="AF124" s="1292"/>
      <c r="AG124" s="1292"/>
      <c r="AH124" s="1292">
        <v>1</v>
      </c>
      <c r="AI124" s="1292"/>
      <c r="AJ124" s="1293">
        <v>2</v>
      </c>
      <c r="AK124"/>
      <c r="AL124"/>
      <c r="AM124"/>
    </row>
    <row r="125" spans="1:39">
      <c r="A125" s="1294"/>
      <c r="B125" s="1288">
        <v>6</v>
      </c>
      <c r="C125" s="1288" t="s">
        <v>1402</v>
      </c>
      <c r="D125" s="1291"/>
      <c r="E125" s="1292"/>
      <c r="F125" s="1292"/>
      <c r="G125" s="1292"/>
      <c r="H125" s="1292"/>
      <c r="I125" s="1292"/>
      <c r="J125" s="1292"/>
      <c r="K125" s="1292"/>
      <c r="L125" s="1292"/>
      <c r="M125" s="1292"/>
      <c r="N125" s="1292"/>
      <c r="O125" s="1292"/>
      <c r="P125" s="1292"/>
      <c r="Q125" s="1292"/>
      <c r="R125" s="1292"/>
      <c r="S125" s="1292"/>
      <c r="T125" s="1292"/>
      <c r="U125" s="1292"/>
      <c r="V125" s="1292"/>
      <c r="W125" s="1292"/>
      <c r="X125" s="1292"/>
      <c r="Y125" s="1292"/>
      <c r="Z125" s="1292"/>
      <c r="AA125" s="1292">
        <v>3</v>
      </c>
      <c r="AB125" s="1292"/>
      <c r="AC125" s="1292"/>
      <c r="AD125" s="1292"/>
      <c r="AE125" s="1292"/>
      <c r="AF125" s="1292">
        <v>1</v>
      </c>
      <c r="AG125" s="1292">
        <v>1</v>
      </c>
      <c r="AH125" s="1292"/>
      <c r="AI125" s="1292"/>
      <c r="AJ125" s="1293">
        <v>5</v>
      </c>
      <c r="AK125"/>
      <c r="AL125"/>
      <c r="AM125"/>
    </row>
    <row r="126" spans="1:39">
      <c r="A126" s="1294"/>
      <c r="B126" s="1288" t="s">
        <v>1415</v>
      </c>
      <c r="C126" s="1286"/>
      <c r="D126" s="1291"/>
      <c r="E126" s="1292"/>
      <c r="F126" s="1292"/>
      <c r="G126" s="1292"/>
      <c r="H126" s="1292"/>
      <c r="I126" s="1292"/>
      <c r="J126" s="1292"/>
      <c r="K126" s="1292"/>
      <c r="L126" s="1292"/>
      <c r="M126" s="1292"/>
      <c r="N126" s="1292"/>
      <c r="O126" s="1292"/>
      <c r="P126" s="1292"/>
      <c r="Q126" s="1292"/>
      <c r="R126" s="1292"/>
      <c r="S126" s="1292"/>
      <c r="T126" s="1292"/>
      <c r="U126" s="1292"/>
      <c r="V126" s="1292"/>
      <c r="W126" s="1292"/>
      <c r="X126" s="1292"/>
      <c r="Y126" s="1292"/>
      <c r="Z126" s="1292"/>
      <c r="AA126" s="1292">
        <v>3</v>
      </c>
      <c r="AB126" s="1292"/>
      <c r="AC126" s="1292"/>
      <c r="AD126" s="1292"/>
      <c r="AE126" s="1292"/>
      <c r="AF126" s="1292">
        <v>1</v>
      </c>
      <c r="AG126" s="1292">
        <v>1</v>
      </c>
      <c r="AH126" s="1292"/>
      <c r="AI126" s="1292"/>
      <c r="AJ126" s="1293">
        <v>5</v>
      </c>
      <c r="AK126"/>
      <c r="AL126"/>
      <c r="AM126"/>
    </row>
    <row r="127" spans="1:39">
      <c r="A127" s="1288" t="s">
        <v>1429</v>
      </c>
      <c r="B127" s="1286"/>
      <c r="C127" s="1286"/>
      <c r="D127" s="1291"/>
      <c r="E127" s="1292"/>
      <c r="F127" s="1292"/>
      <c r="G127" s="1292"/>
      <c r="H127" s="1292"/>
      <c r="I127" s="1292">
        <v>1</v>
      </c>
      <c r="J127" s="1292"/>
      <c r="K127" s="1292">
        <v>1</v>
      </c>
      <c r="L127" s="1292"/>
      <c r="M127" s="1292"/>
      <c r="N127" s="1292"/>
      <c r="O127" s="1292"/>
      <c r="P127" s="1292"/>
      <c r="Q127" s="1292"/>
      <c r="R127" s="1292"/>
      <c r="S127" s="1292"/>
      <c r="T127" s="1292"/>
      <c r="U127" s="1292"/>
      <c r="V127" s="1292"/>
      <c r="W127" s="1292"/>
      <c r="X127" s="1292"/>
      <c r="Y127" s="1292"/>
      <c r="Z127" s="1292"/>
      <c r="AA127" s="1292">
        <v>3</v>
      </c>
      <c r="AB127" s="1292"/>
      <c r="AC127" s="1292"/>
      <c r="AD127" s="1292"/>
      <c r="AE127" s="1292"/>
      <c r="AF127" s="1292">
        <v>1</v>
      </c>
      <c r="AG127" s="1292">
        <v>1</v>
      </c>
      <c r="AH127" s="1292">
        <v>1</v>
      </c>
      <c r="AI127" s="1292"/>
      <c r="AJ127" s="1293">
        <v>8</v>
      </c>
      <c r="AK127"/>
      <c r="AL127"/>
      <c r="AM127"/>
    </row>
    <row r="128" spans="1:39">
      <c r="A128" s="1288" t="s">
        <v>1481</v>
      </c>
      <c r="B128" s="1288">
        <v>35</v>
      </c>
      <c r="C128" s="1288" t="s">
        <v>1412</v>
      </c>
      <c r="D128" s="1291"/>
      <c r="E128" s="1292"/>
      <c r="F128" s="1292"/>
      <c r="G128" s="1292"/>
      <c r="H128" s="1292"/>
      <c r="I128" s="1292"/>
      <c r="J128" s="1292"/>
      <c r="K128" s="1292">
        <v>1</v>
      </c>
      <c r="L128" s="1292"/>
      <c r="M128" s="1292"/>
      <c r="N128" s="1292"/>
      <c r="O128" s="1292"/>
      <c r="P128" s="1292"/>
      <c r="Q128" s="1292"/>
      <c r="R128" s="1292"/>
      <c r="S128" s="1292"/>
      <c r="T128" s="1292"/>
      <c r="U128" s="1292"/>
      <c r="V128" s="1292"/>
      <c r="W128" s="1292"/>
      <c r="X128" s="1292"/>
      <c r="Y128" s="1292"/>
      <c r="Z128" s="1292"/>
      <c r="AA128" s="1292"/>
      <c r="AB128" s="1292"/>
      <c r="AC128" s="1292"/>
      <c r="AD128" s="1292"/>
      <c r="AE128" s="1292"/>
      <c r="AF128" s="1292"/>
      <c r="AG128" s="1292"/>
      <c r="AH128" s="1292"/>
      <c r="AI128" s="1292"/>
      <c r="AJ128" s="1293">
        <v>1</v>
      </c>
      <c r="AK128"/>
      <c r="AL128"/>
      <c r="AM128"/>
    </row>
    <row r="129" spans="1:39">
      <c r="A129" s="1294"/>
      <c r="B129" s="1288" t="s">
        <v>1482</v>
      </c>
      <c r="C129" s="1286"/>
      <c r="D129" s="1291"/>
      <c r="E129" s="1292"/>
      <c r="F129" s="1292"/>
      <c r="G129" s="1292"/>
      <c r="H129" s="1292"/>
      <c r="I129" s="1292"/>
      <c r="J129" s="1292"/>
      <c r="K129" s="1292">
        <v>1</v>
      </c>
      <c r="L129" s="1292"/>
      <c r="M129" s="1292"/>
      <c r="N129" s="1292"/>
      <c r="O129" s="1292"/>
      <c r="P129" s="1292"/>
      <c r="Q129" s="1292"/>
      <c r="R129" s="1292"/>
      <c r="S129" s="1292"/>
      <c r="T129" s="1292"/>
      <c r="U129" s="1292"/>
      <c r="V129" s="1292"/>
      <c r="W129" s="1292"/>
      <c r="X129" s="1292"/>
      <c r="Y129" s="1292"/>
      <c r="Z129" s="1292"/>
      <c r="AA129" s="1292"/>
      <c r="AB129" s="1292"/>
      <c r="AC129" s="1292"/>
      <c r="AD129" s="1292"/>
      <c r="AE129" s="1292"/>
      <c r="AF129" s="1292"/>
      <c r="AG129" s="1292"/>
      <c r="AH129" s="1292"/>
      <c r="AI129" s="1292"/>
      <c r="AJ129" s="1293">
        <v>1</v>
      </c>
      <c r="AK129"/>
      <c r="AL129"/>
      <c r="AM129"/>
    </row>
    <row r="130" spans="1:39">
      <c r="A130" s="1288" t="s">
        <v>1483</v>
      </c>
      <c r="B130" s="1286"/>
      <c r="C130" s="1286"/>
      <c r="D130" s="1291"/>
      <c r="E130" s="1292"/>
      <c r="F130" s="1292"/>
      <c r="G130" s="1292"/>
      <c r="H130" s="1292"/>
      <c r="I130" s="1292"/>
      <c r="J130" s="1292"/>
      <c r="K130" s="1292">
        <v>1</v>
      </c>
      <c r="L130" s="1292"/>
      <c r="M130" s="1292"/>
      <c r="N130" s="1292"/>
      <c r="O130" s="1292"/>
      <c r="P130" s="1292"/>
      <c r="Q130" s="1292"/>
      <c r="R130" s="1292"/>
      <c r="S130" s="1292"/>
      <c r="T130" s="1292"/>
      <c r="U130" s="1292"/>
      <c r="V130" s="1292"/>
      <c r="W130" s="1292"/>
      <c r="X130" s="1292"/>
      <c r="Y130" s="1292"/>
      <c r="Z130" s="1292"/>
      <c r="AA130" s="1292"/>
      <c r="AB130" s="1292"/>
      <c r="AC130" s="1292"/>
      <c r="AD130" s="1292"/>
      <c r="AE130" s="1292"/>
      <c r="AF130" s="1292"/>
      <c r="AG130" s="1292"/>
      <c r="AH130" s="1292"/>
      <c r="AI130" s="1292"/>
      <c r="AJ130" s="1293">
        <v>1</v>
      </c>
      <c r="AK130"/>
      <c r="AL130"/>
      <c r="AM130"/>
    </row>
    <row r="131" spans="1:39">
      <c r="A131" s="1288" t="s">
        <v>1432</v>
      </c>
      <c r="B131" s="1288">
        <v>0</v>
      </c>
      <c r="C131" s="1288" t="s">
        <v>1402</v>
      </c>
      <c r="D131" s="1291"/>
      <c r="E131" s="1292"/>
      <c r="F131" s="1292"/>
      <c r="G131" s="1292"/>
      <c r="H131" s="1292"/>
      <c r="I131" s="1292"/>
      <c r="J131" s="1292"/>
      <c r="K131" s="1292"/>
      <c r="L131" s="1292"/>
      <c r="M131" s="1292"/>
      <c r="N131" s="1292"/>
      <c r="O131" s="1292"/>
      <c r="P131" s="1292"/>
      <c r="Q131" s="1292"/>
      <c r="R131" s="1292"/>
      <c r="S131" s="1292"/>
      <c r="T131" s="1292"/>
      <c r="U131" s="1292"/>
      <c r="V131" s="1292"/>
      <c r="W131" s="1292"/>
      <c r="X131" s="1292"/>
      <c r="Y131" s="1292"/>
      <c r="Z131" s="1292"/>
      <c r="AA131" s="1292">
        <v>10</v>
      </c>
      <c r="AB131" s="1292"/>
      <c r="AC131" s="1292"/>
      <c r="AD131" s="1292"/>
      <c r="AE131" s="1292"/>
      <c r="AF131" s="1292"/>
      <c r="AG131" s="1292"/>
      <c r="AH131" s="1292"/>
      <c r="AI131" s="1292"/>
      <c r="AJ131" s="1293">
        <v>10</v>
      </c>
      <c r="AK131"/>
      <c r="AL131"/>
      <c r="AM131"/>
    </row>
    <row r="132" spans="1:39">
      <c r="A132" s="1294"/>
      <c r="B132" s="1288" t="s">
        <v>1433</v>
      </c>
      <c r="C132" s="1286"/>
      <c r="D132" s="1291"/>
      <c r="E132" s="1292"/>
      <c r="F132" s="1292"/>
      <c r="G132" s="1292"/>
      <c r="H132" s="1292"/>
      <c r="I132" s="1292"/>
      <c r="J132" s="1292"/>
      <c r="K132" s="1292"/>
      <c r="L132" s="1292"/>
      <c r="M132" s="1292"/>
      <c r="N132" s="1292"/>
      <c r="O132" s="1292"/>
      <c r="P132" s="1292"/>
      <c r="Q132" s="1292"/>
      <c r="R132" s="1292"/>
      <c r="S132" s="1292"/>
      <c r="T132" s="1292"/>
      <c r="U132" s="1292"/>
      <c r="V132" s="1292"/>
      <c r="W132" s="1292"/>
      <c r="X132" s="1292"/>
      <c r="Y132" s="1292"/>
      <c r="Z132" s="1292"/>
      <c r="AA132" s="1292">
        <v>10</v>
      </c>
      <c r="AB132" s="1292"/>
      <c r="AC132" s="1292"/>
      <c r="AD132" s="1292"/>
      <c r="AE132" s="1292"/>
      <c r="AF132" s="1292"/>
      <c r="AG132" s="1292"/>
      <c r="AH132" s="1292"/>
      <c r="AI132" s="1292"/>
      <c r="AJ132" s="1293">
        <v>10</v>
      </c>
      <c r="AK132"/>
      <c r="AL132"/>
      <c r="AM132"/>
    </row>
    <row r="133" spans="1:39">
      <c r="A133" s="1288" t="s">
        <v>1434</v>
      </c>
      <c r="B133" s="1286"/>
      <c r="C133" s="1286"/>
      <c r="D133" s="1291"/>
      <c r="E133" s="1292"/>
      <c r="F133" s="1292"/>
      <c r="G133" s="1292"/>
      <c r="H133" s="1292"/>
      <c r="I133" s="1292"/>
      <c r="J133" s="1292"/>
      <c r="K133" s="1292"/>
      <c r="L133" s="1292"/>
      <c r="M133" s="1292"/>
      <c r="N133" s="1292"/>
      <c r="O133" s="1292"/>
      <c r="P133" s="1292"/>
      <c r="Q133" s="1292"/>
      <c r="R133" s="1292"/>
      <c r="S133" s="1292"/>
      <c r="T133" s="1292"/>
      <c r="U133" s="1292"/>
      <c r="V133" s="1292"/>
      <c r="W133" s="1292"/>
      <c r="X133" s="1292"/>
      <c r="Y133" s="1292"/>
      <c r="Z133" s="1292"/>
      <c r="AA133" s="1292">
        <v>10</v>
      </c>
      <c r="AB133" s="1292"/>
      <c r="AC133" s="1292"/>
      <c r="AD133" s="1292"/>
      <c r="AE133" s="1292"/>
      <c r="AF133" s="1292"/>
      <c r="AG133" s="1292"/>
      <c r="AH133" s="1292"/>
      <c r="AI133" s="1292"/>
      <c r="AJ133" s="1293">
        <v>10</v>
      </c>
      <c r="AK133"/>
      <c r="AL133"/>
      <c r="AM133"/>
    </row>
    <row r="134" spans="1:39">
      <c r="A134" s="1288" t="s">
        <v>427</v>
      </c>
      <c r="B134" s="1288">
        <v>7.0000000000000007E-2</v>
      </c>
      <c r="C134" s="1288" t="s">
        <v>1402</v>
      </c>
      <c r="D134" s="1291"/>
      <c r="E134" s="1292"/>
      <c r="F134" s="1292"/>
      <c r="G134" s="1292"/>
      <c r="H134" s="1292"/>
      <c r="I134" s="1292"/>
      <c r="J134" s="1292"/>
      <c r="K134" s="1292"/>
      <c r="L134" s="1292"/>
      <c r="M134" s="1292"/>
      <c r="N134" s="1292"/>
      <c r="O134" s="1292"/>
      <c r="P134" s="1292"/>
      <c r="Q134" s="1292"/>
      <c r="R134" s="1292"/>
      <c r="S134" s="1292"/>
      <c r="T134" s="1292">
        <v>21</v>
      </c>
      <c r="U134" s="1292"/>
      <c r="V134" s="1292"/>
      <c r="W134" s="1292"/>
      <c r="X134" s="1292"/>
      <c r="Y134" s="1292"/>
      <c r="Z134" s="1292"/>
      <c r="AA134" s="1292"/>
      <c r="AB134" s="1292"/>
      <c r="AC134" s="1292"/>
      <c r="AD134" s="1292"/>
      <c r="AE134" s="1292"/>
      <c r="AF134" s="1292"/>
      <c r="AG134" s="1292"/>
      <c r="AH134" s="1292"/>
      <c r="AI134" s="1292"/>
      <c r="AJ134" s="1293">
        <v>21</v>
      </c>
      <c r="AK134"/>
      <c r="AL134"/>
      <c r="AM134"/>
    </row>
    <row r="135" spans="1:39">
      <c r="A135" s="1294"/>
      <c r="B135" s="1288" t="s">
        <v>1484</v>
      </c>
      <c r="C135" s="1286"/>
      <c r="D135" s="1291"/>
      <c r="E135" s="1292"/>
      <c r="F135" s="1292"/>
      <c r="G135" s="1292"/>
      <c r="H135" s="1292"/>
      <c r="I135" s="1292"/>
      <c r="J135" s="1292"/>
      <c r="K135" s="1292"/>
      <c r="L135" s="1292"/>
      <c r="M135" s="1292"/>
      <c r="N135" s="1292"/>
      <c r="O135" s="1292"/>
      <c r="P135" s="1292"/>
      <c r="Q135" s="1292"/>
      <c r="R135" s="1292"/>
      <c r="S135" s="1292"/>
      <c r="T135" s="1292">
        <v>21</v>
      </c>
      <c r="U135" s="1292"/>
      <c r="V135" s="1292"/>
      <c r="W135" s="1292"/>
      <c r="X135" s="1292"/>
      <c r="Y135" s="1292"/>
      <c r="Z135" s="1292"/>
      <c r="AA135" s="1292"/>
      <c r="AB135" s="1292"/>
      <c r="AC135" s="1292"/>
      <c r="AD135" s="1292"/>
      <c r="AE135" s="1292"/>
      <c r="AF135" s="1292"/>
      <c r="AG135" s="1292"/>
      <c r="AH135" s="1292"/>
      <c r="AI135" s="1292"/>
      <c r="AJ135" s="1293">
        <v>21</v>
      </c>
      <c r="AK135"/>
      <c r="AL135"/>
      <c r="AM135"/>
    </row>
    <row r="136" spans="1:39">
      <c r="A136" s="1294"/>
      <c r="B136" s="1288">
        <v>0.16</v>
      </c>
      <c r="C136" s="1288" t="s">
        <v>1402</v>
      </c>
      <c r="D136" s="1291"/>
      <c r="E136" s="1292"/>
      <c r="F136" s="1292"/>
      <c r="G136" s="1292"/>
      <c r="H136" s="1292">
        <v>1</v>
      </c>
      <c r="I136" s="1292"/>
      <c r="J136" s="1292"/>
      <c r="K136" s="1292"/>
      <c r="L136" s="1292"/>
      <c r="M136" s="1292"/>
      <c r="N136" s="1292"/>
      <c r="O136" s="1292"/>
      <c r="P136" s="1292"/>
      <c r="Q136" s="1292"/>
      <c r="R136" s="1292"/>
      <c r="S136" s="1292"/>
      <c r="T136" s="1292">
        <v>333</v>
      </c>
      <c r="U136" s="1292">
        <v>415</v>
      </c>
      <c r="V136" s="1292">
        <v>28</v>
      </c>
      <c r="W136" s="1292">
        <v>352</v>
      </c>
      <c r="X136" s="1292">
        <v>39</v>
      </c>
      <c r="Y136" s="1292">
        <v>6</v>
      </c>
      <c r="Z136" s="1292">
        <v>3</v>
      </c>
      <c r="AA136" s="1292"/>
      <c r="AB136" s="1292"/>
      <c r="AC136" s="1292"/>
      <c r="AD136" s="1292"/>
      <c r="AE136" s="1292"/>
      <c r="AF136" s="1292"/>
      <c r="AG136" s="1292"/>
      <c r="AH136" s="1292"/>
      <c r="AI136" s="1292"/>
      <c r="AJ136" s="1293">
        <v>1177</v>
      </c>
      <c r="AK136"/>
      <c r="AL136"/>
      <c r="AM136"/>
    </row>
    <row r="137" spans="1:39">
      <c r="A137" s="1294"/>
      <c r="B137" s="1288" t="s">
        <v>1403</v>
      </c>
      <c r="C137" s="1286"/>
      <c r="D137" s="1291"/>
      <c r="E137" s="1292"/>
      <c r="F137" s="1292"/>
      <c r="G137" s="1292"/>
      <c r="H137" s="1292">
        <v>1</v>
      </c>
      <c r="I137" s="1292"/>
      <c r="J137" s="1292"/>
      <c r="K137" s="1292"/>
      <c r="L137" s="1292"/>
      <c r="M137" s="1292"/>
      <c r="N137" s="1292"/>
      <c r="O137" s="1292"/>
      <c r="P137" s="1292"/>
      <c r="Q137" s="1292"/>
      <c r="R137" s="1292"/>
      <c r="S137" s="1292"/>
      <c r="T137" s="1292">
        <v>333</v>
      </c>
      <c r="U137" s="1292">
        <v>415</v>
      </c>
      <c r="V137" s="1292">
        <v>28</v>
      </c>
      <c r="W137" s="1292">
        <v>352</v>
      </c>
      <c r="X137" s="1292">
        <v>39</v>
      </c>
      <c r="Y137" s="1292">
        <v>6</v>
      </c>
      <c r="Z137" s="1292">
        <v>3</v>
      </c>
      <c r="AA137" s="1292"/>
      <c r="AB137" s="1292"/>
      <c r="AC137" s="1292"/>
      <c r="AD137" s="1292"/>
      <c r="AE137" s="1292"/>
      <c r="AF137" s="1292"/>
      <c r="AG137" s="1292"/>
      <c r="AH137" s="1292"/>
      <c r="AI137" s="1292"/>
      <c r="AJ137" s="1293">
        <v>1177</v>
      </c>
      <c r="AK137"/>
      <c r="AL137"/>
      <c r="AM137"/>
    </row>
    <row r="138" spans="1:39">
      <c r="A138" s="1294"/>
      <c r="B138" s="1288">
        <v>0.3</v>
      </c>
      <c r="C138" s="1288" t="s">
        <v>1402</v>
      </c>
      <c r="D138" s="1291"/>
      <c r="E138" s="1292"/>
      <c r="F138" s="1292"/>
      <c r="G138" s="1292"/>
      <c r="H138" s="1292"/>
      <c r="I138" s="1292"/>
      <c r="J138" s="1292"/>
      <c r="K138" s="1292"/>
      <c r="L138" s="1292"/>
      <c r="M138" s="1292"/>
      <c r="N138" s="1292"/>
      <c r="O138" s="1292"/>
      <c r="P138" s="1292"/>
      <c r="Q138" s="1292"/>
      <c r="R138" s="1292"/>
      <c r="S138" s="1292"/>
      <c r="T138" s="1292">
        <v>272</v>
      </c>
      <c r="U138" s="1292">
        <v>12</v>
      </c>
      <c r="V138" s="1292">
        <v>32</v>
      </c>
      <c r="W138" s="1292">
        <v>36</v>
      </c>
      <c r="X138" s="1292">
        <v>5</v>
      </c>
      <c r="Y138" s="1292">
        <v>1</v>
      </c>
      <c r="Z138" s="1292">
        <v>22</v>
      </c>
      <c r="AA138" s="1292"/>
      <c r="AB138" s="1292"/>
      <c r="AC138" s="1292"/>
      <c r="AD138" s="1292"/>
      <c r="AE138" s="1292"/>
      <c r="AF138" s="1292"/>
      <c r="AG138" s="1292"/>
      <c r="AH138" s="1292"/>
      <c r="AI138" s="1292"/>
      <c r="AJ138" s="1293">
        <v>380</v>
      </c>
      <c r="AK138"/>
      <c r="AL138"/>
      <c r="AM138"/>
    </row>
    <row r="139" spans="1:39">
      <c r="A139" s="1294"/>
      <c r="B139" s="1288" t="s">
        <v>1404</v>
      </c>
      <c r="C139" s="1286"/>
      <c r="D139" s="1291"/>
      <c r="E139" s="1292"/>
      <c r="F139" s="1292"/>
      <c r="G139" s="1292"/>
      <c r="H139" s="1292"/>
      <c r="I139" s="1292"/>
      <c r="J139" s="1292"/>
      <c r="K139" s="1292"/>
      <c r="L139" s="1292"/>
      <c r="M139" s="1292"/>
      <c r="N139" s="1292"/>
      <c r="O139" s="1292"/>
      <c r="P139" s="1292"/>
      <c r="Q139" s="1292"/>
      <c r="R139" s="1292"/>
      <c r="S139" s="1292"/>
      <c r="T139" s="1292">
        <v>272</v>
      </c>
      <c r="U139" s="1292">
        <v>12</v>
      </c>
      <c r="V139" s="1292">
        <v>32</v>
      </c>
      <c r="W139" s="1292">
        <v>36</v>
      </c>
      <c r="X139" s="1292">
        <v>5</v>
      </c>
      <c r="Y139" s="1292">
        <v>1</v>
      </c>
      <c r="Z139" s="1292">
        <v>22</v>
      </c>
      <c r="AA139" s="1292"/>
      <c r="AB139" s="1292"/>
      <c r="AC139" s="1292"/>
      <c r="AD139" s="1292"/>
      <c r="AE139" s="1292"/>
      <c r="AF139" s="1292"/>
      <c r="AG139" s="1292"/>
      <c r="AH139" s="1292"/>
      <c r="AI139" s="1292"/>
      <c r="AJ139" s="1293">
        <v>380</v>
      </c>
      <c r="AK139"/>
      <c r="AL139"/>
      <c r="AM139"/>
    </row>
    <row r="140" spans="1:39">
      <c r="A140" s="1294"/>
      <c r="B140" s="1288">
        <v>0.32</v>
      </c>
      <c r="C140" s="1288" t="s">
        <v>1402</v>
      </c>
      <c r="D140" s="1291"/>
      <c r="E140" s="1292"/>
      <c r="F140" s="1292"/>
      <c r="G140" s="1292"/>
      <c r="H140" s="1292"/>
      <c r="I140" s="1292"/>
      <c r="J140" s="1292"/>
      <c r="K140" s="1292"/>
      <c r="L140" s="1292"/>
      <c r="M140" s="1292"/>
      <c r="N140" s="1292"/>
      <c r="O140" s="1292"/>
      <c r="P140" s="1292"/>
      <c r="Q140" s="1292"/>
      <c r="R140" s="1292"/>
      <c r="S140" s="1292"/>
      <c r="T140" s="1292">
        <v>4</v>
      </c>
      <c r="U140" s="1292"/>
      <c r="V140" s="1292"/>
      <c r="W140" s="1292"/>
      <c r="X140" s="1292"/>
      <c r="Y140" s="1292"/>
      <c r="Z140" s="1292"/>
      <c r="AA140" s="1292"/>
      <c r="AB140" s="1292"/>
      <c r="AC140" s="1292"/>
      <c r="AD140" s="1292"/>
      <c r="AE140" s="1292"/>
      <c r="AF140" s="1292"/>
      <c r="AG140" s="1292"/>
      <c r="AH140" s="1292"/>
      <c r="AI140" s="1292"/>
      <c r="AJ140" s="1293">
        <v>4</v>
      </c>
      <c r="AK140"/>
      <c r="AL140"/>
      <c r="AM140"/>
    </row>
    <row r="141" spans="1:39">
      <c r="A141" s="1294"/>
      <c r="B141" s="1288" t="s">
        <v>1476</v>
      </c>
      <c r="C141" s="1286"/>
      <c r="D141" s="1291"/>
      <c r="E141" s="1292"/>
      <c r="F141" s="1292"/>
      <c r="G141" s="1292"/>
      <c r="H141" s="1292"/>
      <c r="I141" s="1292"/>
      <c r="J141" s="1292"/>
      <c r="K141" s="1292"/>
      <c r="L141" s="1292"/>
      <c r="M141" s="1292"/>
      <c r="N141" s="1292"/>
      <c r="O141" s="1292"/>
      <c r="P141" s="1292"/>
      <c r="Q141" s="1292"/>
      <c r="R141" s="1292"/>
      <c r="S141" s="1292"/>
      <c r="T141" s="1292">
        <v>4</v>
      </c>
      <c r="U141" s="1292"/>
      <c r="V141" s="1292"/>
      <c r="W141" s="1292"/>
      <c r="X141" s="1292"/>
      <c r="Y141" s="1292"/>
      <c r="Z141" s="1292"/>
      <c r="AA141" s="1292"/>
      <c r="AB141" s="1292"/>
      <c r="AC141" s="1292"/>
      <c r="AD141" s="1292"/>
      <c r="AE141" s="1292"/>
      <c r="AF141" s="1292"/>
      <c r="AG141" s="1292"/>
      <c r="AH141" s="1292"/>
      <c r="AI141" s="1292"/>
      <c r="AJ141" s="1293">
        <v>4</v>
      </c>
      <c r="AK141"/>
      <c r="AL141"/>
      <c r="AM141"/>
    </row>
    <row r="142" spans="1:39">
      <c r="A142" s="1294"/>
      <c r="B142" s="1288">
        <v>0.45</v>
      </c>
      <c r="C142" s="1288" t="s">
        <v>1402</v>
      </c>
      <c r="D142" s="1291">
        <v>4</v>
      </c>
      <c r="E142" s="1292"/>
      <c r="F142" s="1292">
        <v>4</v>
      </c>
      <c r="G142" s="1292">
        <v>2</v>
      </c>
      <c r="H142" s="1292"/>
      <c r="I142" s="1292"/>
      <c r="J142" s="1292"/>
      <c r="K142" s="1292"/>
      <c r="L142" s="1292"/>
      <c r="M142" s="1292"/>
      <c r="N142" s="1292"/>
      <c r="O142" s="1292"/>
      <c r="P142" s="1292"/>
      <c r="Q142" s="1292"/>
      <c r="R142" s="1292"/>
      <c r="S142" s="1292"/>
      <c r="T142" s="1292">
        <v>27946</v>
      </c>
      <c r="U142" s="1292">
        <v>3525</v>
      </c>
      <c r="V142" s="1292">
        <v>10344</v>
      </c>
      <c r="W142" s="1292">
        <v>4891</v>
      </c>
      <c r="X142" s="1292">
        <v>827</v>
      </c>
      <c r="Y142" s="1292">
        <v>782</v>
      </c>
      <c r="Z142" s="1292">
        <v>1277</v>
      </c>
      <c r="AA142" s="1292"/>
      <c r="AB142" s="1292"/>
      <c r="AC142" s="1292"/>
      <c r="AD142" s="1292"/>
      <c r="AE142" s="1292"/>
      <c r="AF142" s="1292"/>
      <c r="AG142" s="1292"/>
      <c r="AH142" s="1292"/>
      <c r="AI142" s="1292"/>
      <c r="AJ142" s="1293">
        <v>49602</v>
      </c>
      <c r="AK142"/>
      <c r="AL142"/>
      <c r="AM142"/>
    </row>
    <row r="143" spans="1:39">
      <c r="A143" s="1294"/>
      <c r="B143" s="1288" t="s">
        <v>1405</v>
      </c>
      <c r="C143" s="1286"/>
      <c r="D143" s="1291">
        <v>4</v>
      </c>
      <c r="E143" s="1292"/>
      <c r="F143" s="1292">
        <v>4</v>
      </c>
      <c r="G143" s="1292">
        <v>2</v>
      </c>
      <c r="H143" s="1292"/>
      <c r="I143" s="1292"/>
      <c r="J143" s="1292"/>
      <c r="K143" s="1292"/>
      <c r="L143" s="1292"/>
      <c r="M143" s="1292"/>
      <c r="N143" s="1292"/>
      <c r="O143" s="1292"/>
      <c r="P143" s="1292"/>
      <c r="Q143" s="1292"/>
      <c r="R143" s="1292"/>
      <c r="S143" s="1292"/>
      <c r="T143" s="1292">
        <v>27946</v>
      </c>
      <c r="U143" s="1292">
        <v>3525</v>
      </c>
      <c r="V143" s="1292">
        <v>10344</v>
      </c>
      <c r="W143" s="1292">
        <v>4891</v>
      </c>
      <c r="X143" s="1292">
        <v>827</v>
      </c>
      <c r="Y143" s="1292">
        <v>782</v>
      </c>
      <c r="Z143" s="1292">
        <v>1277</v>
      </c>
      <c r="AA143" s="1292"/>
      <c r="AB143" s="1292"/>
      <c r="AC143" s="1292"/>
      <c r="AD143" s="1292"/>
      <c r="AE143" s="1292"/>
      <c r="AF143" s="1292"/>
      <c r="AG143" s="1292"/>
      <c r="AH143" s="1292"/>
      <c r="AI143" s="1292"/>
      <c r="AJ143" s="1293">
        <v>49602</v>
      </c>
      <c r="AK143"/>
      <c r="AL143"/>
      <c r="AM143"/>
    </row>
    <row r="144" spans="1:39">
      <c r="A144" s="1294"/>
      <c r="B144" s="1288">
        <v>0.48</v>
      </c>
      <c r="C144" s="1288" t="s">
        <v>1402</v>
      </c>
      <c r="D144" s="1291"/>
      <c r="E144" s="1292"/>
      <c r="F144" s="1292"/>
      <c r="G144" s="1292"/>
      <c r="H144" s="1292"/>
      <c r="I144" s="1292"/>
      <c r="J144" s="1292"/>
      <c r="K144" s="1292"/>
      <c r="L144" s="1292"/>
      <c r="M144" s="1292"/>
      <c r="N144" s="1292"/>
      <c r="O144" s="1292"/>
      <c r="P144" s="1292"/>
      <c r="Q144" s="1292"/>
      <c r="R144" s="1292"/>
      <c r="S144" s="1292"/>
      <c r="T144" s="1292">
        <v>15</v>
      </c>
      <c r="U144" s="1292"/>
      <c r="V144" s="1292"/>
      <c r="W144" s="1292"/>
      <c r="X144" s="1292"/>
      <c r="Y144" s="1292"/>
      <c r="Z144" s="1292"/>
      <c r="AA144" s="1292">
        <v>1</v>
      </c>
      <c r="AB144" s="1292"/>
      <c r="AC144" s="1292"/>
      <c r="AD144" s="1292"/>
      <c r="AE144" s="1292"/>
      <c r="AF144" s="1292"/>
      <c r="AG144" s="1292"/>
      <c r="AH144" s="1292"/>
      <c r="AI144" s="1292"/>
      <c r="AJ144" s="1293">
        <v>16</v>
      </c>
      <c r="AK144"/>
      <c r="AL144"/>
      <c r="AM144"/>
    </row>
    <row r="145" spans="1:39">
      <c r="A145" s="1294"/>
      <c r="B145" s="1288" t="s">
        <v>1485</v>
      </c>
      <c r="C145" s="1286"/>
      <c r="D145" s="1291"/>
      <c r="E145" s="1292"/>
      <c r="F145" s="1292"/>
      <c r="G145" s="1292"/>
      <c r="H145" s="1292"/>
      <c r="I145" s="1292"/>
      <c r="J145" s="1292"/>
      <c r="K145" s="1292"/>
      <c r="L145" s="1292"/>
      <c r="M145" s="1292"/>
      <c r="N145" s="1292"/>
      <c r="O145" s="1292"/>
      <c r="P145" s="1292"/>
      <c r="Q145" s="1292"/>
      <c r="R145" s="1292"/>
      <c r="S145" s="1292"/>
      <c r="T145" s="1292">
        <v>15</v>
      </c>
      <c r="U145" s="1292"/>
      <c r="V145" s="1292"/>
      <c r="W145" s="1292"/>
      <c r="X145" s="1292"/>
      <c r="Y145" s="1292"/>
      <c r="Z145" s="1292"/>
      <c r="AA145" s="1292">
        <v>1</v>
      </c>
      <c r="AB145" s="1292"/>
      <c r="AC145" s="1292"/>
      <c r="AD145" s="1292"/>
      <c r="AE145" s="1292"/>
      <c r="AF145" s="1292"/>
      <c r="AG145" s="1292"/>
      <c r="AH145" s="1292"/>
      <c r="AI145" s="1292"/>
      <c r="AJ145" s="1293">
        <v>16</v>
      </c>
      <c r="AK145"/>
      <c r="AL145"/>
      <c r="AM145"/>
    </row>
    <row r="146" spans="1:39">
      <c r="A146" s="1288" t="s">
        <v>1430</v>
      </c>
      <c r="B146" s="1286"/>
      <c r="C146" s="1286"/>
      <c r="D146" s="1291">
        <v>4</v>
      </c>
      <c r="E146" s="1292"/>
      <c r="F146" s="1292">
        <v>4</v>
      </c>
      <c r="G146" s="1292">
        <v>2</v>
      </c>
      <c r="H146" s="1292">
        <v>1</v>
      </c>
      <c r="I146" s="1292"/>
      <c r="J146" s="1292"/>
      <c r="K146" s="1292"/>
      <c r="L146" s="1292"/>
      <c r="M146" s="1292"/>
      <c r="N146" s="1292"/>
      <c r="O146" s="1292"/>
      <c r="P146" s="1292"/>
      <c r="Q146" s="1292"/>
      <c r="R146" s="1292"/>
      <c r="S146" s="1292"/>
      <c r="T146" s="1292">
        <v>28591</v>
      </c>
      <c r="U146" s="1292">
        <v>3952</v>
      </c>
      <c r="V146" s="1292">
        <v>10404</v>
      </c>
      <c r="W146" s="1292">
        <v>5279</v>
      </c>
      <c r="X146" s="1292">
        <v>871</v>
      </c>
      <c r="Y146" s="1292">
        <v>789</v>
      </c>
      <c r="Z146" s="1292">
        <v>1302</v>
      </c>
      <c r="AA146" s="1292">
        <v>1</v>
      </c>
      <c r="AB146" s="1292"/>
      <c r="AC146" s="1292"/>
      <c r="AD146" s="1292"/>
      <c r="AE146" s="1292"/>
      <c r="AF146" s="1292"/>
      <c r="AG146" s="1292"/>
      <c r="AH146" s="1292"/>
      <c r="AI146" s="1292"/>
      <c r="AJ146" s="1293">
        <v>51200</v>
      </c>
      <c r="AK146"/>
      <c r="AL146"/>
      <c r="AM146"/>
    </row>
    <row r="147" spans="1:39">
      <c r="A147" s="1288" t="s">
        <v>436</v>
      </c>
      <c r="B147" s="1288">
        <v>0.45</v>
      </c>
      <c r="C147" s="1288" t="s">
        <v>1402</v>
      </c>
      <c r="D147" s="1291">
        <v>162</v>
      </c>
      <c r="E147" s="1292">
        <v>20</v>
      </c>
      <c r="F147" s="1292">
        <v>22</v>
      </c>
      <c r="G147" s="1292">
        <v>6</v>
      </c>
      <c r="H147" s="1292">
        <v>1</v>
      </c>
      <c r="I147" s="1292">
        <v>1</v>
      </c>
      <c r="J147" s="1292">
        <v>6</v>
      </c>
      <c r="K147" s="1292"/>
      <c r="L147" s="1292"/>
      <c r="M147" s="1292"/>
      <c r="N147" s="1292"/>
      <c r="O147" s="1292"/>
      <c r="P147" s="1292"/>
      <c r="Q147" s="1292"/>
      <c r="R147" s="1292"/>
      <c r="S147" s="1292"/>
      <c r="T147" s="1292">
        <v>5</v>
      </c>
      <c r="U147" s="1292"/>
      <c r="V147" s="1292"/>
      <c r="W147" s="1292"/>
      <c r="X147" s="1292"/>
      <c r="Y147" s="1292"/>
      <c r="Z147" s="1292"/>
      <c r="AA147" s="1292">
        <v>2</v>
      </c>
      <c r="AB147" s="1292"/>
      <c r="AC147" s="1292"/>
      <c r="AD147" s="1292"/>
      <c r="AE147" s="1292"/>
      <c r="AF147" s="1292"/>
      <c r="AG147" s="1292"/>
      <c r="AH147" s="1292">
        <v>1</v>
      </c>
      <c r="AI147" s="1292"/>
      <c r="AJ147" s="1293">
        <v>226</v>
      </c>
      <c r="AK147"/>
      <c r="AL147"/>
      <c r="AM147"/>
    </row>
    <row r="148" spans="1:39">
      <c r="A148" s="1294"/>
      <c r="B148" s="1288" t="s">
        <v>1405</v>
      </c>
      <c r="C148" s="1286"/>
      <c r="D148" s="1291">
        <v>162</v>
      </c>
      <c r="E148" s="1292">
        <v>20</v>
      </c>
      <c r="F148" s="1292">
        <v>22</v>
      </c>
      <c r="G148" s="1292">
        <v>6</v>
      </c>
      <c r="H148" s="1292">
        <v>1</v>
      </c>
      <c r="I148" s="1292">
        <v>1</v>
      </c>
      <c r="J148" s="1292">
        <v>6</v>
      </c>
      <c r="K148" s="1292"/>
      <c r="L148" s="1292"/>
      <c r="M148" s="1292"/>
      <c r="N148" s="1292"/>
      <c r="O148" s="1292"/>
      <c r="P148" s="1292"/>
      <c r="Q148" s="1292"/>
      <c r="R148" s="1292"/>
      <c r="S148" s="1292"/>
      <c r="T148" s="1292">
        <v>5</v>
      </c>
      <c r="U148" s="1292"/>
      <c r="V148" s="1292"/>
      <c r="W148" s="1292"/>
      <c r="X148" s="1292"/>
      <c r="Y148" s="1292"/>
      <c r="Z148" s="1292"/>
      <c r="AA148" s="1292">
        <v>2</v>
      </c>
      <c r="AB148" s="1292"/>
      <c r="AC148" s="1292"/>
      <c r="AD148" s="1292"/>
      <c r="AE148" s="1292"/>
      <c r="AF148" s="1292"/>
      <c r="AG148" s="1292"/>
      <c r="AH148" s="1292">
        <v>1</v>
      </c>
      <c r="AI148" s="1292"/>
      <c r="AJ148" s="1293">
        <v>226</v>
      </c>
      <c r="AK148"/>
      <c r="AL148"/>
      <c r="AM148"/>
    </row>
    <row r="149" spans="1:39">
      <c r="A149" s="1288" t="s">
        <v>1431</v>
      </c>
      <c r="B149" s="1286"/>
      <c r="C149" s="1286"/>
      <c r="D149" s="1291">
        <v>162</v>
      </c>
      <c r="E149" s="1292">
        <v>20</v>
      </c>
      <c r="F149" s="1292">
        <v>22</v>
      </c>
      <c r="G149" s="1292">
        <v>6</v>
      </c>
      <c r="H149" s="1292">
        <v>1</v>
      </c>
      <c r="I149" s="1292">
        <v>1</v>
      </c>
      <c r="J149" s="1292">
        <v>6</v>
      </c>
      <c r="K149" s="1292"/>
      <c r="L149" s="1292"/>
      <c r="M149" s="1292"/>
      <c r="N149" s="1292"/>
      <c r="O149" s="1292"/>
      <c r="P149" s="1292"/>
      <c r="Q149" s="1292"/>
      <c r="R149" s="1292"/>
      <c r="S149" s="1292"/>
      <c r="T149" s="1292">
        <v>5</v>
      </c>
      <c r="U149" s="1292"/>
      <c r="V149" s="1292"/>
      <c r="W149" s="1292"/>
      <c r="X149" s="1292"/>
      <c r="Y149" s="1292"/>
      <c r="Z149" s="1292"/>
      <c r="AA149" s="1292">
        <v>2</v>
      </c>
      <c r="AB149" s="1292"/>
      <c r="AC149" s="1292"/>
      <c r="AD149" s="1292"/>
      <c r="AE149" s="1292"/>
      <c r="AF149" s="1292"/>
      <c r="AG149" s="1292"/>
      <c r="AH149" s="1292">
        <v>1</v>
      </c>
      <c r="AI149" s="1292"/>
      <c r="AJ149" s="1293">
        <v>226</v>
      </c>
      <c r="AK149"/>
      <c r="AL149"/>
      <c r="AM149"/>
    </row>
    <row r="150" spans="1:39">
      <c r="A150" s="1298" t="s">
        <v>1401</v>
      </c>
      <c r="B150" s="1299"/>
      <c r="C150" s="1299"/>
      <c r="D150" s="1300">
        <v>1815</v>
      </c>
      <c r="E150" s="1301">
        <v>83</v>
      </c>
      <c r="F150" s="1301">
        <v>165</v>
      </c>
      <c r="G150" s="1301">
        <v>114</v>
      </c>
      <c r="H150" s="1301">
        <v>13</v>
      </c>
      <c r="I150" s="1301">
        <v>4</v>
      </c>
      <c r="J150" s="1301">
        <v>218</v>
      </c>
      <c r="K150" s="1301">
        <v>275</v>
      </c>
      <c r="L150" s="1301">
        <v>8</v>
      </c>
      <c r="M150" s="1301">
        <v>21</v>
      </c>
      <c r="N150" s="1301">
        <v>43</v>
      </c>
      <c r="O150" s="1301">
        <v>11</v>
      </c>
      <c r="P150" s="1301">
        <v>2</v>
      </c>
      <c r="Q150" s="1301">
        <v>3</v>
      </c>
      <c r="R150" s="1301">
        <v>15</v>
      </c>
      <c r="S150" s="1301">
        <v>2</v>
      </c>
      <c r="T150" s="1301">
        <v>88004</v>
      </c>
      <c r="U150" s="1301">
        <v>12084</v>
      </c>
      <c r="V150" s="1301">
        <v>24058</v>
      </c>
      <c r="W150" s="1301">
        <v>22980</v>
      </c>
      <c r="X150" s="1301">
        <v>2980</v>
      </c>
      <c r="Y150" s="1301">
        <v>2667</v>
      </c>
      <c r="Z150" s="1301">
        <v>4545</v>
      </c>
      <c r="AA150" s="1301">
        <v>1884</v>
      </c>
      <c r="AB150" s="1301">
        <v>66</v>
      </c>
      <c r="AC150" s="1301">
        <v>160</v>
      </c>
      <c r="AD150" s="1301">
        <v>14</v>
      </c>
      <c r="AE150" s="1301">
        <v>112</v>
      </c>
      <c r="AF150" s="1301">
        <v>13</v>
      </c>
      <c r="AG150" s="1301">
        <v>23</v>
      </c>
      <c r="AH150" s="1301">
        <v>281</v>
      </c>
      <c r="AI150" s="1301">
        <v>25</v>
      </c>
      <c r="AJ150" s="1302">
        <v>162688</v>
      </c>
      <c r="AK150"/>
      <c r="AL150"/>
      <c r="AM150"/>
    </row>
  </sheetData>
  <mergeCells count="2">
    <mergeCell ref="J2:N2"/>
    <mergeCell ref="P2:T2"/>
  </mergeCells>
  <pageMargins left="0.7" right="0.7" top="0.75" bottom="0.75" header="0.3" footer="0.3"/>
  <pageSetup scale="39"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7"/>
    <pageSetUpPr fitToPage="1"/>
  </sheetPr>
  <dimension ref="A1:AZ97"/>
  <sheetViews>
    <sheetView workbookViewId="0">
      <selection activeCell="F17" sqref="F17"/>
    </sheetView>
  </sheetViews>
  <sheetFormatPr defaultRowHeight="12.75"/>
  <cols>
    <col min="1" max="1" width="22.5" style="1236" bestFit="1" customWidth="1"/>
    <col min="2" max="2" width="18.1640625" style="1236" bestFit="1" customWidth="1"/>
    <col min="3" max="3" width="16.1640625" style="1236" customWidth="1"/>
    <col min="4" max="21" width="17.5" style="1236" customWidth="1"/>
    <col min="22" max="22" width="10.5" style="1236" customWidth="1"/>
    <col min="23" max="23" width="10.83203125" style="1236" customWidth="1"/>
    <col min="24" max="24" width="13.5" style="1236" customWidth="1"/>
    <col min="25" max="25" width="12.83203125" style="1236" customWidth="1"/>
    <col min="26" max="26" width="12.33203125" style="1236" customWidth="1"/>
    <col min="27" max="27" width="14.5" style="1236" customWidth="1"/>
    <col min="28" max="28" width="11.6640625" style="1236" customWidth="1"/>
    <col min="29" max="29" width="8.6640625" style="1236" customWidth="1"/>
    <col min="30" max="30" width="8.33203125" style="1236" customWidth="1"/>
    <col min="31" max="31" width="7.5" style="1236" customWidth="1"/>
    <col min="32" max="32" width="10" style="1236" customWidth="1"/>
    <col min="33" max="33" width="9.6640625" style="1236" customWidth="1"/>
    <col min="34" max="34" width="7.33203125" style="1236" customWidth="1"/>
    <col min="35" max="35" width="11" style="1236" customWidth="1"/>
    <col min="36" max="36" width="9.33203125" style="1236" customWidth="1"/>
    <col min="37" max="37" width="9" style="1236" customWidth="1"/>
    <col min="38" max="38" width="8.83203125" style="1236" customWidth="1"/>
    <col min="39" max="39" width="12.33203125" style="1236" bestFit="1" customWidth="1"/>
    <col min="40" max="16384" width="9.33203125" style="1236"/>
  </cols>
  <sheetData>
    <row r="1" spans="1:22">
      <c r="A1" s="1303" t="s">
        <v>1389</v>
      </c>
      <c r="B1" s="1304" t="s">
        <v>1390</v>
      </c>
    </row>
    <row r="2" spans="1:22" ht="13.5" thickBot="1">
      <c r="J2" s="2249"/>
      <c r="K2" s="2249"/>
      <c r="L2" s="2249"/>
      <c r="M2" s="2249"/>
      <c r="N2" s="2249"/>
      <c r="O2" s="1241"/>
      <c r="P2" s="2249"/>
      <c r="Q2" s="2250"/>
      <c r="R2" s="2250"/>
      <c r="S2" s="2250"/>
      <c r="T2" s="2250"/>
    </row>
    <row r="3" spans="1:22">
      <c r="A3" s="1285" t="s">
        <v>1392</v>
      </c>
      <c r="B3" s="1286"/>
      <c r="C3" s="1286"/>
      <c r="D3" s="1285" t="s">
        <v>1393</v>
      </c>
      <c r="E3" s="1286"/>
      <c r="F3" s="1286"/>
      <c r="G3" s="1286"/>
      <c r="H3" s="1286"/>
      <c r="I3" s="1286"/>
      <c r="J3" s="1286"/>
      <c r="K3" s="1286"/>
      <c r="L3" s="1286"/>
      <c r="M3" s="1286"/>
      <c r="N3" s="1286"/>
      <c r="O3" s="1286"/>
      <c r="P3" s="1286"/>
      <c r="Q3" s="1286"/>
      <c r="R3" s="1286"/>
      <c r="S3" s="1286"/>
      <c r="T3" s="1287"/>
      <c r="U3"/>
      <c r="V3"/>
    </row>
    <row r="4" spans="1:22">
      <c r="A4" s="1285" t="s">
        <v>1394</v>
      </c>
      <c r="B4" s="1285" t="s">
        <v>1395</v>
      </c>
      <c r="C4" s="1285" t="s">
        <v>1396</v>
      </c>
      <c r="D4" s="1288" t="s">
        <v>1436</v>
      </c>
      <c r="E4" s="1289" t="s">
        <v>1437</v>
      </c>
      <c r="F4" s="1289" t="s">
        <v>1438</v>
      </c>
      <c r="G4" s="1289" t="s">
        <v>1439</v>
      </c>
      <c r="H4" s="1289" t="s">
        <v>1441</v>
      </c>
      <c r="I4" s="1289" t="s">
        <v>1443</v>
      </c>
      <c r="J4" s="1289" t="s">
        <v>1444</v>
      </c>
      <c r="K4" s="1289" t="s">
        <v>1446</v>
      </c>
      <c r="L4" s="1289" t="s">
        <v>1448</v>
      </c>
      <c r="M4" s="1289" t="s">
        <v>1462</v>
      </c>
      <c r="N4" s="1289" t="s">
        <v>1463</v>
      </c>
      <c r="O4" s="1289" t="s">
        <v>1464</v>
      </c>
      <c r="P4" s="1289" t="s">
        <v>1466</v>
      </c>
      <c r="Q4" s="1289" t="s">
        <v>1468</v>
      </c>
      <c r="R4" s="1289" t="s">
        <v>1470</v>
      </c>
      <c r="S4" s="1289">
        <v>70</v>
      </c>
      <c r="T4" s="1290" t="s">
        <v>1401</v>
      </c>
      <c r="U4"/>
      <c r="V4"/>
    </row>
    <row r="5" spans="1:22">
      <c r="A5" s="1288" t="s">
        <v>426</v>
      </c>
      <c r="B5" s="1288">
        <v>0.08</v>
      </c>
      <c r="C5" s="1288" t="s">
        <v>1402</v>
      </c>
      <c r="D5" s="1291"/>
      <c r="E5" s="1292"/>
      <c r="F5" s="1292"/>
      <c r="G5" s="1292"/>
      <c r="H5" s="1292"/>
      <c r="I5" s="1292"/>
      <c r="J5" s="1292"/>
      <c r="K5" s="1292"/>
      <c r="L5" s="1292"/>
      <c r="M5" s="1292">
        <v>101</v>
      </c>
      <c r="N5" s="1292"/>
      <c r="O5" s="1292"/>
      <c r="P5" s="1292"/>
      <c r="Q5" s="1292"/>
      <c r="R5" s="1292"/>
      <c r="S5" s="1292"/>
      <c r="T5" s="1293">
        <v>101</v>
      </c>
      <c r="U5"/>
      <c r="V5"/>
    </row>
    <row r="6" spans="1:22">
      <c r="A6" s="1294"/>
      <c r="B6" s="1288" t="s">
        <v>1471</v>
      </c>
      <c r="C6" s="1286"/>
      <c r="D6" s="1291"/>
      <c r="E6" s="1292"/>
      <c r="F6" s="1292"/>
      <c r="G6" s="1292"/>
      <c r="H6" s="1292"/>
      <c r="I6" s="1292"/>
      <c r="J6" s="1292"/>
      <c r="K6" s="1292"/>
      <c r="L6" s="1292"/>
      <c r="M6" s="1292">
        <v>101</v>
      </c>
      <c r="N6" s="1292"/>
      <c r="O6" s="1292"/>
      <c r="P6" s="1292"/>
      <c r="Q6" s="1292"/>
      <c r="R6" s="1292"/>
      <c r="S6" s="1292"/>
      <c r="T6" s="1293">
        <v>101</v>
      </c>
      <c r="U6"/>
      <c r="V6"/>
    </row>
    <row r="7" spans="1:22">
      <c r="A7" s="1288" t="s">
        <v>1473</v>
      </c>
      <c r="B7" s="1286"/>
      <c r="C7" s="1286"/>
      <c r="D7" s="1291"/>
      <c r="E7" s="1292"/>
      <c r="F7" s="1292"/>
      <c r="G7" s="1292"/>
      <c r="H7" s="1292"/>
      <c r="I7" s="1292"/>
      <c r="J7" s="1292"/>
      <c r="K7" s="1292"/>
      <c r="L7" s="1292"/>
      <c r="M7" s="1292">
        <v>101</v>
      </c>
      <c r="N7" s="1292"/>
      <c r="O7" s="1292"/>
      <c r="P7" s="1292"/>
      <c r="Q7" s="1292"/>
      <c r="R7" s="1292"/>
      <c r="S7" s="1292"/>
      <c r="T7" s="1293">
        <v>101</v>
      </c>
      <c r="U7"/>
      <c r="V7"/>
    </row>
    <row r="8" spans="1:22">
      <c r="A8" s="1288" t="s">
        <v>428</v>
      </c>
      <c r="B8" s="1288">
        <v>0.16</v>
      </c>
      <c r="C8" s="1288" t="s">
        <v>1402</v>
      </c>
      <c r="D8" s="1291">
        <v>186</v>
      </c>
      <c r="E8" s="1292"/>
      <c r="F8" s="1292"/>
      <c r="G8" s="1292"/>
      <c r="H8" s="1292"/>
      <c r="I8" s="1292"/>
      <c r="J8" s="1292"/>
      <c r="K8" s="1292"/>
      <c r="L8" s="1292"/>
      <c r="M8" s="1292"/>
      <c r="N8" s="1292"/>
      <c r="O8" s="1292"/>
      <c r="P8" s="1292"/>
      <c r="Q8" s="1292"/>
      <c r="R8" s="1292"/>
      <c r="S8" s="1292"/>
      <c r="T8" s="1293">
        <v>186</v>
      </c>
      <c r="U8"/>
      <c r="V8"/>
    </row>
    <row r="9" spans="1:22">
      <c r="A9" s="1294"/>
      <c r="B9" s="1288" t="s">
        <v>1403</v>
      </c>
      <c r="C9" s="1286"/>
      <c r="D9" s="1291">
        <v>186</v>
      </c>
      <c r="E9" s="1292"/>
      <c r="F9" s="1292"/>
      <c r="G9" s="1292"/>
      <c r="H9" s="1292"/>
      <c r="I9" s="1292"/>
      <c r="J9" s="1292"/>
      <c r="K9" s="1292"/>
      <c r="L9" s="1292"/>
      <c r="M9" s="1292"/>
      <c r="N9" s="1292"/>
      <c r="O9" s="1292"/>
      <c r="P9" s="1292"/>
      <c r="Q9" s="1292"/>
      <c r="R9" s="1292"/>
      <c r="S9" s="1292"/>
      <c r="T9" s="1293">
        <v>186</v>
      </c>
      <c r="U9"/>
      <c r="V9"/>
    </row>
    <row r="10" spans="1:22">
      <c r="A10" s="1294"/>
      <c r="B10" s="1288">
        <v>0.3</v>
      </c>
      <c r="C10" s="1288" t="s">
        <v>1402</v>
      </c>
      <c r="D10" s="1291">
        <v>125</v>
      </c>
      <c r="E10" s="1292"/>
      <c r="F10" s="1292"/>
      <c r="G10" s="1292"/>
      <c r="H10" s="1292"/>
      <c r="I10" s="1292"/>
      <c r="J10" s="1292"/>
      <c r="K10" s="1292"/>
      <c r="L10" s="1292"/>
      <c r="M10" s="1292"/>
      <c r="N10" s="1292"/>
      <c r="O10" s="1292"/>
      <c r="P10" s="1292"/>
      <c r="Q10" s="1292"/>
      <c r="R10" s="1292"/>
      <c r="S10" s="1292"/>
      <c r="T10" s="1293">
        <v>125</v>
      </c>
      <c r="U10"/>
      <c r="V10"/>
    </row>
    <row r="11" spans="1:22">
      <c r="A11" s="1294"/>
      <c r="B11" s="1288" t="s">
        <v>1404</v>
      </c>
      <c r="C11" s="1286"/>
      <c r="D11" s="1291">
        <v>125</v>
      </c>
      <c r="E11" s="1292"/>
      <c r="F11" s="1292"/>
      <c r="G11" s="1292"/>
      <c r="H11" s="1292"/>
      <c r="I11" s="1292"/>
      <c r="J11" s="1292"/>
      <c r="K11" s="1292"/>
      <c r="L11" s="1292"/>
      <c r="M11" s="1292"/>
      <c r="N11" s="1292"/>
      <c r="O11" s="1292"/>
      <c r="P11" s="1292"/>
      <c r="Q11" s="1292"/>
      <c r="R11" s="1292"/>
      <c r="S11" s="1292"/>
      <c r="T11" s="1293">
        <v>125</v>
      </c>
      <c r="U11"/>
      <c r="V11"/>
    </row>
    <row r="12" spans="1:22">
      <c r="A12" s="1294"/>
      <c r="B12" s="1288">
        <v>0.45</v>
      </c>
      <c r="C12" s="1288" t="s">
        <v>1402</v>
      </c>
      <c r="D12" s="1291">
        <v>173</v>
      </c>
      <c r="E12" s="1292">
        <v>12</v>
      </c>
      <c r="F12" s="1292">
        <v>70</v>
      </c>
      <c r="G12" s="1292"/>
      <c r="H12" s="1292"/>
      <c r="I12" s="1292"/>
      <c r="J12" s="1292"/>
      <c r="K12" s="1292"/>
      <c r="L12" s="1292"/>
      <c r="M12" s="1292"/>
      <c r="N12" s="1292"/>
      <c r="O12" s="1292"/>
      <c r="P12" s="1292"/>
      <c r="Q12" s="1292"/>
      <c r="R12" s="1292"/>
      <c r="S12" s="1292"/>
      <c r="T12" s="1293">
        <v>255</v>
      </c>
      <c r="U12"/>
      <c r="V12"/>
    </row>
    <row r="13" spans="1:22">
      <c r="A13" s="1294"/>
      <c r="B13" s="1288" t="s">
        <v>1405</v>
      </c>
      <c r="C13" s="1286"/>
      <c r="D13" s="1291">
        <v>173</v>
      </c>
      <c r="E13" s="1292">
        <v>12</v>
      </c>
      <c r="F13" s="1292">
        <v>70</v>
      </c>
      <c r="G13" s="1292"/>
      <c r="H13" s="1292"/>
      <c r="I13" s="1292"/>
      <c r="J13" s="1292"/>
      <c r="K13" s="1292"/>
      <c r="L13" s="1292"/>
      <c r="M13" s="1292"/>
      <c r="N13" s="1292"/>
      <c r="O13" s="1292"/>
      <c r="P13" s="1292"/>
      <c r="Q13" s="1292"/>
      <c r="R13" s="1292"/>
      <c r="S13" s="1292"/>
      <c r="T13" s="1293">
        <v>255</v>
      </c>
      <c r="U13"/>
      <c r="V13"/>
    </row>
    <row r="14" spans="1:22">
      <c r="A14" s="1288" t="s">
        <v>1406</v>
      </c>
      <c r="B14" s="1286"/>
      <c r="C14" s="1286"/>
      <c r="D14" s="1291">
        <v>484</v>
      </c>
      <c r="E14" s="1292">
        <v>12</v>
      </c>
      <c r="F14" s="1292">
        <v>70</v>
      </c>
      <c r="G14" s="1292"/>
      <c r="H14" s="1292"/>
      <c r="I14" s="1292"/>
      <c r="J14" s="1292"/>
      <c r="K14" s="1292"/>
      <c r="L14" s="1292"/>
      <c r="M14" s="1292"/>
      <c r="N14" s="1292"/>
      <c r="O14" s="1292"/>
      <c r="P14" s="1292"/>
      <c r="Q14" s="1292"/>
      <c r="R14" s="1292"/>
      <c r="S14" s="1292"/>
      <c r="T14" s="1293">
        <v>566</v>
      </c>
      <c r="U14"/>
      <c r="V14"/>
    </row>
    <row r="15" spans="1:22">
      <c r="A15" s="1288" t="s">
        <v>429</v>
      </c>
      <c r="B15" s="1288">
        <v>0.16</v>
      </c>
      <c r="C15" s="1288" t="s">
        <v>1402</v>
      </c>
      <c r="D15" s="1291">
        <v>432</v>
      </c>
      <c r="E15" s="1292"/>
      <c r="F15" s="1292">
        <v>3</v>
      </c>
      <c r="G15" s="1292"/>
      <c r="H15" s="1292"/>
      <c r="I15" s="1292"/>
      <c r="J15" s="1292"/>
      <c r="K15" s="1292"/>
      <c r="L15" s="1292"/>
      <c r="M15" s="1292"/>
      <c r="N15" s="1292"/>
      <c r="O15" s="1292"/>
      <c r="P15" s="1292"/>
      <c r="Q15" s="1292"/>
      <c r="R15" s="1292"/>
      <c r="S15" s="1292"/>
      <c r="T15" s="1293">
        <v>435</v>
      </c>
      <c r="U15"/>
      <c r="V15"/>
    </row>
    <row r="16" spans="1:22">
      <c r="A16" s="1294"/>
      <c r="B16" s="1288" t="s">
        <v>1403</v>
      </c>
      <c r="C16" s="1286"/>
      <c r="D16" s="1291">
        <v>432</v>
      </c>
      <c r="E16" s="1292"/>
      <c r="F16" s="1292">
        <v>3</v>
      </c>
      <c r="G16" s="1292"/>
      <c r="H16" s="1292"/>
      <c r="I16" s="1292"/>
      <c r="J16" s="1292"/>
      <c r="K16" s="1292"/>
      <c r="L16" s="1292"/>
      <c r="M16" s="1292"/>
      <c r="N16" s="1292"/>
      <c r="O16" s="1292"/>
      <c r="P16" s="1292"/>
      <c r="Q16" s="1292"/>
      <c r="R16" s="1292"/>
      <c r="S16" s="1292"/>
      <c r="T16" s="1293">
        <v>435</v>
      </c>
      <c r="U16"/>
      <c r="V16"/>
    </row>
    <row r="17" spans="1:22">
      <c r="A17" s="1288" t="s">
        <v>1408</v>
      </c>
      <c r="B17" s="1286"/>
      <c r="C17" s="1286"/>
      <c r="D17" s="1291">
        <v>432</v>
      </c>
      <c r="E17" s="1292"/>
      <c r="F17" s="1292">
        <v>3</v>
      </c>
      <c r="G17" s="1292"/>
      <c r="H17" s="1292"/>
      <c r="I17" s="1292"/>
      <c r="J17" s="1292"/>
      <c r="K17" s="1292"/>
      <c r="L17" s="1292"/>
      <c r="M17" s="1292"/>
      <c r="N17" s="1292"/>
      <c r="O17" s="1292"/>
      <c r="P17" s="1292"/>
      <c r="Q17" s="1292"/>
      <c r="R17" s="1292"/>
      <c r="S17" s="1292"/>
      <c r="T17" s="1293">
        <v>435</v>
      </c>
      <c r="U17"/>
      <c r="V17"/>
    </row>
    <row r="18" spans="1:22">
      <c r="A18" s="1288" t="s">
        <v>432</v>
      </c>
      <c r="B18" s="1288">
        <v>1</v>
      </c>
      <c r="C18" s="1288" t="s">
        <v>1402</v>
      </c>
      <c r="D18" s="1291">
        <v>4</v>
      </c>
      <c r="E18" s="1292"/>
      <c r="F18" s="1292">
        <v>6</v>
      </c>
      <c r="G18" s="1292"/>
      <c r="H18" s="1292"/>
      <c r="I18" s="1292">
        <v>8</v>
      </c>
      <c r="J18" s="1292"/>
      <c r="K18" s="1292"/>
      <c r="L18" s="1292"/>
      <c r="M18" s="1292"/>
      <c r="N18" s="1292"/>
      <c r="O18" s="1292"/>
      <c r="P18" s="1292"/>
      <c r="Q18" s="1292"/>
      <c r="R18" s="1292"/>
      <c r="S18" s="1292"/>
      <c r="T18" s="1293">
        <v>18</v>
      </c>
      <c r="U18"/>
      <c r="V18"/>
    </row>
    <row r="19" spans="1:22">
      <c r="A19" s="1294"/>
      <c r="B19" s="1288" t="s">
        <v>1409</v>
      </c>
      <c r="C19" s="1286"/>
      <c r="D19" s="1291">
        <v>4</v>
      </c>
      <c r="E19" s="1292"/>
      <c r="F19" s="1292">
        <v>6</v>
      </c>
      <c r="G19" s="1292"/>
      <c r="H19" s="1292"/>
      <c r="I19" s="1292">
        <v>8</v>
      </c>
      <c r="J19" s="1292"/>
      <c r="K19" s="1292"/>
      <c r="L19" s="1292"/>
      <c r="M19" s="1292"/>
      <c r="N19" s="1292"/>
      <c r="O19" s="1292"/>
      <c r="P19" s="1292"/>
      <c r="Q19" s="1292"/>
      <c r="R19" s="1292"/>
      <c r="S19" s="1292"/>
      <c r="T19" s="1293">
        <v>18</v>
      </c>
      <c r="U19"/>
      <c r="V19"/>
    </row>
    <row r="20" spans="1:22">
      <c r="A20" s="1294"/>
      <c r="B20" s="1288">
        <v>1.25</v>
      </c>
      <c r="C20" s="1288" t="s">
        <v>1402</v>
      </c>
      <c r="D20" s="1291">
        <v>22</v>
      </c>
      <c r="E20" s="1292">
        <v>7</v>
      </c>
      <c r="F20" s="1292">
        <v>6</v>
      </c>
      <c r="G20" s="1292"/>
      <c r="H20" s="1292"/>
      <c r="I20" s="1292"/>
      <c r="J20" s="1292"/>
      <c r="K20" s="1292"/>
      <c r="L20" s="1292"/>
      <c r="M20" s="1292"/>
      <c r="N20" s="1292"/>
      <c r="O20" s="1292"/>
      <c r="P20" s="1292"/>
      <c r="Q20" s="1292"/>
      <c r="R20" s="1292"/>
      <c r="S20" s="1292"/>
      <c r="T20" s="1293">
        <v>35</v>
      </c>
      <c r="U20"/>
      <c r="V20"/>
    </row>
    <row r="21" spans="1:22">
      <c r="A21" s="1294"/>
      <c r="B21" s="1288" t="s">
        <v>1410</v>
      </c>
      <c r="C21" s="1286"/>
      <c r="D21" s="1291">
        <v>22</v>
      </c>
      <c r="E21" s="1292">
        <v>7</v>
      </c>
      <c r="F21" s="1292">
        <v>6</v>
      </c>
      <c r="G21" s="1292"/>
      <c r="H21" s="1292"/>
      <c r="I21" s="1292"/>
      <c r="J21" s="1292"/>
      <c r="K21" s="1292"/>
      <c r="L21" s="1292"/>
      <c r="M21" s="1292"/>
      <c r="N21" s="1292"/>
      <c r="O21" s="1292"/>
      <c r="P21" s="1292"/>
      <c r="Q21" s="1292"/>
      <c r="R21" s="1292"/>
      <c r="S21" s="1292"/>
      <c r="T21" s="1293">
        <v>35</v>
      </c>
      <c r="U21"/>
      <c r="V21"/>
    </row>
    <row r="22" spans="1:22">
      <c r="A22" s="1294"/>
      <c r="B22" s="1288">
        <v>2</v>
      </c>
      <c r="C22" s="1288" t="s">
        <v>1412</v>
      </c>
      <c r="D22" s="1291">
        <v>34</v>
      </c>
      <c r="E22" s="1292"/>
      <c r="F22" s="1292"/>
      <c r="G22" s="1292"/>
      <c r="H22" s="1292"/>
      <c r="I22" s="1292"/>
      <c r="J22" s="1292"/>
      <c r="K22" s="1292"/>
      <c r="L22" s="1292"/>
      <c r="M22" s="1292"/>
      <c r="N22" s="1292"/>
      <c r="O22" s="1292"/>
      <c r="P22" s="1292"/>
      <c r="Q22" s="1292"/>
      <c r="R22" s="1292"/>
      <c r="S22" s="1292"/>
      <c r="T22" s="1293">
        <v>34</v>
      </c>
      <c r="U22"/>
      <c r="V22"/>
    </row>
    <row r="23" spans="1:22">
      <c r="A23" s="1294"/>
      <c r="B23" s="1294"/>
      <c r="C23" s="1295" t="s">
        <v>1402</v>
      </c>
      <c r="D23" s="1296">
        <v>90</v>
      </c>
      <c r="E23" s="1054">
        <v>3</v>
      </c>
      <c r="F23" s="1054">
        <v>10</v>
      </c>
      <c r="G23" s="1054"/>
      <c r="H23" s="1054"/>
      <c r="I23" s="1054">
        <v>6</v>
      </c>
      <c r="J23" s="1054"/>
      <c r="K23" s="1054"/>
      <c r="L23" s="1054"/>
      <c r="M23" s="1054"/>
      <c r="N23" s="1054"/>
      <c r="O23" s="1054"/>
      <c r="P23" s="1054"/>
      <c r="Q23" s="1054"/>
      <c r="R23" s="1054"/>
      <c r="S23" s="1054"/>
      <c r="T23" s="1297">
        <v>109</v>
      </c>
      <c r="U23"/>
      <c r="V23"/>
    </row>
    <row r="24" spans="1:22">
      <c r="A24" s="1294"/>
      <c r="B24" s="1288" t="s">
        <v>1411</v>
      </c>
      <c r="C24" s="1286"/>
      <c r="D24" s="1291">
        <v>124</v>
      </c>
      <c r="E24" s="1292">
        <v>3</v>
      </c>
      <c r="F24" s="1292">
        <v>10</v>
      </c>
      <c r="G24" s="1292"/>
      <c r="H24" s="1292"/>
      <c r="I24" s="1292">
        <v>6</v>
      </c>
      <c r="J24" s="1292"/>
      <c r="K24" s="1292"/>
      <c r="L24" s="1292"/>
      <c r="M24" s="1292"/>
      <c r="N24" s="1292"/>
      <c r="O24" s="1292"/>
      <c r="P24" s="1292"/>
      <c r="Q24" s="1292"/>
      <c r="R24" s="1292"/>
      <c r="S24" s="1292"/>
      <c r="T24" s="1293">
        <v>143</v>
      </c>
      <c r="U24"/>
      <c r="V24"/>
    </row>
    <row r="25" spans="1:22">
      <c r="A25" s="1294"/>
      <c r="B25" s="1288">
        <v>3</v>
      </c>
      <c r="C25" s="1288" t="s">
        <v>1412</v>
      </c>
      <c r="D25" s="1291">
        <v>11</v>
      </c>
      <c r="E25" s="1292"/>
      <c r="F25" s="1292"/>
      <c r="G25" s="1292"/>
      <c r="H25" s="1292"/>
      <c r="I25" s="1292"/>
      <c r="J25" s="1292"/>
      <c r="K25" s="1292"/>
      <c r="L25" s="1292"/>
      <c r="M25" s="1292"/>
      <c r="N25" s="1292"/>
      <c r="O25" s="1292"/>
      <c r="P25" s="1292"/>
      <c r="Q25" s="1292"/>
      <c r="R25" s="1292"/>
      <c r="S25" s="1292"/>
      <c r="T25" s="1293">
        <v>11</v>
      </c>
      <c r="U25"/>
      <c r="V25"/>
    </row>
    <row r="26" spans="1:22">
      <c r="A26" s="1294"/>
      <c r="B26" s="1294"/>
      <c r="C26" s="1295" t="s">
        <v>1402</v>
      </c>
      <c r="D26" s="1296">
        <v>164</v>
      </c>
      <c r="E26" s="1054">
        <v>9</v>
      </c>
      <c r="F26" s="1054">
        <v>11</v>
      </c>
      <c r="G26" s="1054"/>
      <c r="H26" s="1054">
        <v>5</v>
      </c>
      <c r="I26" s="1054">
        <v>8</v>
      </c>
      <c r="J26" s="1054"/>
      <c r="K26" s="1054"/>
      <c r="L26" s="1054"/>
      <c r="M26" s="1054"/>
      <c r="N26" s="1054"/>
      <c r="O26" s="1054"/>
      <c r="P26" s="1054"/>
      <c r="Q26" s="1054"/>
      <c r="R26" s="1054"/>
      <c r="S26" s="1054"/>
      <c r="T26" s="1297">
        <v>197</v>
      </c>
      <c r="U26"/>
      <c r="V26"/>
    </row>
    <row r="27" spans="1:22">
      <c r="A27" s="1294"/>
      <c r="B27" s="1288" t="s">
        <v>1413</v>
      </c>
      <c r="C27" s="1286"/>
      <c r="D27" s="1291">
        <v>175</v>
      </c>
      <c r="E27" s="1292">
        <v>9</v>
      </c>
      <c r="F27" s="1292">
        <v>11</v>
      </c>
      <c r="G27" s="1292"/>
      <c r="H27" s="1292">
        <v>5</v>
      </c>
      <c r="I27" s="1292">
        <v>8</v>
      </c>
      <c r="J27" s="1292"/>
      <c r="K27" s="1292"/>
      <c r="L27" s="1292"/>
      <c r="M27" s="1292"/>
      <c r="N27" s="1292"/>
      <c r="O27" s="1292"/>
      <c r="P27" s="1292"/>
      <c r="Q27" s="1292"/>
      <c r="R27" s="1292"/>
      <c r="S27" s="1292"/>
      <c r="T27" s="1293">
        <v>208</v>
      </c>
      <c r="U27"/>
      <c r="V27"/>
    </row>
    <row r="28" spans="1:22">
      <c r="A28" s="1294"/>
      <c r="B28" s="1288">
        <v>4</v>
      </c>
      <c r="C28" s="1288" t="s">
        <v>1412</v>
      </c>
      <c r="D28" s="1291">
        <v>8</v>
      </c>
      <c r="E28" s="1292">
        <v>1</v>
      </c>
      <c r="F28" s="1292"/>
      <c r="G28" s="1292"/>
      <c r="H28" s="1292"/>
      <c r="I28" s="1292"/>
      <c r="J28" s="1292"/>
      <c r="K28" s="1292"/>
      <c r="L28" s="1292"/>
      <c r="M28" s="1292"/>
      <c r="N28" s="1292"/>
      <c r="O28" s="1292"/>
      <c r="P28" s="1292"/>
      <c r="Q28" s="1292"/>
      <c r="R28" s="1292"/>
      <c r="S28" s="1292"/>
      <c r="T28" s="1293">
        <v>9</v>
      </c>
      <c r="U28"/>
      <c r="V28"/>
    </row>
    <row r="29" spans="1:22">
      <c r="A29" s="1294"/>
      <c r="B29" s="1294"/>
      <c r="C29" s="1295" t="s">
        <v>1402</v>
      </c>
      <c r="D29" s="1296">
        <v>201</v>
      </c>
      <c r="E29" s="1054">
        <v>10</v>
      </c>
      <c r="F29" s="1054">
        <v>7</v>
      </c>
      <c r="G29" s="1054">
        <v>7</v>
      </c>
      <c r="H29" s="1054">
        <v>3</v>
      </c>
      <c r="I29" s="1054">
        <v>3</v>
      </c>
      <c r="J29" s="1054"/>
      <c r="K29" s="1054"/>
      <c r="L29" s="1054"/>
      <c r="M29" s="1054"/>
      <c r="N29" s="1054"/>
      <c r="O29" s="1054"/>
      <c r="P29" s="1054"/>
      <c r="Q29" s="1054"/>
      <c r="R29" s="1054"/>
      <c r="S29" s="1054"/>
      <c r="T29" s="1297">
        <v>231</v>
      </c>
      <c r="U29"/>
      <c r="V29"/>
    </row>
    <row r="30" spans="1:22">
      <c r="A30" s="1294"/>
      <c r="B30" s="1288" t="s">
        <v>1414</v>
      </c>
      <c r="C30" s="1286"/>
      <c r="D30" s="1291">
        <v>209</v>
      </c>
      <c r="E30" s="1292">
        <v>11</v>
      </c>
      <c r="F30" s="1292">
        <v>7</v>
      </c>
      <c r="G30" s="1292">
        <v>7</v>
      </c>
      <c r="H30" s="1292">
        <v>3</v>
      </c>
      <c r="I30" s="1292">
        <v>3</v>
      </c>
      <c r="J30" s="1292"/>
      <c r="K30" s="1292"/>
      <c r="L30" s="1292"/>
      <c r="M30" s="1292"/>
      <c r="N30" s="1292"/>
      <c r="O30" s="1292"/>
      <c r="P30" s="1292"/>
      <c r="Q30" s="1292"/>
      <c r="R30" s="1292"/>
      <c r="S30" s="1292"/>
      <c r="T30" s="1293">
        <v>240</v>
      </c>
      <c r="U30"/>
      <c r="V30"/>
    </row>
    <row r="31" spans="1:22">
      <c r="A31" s="1294"/>
      <c r="B31" s="1288">
        <v>6</v>
      </c>
      <c r="C31" s="1288" t="s">
        <v>1402</v>
      </c>
      <c r="D31" s="1291">
        <v>108</v>
      </c>
      <c r="E31" s="1292">
        <v>1</v>
      </c>
      <c r="F31" s="1292"/>
      <c r="G31" s="1292"/>
      <c r="H31" s="1292">
        <v>1</v>
      </c>
      <c r="I31" s="1292">
        <v>4</v>
      </c>
      <c r="J31" s="1292"/>
      <c r="K31" s="1292"/>
      <c r="L31" s="1292"/>
      <c r="M31" s="1292"/>
      <c r="N31" s="1292"/>
      <c r="O31" s="1292"/>
      <c r="P31" s="1292"/>
      <c r="Q31" s="1292"/>
      <c r="R31" s="1292"/>
      <c r="S31" s="1292"/>
      <c r="T31" s="1293">
        <v>114</v>
      </c>
      <c r="U31"/>
      <c r="V31"/>
    </row>
    <row r="32" spans="1:22">
      <c r="A32" s="1294"/>
      <c r="B32" s="1288" t="s">
        <v>1415</v>
      </c>
      <c r="C32" s="1286"/>
      <c r="D32" s="1291">
        <v>108</v>
      </c>
      <c r="E32" s="1292">
        <v>1</v>
      </c>
      <c r="F32" s="1292"/>
      <c r="G32" s="1292"/>
      <c r="H32" s="1292">
        <v>1</v>
      </c>
      <c r="I32" s="1292">
        <v>4</v>
      </c>
      <c r="J32" s="1292"/>
      <c r="K32" s="1292"/>
      <c r="L32" s="1292"/>
      <c r="M32" s="1292"/>
      <c r="N32" s="1292"/>
      <c r="O32" s="1292"/>
      <c r="P32" s="1292"/>
      <c r="Q32" s="1292"/>
      <c r="R32" s="1292"/>
      <c r="S32" s="1292"/>
      <c r="T32" s="1293">
        <v>114</v>
      </c>
      <c r="U32"/>
      <c r="V32"/>
    </row>
    <row r="33" spans="1:22">
      <c r="A33" s="1294"/>
      <c r="B33" s="1288">
        <v>8</v>
      </c>
      <c r="C33" s="1288" t="s">
        <v>1402</v>
      </c>
      <c r="D33" s="1291">
        <v>33</v>
      </c>
      <c r="E33" s="1292">
        <v>2</v>
      </c>
      <c r="F33" s="1292">
        <v>1</v>
      </c>
      <c r="G33" s="1292">
        <v>2</v>
      </c>
      <c r="H33" s="1292"/>
      <c r="I33" s="1292">
        <v>4</v>
      </c>
      <c r="J33" s="1292"/>
      <c r="K33" s="1292"/>
      <c r="L33" s="1292"/>
      <c r="M33" s="1292"/>
      <c r="N33" s="1292"/>
      <c r="O33" s="1292"/>
      <c r="P33" s="1292"/>
      <c r="Q33" s="1292"/>
      <c r="R33" s="1292"/>
      <c r="S33" s="1292"/>
      <c r="T33" s="1293">
        <v>42</v>
      </c>
      <c r="U33"/>
      <c r="V33"/>
    </row>
    <row r="34" spans="1:22">
      <c r="A34" s="1294"/>
      <c r="B34" s="1288" t="s">
        <v>1416</v>
      </c>
      <c r="C34" s="1286"/>
      <c r="D34" s="1291">
        <v>33</v>
      </c>
      <c r="E34" s="1292">
        <v>2</v>
      </c>
      <c r="F34" s="1292">
        <v>1</v>
      </c>
      <c r="G34" s="1292">
        <v>2</v>
      </c>
      <c r="H34" s="1292"/>
      <c r="I34" s="1292">
        <v>4</v>
      </c>
      <c r="J34" s="1292"/>
      <c r="K34" s="1292"/>
      <c r="L34" s="1292"/>
      <c r="M34" s="1292"/>
      <c r="N34" s="1292"/>
      <c r="O34" s="1292"/>
      <c r="P34" s="1292"/>
      <c r="Q34" s="1292"/>
      <c r="R34" s="1292"/>
      <c r="S34" s="1292"/>
      <c r="T34" s="1293">
        <v>42</v>
      </c>
      <c r="U34"/>
      <c r="V34"/>
    </row>
    <row r="35" spans="1:22">
      <c r="A35" s="1288" t="s">
        <v>1417</v>
      </c>
      <c r="B35" s="1286"/>
      <c r="C35" s="1286"/>
      <c r="D35" s="1291">
        <v>675</v>
      </c>
      <c r="E35" s="1292">
        <v>33</v>
      </c>
      <c r="F35" s="1292">
        <v>41</v>
      </c>
      <c r="G35" s="1292">
        <v>9</v>
      </c>
      <c r="H35" s="1292">
        <v>9</v>
      </c>
      <c r="I35" s="1292">
        <v>33</v>
      </c>
      <c r="J35" s="1292"/>
      <c r="K35" s="1292"/>
      <c r="L35" s="1292"/>
      <c r="M35" s="1292"/>
      <c r="N35" s="1292"/>
      <c r="O35" s="1292"/>
      <c r="P35" s="1292"/>
      <c r="Q35" s="1292"/>
      <c r="R35" s="1292"/>
      <c r="S35" s="1292"/>
      <c r="T35" s="1293">
        <v>800</v>
      </c>
      <c r="U35"/>
      <c r="V35"/>
    </row>
    <row r="36" spans="1:22">
      <c r="A36" s="1288" t="s">
        <v>431</v>
      </c>
      <c r="B36" s="1288">
        <v>1</v>
      </c>
      <c r="C36" s="1288" t="s">
        <v>1402</v>
      </c>
      <c r="D36" s="1291"/>
      <c r="E36" s="1292"/>
      <c r="F36" s="1292"/>
      <c r="G36" s="1292"/>
      <c r="H36" s="1292"/>
      <c r="I36" s="1292">
        <v>1</v>
      </c>
      <c r="J36" s="1292"/>
      <c r="K36" s="1292"/>
      <c r="L36" s="1292"/>
      <c r="M36" s="1292">
        <v>20</v>
      </c>
      <c r="N36" s="1292">
        <v>1</v>
      </c>
      <c r="O36" s="1292">
        <v>2</v>
      </c>
      <c r="P36" s="1292"/>
      <c r="Q36" s="1292"/>
      <c r="R36" s="1292">
        <v>2</v>
      </c>
      <c r="S36" s="1292">
        <v>6</v>
      </c>
      <c r="T36" s="1293">
        <v>32</v>
      </c>
      <c r="U36"/>
      <c r="V36"/>
    </row>
    <row r="37" spans="1:22">
      <c r="A37" s="1294"/>
      <c r="B37" s="1288" t="s">
        <v>1409</v>
      </c>
      <c r="C37" s="1286"/>
      <c r="D37" s="1291"/>
      <c r="E37" s="1292"/>
      <c r="F37" s="1292"/>
      <c r="G37" s="1292"/>
      <c r="H37" s="1292"/>
      <c r="I37" s="1292">
        <v>1</v>
      </c>
      <c r="J37" s="1292"/>
      <c r="K37" s="1292"/>
      <c r="L37" s="1292"/>
      <c r="M37" s="1292">
        <v>20</v>
      </c>
      <c r="N37" s="1292">
        <v>1</v>
      </c>
      <c r="O37" s="1292">
        <v>2</v>
      </c>
      <c r="P37" s="1292"/>
      <c r="Q37" s="1292"/>
      <c r="R37" s="1292">
        <v>2</v>
      </c>
      <c r="S37" s="1292">
        <v>6</v>
      </c>
      <c r="T37" s="1293">
        <v>32</v>
      </c>
      <c r="U37"/>
      <c r="V37"/>
    </row>
    <row r="38" spans="1:22">
      <c r="A38" s="1294"/>
      <c r="B38" s="1288">
        <v>1.25</v>
      </c>
      <c r="C38" s="1288" t="s">
        <v>1402</v>
      </c>
      <c r="D38" s="1291"/>
      <c r="E38" s="1292"/>
      <c r="F38" s="1292"/>
      <c r="G38" s="1292"/>
      <c r="H38" s="1292"/>
      <c r="I38" s="1292"/>
      <c r="J38" s="1292"/>
      <c r="K38" s="1292"/>
      <c r="L38" s="1292"/>
      <c r="M38" s="1292">
        <v>1</v>
      </c>
      <c r="N38" s="1292">
        <v>1</v>
      </c>
      <c r="O38" s="1292">
        <v>5</v>
      </c>
      <c r="P38" s="1292"/>
      <c r="Q38" s="1292"/>
      <c r="R38" s="1292"/>
      <c r="S38" s="1292"/>
      <c r="T38" s="1293">
        <v>7</v>
      </c>
      <c r="U38"/>
      <c r="V38"/>
    </row>
    <row r="39" spans="1:22">
      <c r="A39" s="1294"/>
      <c r="B39" s="1288" t="s">
        <v>1410</v>
      </c>
      <c r="C39" s="1286"/>
      <c r="D39" s="1291"/>
      <c r="E39" s="1292"/>
      <c r="F39" s="1292"/>
      <c r="G39" s="1292"/>
      <c r="H39" s="1292"/>
      <c r="I39" s="1292"/>
      <c r="J39" s="1292"/>
      <c r="K39" s="1292"/>
      <c r="L39" s="1292"/>
      <c r="M39" s="1292">
        <v>1</v>
      </c>
      <c r="N39" s="1292">
        <v>1</v>
      </c>
      <c r="O39" s="1292">
        <v>5</v>
      </c>
      <c r="P39" s="1292"/>
      <c r="Q39" s="1292"/>
      <c r="R39" s="1292"/>
      <c r="S39" s="1292"/>
      <c r="T39" s="1293">
        <v>7</v>
      </c>
      <c r="U39"/>
      <c r="V39"/>
    </row>
    <row r="40" spans="1:22">
      <c r="A40" s="1294"/>
      <c r="B40" s="1288">
        <v>1.5</v>
      </c>
      <c r="C40" s="1288" t="s">
        <v>1402</v>
      </c>
      <c r="D40" s="1291"/>
      <c r="E40" s="1292"/>
      <c r="F40" s="1292"/>
      <c r="G40" s="1292"/>
      <c r="H40" s="1292"/>
      <c r="I40" s="1292"/>
      <c r="J40" s="1292"/>
      <c r="K40" s="1292"/>
      <c r="L40" s="1292"/>
      <c r="M40" s="1292">
        <v>1</v>
      </c>
      <c r="N40" s="1292"/>
      <c r="O40" s="1292"/>
      <c r="P40" s="1292"/>
      <c r="Q40" s="1292"/>
      <c r="R40" s="1292"/>
      <c r="S40" s="1292"/>
      <c r="T40" s="1293">
        <v>1</v>
      </c>
      <c r="U40"/>
      <c r="V40"/>
    </row>
    <row r="41" spans="1:22">
      <c r="A41" s="1294"/>
      <c r="B41" s="1288" t="s">
        <v>1418</v>
      </c>
      <c r="C41" s="1286"/>
      <c r="D41" s="1291"/>
      <c r="E41" s="1292"/>
      <c r="F41" s="1292"/>
      <c r="G41" s="1292"/>
      <c r="H41" s="1292"/>
      <c r="I41" s="1292"/>
      <c r="J41" s="1292"/>
      <c r="K41" s="1292"/>
      <c r="L41" s="1292"/>
      <c r="M41" s="1292">
        <v>1</v>
      </c>
      <c r="N41" s="1292"/>
      <c r="O41" s="1292"/>
      <c r="P41" s="1292"/>
      <c r="Q41" s="1292"/>
      <c r="R41" s="1292"/>
      <c r="S41" s="1292"/>
      <c r="T41" s="1293">
        <v>1</v>
      </c>
      <c r="U41"/>
      <c r="V41"/>
    </row>
    <row r="42" spans="1:22">
      <c r="A42" s="1294"/>
      <c r="B42" s="1288">
        <v>2</v>
      </c>
      <c r="C42" s="1288" t="s">
        <v>1402</v>
      </c>
      <c r="D42" s="1291"/>
      <c r="E42" s="1292"/>
      <c r="F42" s="1292"/>
      <c r="G42" s="1292"/>
      <c r="H42" s="1292"/>
      <c r="I42" s="1292"/>
      <c r="J42" s="1292"/>
      <c r="K42" s="1292"/>
      <c r="L42" s="1292"/>
      <c r="M42" s="1292">
        <v>79</v>
      </c>
      <c r="N42" s="1292"/>
      <c r="O42" s="1292">
        <v>12</v>
      </c>
      <c r="P42" s="1292"/>
      <c r="Q42" s="1292"/>
      <c r="R42" s="1292">
        <v>2</v>
      </c>
      <c r="S42" s="1292">
        <v>1</v>
      </c>
      <c r="T42" s="1293">
        <v>94</v>
      </c>
      <c r="U42"/>
      <c r="V42"/>
    </row>
    <row r="43" spans="1:22">
      <c r="A43" s="1294"/>
      <c r="B43" s="1288" t="s">
        <v>1411</v>
      </c>
      <c r="C43" s="1286"/>
      <c r="D43" s="1291"/>
      <c r="E43" s="1292"/>
      <c r="F43" s="1292"/>
      <c r="G43" s="1292"/>
      <c r="H43" s="1292"/>
      <c r="I43" s="1292"/>
      <c r="J43" s="1292"/>
      <c r="K43" s="1292"/>
      <c r="L43" s="1292"/>
      <c r="M43" s="1292">
        <v>79</v>
      </c>
      <c r="N43" s="1292"/>
      <c r="O43" s="1292">
        <v>12</v>
      </c>
      <c r="P43" s="1292"/>
      <c r="Q43" s="1292"/>
      <c r="R43" s="1292">
        <v>2</v>
      </c>
      <c r="S43" s="1292">
        <v>1</v>
      </c>
      <c r="T43" s="1293">
        <v>94</v>
      </c>
      <c r="U43"/>
      <c r="V43"/>
    </row>
    <row r="44" spans="1:22">
      <c r="A44" s="1294"/>
      <c r="B44" s="1288">
        <v>3</v>
      </c>
      <c r="C44" s="1288" t="s">
        <v>1412</v>
      </c>
      <c r="D44" s="1291"/>
      <c r="E44" s="1292"/>
      <c r="F44" s="1292"/>
      <c r="G44" s="1292"/>
      <c r="H44" s="1292"/>
      <c r="I44" s="1292"/>
      <c r="J44" s="1292"/>
      <c r="K44" s="1292"/>
      <c r="L44" s="1292"/>
      <c r="M44" s="1292">
        <v>1</v>
      </c>
      <c r="N44" s="1292"/>
      <c r="O44" s="1292"/>
      <c r="P44" s="1292"/>
      <c r="Q44" s="1292"/>
      <c r="R44" s="1292"/>
      <c r="S44" s="1292"/>
      <c r="T44" s="1293">
        <v>1</v>
      </c>
      <c r="U44"/>
      <c r="V44"/>
    </row>
    <row r="45" spans="1:22">
      <c r="A45" s="1294"/>
      <c r="B45" s="1294"/>
      <c r="C45" s="1295" t="s">
        <v>1402</v>
      </c>
      <c r="D45" s="1296"/>
      <c r="E45" s="1054"/>
      <c r="F45" s="1054"/>
      <c r="G45" s="1054"/>
      <c r="H45" s="1054"/>
      <c r="I45" s="1054"/>
      <c r="J45" s="1054"/>
      <c r="K45" s="1054"/>
      <c r="L45" s="1054"/>
      <c r="M45" s="1054">
        <v>94</v>
      </c>
      <c r="N45" s="1054">
        <v>11</v>
      </c>
      <c r="O45" s="1054">
        <v>3</v>
      </c>
      <c r="P45" s="1054"/>
      <c r="Q45" s="1054">
        <v>2</v>
      </c>
      <c r="R45" s="1054">
        <v>3</v>
      </c>
      <c r="S45" s="1054">
        <v>1</v>
      </c>
      <c r="T45" s="1297">
        <v>114</v>
      </c>
      <c r="U45"/>
      <c r="V45"/>
    </row>
    <row r="46" spans="1:22">
      <c r="A46" s="1294"/>
      <c r="B46" s="1288" t="s">
        <v>1413</v>
      </c>
      <c r="C46" s="1286"/>
      <c r="D46" s="1291"/>
      <c r="E46" s="1292"/>
      <c r="F46" s="1292"/>
      <c r="G46" s="1292"/>
      <c r="H46" s="1292"/>
      <c r="I46" s="1292"/>
      <c r="J46" s="1292"/>
      <c r="K46" s="1292"/>
      <c r="L46" s="1292"/>
      <c r="M46" s="1292">
        <v>95</v>
      </c>
      <c r="N46" s="1292">
        <v>11</v>
      </c>
      <c r="O46" s="1292">
        <v>3</v>
      </c>
      <c r="P46" s="1292"/>
      <c r="Q46" s="1292">
        <v>2</v>
      </c>
      <c r="R46" s="1292">
        <v>3</v>
      </c>
      <c r="S46" s="1292">
        <v>1</v>
      </c>
      <c r="T46" s="1293">
        <v>115</v>
      </c>
      <c r="U46"/>
      <c r="V46"/>
    </row>
    <row r="47" spans="1:22">
      <c r="A47" s="1294"/>
      <c r="B47" s="1288">
        <v>4</v>
      </c>
      <c r="C47" s="1288" t="s">
        <v>1402</v>
      </c>
      <c r="D47" s="1291"/>
      <c r="E47" s="1292"/>
      <c r="F47" s="1292"/>
      <c r="G47" s="1292"/>
      <c r="H47" s="1292"/>
      <c r="I47" s="1292"/>
      <c r="J47" s="1292"/>
      <c r="K47" s="1292"/>
      <c r="L47" s="1292"/>
      <c r="M47" s="1292">
        <v>103</v>
      </c>
      <c r="N47" s="1292">
        <v>2</v>
      </c>
      <c r="O47" s="1292">
        <v>2</v>
      </c>
      <c r="P47" s="1292">
        <v>7</v>
      </c>
      <c r="Q47" s="1292"/>
      <c r="R47" s="1292">
        <v>7</v>
      </c>
      <c r="S47" s="1292">
        <v>1</v>
      </c>
      <c r="T47" s="1293">
        <v>122</v>
      </c>
      <c r="U47"/>
      <c r="V47"/>
    </row>
    <row r="48" spans="1:22">
      <c r="A48" s="1294"/>
      <c r="B48" s="1288" t="s">
        <v>1414</v>
      </c>
      <c r="C48" s="1286"/>
      <c r="D48" s="1291"/>
      <c r="E48" s="1292"/>
      <c r="F48" s="1292"/>
      <c r="G48" s="1292"/>
      <c r="H48" s="1292"/>
      <c r="I48" s="1292"/>
      <c r="J48" s="1292"/>
      <c r="K48" s="1292"/>
      <c r="L48" s="1292"/>
      <c r="M48" s="1292">
        <v>103</v>
      </c>
      <c r="N48" s="1292">
        <v>2</v>
      </c>
      <c r="O48" s="1292">
        <v>2</v>
      </c>
      <c r="P48" s="1292">
        <v>7</v>
      </c>
      <c r="Q48" s="1292"/>
      <c r="R48" s="1292">
        <v>7</v>
      </c>
      <c r="S48" s="1292">
        <v>1</v>
      </c>
      <c r="T48" s="1293">
        <v>122</v>
      </c>
      <c r="U48"/>
      <c r="V48"/>
    </row>
    <row r="49" spans="1:22">
      <c r="A49" s="1294"/>
      <c r="B49" s="1288">
        <v>6</v>
      </c>
      <c r="C49" s="1288" t="s">
        <v>1402</v>
      </c>
      <c r="D49" s="1291"/>
      <c r="E49" s="1292"/>
      <c r="F49" s="1292"/>
      <c r="G49" s="1292"/>
      <c r="H49" s="1292"/>
      <c r="I49" s="1292"/>
      <c r="J49" s="1292"/>
      <c r="K49" s="1292"/>
      <c r="L49" s="1292"/>
      <c r="M49" s="1292">
        <v>9</v>
      </c>
      <c r="N49" s="1292">
        <v>3</v>
      </c>
      <c r="O49" s="1292"/>
      <c r="P49" s="1292"/>
      <c r="Q49" s="1292">
        <v>1</v>
      </c>
      <c r="R49" s="1292"/>
      <c r="S49" s="1292"/>
      <c r="T49" s="1293">
        <v>13</v>
      </c>
      <c r="U49"/>
      <c r="V49"/>
    </row>
    <row r="50" spans="1:22">
      <c r="A50" s="1294"/>
      <c r="B50" s="1288" t="s">
        <v>1415</v>
      </c>
      <c r="C50" s="1286"/>
      <c r="D50" s="1291"/>
      <c r="E50" s="1292"/>
      <c r="F50" s="1292"/>
      <c r="G50" s="1292"/>
      <c r="H50" s="1292"/>
      <c r="I50" s="1292"/>
      <c r="J50" s="1292"/>
      <c r="K50" s="1292"/>
      <c r="L50" s="1292"/>
      <c r="M50" s="1292">
        <v>9</v>
      </c>
      <c r="N50" s="1292">
        <v>3</v>
      </c>
      <c r="O50" s="1292"/>
      <c r="P50" s="1292"/>
      <c r="Q50" s="1292">
        <v>1</v>
      </c>
      <c r="R50" s="1292"/>
      <c r="S50" s="1292"/>
      <c r="T50" s="1293">
        <v>13</v>
      </c>
      <c r="U50"/>
      <c r="V50"/>
    </row>
    <row r="51" spans="1:22">
      <c r="A51" s="1294"/>
      <c r="B51" s="1288">
        <v>8</v>
      </c>
      <c r="C51" s="1288" t="s">
        <v>1402</v>
      </c>
      <c r="D51" s="1291"/>
      <c r="E51" s="1292"/>
      <c r="F51" s="1292"/>
      <c r="G51" s="1292"/>
      <c r="H51" s="1292"/>
      <c r="I51" s="1292"/>
      <c r="J51" s="1292"/>
      <c r="K51" s="1292"/>
      <c r="L51" s="1292"/>
      <c r="M51" s="1292">
        <v>7</v>
      </c>
      <c r="N51" s="1292"/>
      <c r="O51" s="1292">
        <v>3</v>
      </c>
      <c r="P51" s="1292"/>
      <c r="Q51" s="1292"/>
      <c r="R51" s="1292"/>
      <c r="S51" s="1292"/>
      <c r="T51" s="1293">
        <v>10</v>
      </c>
      <c r="U51"/>
      <c r="V51"/>
    </row>
    <row r="52" spans="1:22">
      <c r="A52" s="1294"/>
      <c r="B52" s="1288" t="s">
        <v>1416</v>
      </c>
      <c r="C52" s="1286"/>
      <c r="D52" s="1291"/>
      <c r="E52" s="1292"/>
      <c r="F52" s="1292"/>
      <c r="G52" s="1292"/>
      <c r="H52" s="1292"/>
      <c r="I52" s="1292"/>
      <c r="J52" s="1292"/>
      <c r="K52" s="1292"/>
      <c r="L52" s="1292"/>
      <c r="M52" s="1292">
        <v>7</v>
      </c>
      <c r="N52" s="1292"/>
      <c r="O52" s="1292">
        <v>3</v>
      </c>
      <c r="P52" s="1292"/>
      <c r="Q52" s="1292"/>
      <c r="R52" s="1292"/>
      <c r="S52" s="1292"/>
      <c r="T52" s="1293">
        <v>10</v>
      </c>
      <c r="U52"/>
      <c r="V52"/>
    </row>
    <row r="53" spans="1:22">
      <c r="A53" s="1288" t="s">
        <v>1419</v>
      </c>
      <c r="B53" s="1286"/>
      <c r="C53" s="1286"/>
      <c r="D53" s="1291"/>
      <c r="E53" s="1292"/>
      <c r="F53" s="1292"/>
      <c r="G53" s="1292"/>
      <c r="H53" s="1292"/>
      <c r="I53" s="1292">
        <v>1</v>
      </c>
      <c r="J53" s="1292"/>
      <c r="K53" s="1292"/>
      <c r="L53" s="1292"/>
      <c r="M53" s="1292">
        <v>315</v>
      </c>
      <c r="N53" s="1292">
        <v>18</v>
      </c>
      <c r="O53" s="1292">
        <v>27</v>
      </c>
      <c r="P53" s="1292">
        <v>7</v>
      </c>
      <c r="Q53" s="1292">
        <v>3</v>
      </c>
      <c r="R53" s="1292">
        <v>14</v>
      </c>
      <c r="S53" s="1292">
        <v>9</v>
      </c>
      <c r="T53" s="1293">
        <v>394</v>
      </c>
      <c r="U53"/>
      <c r="V53"/>
    </row>
    <row r="54" spans="1:22">
      <c r="A54" s="1288" t="s">
        <v>433</v>
      </c>
      <c r="B54" s="1288">
        <v>10</v>
      </c>
      <c r="C54" s="1288" t="s">
        <v>1402</v>
      </c>
      <c r="D54" s="1291"/>
      <c r="E54" s="1292"/>
      <c r="F54" s="1292"/>
      <c r="G54" s="1292"/>
      <c r="H54" s="1292"/>
      <c r="I54" s="1292"/>
      <c r="J54" s="1292">
        <v>1</v>
      </c>
      <c r="K54" s="1292"/>
      <c r="L54" s="1292"/>
      <c r="M54" s="1292"/>
      <c r="N54" s="1292"/>
      <c r="O54" s="1292"/>
      <c r="P54" s="1292"/>
      <c r="Q54" s="1292"/>
      <c r="R54" s="1292"/>
      <c r="S54" s="1292"/>
      <c r="T54" s="1293">
        <v>1</v>
      </c>
      <c r="U54"/>
      <c r="V54"/>
    </row>
    <row r="55" spans="1:22">
      <c r="A55" s="1294"/>
      <c r="B55" s="1288" t="s">
        <v>1420</v>
      </c>
      <c r="C55" s="1286"/>
      <c r="D55" s="1291"/>
      <c r="E55" s="1292"/>
      <c r="F55" s="1292"/>
      <c r="G55" s="1292"/>
      <c r="H55" s="1292"/>
      <c r="I55" s="1292"/>
      <c r="J55" s="1292">
        <v>1</v>
      </c>
      <c r="K55" s="1292"/>
      <c r="L55" s="1292"/>
      <c r="M55" s="1292"/>
      <c r="N55" s="1292"/>
      <c r="O55" s="1292"/>
      <c r="P55" s="1292"/>
      <c r="Q55" s="1292"/>
      <c r="R55" s="1292"/>
      <c r="S55" s="1292"/>
      <c r="T55" s="1293">
        <v>1</v>
      </c>
      <c r="U55"/>
      <c r="V55"/>
    </row>
    <row r="56" spans="1:22">
      <c r="A56" s="1294"/>
      <c r="B56" s="1288">
        <v>15</v>
      </c>
      <c r="C56" s="1288" t="s">
        <v>1412</v>
      </c>
      <c r="D56" s="1291"/>
      <c r="E56" s="1292"/>
      <c r="F56" s="1292"/>
      <c r="G56" s="1292"/>
      <c r="H56" s="1292"/>
      <c r="I56" s="1292"/>
      <c r="J56" s="1292"/>
      <c r="K56" s="1292">
        <v>1</v>
      </c>
      <c r="L56" s="1292"/>
      <c r="M56" s="1292"/>
      <c r="N56" s="1292"/>
      <c r="O56" s="1292"/>
      <c r="P56" s="1292"/>
      <c r="Q56" s="1292"/>
      <c r="R56" s="1292"/>
      <c r="S56" s="1292"/>
      <c r="T56" s="1293">
        <v>1</v>
      </c>
      <c r="U56"/>
      <c r="V56"/>
    </row>
    <row r="57" spans="1:22">
      <c r="A57" s="1294"/>
      <c r="B57" s="1288" t="s">
        <v>1479</v>
      </c>
      <c r="C57" s="1286"/>
      <c r="D57" s="1291"/>
      <c r="E57" s="1292"/>
      <c r="F57" s="1292"/>
      <c r="G57" s="1292"/>
      <c r="H57" s="1292"/>
      <c r="I57" s="1292"/>
      <c r="J57" s="1292"/>
      <c r="K57" s="1292">
        <v>1</v>
      </c>
      <c r="L57" s="1292"/>
      <c r="M57" s="1292"/>
      <c r="N57" s="1292"/>
      <c r="O57" s="1292"/>
      <c r="P57" s="1292"/>
      <c r="Q57" s="1292"/>
      <c r="R57" s="1292"/>
      <c r="S57" s="1292"/>
      <c r="T57" s="1293">
        <v>1</v>
      </c>
      <c r="U57"/>
      <c r="V57"/>
    </row>
    <row r="58" spans="1:22">
      <c r="A58" s="1294"/>
      <c r="B58" s="1288">
        <v>25</v>
      </c>
      <c r="C58" s="1288" t="s">
        <v>1412</v>
      </c>
      <c r="D58" s="1291"/>
      <c r="E58" s="1292"/>
      <c r="F58" s="1292"/>
      <c r="G58" s="1292"/>
      <c r="H58" s="1292"/>
      <c r="I58" s="1292"/>
      <c r="J58" s="1292">
        <v>1</v>
      </c>
      <c r="K58" s="1292"/>
      <c r="L58" s="1292"/>
      <c r="M58" s="1292"/>
      <c r="N58" s="1292"/>
      <c r="O58" s="1292"/>
      <c r="P58" s="1292"/>
      <c r="Q58" s="1292"/>
      <c r="R58" s="1292"/>
      <c r="S58" s="1292"/>
      <c r="T58" s="1293">
        <v>1</v>
      </c>
      <c r="U58"/>
      <c r="V58"/>
    </row>
    <row r="59" spans="1:22">
      <c r="A59" s="1294"/>
      <c r="B59" s="1288" t="s">
        <v>1423</v>
      </c>
      <c r="C59" s="1286"/>
      <c r="D59" s="1291"/>
      <c r="E59" s="1292"/>
      <c r="F59" s="1292"/>
      <c r="G59" s="1292"/>
      <c r="H59" s="1292"/>
      <c r="I59" s="1292"/>
      <c r="J59" s="1292">
        <v>1</v>
      </c>
      <c r="K59" s="1292"/>
      <c r="L59" s="1292"/>
      <c r="M59" s="1292"/>
      <c r="N59" s="1292"/>
      <c r="O59" s="1292"/>
      <c r="P59" s="1292"/>
      <c r="Q59" s="1292"/>
      <c r="R59" s="1292"/>
      <c r="S59" s="1292"/>
      <c r="T59" s="1293">
        <v>1</v>
      </c>
      <c r="U59"/>
      <c r="V59"/>
    </row>
    <row r="60" spans="1:22">
      <c r="A60" s="1288" t="s">
        <v>1426</v>
      </c>
      <c r="B60" s="1286"/>
      <c r="C60" s="1286"/>
      <c r="D60" s="1291"/>
      <c r="E60" s="1292"/>
      <c r="F60" s="1292"/>
      <c r="G60" s="1292"/>
      <c r="H60" s="1292"/>
      <c r="I60" s="1292"/>
      <c r="J60" s="1292">
        <v>2</v>
      </c>
      <c r="K60" s="1292">
        <v>1</v>
      </c>
      <c r="L60" s="1292"/>
      <c r="M60" s="1292"/>
      <c r="N60" s="1292"/>
      <c r="O60" s="1292"/>
      <c r="P60" s="1292"/>
      <c r="Q60" s="1292"/>
      <c r="R60" s="1292"/>
      <c r="S60" s="1292"/>
      <c r="T60" s="1293">
        <v>3</v>
      </c>
      <c r="U60"/>
      <c r="V60"/>
    </row>
    <row r="61" spans="1:22">
      <c r="A61" s="1288" t="s">
        <v>434</v>
      </c>
      <c r="B61" s="1288">
        <v>0.16</v>
      </c>
      <c r="C61" s="1288" t="s">
        <v>1402</v>
      </c>
      <c r="D61" s="1291"/>
      <c r="E61" s="1292"/>
      <c r="F61" s="1292"/>
      <c r="G61" s="1292"/>
      <c r="H61" s="1292"/>
      <c r="I61" s="1292"/>
      <c r="J61" s="1292"/>
      <c r="K61" s="1292"/>
      <c r="L61" s="1292"/>
      <c r="M61" s="1292">
        <v>188</v>
      </c>
      <c r="N61" s="1292"/>
      <c r="O61" s="1292"/>
      <c r="P61" s="1292"/>
      <c r="Q61" s="1292"/>
      <c r="R61" s="1292"/>
      <c r="S61" s="1292">
        <v>1</v>
      </c>
      <c r="T61" s="1293">
        <v>189</v>
      </c>
      <c r="U61"/>
      <c r="V61"/>
    </row>
    <row r="62" spans="1:22">
      <c r="A62" s="1294"/>
      <c r="B62" s="1288" t="s">
        <v>1403</v>
      </c>
      <c r="C62" s="1286"/>
      <c r="D62" s="1291"/>
      <c r="E62" s="1292"/>
      <c r="F62" s="1292"/>
      <c r="G62" s="1292"/>
      <c r="H62" s="1292"/>
      <c r="I62" s="1292"/>
      <c r="J62" s="1292"/>
      <c r="K62" s="1292"/>
      <c r="L62" s="1292"/>
      <c r="M62" s="1292">
        <v>188</v>
      </c>
      <c r="N62" s="1292"/>
      <c r="O62" s="1292"/>
      <c r="P62" s="1292"/>
      <c r="Q62" s="1292"/>
      <c r="R62" s="1292"/>
      <c r="S62" s="1292">
        <v>1</v>
      </c>
      <c r="T62" s="1293">
        <v>189</v>
      </c>
      <c r="U62"/>
      <c r="V62"/>
    </row>
    <row r="63" spans="1:22">
      <c r="A63" s="1294"/>
      <c r="B63" s="1288">
        <v>0.3</v>
      </c>
      <c r="C63" s="1288" t="s">
        <v>1402</v>
      </c>
      <c r="D63" s="1291"/>
      <c r="E63" s="1292"/>
      <c r="F63" s="1292"/>
      <c r="G63" s="1292"/>
      <c r="H63" s="1292"/>
      <c r="I63" s="1292"/>
      <c r="J63" s="1292"/>
      <c r="K63" s="1292"/>
      <c r="L63" s="1292"/>
      <c r="M63" s="1292">
        <v>226</v>
      </c>
      <c r="N63" s="1292"/>
      <c r="O63" s="1292">
        <v>2</v>
      </c>
      <c r="P63" s="1292"/>
      <c r="Q63" s="1292"/>
      <c r="R63" s="1292"/>
      <c r="S63" s="1292"/>
      <c r="T63" s="1293">
        <v>228</v>
      </c>
      <c r="U63"/>
      <c r="V63"/>
    </row>
    <row r="64" spans="1:22">
      <c r="A64" s="1294"/>
      <c r="B64" s="1288" t="s">
        <v>1404</v>
      </c>
      <c r="C64" s="1286"/>
      <c r="D64" s="1291"/>
      <c r="E64" s="1292"/>
      <c r="F64" s="1292"/>
      <c r="G64" s="1292"/>
      <c r="H64" s="1292"/>
      <c r="I64" s="1292"/>
      <c r="J64" s="1292"/>
      <c r="K64" s="1292"/>
      <c r="L64" s="1292"/>
      <c r="M64" s="1292">
        <v>226</v>
      </c>
      <c r="N64" s="1292"/>
      <c r="O64" s="1292">
        <v>2</v>
      </c>
      <c r="P64" s="1292"/>
      <c r="Q64" s="1292"/>
      <c r="R64" s="1292"/>
      <c r="S64" s="1292"/>
      <c r="T64" s="1293">
        <v>228</v>
      </c>
      <c r="U64"/>
      <c r="V64"/>
    </row>
    <row r="65" spans="1:22">
      <c r="A65" s="1294"/>
      <c r="B65" s="1288">
        <v>0.45</v>
      </c>
      <c r="C65" s="1288" t="s">
        <v>1402</v>
      </c>
      <c r="D65" s="1291"/>
      <c r="E65" s="1292"/>
      <c r="F65" s="1292"/>
      <c r="G65" s="1292"/>
      <c r="H65" s="1292"/>
      <c r="I65" s="1292"/>
      <c r="J65" s="1292"/>
      <c r="K65" s="1292"/>
      <c r="L65" s="1292"/>
      <c r="M65" s="1292">
        <v>440</v>
      </c>
      <c r="N65" s="1292">
        <v>67</v>
      </c>
      <c r="O65" s="1292">
        <v>125</v>
      </c>
      <c r="P65" s="1292">
        <v>26</v>
      </c>
      <c r="Q65" s="1292">
        <v>39</v>
      </c>
      <c r="R65" s="1292">
        <v>35</v>
      </c>
      <c r="S65" s="1292">
        <v>136</v>
      </c>
      <c r="T65" s="1293">
        <v>868</v>
      </c>
      <c r="U65"/>
      <c r="V65"/>
    </row>
    <row r="66" spans="1:22">
      <c r="A66" s="1294"/>
      <c r="B66" s="1288" t="s">
        <v>1405</v>
      </c>
      <c r="C66" s="1286"/>
      <c r="D66" s="1291"/>
      <c r="E66" s="1292"/>
      <c r="F66" s="1292"/>
      <c r="G66" s="1292"/>
      <c r="H66" s="1292"/>
      <c r="I66" s="1292"/>
      <c r="J66" s="1292"/>
      <c r="K66" s="1292"/>
      <c r="L66" s="1292"/>
      <c r="M66" s="1292">
        <v>440</v>
      </c>
      <c r="N66" s="1292">
        <v>67</v>
      </c>
      <c r="O66" s="1292">
        <v>125</v>
      </c>
      <c r="P66" s="1292">
        <v>26</v>
      </c>
      <c r="Q66" s="1292">
        <v>39</v>
      </c>
      <c r="R66" s="1292">
        <v>35</v>
      </c>
      <c r="S66" s="1292">
        <v>136</v>
      </c>
      <c r="T66" s="1293">
        <v>868</v>
      </c>
      <c r="U66"/>
      <c r="V66"/>
    </row>
    <row r="67" spans="1:22">
      <c r="A67" s="1294"/>
      <c r="B67" s="1288">
        <v>0.5</v>
      </c>
      <c r="C67" s="1288" t="s">
        <v>1402</v>
      </c>
      <c r="D67" s="1291"/>
      <c r="E67" s="1292"/>
      <c r="F67" s="1292"/>
      <c r="G67" s="1292"/>
      <c r="H67" s="1292"/>
      <c r="I67" s="1292"/>
      <c r="J67" s="1292"/>
      <c r="K67" s="1292"/>
      <c r="L67" s="1292"/>
      <c r="M67" s="1292">
        <v>1836</v>
      </c>
      <c r="N67" s="1292"/>
      <c r="O67" s="1292"/>
      <c r="P67" s="1292"/>
      <c r="Q67" s="1292"/>
      <c r="R67" s="1292"/>
      <c r="S67" s="1292"/>
      <c r="T67" s="1293">
        <v>1836</v>
      </c>
      <c r="U67"/>
      <c r="V67"/>
    </row>
    <row r="68" spans="1:22">
      <c r="A68" s="1294"/>
      <c r="B68" s="1288" t="s">
        <v>1480</v>
      </c>
      <c r="C68" s="1286"/>
      <c r="D68" s="1291"/>
      <c r="E68" s="1292"/>
      <c r="F68" s="1292"/>
      <c r="G68" s="1292"/>
      <c r="H68" s="1292"/>
      <c r="I68" s="1292"/>
      <c r="J68" s="1292"/>
      <c r="K68" s="1292"/>
      <c r="L68" s="1292"/>
      <c r="M68" s="1292">
        <v>1836</v>
      </c>
      <c r="N68" s="1292"/>
      <c r="O68" s="1292"/>
      <c r="P68" s="1292"/>
      <c r="Q68" s="1292"/>
      <c r="R68" s="1292"/>
      <c r="S68" s="1292"/>
      <c r="T68" s="1293">
        <v>1836</v>
      </c>
      <c r="U68"/>
      <c r="V68"/>
    </row>
    <row r="69" spans="1:22">
      <c r="A69" s="1288" t="s">
        <v>1427</v>
      </c>
      <c r="B69" s="1286"/>
      <c r="C69" s="1286"/>
      <c r="D69" s="1291"/>
      <c r="E69" s="1292"/>
      <c r="F69" s="1292"/>
      <c r="G69" s="1292"/>
      <c r="H69" s="1292"/>
      <c r="I69" s="1292"/>
      <c r="J69" s="1292"/>
      <c r="K69" s="1292"/>
      <c r="L69" s="1292"/>
      <c r="M69" s="1292">
        <v>2690</v>
      </c>
      <c r="N69" s="1292">
        <v>67</v>
      </c>
      <c r="O69" s="1292">
        <v>127</v>
      </c>
      <c r="P69" s="1292">
        <v>26</v>
      </c>
      <c r="Q69" s="1292">
        <v>39</v>
      </c>
      <c r="R69" s="1292">
        <v>35</v>
      </c>
      <c r="S69" s="1292">
        <v>137</v>
      </c>
      <c r="T69" s="1293">
        <v>3121</v>
      </c>
      <c r="U69"/>
      <c r="V69"/>
    </row>
    <row r="70" spans="1:22">
      <c r="A70" s="1288" t="s">
        <v>430</v>
      </c>
      <c r="B70" s="1288">
        <v>15</v>
      </c>
      <c r="C70" s="1288" t="s">
        <v>1412</v>
      </c>
      <c r="D70" s="1291"/>
      <c r="E70" s="1292"/>
      <c r="F70" s="1292"/>
      <c r="G70" s="1292"/>
      <c r="H70" s="1292"/>
      <c r="I70" s="1292"/>
      <c r="J70" s="1292"/>
      <c r="K70" s="1292">
        <v>1</v>
      </c>
      <c r="L70" s="1292"/>
      <c r="M70" s="1292"/>
      <c r="N70" s="1292"/>
      <c r="O70" s="1292"/>
      <c r="P70" s="1292"/>
      <c r="Q70" s="1292"/>
      <c r="R70" s="1292"/>
      <c r="S70" s="1292"/>
      <c r="T70" s="1293">
        <v>1</v>
      </c>
      <c r="U70"/>
      <c r="V70"/>
    </row>
    <row r="71" spans="1:22">
      <c r="A71" s="1294"/>
      <c r="B71" s="1294"/>
      <c r="C71" s="1295" t="s">
        <v>1402</v>
      </c>
      <c r="D71" s="1296"/>
      <c r="E71" s="1054"/>
      <c r="F71" s="1054"/>
      <c r="G71" s="1054"/>
      <c r="H71" s="1054"/>
      <c r="I71" s="1054"/>
      <c r="J71" s="1054">
        <v>1</v>
      </c>
      <c r="K71" s="1054"/>
      <c r="L71" s="1054"/>
      <c r="M71" s="1054"/>
      <c r="N71" s="1054"/>
      <c r="O71" s="1054"/>
      <c r="P71" s="1054"/>
      <c r="Q71" s="1054"/>
      <c r="R71" s="1054"/>
      <c r="S71" s="1054"/>
      <c r="T71" s="1297">
        <v>1</v>
      </c>
      <c r="U71"/>
      <c r="V71"/>
    </row>
    <row r="72" spans="1:22">
      <c r="A72" s="1294"/>
      <c r="B72" s="1288" t="s">
        <v>1479</v>
      </c>
      <c r="C72" s="1286"/>
      <c r="D72" s="1291"/>
      <c r="E72" s="1292"/>
      <c r="F72" s="1292"/>
      <c r="G72" s="1292"/>
      <c r="H72" s="1292"/>
      <c r="I72" s="1292"/>
      <c r="J72" s="1292">
        <v>1</v>
      </c>
      <c r="K72" s="1292">
        <v>1</v>
      </c>
      <c r="L72" s="1292"/>
      <c r="M72" s="1292"/>
      <c r="N72" s="1292"/>
      <c r="O72" s="1292"/>
      <c r="P72" s="1292"/>
      <c r="Q72" s="1292"/>
      <c r="R72" s="1292"/>
      <c r="S72" s="1292"/>
      <c r="T72" s="1293">
        <v>2</v>
      </c>
      <c r="U72"/>
      <c r="V72"/>
    </row>
    <row r="73" spans="1:22">
      <c r="A73" s="1294"/>
      <c r="B73" s="1288">
        <v>20</v>
      </c>
      <c r="C73" s="1288" t="s">
        <v>1412</v>
      </c>
      <c r="D73" s="1291"/>
      <c r="E73" s="1292"/>
      <c r="F73" s="1292"/>
      <c r="G73" s="1292"/>
      <c r="H73" s="1292"/>
      <c r="I73" s="1292"/>
      <c r="J73" s="1292">
        <v>6</v>
      </c>
      <c r="K73" s="1292"/>
      <c r="L73" s="1292">
        <v>1</v>
      </c>
      <c r="M73" s="1292"/>
      <c r="N73" s="1292"/>
      <c r="O73" s="1292"/>
      <c r="P73" s="1292"/>
      <c r="Q73" s="1292"/>
      <c r="R73" s="1292"/>
      <c r="S73" s="1292"/>
      <c r="T73" s="1293">
        <v>7</v>
      </c>
      <c r="U73"/>
      <c r="V73"/>
    </row>
    <row r="74" spans="1:22">
      <c r="A74" s="1294"/>
      <c r="B74" s="1288" t="s">
        <v>1422</v>
      </c>
      <c r="C74" s="1286"/>
      <c r="D74" s="1291"/>
      <c r="E74" s="1292"/>
      <c r="F74" s="1292"/>
      <c r="G74" s="1292"/>
      <c r="H74" s="1292"/>
      <c r="I74" s="1292"/>
      <c r="J74" s="1292">
        <v>6</v>
      </c>
      <c r="K74" s="1292"/>
      <c r="L74" s="1292">
        <v>1</v>
      </c>
      <c r="M74" s="1292"/>
      <c r="N74" s="1292"/>
      <c r="O74" s="1292"/>
      <c r="P74" s="1292"/>
      <c r="Q74" s="1292"/>
      <c r="R74" s="1292"/>
      <c r="S74" s="1292"/>
      <c r="T74" s="1293">
        <v>7</v>
      </c>
      <c r="U74"/>
      <c r="V74"/>
    </row>
    <row r="75" spans="1:22">
      <c r="A75" s="1294"/>
      <c r="B75" s="1288">
        <v>25</v>
      </c>
      <c r="C75" s="1288" t="s">
        <v>1412</v>
      </c>
      <c r="D75" s="1291"/>
      <c r="E75" s="1292"/>
      <c r="F75" s="1292"/>
      <c r="G75" s="1292"/>
      <c r="H75" s="1292"/>
      <c r="I75" s="1292"/>
      <c r="J75" s="1292">
        <v>6</v>
      </c>
      <c r="K75" s="1292">
        <v>1</v>
      </c>
      <c r="L75" s="1292"/>
      <c r="M75" s="1292"/>
      <c r="N75" s="1292"/>
      <c r="O75" s="1292"/>
      <c r="P75" s="1292"/>
      <c r="Q75" s="1292"/>
      <c r="R75" s="1292"/>
      <c r="S75" s="1292"/>
      <c r="T75" s="1293">
        <v>7</v>
      </c>
      <c r="U75"/>
      <c r="V75"/>
    </row>
    <row r="76" spans="1:22">
      <c r="A76" s="1294"/>
      <c r="B76" s="1294"/>
      <c r="C76" s="1295" t="s">
        <v>1402</v>
      </c>
      <c r="D76" s="1296"/>
      <c r="E76" s="1054"/>
      <c r="F76" s="1054"/>
      <c r="G76" s="1054"/>
      <c r="H76" s="1054"/>
      <c r="I76" s="1054"/>
      <c r="J76" s="1054">
        <v>3</v>
      </c>
      <c r="K76" s="1054"/>
      <c r="L76" s="1054"/>
      <c r="M76" s="1054"/>
      <c r="N76" s="1054"/>
      <c r="O76" s="1054"/>
      <c r="P76" s="1054"/>
      <c r="Q76" s="1054"/>
      <c r="R76" s="1054"/>
      <c r="S76" s="1054"/>
      <c r="T76" s="1297">
        <v>3</v>
      </c>
      <c r="U76"/>
      <c r="V76"/>
    </row>
    <row r="77" spans="1:22">
      <c r="A77" s="1294"/>
      <c r="B77" s="1288" t="s">
        <v>1423</v>
      </c>
      <c r="C77" s="1286"/>
      <c r="D77" s="1291"/>
      <c r="E77" s="1292"/>
      <c r="F77" s="1292"/>
      <c r="G77" s="1292"/>
      <c r="H77" s="1292"/>
      <c r="I77" s="1292"/>
      <c r="J77" s="1292">
        <v>9</v>
      </c>
      <c r="K77" s="1292">
        <v>1</v>
      </c>
      <c r="L77" s="1292"/>
      <c r="M77" s="1292"/>
      <c r="N77" s="1292"/>
      <c r="O77" s="1292"/>
      <c r="P77" s="1292"/>
      <c r="Q77" s="1292"/>
      <c r="R77" s="1292"/>
      <c r="S77" s="1292"/>
      <c r="T77" s="1293">
        <v>10</v>
      </c>
      <c r="U77"/>
      <c r="V77"/>
    </row>
    <row r="78" spans="1:22">
      <c r="A78" s="1294"/>
      <c r="B78" s="1288">
        <v>30</v>
      </c>
      <c r="C78" s="1288" t="s">
        <v>1412</v>
      </c>
      <c r="D78" s="1291"/>
      <c r="E78" s="1292"/>
      <c r="F78" s="1292"/>
      <c r="G78" s="1292"/>
      <c r="H78" s="1292"/>
      <c r="I78" s="1292"/>
      <c r="J78" s="1292">
        <v>4</v>
      </c>
      <c r="K78" s="1292">
        <v>1</v>
      </c>
      <c r="L78" s="1292">
        <v>1</v>
      </c>
      <c r="M78" s="1292"/>
      <c r="N78" s="1292"/>
      <c r="O78" s="1292"/>
      <c r="P78" s="1292"/>
      <c r="Q78" s="1292"/>
      <c r="R78" s="1292"/>
      <c r="S78" s="1292"/>
      <c r="T78" s="1293">
        <v>6</v>
      </c>
      <c r="U78"/>
      <c r="V78"/>
    </row>
    <row r="79" spans="1:22">
      <c r="A79" s="1294"/>
      <c r="B79" s="1288" t="s">
        <v>1424</v>
      </c>
      <c r="C79" s="1286"/>
      <c r="D79" s="1291"/>
      <c r="E79" s="1292"/>
      <c r="F79" s="1292"/>
      <c r="G79" s="1292"/>
      <c r="H79" s="1292"/>
      <c r="I79" s="1292"/>
      <c r="J79" s="1292">
        <v>4</v>
      </c>
      <c r="K79" s="1292">
        <v>1</v>
      </c>
      <c r="L79" s="1292">
        <v>1</v>
      </c>
      <c r="M79" s="1292"/>
      <c r="N79" s="1292"/>
      <c r="O79" s="1292"/>
      <c r="P79" s="1292"/>
      <c r="Q79" s="1292"/>
      <c r="R79" s="1292"/>
      <c r="S79" s="1292"/>
      <c r="T79" s="1293">
        <v>6</v>
      </c>
      <c r="U79"/>
      <c r="V79"/>
    </row>
    <row r="80" spans="1:22">
      <c r="A80" s="1288" t="s">
        <v>1428</v>
      </c>
      <c r="B80" s="1286"/>
      <c r="C80" s="1286"/>
      <c r="D80" s="1291"/>
      <c r="E80" s="1292"/>
      <c r="F80" s="1292"/>
      <c r="G80" s="1292"/>
      <c r="H80" s="1292"/>
      <c r="I80" s="1292"/>
      <c r="J80" s="1292">
        <v>20</v>
      </c>
      <c r="K80" s="1292">
        <v>3</v>
      </c>
      <c r="L80" s="1292">
        <v>2</v>
      </c>
      <c r="M80" s="1292"/>
      <c r="N80" s="1292"/>
      <c r="O80" s="1292"/>
      <c r="P80" s="1292"/>
      <c r="Q80" s="1292"/>
      <c r="R80" s="1292"/>
      <c r="S80" s="1292"/>
      <c r="T80" s="1293">
        <v>25</v>
      </c>
      <c r="U80"/>
      <c r="V80"/>
    </row>
    <row r="81" spans="1:22">
      <c r="A81" s="1288" t="s">
        <v>1432</v>
      </c>
      <c r="B81" s="1288">
        <v>0</v>
      </c>
      <c r="C81" s="1288" t="s">
        <v>1402</v>
      </c>
      <c r="D81" s="1291">
        <v>17079</v>
      </c>
      <c r="E81" s="1292">
        <v>98</v>
      </c>
      <c r="F81" s="1292">
        <v>1122</v>
      </c>
      <c r="G81" s="1292"/>
      <c r="H81" s="1292">
        <v>53</v>
      </c>
      <c r="I81" s="1292">
        <v>478</v>
      </c>
      <c r="J81" s="1292"/>
      <c r="K81" s="1292"/>
      <c r="L81" s="1292">
        <v>425</v>
      </c>
      <c r="M81" s="1292">
        <v>8433</v>
      </c>
      <c r="N81" s="1292">
        <v>454</v>
      </c>
      <c r="O81" s="1292">
        <v>682</v>
      </c>
      <c r="P81" s="1292">
        <v>258</v>
      </c>
      <c r="Q81" s="1292">
        <v>162</v>
      </c>
      <c r="R81" s="1292">
        <v>61</v>
      </c>
      <c r="S81" s="1292">
        <v>130</v>
      </c>
      <c r="T81" s="1293">
        <v>29435</v>
      </c>
      <c r="U81"/>
      <c r="V81"/>
    </row>
    <row r="82" spans="1:22">
      <c r="A82" s="1294"/>
      <c r="B82" s="1288" t="s">
        <v>1433</v>
      </c>
      <c r="C82" s="1286"/>
      <c r="D82" s="1291">
        <v>17079</v>
      </c>
      <c r="E82" s="1292">
        <v>98</v>
      </c>
      <c r="F82" s="1292">
        <v>1122</v>
      </c>
      <c r="G82" s="1292"/>
      <c r="H82" s="1292">
        <v>53</v>
      </c>
      <c r="I82" s="1292">
        <v>478</v>
      </c>
      <c r="J82" s="1292"/>
      <c r="K82" s="1292"/>
      <c r="L82" s="1292">
        <v>425</v>
      </c>
      <c r="M82" s="1292">
        <v>8433</v>
      </c>
      <c r="N82" s="1292">
        <v>454</v>
      </c>
      <c r="O82" s="1292">
        <v>682</v>
      </c>
      <c r="P82" s="1292">
        <v>258</v>
      </c>
      <c r="Q82" s="1292">
        <v>162</v>
      </c>
      <c r="R82" s="1292">
        <v>61</v>
      </c>
      <c r="S82" s="1292">
        <v>130</v>
      </c>
      <c r="T82" s="1293">
        <v>29435</v>
      </c>
      <c r="U82"/>
      <c r="V82"/>
    </row>
    <row r="83" spans="1:22">
      <c r="A83" s="1288" t="s">
        <v>1434</v>
      </c>
      <c r="B83" s="1286"/>
      <c r="C83" s="1286"/>
      <c r="D83" s="1291">
        <v>17079</v>
      </c>
      <c r="E83" s="1292">
        <v>98</v>
      </c>
      <c r="F83" s="1292">
        <v>1122</v>
      </c>
      <c r="G83" s="1292"/>
      <c r="H83" s="1292">
        <v>53</v>
      </c>
      <c r="I83" s="1292">
        <v>478</v>
      </c>
      <c r="J83" s="1292"/>
      <c r="K83" s="1292"/>
      <c r="L83" s="1292">
        <v>425</v>
      </c>
      <c r="M83" s="1292">
        <v>8433</v>
      </c>
      <c r="N83" s="1292">
        <v>454</v>
      </c>
      <c r="O83" s="1292">
        <v>682</v>
      </c>
      <c r="P83" s="1292">
        <v>258</v>
      </c>
      <c r="Q83" s="1292">
        <v>162</v>
      </c>
      <c r="R83" s="1292">
        <v>61</v>
      </c>
      <c r="S83" s="1292">
        <v>130</v>
      </c>
      <c r="T83" s="1293">
        <v>29435</v>
      </c>
      <c r="U83"/>
      <c r="V83"/>
    </row>
    <row r="84" spans="1:22">
      <c r="A84" s="1288" t="s">
        <v>427</v>
      </c>
      <c r="B84" s="1288">
        <v>0.3</v>
      </c>
      <c r="C84" s="1288" t="s">
        <v>1402</v>
      </c>
      <c r="D84" s="1291"/>
      <c r="E84" s="1292"/>
      <c r="F84" s="1292"/>
      <c r="G84" s="1292"/>
      <c r="H84" s="1292"/>
      <c r="I84" s="1292"/>
      <c r="J84" s="1292"/>
      <c r="K84" s="1292"/>
      <c r="L84" s="1292"/>
      <c r="M84" s="1292">
        <v>1</v>
      </c>
      <c r="N84" s="1292"/>
      <c r="O84" s="1292"/>
      <c r="P84" s="1292"/>
      <c r="Q84" s="1292"/>
      <c r="R84" s="1292"/>
      <c r="S84" s="1292"/>
      <c r="T84" s="1293">
        <v>1</v>
      </c>
      <c r="U84"/>
      <c r="V84"/>
    </row>
    <row r="85" spans="1:22">
      <c r="A85" s="1294"/>
      <c r="B85" s="1288" t="s">
        <v>1404</v>
      </c>
      <c r="C85" s="1286"/>
      <c r="D85" s="1291"/>
      <c r="E85" s="1292"/>
      <c r="F85" s="1292"/>
      <c r="G85" s="1292"/>
      <c r="H85" s="1292"/>
      <c r="I85" s="1292"/>
      <c r="J85" s="1292"/>
      <c r="K85" s="1292"/>
      <c r="L85" s="1292"/>
      <c r="M85" s="1292">
        <v>1</v>
      </c>
      <c r="N85" s="1292"/>
      <c r="O85" s="1292"/>
      <c r="P85" s="1292"/>
      <c r="Q85" s="1292"/>
      <c r="R85" s="1292"/>
      <c r="S85" s="1292"/>
      <c r="T85" s="1293">
        <v>1</v>
      </c>
      <c r="U85"/>
      <c r="V85"/>
    </row>
    <row r="86" spans="1:22">
      <c r="A86" s="1288" t="s">
        <v>1430</v>
      </c>
      <c r="B86" s="1286"/>
      <c r="C86" s="1286"/>
      <c r="D86" s="1291"/>
      <c r="E86" s="1292"/>
      <c r="F86" s="1292"/>
      <c r="G86" s="1292"/>
      <c r="H86" s="1292"/>
      <c r="I86" s="1292"/>
      <c r="J86" s="1292"/>
      <c r="K86" s="1292"/>
      <c r="L86" s="1292"/>
      <c r="M86" s="1292">
        <v>1</v>
      </c>
      <c r="N86" s="1292"/>
      <c r="O86" s="1292"/>
      <c r="P86" s="1292"/>
      <c r="Q86" s="1292"/>
      <c r="R86" s="1292"/>
      <c r="S86" s="1292"/>
      <c r="T86" s="1293">
        <v>1</v>
      </c>
      <c r="U86"/>
      <c r="V86"/>
    </row>
    <row r="87" spans="1:22">
      <c r="A87" s="1288" t="s">
        <v>436</v>
      </c>
      <c r="B87" s="1288">
        <v>0.45</v>
      </c>
      <c r="C87" s="1288" t="s">
        <v>1402</v>
      </c>
      <c r="D87" s="1291">
        <v>122</v>
      </c>
      <c r="E87" s="1292">
        <v>5</v>
      </c>
      <c r="F87" s="1292">
        <v>14</v>
      </c>
      <c r="G87" s="1292"/>
      <c r="H87" s="1292"/>
      <c r="I87" s="1292">
        <v>14</v>
      </c>
      <c r="J87" s="1292"/>
      <c r="K87" s="1292"/>
      <c r="L87" s="1292"/>
      <c r="M87" s="1292">
        <v>4</v>
      </c>
      <c r="N87" s="1292"/>
      <c r="O87" s="1292"/>
      <c r="P87" s="1292"/>
      <c r="Q87" s="1292"/>
      <c r="R87" s="1292"/>
      <c r="S87" s="1292"/>
      <c r="T87" s="1293">
        <v>159</v>
      </c>
      <c r="U87"/>
      <c r="V87"/>
    </row>
    <row r="88" spans="1:22">
      <c r="A88" s="1294"/>
      <c r="B88" s="1288" t="s">
        <v>1405</v>
      </c>
      <c r="C88" s="1286"/>
      <c r="D88" s="1291">
        <v>122</v>
      </c>
      <c r="E88" s="1292">
        <v>5</v>
      </c>
      <c r="F88" s="1292">
        <v>14</v>
      </c>
      <c r="G88" s="1292"/>
      <c r="H88" s="1292"/>
      <c r="I88" s="1292">
        <v>14</v>
      </c>
      <c r="J88" s="1292"/>
      <c r="K88" s="1292"/>
      <c r="L88" s="1292"/>
      <c r="M88" s="1292">
        <v>4</v>
      </c>
      <c r="N88" s="1292"/>
      <c r="O88" s="1292"/>
      <c r="P88" s="1292"/>
      <c r="Q88" s="1292"/>
      <c r="R88" s="1292"/>
      <c r="S88" s="1292"/>
      <c r="T88" s="1293">
        <v>159</v>
      </c>
      <c r="U88"/>
      <c r="V88"/>
    </row>
    <row r="89" spans="1:22">
      <c r="A89" s="1288" t="s">
        <v>1431</v>
      </c>
      <c r="B89" s="1286"/>
      <c r="C89" s="1286"/>
      <c r="D89" s="1291">
        <v>122</v>
      </c>
      <c r="E89" s="1292">
        <v>5</v>
      </c>
      <c r="F89" s="1292">
        <v>14</v>
      </c>
      <c r="G89" s="1292"/>
      <c r="H89" s="1292"/>
      <c r="I89" s="1292">
        <v>14</v>
      </c>
      <c r="J89" s="1292"/>
      <c r="K89" s="1292"/>
      <c r="L89" s="1292"/>
      <c r="M89" s="1292">
        <v>4</v>
      </c>
      <c r="N89" s="1292"/>
      <c r="O89" s="1292"/>
      <c r="P89" s="1292"/>
      <c r="Q89" s="1292"/>
      <c r="R89" s="1292"/>
      <c r="S89" s="1292"/>
      <c r="T89" s="1293">
        <v>159</v>
      </c>
      <c r="U89"/>
      <c r="V89"/>
    </row>
    <row r="90" spans="1:22">
      <c r="A90" s="1298" t="s">
        <v>1401</v>
      </c>
      <c r="B90" s="1299"/>
      <c r="C90" s="1299"/>
      <c r="D90" s="1300">
        <v>18792</v>
      </c>
      <c r="E90" s="1301">
        <v>148</v>
      </c>
      <c r="F90" s="1301">
        <v>1250</v>
      </c>
      <c r="G90" s="1301">
        <v>9</v>
      </c>
      <c r="H90" s="1301">
        <v>62</v>
      </c>
      <c r="I90" s="1301">
        <v>526</v>
      </c>
      <c r="J90" s="1301">
        <v>22</v>
      </c>
      <c r="K90" s="1301">
        <v>4</v>
      </c>
      <c r="L90" s="1301">
        <v>427</v>
      </c>
      <c r="M90" s="1301">
        <v>11544</v>
      </c>
      <c r="N90" s="1301">
        <v>539</v>
      </c>
      <c r="O90" s="1301">
        <v>836</v>
      </c>
      <c r="P90" s="1301">
        <v>291</v>
      </c>
      <c r="Q90" s="1301">
        <v>204</v>
      </c>
      <c r="R90" s="1301">
        <v>110</v>
      </c>
      <c r="S90" s="1301">
        <v>276</v>
      </c>
      <c r="T90" s="1302">
        <v>35040</v>
      </c>
      <c r="U90"/>
      <c r="V90"/>
    </row>
    <row r="97" spans="52:52">
      <c r="AZ97" s="1236">
        <f>SUM(AV97:AY97)</f>
        <v>0</v>
      </c>
    </row>
  </sheetData>
  <mergeCells count="2">
    <mergeCell ref="J2:N2"/>
    <mergeCell ref="P2:T2"/>
  </mergeCells>
  <pageMargins left="0.7" right="0.7" top="0.75" bottom="0.75" header="0.3" footer="0.3"/>
  <pageSetup scale="31"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AZ152"/>
  <sheetViews>
    <sheetView workbookViewId="0">
      <selection activeCell="E21" sqref="E21"/>
    </sheetView>
  </sheetViews>
  <sheetFormatPr defaultRowHeight="12.75"/>
  <cols>
    <col min="1" max="1" width="22.5" style="1236" bestFit="1" customWidth="1"/>
    <col min="2" max="2" width="18.1640625" style="1236" bestFit="1" customWidth="1"/>
    <col min="3" max="3" width="16.1640625" style="1236" customWidth="1"/>
    <col min="4" max="38" width="17.5" style="1236" customWidth="1"/>
    <col min="39" max="39" width="10.5" style="1236" customWidth="1"/>
    <col min="40" max="16384" width="9.33203125" style="1236"/>
  </cols>
  <sheetData>
    <row r="1" spans="1:39">
      <c r="A1" s="1303" t="s">
        <v>1389</v>
      </c>
      <c r="B1" s="1304" t="s">
        <v>1435</v>
      </c>
    </row>
    <row r="2" spans="1:39" ht="13.5" thickBot="1">
      <c r="J2" s="2249"/>
      <c r="K2" s="2249"/>
      <c r="L2" s="2249"/>
      <c r="M2" s="2249"/>
      <c r="N2" s="2249"/>
      <c r="O2" s="1241"/>
      <c r="P2" s="2249"/>
      <c r="Q2" s="2250"/>
      <c r="R2" s="2250"/>
      <c r="S2" s="2250"/>
      <c r="T2" s="2250"/>
    </row>
    <row r="3" spans="1:39">
      <c r="A3" s="1285" t="s">
        <v>1392</v>
      </c>
      <c r="B3" s="1286"/>
      <c r="C3" s="1286"/>
      <c r="D3" s="1285" t="s">
        <v>1393</v>
      </c>
      <c r="E3" s="1286"/>
      <c r="F3" s="1286"/>
      <c r="G3" s="1286"/>
      <c r="H3" s="1286"/>
      <c r="I3" s="1286"/>
      <c r="J3" s="1286"/>
      <c r="K3" s="1286"/>
      <c r="L3" s="1286"/>
      <c r="M3" s="1286"/>
      <c r="N3" s="1286"/>
      <c r="O3" s="1286"/>
      <c r="P3" s="1286"/>
      <c r="Q3" s="1286"/>
      <c r="R3" s="1286"/>
      <c r="S3" s="1286"/>
      <c r="T3" s="1286"/>
      <c r="U3" s="1286"/>
      <c r="V3" s="1286"/>
      <c r="W3" s="1286"/>
      <c r="X3" s="1286"/>
      <c r="Y3" s="1286"/>
      <c r="Z3" s="1286"/>
      <c r="AA3" s="1286"/>
      <c r="AB3" s="1286"/>
      <c r="AC3" s="1286"/>
      <c r="AD3" s="1286"/>
      <c r="AE3" s="1286"/>
      <c r="AF3" s="1286"/>
      <c r="AG3" s="1286"/>
      <c r="AH3" s="1286"/>
      <c r="AI3" s="1286"/>
      <c r="AJ3" s="1287"/>
      <c r="AK3"/>
      <c r="AL3"/>
      <c r="AM3"/>
    </row>
    <row r="4" spans="1:39">
      <c r="A4" s="1285" t="s">
        <v>1394</v>
      </c>
      <c r="B4" s="1285" t="s">
        <v>1395</v>
      </c>
      <c r="C4" s="1285" t="s">
        <v>1396</v>
      </c>
      <c r="D4" s="1288" t="s">
        <v>1436</v>
      </c>
      <c r="E4" s="1289" t="s">
        <v>1437</v>
      </c>
      <c r="F4" s="1289" t="s">
        <v>1438</v>
      </c>
      <c r="G4" s="1289" t="s">
        <v>1439</v>
      </c>
      <c r="H4" s="1289" t="s">
        <v>1440</v>
      </c>
      <c r="I4" s="1289" t="s">
        <v>1441</v>
      </c>
      <c r="J4" s="1289" t="s">
        <v>1443</v>
      </c>
      <c r="K4" s="1289" t="s">
        <v>1444</v>
      </c>
      <c r="L4" s="1289" t="s">
        <v>1445</v>
      </c>
      <c r="M4" s="1289" t="s">
        <v>1446</v>
      </c>
      <c r="N4" s="1289" t="s">
        <v>1447</v>
      </c>
      <c r="O4" s="1289" t="s">
        <v>1448</v>
      </c>
      <c r="P4" s="1289" t="s">
        <v>1449</v>
      </c>
      <c r="Q4" s="1289" t="s">
        <v>1450</v>
      </c>
      <c r="R4" s="1289" t="s">
        <v>1452</v>
      </c>
      <c r="S4" s="1289" t="s">
        <v>1453</v>
      </c>
      <c r="T4" s="1289" t="s">
        <v>1454</v>
      </c>
      <c r="U4" s="1289" t="s">
        <v>1455</v>
      </c>
      <c r="V4" s="1289" t="s">
        <v>1456</v>
      </c>
      <c r="W4" s="1289" t="s">
        <v>1457</v>
      </c>
      <c r="X4" s="1289" t="s">
        <v>1458</v>
      </c>
      <c r="Y4" s="1289" t="s">
        <v>1459</v>
      </c>
      <c r="Z4" s="1289" t="s">
        <v>1461</v>
      </c>
      <c r="AA4" s="1289" t="s">
        <v>1462</v>
      </c>
      <c r="AB4" s="1289" t="s">
        <v>1463</v>
      </c>
      <c r="AC4" s="1289" t="s">
        <v>1464</v>
      </c>
      <c r="AD4" s="1289" t="s">
        <v>1465</v>
      </c>
      <c r="AE4" s="1289" t="s">
        <v>1466</v>
      </c>
      <c r="AF4" s="1289" t="s">
        <v>1467</v>
      </c>
      <c r="AG4" s="1289" t="s">
        <v>1468</v>
      </c>
      <c r="AH4" s="1289" t="s">
        <v>1470</v>
      </c>
      <c r="AI4" s="1289">
        <v>70</v>
      </c>
      <c r="AJ4" s="1290" t="s">
        <v>1401</v>
      </c>
      <c r="AK4"/>
      <c r="AL4"/>
      <c r="AM4"/>
    </row>
    <row r="5" spans="1:39">
      <c r="A5" s="1288" t="s">
        <v>426</v>
      </c>
      <c r="B5" s="1288">
        <v>0.08</v>
      </c>
      <c r="C5" s="1288" t="s">
        <v>1402</v>
      </c>
      <c r="D5" s="1291"/>
      <c r="E5" s="1292"/>
      <c r="F5" s="1292"/>
      <c r="G5" s="1292"/>
      <c r="H5" s="1292"/>
      <c r="I5" s="1292"/>
      <c r="J5" s="1292"/>
      <c r="K5" s="1292"/>
      <c r="L5" s="1292"/>
      <c r="M5" s="1292"/>
      <c r="N5" s="1292"/>
      <c r="O5" s="1292"/>
      <c r="P5" s="1292"/>
      <c r="Q5" s="1292"/>
      <c r="R5" s="1292"/>
      <c r="S5" s="1292"/>
      <c r="T5" s="1292"/>
      <c r="U5" s="1292"/>
      <c r="V5" s="1292"/>
      <c r="W5" s="1292"/>
      <c r="X5" s="1292"/>
      <c r="Y5" s="1292">
        <v>1</v>
      </c>
      <c r="Z5" s="1292"/>
      <c r="AA5" s="1292">
        <v>106</v>
      </c>
      <c r="AB5" s="1292"/>
      <c r="AC5" s="1292"/>
      <c r="AD5" s="1292"/>
      <c r="AE5" s="1292"/>
      <c r="AF5" s="1292"/>
      <c r="AG5" s="1292"/>
      <c r="AH5" s="1292"/>
      <c r="AI5" s="1292"/>
      <c r="AJ5" s="1293">
        <v>107</v>
      </c>
      <c r="AK5"/>
      <c r="AL5"/>
      <c r="AM5"/>
    </row>
    <row r="6" spans="1:39">
      <c r="A6" s="1294"/>
      <c r="B6" s="1288" t="s">
        <v>1471</v>
      </c>
      <c r="C6" s="1286"/>
      <c r="D6" s="1291"/>
      <c r="E6" s="1292"/>
      <c r="F6" s="1292"/>
      <c r="G6" s="1292"/>
      <c r="H6" s="1292"/>
      <c r="I6" s="1292"/>
      <c r="J6" s="1292"/>
      <c r="K6" s="1292"/>
      <c r="L6" s="1292"/>
      <c r="M6" s="1292"/>
      <c r="N6" s="1292"/>
      <c r="O6" s="1292"/>
      <c r="P6" s="1292"/>
      <c r="Q6" s="1292"/>
      <c r="R6" s="1292"/>
      <c r="S6" s="1292"/>
      <c r="T6" s="1292"/>
      <c r="U6" s="1292"/>
      <c r="V6" s="1292"/>
      <c r="W6" s="1292"/>
      <c r="X6" s="1292"/>
      <c r="Y6" s="1292">
        <v>1</v>
      </c>
      <c r="Z6" s="1292"/>
      <c r="AA6" s="1292">
        <v>106</v>
      </c>
      <c r="AB6" s="1292"/>
      <c r="AC6" s="1292"/>
      <c r="AD6" s="1292"/>
      <c r="AE6" s="1292"/>
      <c r="AF6" s="1292"/>
      <c r="AG6" s="1292"/>
      <c r="AH6" s="1292"/>
      <c r="AI6" s="1292"/>
      <c r="AJ6" s="1293">
        <v>107</v>
      </c>
      <c r="AK6"/>
      <c r="AL6"/>
      <c r="AM6"/>
    </row>
    <row r="7" spans="1:39">
      <c r="A7" s="1294"/>
      <c r="B7" s="1288">
        <v>0.09</v>
      </c>
      <c r="C7" s="1288" t="s">
        <v>1402</v>
      </c>
      <c r="D7" s="1291"/>
      <c r="E7" s="1292"/>
      <c r="F7" s="1292"/>
      <c r="G7" s="1292"/>
      <c r="H7" s="1292"/>
      <c r="I7" s="1292"/>
      <c r="J7" s="1292"/>
      <c r="K7" s="1292"/>
      <c r="L7" s="1292"/>
      <c r="M7" s="1292"/>
      <c r="N7" s="1292"/>
      <c r="O7" s="1292"/>
      <c r="P7" s="1292"/>
      <c r="Q7" s="1292"/>
      <c r="R7" s="1292"/>
      <c r="S7" s="1292"/>
      <c r="T7" s="1292">
        <v>1</v>
      </c>
      <c r="U7" s="1292"/>
      <c r="V7" s="1292"/>
      <c r="W7" s="1292"/>
      <c r="X7" s="1292"/>
      <c r="Y7" s="1292"/>
      <c r="Z7" s="1292"/>
      <c r="AA7" s="1292">
        <v>1</v>
      </c>
      <c r="AB7" s="1292"/>
      <c r="AC7" s="1292"/>
      <c r="AD7" s="1292"/>
      <c r="AE7" s="1292"/>
      <c r="AF7" s="1292"/>
      <c r="AG7" s="1292"/>
      <c r="AH7" s="1292"/>
      <c r="AI7" s="1292"/>
      <c r="AJ7" s="1293">
        <v>2</v>
      </c>
      <c r="AK7"/>
      <c r="AL7"/>
      <c r="AM7"/>
    </row>
    <row r="8" spans="1:39">
      <c r="A8" s="1294"/>
      <c r="B8" s="1288" t="s">
        <v>1472</v>
      </c>
      <c r="C8" s="1286"/>
      <c r="D8" s="1291"/>
      <c r="E8" s="1292"/>
      <c r="F8" s="1292"/>
      <c r="G8" s="1292"/>
      <c r="H8" s="1292"/>
      <c r="I8" s="1292"/>
      <c r="J8" s="1292"/>
      <c r="K8" s="1292"/>
      <c r="L8" s="1292"/>
      <c r="M8" s="1292"/>
      <c r="N8" s="1292"/>
      <c r="O8" s="1292"/>
      <c r="P8" s="1292"/>
      <c r="Q8" s="1292"/>
      <c r="R8" s="1292"/>
      <c r="S8" s="1292"/>
      <c r="T8" s="1292">
        <v>1</v>
      </c>
      <c r="U8" s="1292"/>
      <c r="V8" s="1292"/>
      <c r="W8" s="1292"/>
      <c r="X8" s="1292"/>
      <c r="Y8" s="1292"/>
      <c r="Z8" s="1292"/>
      <c r="AA8" s="1292">
        <v>1</v>
      </c>
      <c r="AB8" s="1292"/>
      <c r="AC8" s="1292"/>
      <c r="AD8" s="1292"/>
      <c r="AE8" s="1292"/>
      <c r="AF8" s="1292"/>
      <c r="AG8" s="1292"/>
      <c r="AH8" s="1292"/>
      <c r="AI8" s="1292"/>
      <c r="AJ8" s="1293">
        <v>2</v>
      </c>
      <c r="AK8"/>
      <c r="AL8"/>
      <c r="AM8"/>
    </row>
    <row r="9" spans="1:39">
      <c r="A9" s="1288" t="s">
        <v>1473</v>
      </c>
      <c r="B9" s="1286"/>
      <c r="C9" s="1286"/>
      <c r="D9" s="1291"/>
      <c r="E9" s="1292"/>
      <c r="F9" s="1292"/>
      <c r="G9" s="1292"/>
      <c r="H9" s="1292"/>
      <c r="I9" s="1292"/>
      <c r="J9" s="1292"/>
      <c r="K9" s="1292"/>
      <c r="L9" s="1292"/>
      <c r="M9" s="1292"/>
      <c r="N9" s="1292"/>
      <c r="O9" s="1292"/>
      <c r="P9" s="1292"/>
      <c r="Q9" s="1292"/>
      <c r="R9" s="1292"/>
      <c r="S9" s="1292"/>
      <c r="T9" s="1292">
        <v>1</v>
      </c>
      <c r="U9" s="1292"/>
      <c r="V9" s="1292"/>
      <c r="W9" s="1292"/>
      <c r="X9" s="1292"/>
      <c r="Y9" s="1292">
        <v>1</v>
      </c>
      <c r="Z9" s="1292"/>
      <c r="AA9" s="1292">
        <v>107</v>
      </c>
      <c r="AB9" s="1292"/>
      <c r="AC9" s="1292"/>
      <c r="AD9" s="1292"/>
      <c r="AE9" s="1292"/>
      <c r="AF9" s="1292"/>
      <c r="AG9" s="1292"/>
      <c r="AH9" s="1292"/>
      <c r="AI9" s="1292"/>
      <c r="AJ9" s="1293">
        <v>109</v>
      </c>
      <c r="AK9"/>
      <c r="AL9"/>
      <c r="AM9"/>
    </row>
    <row r="10" spans="1:39">
      <c r="A10" s="1288" t="s">
        <v>428</v>
      </c>
      <c r="B10" s="1288">
        <v>0.15</v>
      </c>
      <c r="C10" s="1288" t="s">
        <v>1402</v>
      </c>
      <c r="D10" s="1291"/>
      <c r="E10" s="1292"/>
      <c r="F10" s="1292"/>
      <c r="G10" s="1292"/>
      <c r="H10" s="1292"/>
      <c r="I10" s="1292"/>
      <c r="J10" s="1292"/>
      <c r="K10" s="1292"/>
      <c r="L10" s="1292"/>
      <c r="M10" s="1292"/>
      <c r="N10" s="1292"/>
      <c r="O10" s="1292"/>
      <c r="P10" s="1292"/>
      <c r="Q10" s="1292"/>
      <c r="R10" s="1292"/>
      <c r="S10" s="1292"/>
      <c r="T10" s="1292"/>
      <c r="U10" s="1292"/>
      <c r="V10" s="1292"/>
      <c r="W10" s="1292">
        <v>1</v>
      </c>
      <c r="X10" s="1292"/>
      <c r="Y10" s="1292"/>
      <c r="Z10" s="1292"/>
      <c r="AA10" s="1292"/>
      <c r="AB10" s="1292"/>
      <c r="AC10" s="1292"/>
      <c r="AD10" s="1292"/>
      <c r="AE10" s="1292"/>
      <c r="AF10" s="1292"/>
      <c r="AG10" s="1292"/>
      <c r="AH10" s="1292"/>
      <c r="AI10" s="1292"/>
      <c r="AJ10" s="1293">
        <v>1</v>
      </c>
      <c r="AK10"/>
      <c r="AL10"/>
      <c r="AM10"/>
    </row>
    <row r="11" spans="1:39">
      <c r="A11" s="1294"/>
      <c r="B11" s="1288" t="s">
        <v>1474</v>
      </c>
      <c r="C11" s="1286"/>
      <c r="D11" s="1291"/>
      <c r="E11" s="1292"/>
      <c r="F11" s="1292"/>
      <c r="G11" s="1292"/>
      <c r="H11" s="1292"/>
      <c r="I11" s="1292"/>
      <c r="J11" s="1292"/>
      <c r="K11" s="1292"/>
      <c r="L11" s="1292"/>
      <c r="M11" s="1292"/>
      <c r="N11" s="1292"/>
      <c r="O11" s="1292"/>
      <c r="P11" s="1292"/>
      <c r="Q11" s="1292"/>
      <c r="R11" s="1292"/>
      <c r="S11" s="1292"/>
      <c r="T11" s="1292"/>
      <c r="U11" s="1292"/>
      <c r="V11" s="1292"/>
      <c r="W11" s="1292">
        <v>1</v>
      </c>
      <c r="X11" s="1292"/>
      <c r="Y11" s="1292"/>
      <c r="Z11" s="1292"/>
      <c r="AA11" s="1292"/>
      <c r="AB11" s="1292"/>
      <c r="AC11" s="1292"/>
      <c r="AD11" s="1292"/>
      <c r="AE11" s="1292"/>
      <c r="AF11" s="1292"/>
      <c r="AG11" s="1292"/>
      <c r="AH11" s="1292"/>
      <c r="AI11" s="1292"/>
      <c r="AJ11" s="1293">
        <v>1</v>
      </c>
      <c r="AK11"/>
      <c r="AL11"/>
      <c r="AM11"/>
    </row>
    <row r="12" spans="1:39">
      <c r="A12" s="1294"/>
      <c r="B12" s="1288">
        <v>0.16</v>
      </c>
      <c r="C12" s="1286"/>
      <c r="D12" s="1291">
        <v>212</v>
      </c>
      <c r="E12" s="1292">
        <v>2</v>
      </c>
      <c r="F12" s="1292">
        <v>2</v>
      </c>
      <c r="G12" s="1292">
        <v>9</v>
      </c>
      <c r="H12" s="1292"/>
      <c r="I12" s="1292">
        <v>1</v>
      </c>
      <c r="J12" s="1292">
        <v>3</v>
      </c>
      <c r="K12" s="1292"/>
      <c r="L12" s="1292"/>
      <c r="M12" s="1292"/>
      <c r="N12" s="1292"/>
      <c r="O12" s="1292"/>
      <c r="P12" s="1292"/>
      <c r="Q12" s="1292"/>
      <c r="R12" s="1292"/>
      <c r="S12" s="1292"/>
      <c r="T12" s="1292">
        <v>10856</v>
      </c>
      <c r="U12" s="1292">
        <v>1218</v>
      </c>
      <c r="V12" s="1292">
        <v>1770</v>
      </c>
      <c r="W12" s="1292">
        <v>252</v>
      </c>
      <c r="X12" s="1292">
        <v>31</v>
      </c>
      <c r="Y12" s="1292">
        <v>495</v>
      </c>
      <c r="Z12" s="1292">
        <v>453</v>
      </c>
      <c r="AA12" s="1292"/>
      <c r="AB12" s="1292"/>
      <c r="AC12" s="1292"/>
      <c r="AD12" s="1292"/>
      <c r="AE12" s="1292"/>
      <c r="AF12" s="1292"/>
      <c r="AG12" s="1292"/>
      <c r="AH12" s="1292"/>
      <c r="AI12" s="1292"/>
      <c r="AJ12" s="1293">
        <v>15304</v>
      </c>
      <c r="AK12"/>
      <c r="AL12"/>
      <c r="AM12"/>
    </row>
    <row r="13" spans="1:39">
      <c r="A13" s="1294"/>
      <c r="B13" s="1288">
        <v>0.24</v>
      </c>
      <c r="C13" s="1288" t="s">
        <v>1402</v>
      </c>
      <c r="D13" s="1291"/>
      <c r="E13" s="1292"/>
      <c r="F13" s="1292"/>
      <c r="G13" s="1292"/>
      <c r="H13" s="1292"/>
      <c r="I13" s="1292"/>
      <c r="J13" s="1292">
        <v>1</v>
      </c>
      <c r="K13" s="1292"/>
      <c r="L13" s="1292"/>
      <c r="M13" s="1292"/>
      <c r="N13" s="1292"/>
      <c r="O13" s="1292"/>
      <c r="P13" s="1292"/>
      <c r="Q13" s="1292"/>
      <c r="R13" s="1292"/>
      <c r="S13" s="1292"/>
      <c r="T13" s="1292">
        <v>2</v>
      </c>
      <c r="U13" s="1292"/>
      <c r="V13" s="1292"/>
      <c r="W13" s="1292"/>
      <c r="X13" s="1292"/>
      <c r="Y13" s="1292"/>
      <c r="Z13" s="1292">
        <v>17</v>
      </c>
      <c r="AA13" s="1292"/>
      <c r="AB13" s="1292"/>
      <c r="AC13" s="1292"/>
      <c r="AD13" s="1292"/>
      <c r="AE13" s="1292"/>
      <c r="AF13" s="1292"/>
      <c r="AG13" s="1292"/>
      <c r="AH13" s="1292"/>
      <c r="AI13" s="1292"/>
      <c r="AJ13" s="1293">
        <v>20</v>
      </c>
      <c r="AK13"/>
      <c r="AL13"/>
      <c r="AM13"/>
    </row>
    <row r="14" spans="1:39">
      <c r="A14" s="1294"/>
      <c r="B14" s="1288" t="s">
        <v>1475</v>
      </c>
      <c r="C14" s="1286"/>
      <c r="D14" s="1291"/>
      <c r="E14" s="1292"/>
      <c r="F14" s="1292"/>
      <c r="G14" s="1292"/>
      <c r="H14" s="1292"/>
      <c r="I14" s="1292"/>
      <c r="J14" s="1292">
        <v>1</v>
      </c>
      <c r="K14" s="1292"/>
      <c r="L14" s="1292"/>
      <c r="M14" s="1292"/>
      <c r="N14" s="1292"/>
      <c r="O14" s="1292"/>
      <c r="P14" s="1292"/>
      <c r="Q14" s="1292"/>
      <c r="R14" s="1292"/>
      <c r="S14" s="1292"/>
      <c r="T14" s="1292">
        <v>2</v>
      </c>
      <c r="U14" s="1292"/>
      <c r="V14" s="1292"/>
      <c r="W14" s="1292"/>
      <c r="X14" s="1292"/>
      <c r="Y14" s="1292"/>
      <c r="Z14" s="1292">
        <v>17</v>
      </c>
      <c r="AA14" s="1292"/>
      <c r="AB14" s="1292"/>
      <c r="AC14" s="1292"/>
      <c r="AD14" s="1292"/>
      <c r="AE14" s="1292"/>
      <c r="AF14" s="1292"/>
      <c r="AG14" s="1292"/>
      <c r="AH14" s="1292"/>
      <c r="AI14" s="1292"/>
      <c r="AJ14" s="1293">
        <v>20</v>
      </c>
      <c r="AK14"/>
      <c r="AL14"/>
      <c r="AM14"/>
    </row>
    <row r="15" spans="1:39">
      <c r="A15" s="1294"/>
      <c r="B15" s="1288">
        <v>0.3</v>
      </c>
      <c r="C15" s="1288" t="s">
        <v>1402</v>
      </c>
      <c r="D15" s="1291">
        <v>184</v>
      </c>
      <c r="E15" s="1292">
        <v>5</v>
      </c>
      <c r="F15" s="1292">
        <v>2</v>
      </c>
      <c r="G15" s="1292">
        <v>2</v>
      </c>
      <c r="H15" s="1292"/>
      <c r="I15" s="1292">
        <v>1</v>
      </c>
      <c r="J15" s="1292">
        <v>18</v>
      </c>
      <c r="K15" s="1292"/>
      <c r="L15" s="1292"/>
      <c r="M15" s="1292"/>
      <c r="N15" s="1292"/>
      <c r="O15" s="1292"/>
      <c r="P15" s="1292"/>
      <c r="Q15" s="1292"/>
      <c r="R15" s="1292"/>
      <c r="S15" s="1292"/>
      <c r="T15" s="1292">
        <v>6480</v>
      </c>
      <c r="U15" s="1292">
        <v>834</v>
      </c>
      <c r="V15" s="1292">
        <v>1731</v>
      </c>
      <c r="W15" s="1292">
        <v>2358</v>
      </c>
      <c r="X15" s="1292">
        <v>407</v>
      </c>
      <c r="Y15" s="1292">
        <v>297</v>
      </c>
      <c r="Z15" s="1292">
        <v>488</v>
      </c>
      <c r="AA15" s="1292"/>
      <c r="AB15" s="1292"/>
      <c r="AC15" s="1292"/>
      <c r="AD15" s="1292"/>
      <c r="AE15" s="1292"/>
      <c r="AF15" s="1292"/>
      <c r="AG15" s="1292"/>
      <c r="AH15" s="1292"/>
      <c r="AI15" s="1292"/>
      <c r="AJ15" s="1293">
        <v>12807</v>
      </c>
      <c r="AK15"/>
      <c r="AL15"/>
      <c r="AM15"/>
    </row>
    <row r="16" spans="1:39">
      <c r="A16" s="1294"/>
      <c r="B16" s="1288" t="s">
        <v>1404</v>
      </c>
      <c r="C16" s="1286"/>
      <c r="D16" s="1291">
        <v>184</v>
      </c>
      <c r="E16" s="1292">
        <v>5</v>
      </c>
      <c r="F16" s="1292">
        <v>2</v>
      </c>
      <c r="G16" s="1292">
        <v>2</v>
      </c>
      <c r="H16" s="1292"/>
      <c r="I16" s="1292">
        <v>1</v>
      </c>
      <c r="J16" s="1292">
        <v>18</v>
      </c>
      <c r="K16" s="1292"/>
      <c r="L16" s="1292"/>
      <c r="M16" s="1292"/>
      <c r="N16" s="1292"/>
      <c r="O16" s="1292"/>
      <c r="P16" s="1292"/>
      <c r="Q16" s="1292"/>
      <c r="R16" s="1292"/>
      <c r="S16" s="1292"/>
      <c r="T16" s="1292">
        <v>6480</v>
      </c>
      <c r="U16" s="1292">
        <v>834</v>
      </c>
      <c r="V16" s="1292">
        <v>1731</v>
      </c>
      <c r="W16" s="1292">
        <v>2358</v>
      </c>
      <c r="X16" s="1292">
        <v>407</v>
      </c>
      <c r="Y16" s="1292">
        <v>297</v>
      </c>
      <c r="Z16" s="1292">
        <v>488</v>
      </c>
      <c r="AA16" s="1292"/>
      <c r="AB16" s="1292"/>
      <c r="AC16" s="1292"/>
      <c r="AD16" s="1292"/>
      <c r="AE16" s="1292"/>
      <c r="AF16" s="1292"/>
      <c r="AG16" s="1292"/>
      <c r="AH16" s="1292"/>
      <c r="AI16" s="1292"/>
      <c r="AJ16" s="1293">
        <v>12807</v>
      </c>
      <c r="AK16"/>
      <c r="AL16"/>
      <c r="AM16"/>
    </row>
    <row r="17" spans="1:39">
      <c r="A17" s="1294"/>
      <c r="B17" s="1288">
        <v>0.32</v>
      </c>
      <c r="C17" s="1288" t="s">
        <v>1402</v>
      </c>
      <c r="D17" s="1291">
        <v>2</v>
      </c>
      <c r="E17" s="1292"/>
      <c r="F17" s="1292"/>
      <c r="G17" s="1292"/>
      <c r="H17" s="1292"/>
      <c r="I17" s="1292"/>
      <c r="J17" s="1292"/>
      <c r="K17" s="1292"/>
      <c r="L17" s="1292"/>
      <c r="M17" s="1292"/>
      <c r="N17" s="1292"/>
      <c r="O17" s="1292"/>
      <c r="P17" s="1292"/>
      <c r="Q17" s="1292"/>
      <c r="R17" s="1292"/>
      <c r="S17" s="1292"/>
      <c r="T17" s="1292">
        <v>2</v>
      </c>
      <c r="U17" s="1292"/>
      <c r="V17" s="1292"/>
      <c r="W17" s="1292"/>
      <c r="X17" s="1292"/>
      <c r="Y17" s="1292"/>
      <c r="Z17" s="1292"/>
      <c r="AA17" s="1292"/>
      <c r="AB17" s="1292"/>
      <c r="AC17" s="1292"/>
      <c r="AD17" s="1292"/>
      <c r="AE17" s="1292"/>
      <c r="AF17" s="1292"/>
      <c r="AG17" s="1292"/>
      <c r="AH17" s="1292"/>
      <c r="AI17" s="1292"/>
      <c r="AJ17" s="1293">
        <v>4</v>
      </c>
      <c r="AK17"/>
      <c r="AL17"/>
      <c r="AM17"/>
    </row>
    <row r="18" spans="1:39">
      <c r="A18" s="1294"/>
      <c r="B18" s="1288" t="s">
        <v>1476</v>
      </c>
      <c r="C18" s="1286"/>
      <c r="D18" s="1291">
        <v>2</v>
      </c>
      <c r="E18" s="1292"/>
      <c r="F18" s="1292"/>
      <c r="G18" s="1292"/>
      <c r="H18" s="1292"/>
      <c r="I18" s="1292"/>
      <c r="J18" s="1292"/>
      <c r="K18" s="1292"/>
      <c r="L18" s="1292"/>
      <c r="M18" s="1292"/>
      <c r="N18" s="1292"/>
      <c r="O18" s="1292"/>
      <c r="P18" s="1292"/>
      <c r="Q18" s="1292"/>
      <c r="R18" s="1292"/>
      <c r="S18" s="1292"/>
      <c r="T18" s="1292">
        <v>2</v>
      </c>
      <c r="U18" s="1292"/>
      <c r="V18" s="1292"/>
      <c r="W18" s="1292"/>
      <c r="X18" s="1292"/>
      <c r="Y18" s="1292"/>
      <c r="Z18" s="1292"/>
      <c r="AA18" s="1292"/>
      <c r="AB18" s="1292"/>
      <c r="AC18" s="1292"/>
      <c r="AD18" s="1292"/>
      <c r="AE18" s="1292"/>
      <c r="AF18" s="1292"/>
      <c r="AG18" s="1292"/>
      <c r="AH18" s="1292"/>
      <c r="AI18" s="1292"/>
      <c r="AJ18" s="1293">
        <v>4</v>
      </c>
      <c r="AK18"/>
      <c r="AL18"/>
      <c r="AM18"/>
    </row>
    <row r="19" spans="1:39">
      <c r="A19" s="1294"/>
      <c r="B19" s="1288">
        <v>0.45</v>
      </c>
      <c r="C19" s="1288" t="s">
        <v>1402</v>
      </c>
      <c r="D19" s="1291">
        <v>512</v>
      </c>
      <c r="E19" s="1292">
        <v>37</v>
      </c>
      <c r="F19" s="1292">
        <v>103</v>
      </c>
      <c r="G19" s="1292">
        <v>6</v>
      </c>
      <c r="H19" s="1292">
        <v>5</v>
      </c>
      <c r="I19" s="1292"/>
      <c r="J19" s="1292">
        <v>42</v>
      </c>
      <c r="K19" s="1292"/>
      <c r="L19" s="1292"/>
      <c r="M19" s="1292"/>
      <c r="N19" s="1292"/>
      <c r="O19" s="1292"/>
      <c r="P19" s="1292"/>
      <c r="Q19" s="1292"/>
      <c r="R19" s="1292"/>
      <c r="S19" s="1292"/>
      <c r="T19" s="1292">
        <v>2491</v>
      </c>
      <c r="U19" s="1292">
        <v>241</v>
      </c>
      <c r="V19" s="1292">
        <v>952</v>
      </c>
      <c r="W19" s="1292">
        <v>521</v>
      </c>
      <c r="X19" s="1292">
        <v>266</v>
      </c>
      <c r="Y19" s="1292">
        <v>50</v>
      </c>
      <c r="Z19" s="1292">
        <v>88</v>
      </c>
      <c r="AA19" s="1292"/>
      <c r="AB19" s="1292"/>
      <c r="AC19" s="1292"/>
      <c r="AD19" s="1292"/>
      <c r="AE19" s="1292"/>
      <c r="AF19" s="1292"/>
      <c r="AG19" s="1292"/>
      <c r="AH19" s="1292"/>
      <c r="AI19" s="1292"/>
      <c r="AJ19" s="1293">
        <v>5314</v>
      </c>
      <c r="AK19"/>
      <c r="AL19"/>
      <c r="AM19"/>
    </row>
    <row r="20" spans="1:39">
      <c r="A20" s="1294"/>
      <c r="B20" s="1288" t="s">
        <v>1405</v>
      </c>
      <c r="C20" s="1286"/>
      <c r="D20" s="1291">
        <v>512</v>
      </c>
      <c r="E20" s="1292">
        <v>37</v>
      </c>
      <c r="F20" s="1292">
        <v>103</v>
      </c>
      <c r="G20" s="1292">
        <v>6</v>
      </c>
      <c r="H20" s="1292">
        <v>5</v>
      </c>
      <c r="I20" s="1292"/>
      <c r="J20" s="1292">
        <v>42</v>
      </c>
      <c r="K20" s="1292"/>
      <c r="L20" s="1292"/>
      <c r="M20" s="1292"/>
      <c r="N20" s="1292"/>
      <c r="O20" s="1292"/>
      <c r="P20" s="1292"/>
      <c r="Q20" s="1292"/>
      <c r="R20" s="1292"/>
      <c r="S20" s="1292"/>
      <c r="T20" s="1292">
        <v>2491</v>
      </c>
      <c r="U20" s="1292">
        <v>241</v>
      </c>
      <c r="V20" s="1292">
        <v>952</v>
      </c>
      <c r="W20" s="1292">
        <v>521</v>
      </c>
      <c r="X20" s="1292">
        <v>266</v>
      </c>
      <c r="Y20" s="1292">
        <v>50</v>
      </c>
      <c r="Z20" s="1292">
        <v>88</v>
      </c>
      <c r="AA20" s="1292"/>
      <c r="AB20" s="1292"/>
      <c r="AC20" s="1292"/>
      <c r="AD20" s="1292"/>
      <c r="AE20" s="1292"/>
      <c r="AF20" s="1292"/>
      <c r="AG20" s="1292"/>
      <c r="AH20" s="1292"/>
      <c r="AI20" s="1292"/>
      <c r="AJ20" s="1293">
        <v>5314</v>
      </c>
      <c r="AK20"/>
      <c r="AL20"/>
      <c r="AM20"/>
    </row>
    <row r="21" spans="1:39">
      <c r="A21" s="1288" t="s">
        <v>1406</v>
      </c>
      <c r="B21" s="1286"/>
      <c r="C21" s="1286"/>
      <c r="D21" s="1291">
        <v>910</v>
      </c>
      <c r="E21" s="1292">
        <v>44</v>
      </c>
      <c r="F21" s="1292">
        <v>107</v>
      </c>
      <c r="G21" s="1292">
        <v>17</v>
      </c>
      <c r="H21" s="1292">
        <v>5</v>
      </c>
      <c r="I21" s="1292">
        <v>2</v>
      </c>
      <c r="J21" s="1292">
        <v>64</v>
      </c>
      <c r="K21" s="1292"/>
      <c r="L21" s="1292"/>
      <c r="M21" s="1292"/>
      <c r="N21" s="1292"/>
      <c r="O21" s="1292"/>
      <c r="P21" s="1292"/>
      <c r="Q21" s="1292"/>
      <c r="R21" s="1292"/>
      <c r="S21" s="1292"/>
      <c r="T21" s="1292">
        <v>19831</v>
      </c>
      <c r="U21" s="1292">
        <v>2293</v>
      </c>
      <c r="V21" s="1292">
        <v>4453</v>
      </c>
      <c r="W21" s="1292">
        <v>3132</v>
      </c>
      <c r="X21" s="1292">
        <v>704</v>
      </c>
      <c r="Y21" s="1292">
        <v>842</v>
      </c>
      <c r="Z21" s="1292">
        <v>1046</v>
      </c>
      <c r="AA21" s="1292"/>
      <c r="AB21" s="1292"/>
      <c r="AC21" s="1292"/>
      <c r="AD21" s="1292"/>
      <c r="AE21" s="1292"/>
      <c r="AF21" s="1292"/>
      <c r="AG21" s="1292"/>
      <c r="AH21" s="1292"/>
      <c r="AI21" s="1292"/>
      <c r="AJ21" s="1293">
        <v>33450</v>
      </c>
      <c r="AK21"/>
      <c r="AL21"/>
      <c r="AM21"/>
    </row>
    <row r="22" spans="1:39">
      <c r="A22" s="1288" t="s">
        <v>429</v>
      </c>
      <c r="B22" s="1288">
        <v>0.05</v>
      </c>
      <c r="C22" s="1288" t="s">
        <v>1402</v>
      </c>
      <c r="D22" s="1291"/>
      <c r="E22" s="1292"/>
      <c r="F22" s="1292"/>
      <c r="G22" s="1292"/>
      <c r="H22" s="1292"/>
      <c r="I22" s="1292"/>
      <c r="J22" s="1292"/>
      <c r="K22" s="1292"/>
      <c r="L22" s="1292"/>
      <c r="M22" s="1292"/>
      <c r="N22" s="1292"/>
      <c r="O22" s="1292"/>
      <c r="P22" s="1292"/>
      <c r="Q22" s="1292"/>
      <c r="R22" s="1292"/>
      <c r="S22" s="1292"/>
      <c r="T22" s="1292">
        <v>2</v>
      </c>
      <c r="U22" s="1292"/>
      <c r="V22" s="1292"/>
      <c r="W22" s="1292"/>
      <c r="X22" s="1292"/>
      <c r="Y22" s="1292"/>
      <c r="Z22" s="1292"/>
      <c r="AA22" s="1292"/>
      <c r="AB22" s="1292"/>
      <c r="AC22" s="1292"/>
      <c r="AD22" s="1292"/>
      <c r="AE22" s="1292"/>
      <c r="AF22" s="1292"/>
      <c r="AG22" s="1292"/>
      <c r="AH22" s="1292"/>
      <c r="AI22" s="1292"/>
      <c r="AJ22" s="1293">
        <v>2</v>
      </c>
      <c r="AK22"/>
      <c r="AL22"/>
      <c r="AM22"/>
    </row>
    <row r="23" spans="1:39">
      <c r="A23" s="1294"/>
      <c r="B23" s="1288" t="s">
        <v>1477</v>
      </c>
      <c r="C23" s="1286"/>
      <c r="D23" s="1291"/>
      <c r="E23" s="1292"/>
      <c r="F23" s="1292"/>
      <c r="G23" s="1292"/>
      <c r="H23" s="1292"/>
      <c r="I23" s="1292"/>
      <c r="J23" s="1292"/>
      <c r="K23" s="1292"/>
      <c r="L23" s="1292"/>
      <c r="M23" s="1292"/>
      <c r="N23" s="1292"/>
      <c r="O23" s="1292"/>
      <c r="P23" s="1292"/>
      <c r="Q23" s="1292"/>
      <c r="R23" s="1292"/>
      <c r="S23" s="1292"/>
      <c r="T23" s="1292">
        <v>2</v>
      </c>
      <c r="U23" s="1292"/>
      <c r="V23" s="1292"/>
      <c r="W23" s="1292"/>
      <c r="X23" s="1292"/>
      <c r="Y23" s="1292"/>
      <c r="Z23" s="1292"/>
      <c r="AA23" s="1292"/>
      <c r="AB23" s="1292"/>
      <c r="AC23" s="1292"/>
      <c r="AD23" s="1292"/>
      <c r="AE23" s="1292"/>
      <c r="AF23" s="1292"/>
      <c r="AG23" s="1292"/>
      <c r="AH23" s="1292"/>
      <c r="AI23" s="1292"/>
      <c r="AJ23" s="1293">
        <v>2</v>
      </c>
      <c r="AK23"/>
      <c r="AL23"/>
      <c r="AM23"/>
    </row>
    <row r="24" spans="1:39">
      <c r="A24" s="1294"/>
      <c r="B24" s="1288">
        <v>0.1</v>
      </c>
      <c r="C24" s="1288" t="s">
        <v>1402</v>
      </c>
      <c r="D24" s="1291"/>
      <c r="E24" s="1292"/>
      <c r="F24" s="1292"/>
      <c r="G24" s="1292"/>
      <c r="H24" s="1292"/>
      <c r="I24" s="1292"/>
      <c r="J24" s="1292">
        <v>2</v>
      </c>
      <c r="K24" s="1292"/>
      <c r="L24" s="1292"/>
      <c r="M24" s="1292"/>
      <c r="N24" s="1292"/>
      <c r="O24" s="1292"/>
      <c r="P24" s="1292"/>
      <c r="Q24" s="1292"/>
      <c r="R24" s="1292"/>
      <c r="S24" s="1292"/>
      <c r="T24" s="1292">
        <v>6481</v>
      </c>
      <c r="U24" s="1292">
        <v>805</v>
      </c>
      <c r="V24" s="1292">
        <v>1262</v>
      </c>
      <c r="W24" s="1292">
        <v>716</v>
      </c>
      <c r="X24" s="1292">
        <v>53</v>
      </c>
      <c r="Y24" s="1292">
        <v>78</v>
      </c>
      <c r="Z24" s="1292">
        <v>180</v>
      </c>
      <c r="AA24" s="1292"/>
      <c r="AB24" s="1292"/>
      <c r="AC24" s="1292"/>
      <c r="AD24" s="1292"/>
      <c r="AE24" s="1292"/>
      <c r="AF24" s="1292"/>
      <c r="AG24" s="1292"/>
      <c r="AH24" s="1292"/>
      <c r="AI24" s="1292"/>
      <c r="AJ24" s="1293">
        <v>9577</v>
      </c>
      <c r="AK24"/>
      <c r="AL24"/>
      <c r="AM24"/>
    </row>
    <row r="25" spans="1:39">
      <c r="A25" s="1294"/>
      <c r="B25" s="1288" t="s">
        <v>1407</v>
      </c>
      <c r="C25" s="1286"/>
      <c r="D25" s="1291"/>
      <c r="E25" s="1292"/>
      <c r="F25" s="1292"/>
      <c r="G25" s="1292"/>
      <c r="H25" s="1292"/>
      <c r="I25" s="1292"/>
      <c r="J25" s="1292">
        <v>2</v>
      </c>
      <c r="K25" s="1292"/>
      <c r="L25" s="1292"/>
      <c r="M25" s="1292"/>
      <c r="N25" s="1292"/>
      <c r="O25" s="1292"/>
      <c r="P25" s="1292"/>
      <c r="Q25" s="1292"/>
      <c r="R25" s="1292"/>
      <c r="S25" s="1292"/>
      <c r="T25" s="1292">
        <v>6481</v>
      </c>
      <c r="U25" s="1292">
        <v>805</v>
      </c>
      <c r="V25" s="1292">
        <v>1262</v>
      </c>
      <c r="W25" s="1292">
        <v>716</v>
      </c>
      <c r="X25" s="1292">
        <v>53</v>
      </c>
      <c r="Y25" s="1292">
        <v>78</v>
      </c>
      <c r="Z25" s="1292">
        <v>180</v>
      </c>
      <c r="AA25" s="1292"/>
      <c r="AB25" s="1292"/>
      <c r="AC25" s="1292"/>
      <c r="AD25" s="1292"/>
      <c r="AE25" s="1292"/>
      <c r="AF25" s="1292"/>
      <c r="AG25" s="1292"/>
      <c r="AH25" s="1292"/>
      <c r="AI25" s="1292"/>
      <c r="AJ25" s="1293">
        <v>9577</v>
      </c>
      <c r="AK25"/>
      <c r="AL25"/>
      <c r="AM25"/>
    </row>
    <row r="26" spans="1:39">
      <c r="A26" s="1294"/>
      <c r="B26" s="1288">
        <v>0.16</v>
      </c>
      <c r="C26" s="1286"/>
      <c r="D26" s="1291">
        <v>442</v>
      </c>
      <c r="E26" s="1292">
        <v>2</v>
      </c>
      <c r="F26" s="1292">
        <v>3</v>
      </c>
      <c r="G26" s="1292">
        <v>1</v>
      </c>
      <c r="H26" s="1292">
        <v>2</v>
      </c>
      <c r="I26" s="1292"/>
      <c r="J26" s="1292">
        <v>13</v>
      </c>
      <c r="K26" s="1292"/>
      <c r="L26" s="1292"/>
      <c r="M26" s="1292"/>
      <c r="N26" s="1292"/>
      <c r="O26" s="1292"/>
      <c r="P26" s="1292"/>
      <c r="Q26" s="1292"/>
      <c r="R26" s="1292"/>
      <c r="S26" s="1292"/>
      <c r="T26" s="1292">
        <v>3377</v>
      </c>
      <c r="U26" s="1292">
        <v>937</v>
      </c>
      <c r="V26" s="1292">
        <v>932</v>
      </c>
      <c r="W26" s="1292">
        <v>5205</v>
      </c>
      <c r="X26" s="1292">
        <v>269</v>
      </c>
      <c r="Y26" s="1292">
        <v>17</v>
      </c>
      <c r="Z26" s="1292">
        <v>396</v>
      </c>
      <c r="AA26" s="1292"/>
      <c r="AB26" s="1292"/>
      <c r="AC26" s="1292"/>
      <c r="AD26" s="1292"/>
      <c r="AE26" s="1292"/>
      <c r="AF26" s="1292"/>
      <c r="AG26" s="1292"/>
      <c r="AH26" s="1292"/>
      <c r="AI26" s="1292"/>
      <c r="AJ26" s="1293">
        <v>11596</v>
      </c>
      <c r="AK26"/>
      <c r="AL26"/>
      <c r="AM26"/>
    </row>
    <row r="27" spans="1:39">
      <c r="A27" s="1294"/>
      <c r="B27" s="1288">
        <v>0.23</v>
      </c>
      <c r="C27" s="1288" t="s">
        <v>1402</v>
      </c>
      <c r="D27" s="1291"/>
      <c r="E27" s="1292"/>
      <c r="F27" s="1292"/>
      <c r="G27" s="1292"/>
      <c r="H27" s="1292"/>
      <c r="I27" s="1292"/>
      <c r="J27" s="1292"/>
      <c r="K27" s="1292"/>
      <c r="L27" s="1292"/>
      <c r="M27" s="1292"/>
      <c r="N27" s="1292"/>
      <c r="O27" s="1292"/>
      <c r="P27" s="1292"/>
      <c r="Q27" s="1292"/>
      <c r="R27" s="1292"/>
      <c r="S27" s="1292"/>
      <c r="T27" s="1292"/>
      <c r="U27" s="1292"/>
      <c r="V27" s="1292"/>
      <c r="W27" s="1292"/>
      <c r="X27" s="1292"/>
      <c r="Y27" s="1292"/>
      <c r="Z27" s="1292">
        <v>1</v>
      </c>
      <c r="AA27" s="1292"/>
      <c r="AB27" s="1292"/>
      <c r="AC27" s="1292"/>
      <c r="AD27" s="1292"/>
      <c r="AE27" s="1292"/>
      <c r="AF27" s="1292"/>
      <c r="AG27" s="1292"/>
      <c r="AH27" s="1292"/>
      <c r="AI27" s="1292"/>
      <c r="AJ27" s="1293">
        <v>1</v>
      </c>
      <c r="AK27"/>
      <c r="AL27"/>
      <c r="AM27"/>
    </row>
    <row r="28" spans="1:39">
      <c r="A28" s="1294"/>
      <c r="B28" s="1288" t="s">
        <v>1478</v>
      </c>
      <c r="C28" s="1286"/>
      <c r="D28" s="1291"/>
      <c r="E28" s="1292"/>
      <c r="F28" s="1292"/>
      <c r="G28" s="1292"/>
      <c r="H28" s="1292"/>
      <c r="I28" s="1292"/>
      <c r="J28" s="1292"/>
      <c r="K28" s="1292"/>
      <c r="L28" s="1292"/>
      <c r="M28" s="1292"/>
      <c r="N28" s="1292"/>
      <c r="O28" s="1292"/>
      <c r="P28" s="1292"/>
      <c r="Q28" s="1292"/>
      <c r="R28" s="1292"/>
      <c r="S28" s="1292"/>
      <c r="T28" s="1292"/>
      <c r="U28" s="1292"/>
      <c r="V28" s="1292"/>
      <c r="W28" s="1292"/>
      <c r="X28" s="1292"/>
      <c r="Y28" s="1292"/>
      <c r="Z28" s="1292">
        <v>1</v>
      </c>
      <c r="AA28" s="1292"/>
      <c r="AB28" s="1292"/>
      <c r="AC28" s="1292"/>
      <c r="AD28" s="1292"/>
      <c r="AE28" s="1292"/>
      <c r="AF28" s="1292"/>
      <c r="AG28" s="1292"/>
      <c r="AH28" s="1292"/>
      <c r="AI28" s="1292"/>
      <c r="AJ28" s="1293">
        <v>1</v>
      </c>
      <c r="AK28"/>
      <c r="AL28"/>
      <c r="AM28"/>
    </row>
    <row r="29" spans="1:39">
      <c r="A29" s="1288" t="s">
        <v>1408</v>
      </c>
      <c r="B29" s="1286"/>
      <c r="C29" s="1286"/>
      <c r="D29" s="1291">
        <v>442</v>
      </c>
      <c r="E29" s="1292">
        <v>2</v>
      </c>
      <c r="F29" s="1292">
        <v>3</v>
      </c>
      <c r="G29" s="1292">
        <v>1</v>
      </c>
      <c r="H29" s="1292">
        <v>2</v>
      </c>
      <c r="I29" s="1292"/>
      <c r="J29" s="1292">
        <v>15</v>
      </c>
      <c r="K29" s="1292"/>
      <c r="L29" s="1292"/>
      <c r="M29" s="1292"/>
      <c r="N29" s="1292"/>
      <c r="O29" s="1292"/>
      <c r="P29" s="1292"/>
      <c r="Q29" s="1292"/>
      <c r="R29" s="1292"/>
      <c r="S29" s="1292"/>
      <c r="T29" s="1292">
        <v>9860</v>
      </c>
      <c r="U29" s="1292">
        <v>1742</v>
      </c>
      <c r="V29" s="1292">
        <v>2194</v>
      </c>
      <c r="W29" s="1292">
        <v>5921</v>
      </c>
      <c r="X29" s="1292">
        <v>322</v>
      </c>
      <c r="Y29" s="1292">
        <v>95</v>
      </c>
      <c r="Z29" s="1292">
        <v>577</v>
      </c>
      <c r="AA29" s="1292"/>
      <c r="AB29" s="1292"/>
      <c r="AC29" s="1292"/>
      <c r="AD29" s="1292"/>
      <c r="AE29" s="1292"/>
      <c r="AF29" s="1292"/>
      <c r="AG29" s="1292"/>
      <c r="AH29" s="1292"/>
      <c r="AI29" s="1292"/>
      <c r="AJ29" s="1293">
        <v>21176</v>
      </c>
      <c r="AK29"/>
      <c r="AL29"/>
      <c r="AM29"/>
    </row>
    <row r="30" spans="1:39">
      <c r="A30" s="1288" t="s">
        <v>432</v>
      </c>
      <c r="B30" s="1288">
        <v>1</v>
      </c>
      <c r="C30" s="1288" t="s">
        <v>1402</v>
      </c>
      <c r="D30" s="1291">
        <v>65</v>
      </c>
      <c r="E30" s="1292">
        <v>2</v>
      </c>
      <c r="F30" s="1292">
        <v>10</v>
      </c>
      <c r="G30" s="1292">
        <v>11</v>
      </c>
      <c r="H30" s="1292"/>
      <c r="I30" s="1292"/>
      <c r="J30" s="1292">
        <v>52</v>
      </c>
      <c r="K30" s="1292"/>
      <c r="L30" s="1292"/>
      <c r="M30" s="1292"/>
      <c r="N30" s="1292"/>
      <c r="O30" s="1292"/>
      <c r="P30" s="1292"/>
      <c r="Q30" s="1292"/>
      <c r="R30" s="1292"/>
      <c r="S30" s="1292"/>
      <c r="T30" s="1292"/>
      <c r="U30" s="1292"/>
      <c r="V30" s="1292"/>
      <c r="W30" s="1292"/>
      <c r="X30" s="1292"/>
      <c r="Y30" s="1292"/>
      <c r="Z30" s="1292"/>
      <c r="AA30" s="1292"/>
      <c r="AB30" s="1292"/>
      <c r="AC30" s="1292"/>
      <c r="AD30" s="1292"/>
      <c r="AE30" s="1292"/>
      <c r="AF30" s="1292"/>
      <c r="AG30" s="1292"/>
      <c r="AH30" s="1292"/>
      <c r="AI30" s="1292"/>
      <c r="AJ30" s="1293">
        <v>140</v>
      </c>
      <c r="AK30"/>
      <c r="AL30"/>
      <c r="AM30"/>
    </row>
    <row r="31" spans="1:39">
      <c r="A31" s="1294"/>
      <c r="B31" s="1288" t="s">
        <v>1409</v>
      </c>
      <c r="C31" s="1286"/>
      <c r="D31" s="1291">
        <v>65</v>
      </c>
      <c r="E31" s="1292">
        <v>2</v>
      </c>
      <c r="F31" s="1292">
        <v>10</v>
      </c>
      <c r="G31" s="1292">
        <v>11</v>
      </c>
      <c r="H31" s="1292"/>
      <c r="I31" s="1292"/>
      <c r="J31" s="1292">
        <v>52</v>
      </c>
      <c r="K31" s="1292"/>
      <c r="L31" s="1292"/>
      <c r="M31" s="1292"/>
      <c r="N31" s="1292"/>
      <c r="O31" s="1292"/>
      <c r="P31" s="1292"/>
      <c r="Q31" s="1292"/>
      <c r="R31" s="1292"/>
      <c r="S31" s="1292"/>
      <c r="T31" s="1292"/>
      <c r="U31" s="1292"/>
      <c r="V31" s="1292"/>
      <c r="W31" s="1292"/>
      <c r="X31" s="1292"/>
      <c r="Y31" s="1292"/>
      <c r="Z31" s="1292"/>
      <c r="AA31" s="1292"/>
      <c r="AB31" s="1292"/>
      <c r="AC31" s="1292"/>
      <c r="AD31" s="1292"/>
      <c r="AE31" s="1292"/>
      <c r="AF31" s="1292"/>
      <c r="AG31" s="1292"/>
      <c r="AH31" s="1292"/>
      <c r="AI31" s="1292"/>
      <c r="AJ31" s="1293">
        <v>140</v>
      </c>
      <c r="AK31"/>
      <c r="AL31"/>
      <c r="AM31"/>
    </row>
    <row r="32" spans="1:39">
      <c r="A32" s="1294"/>
      <c r="B32" s="1288">
        <v>1.25</v>
      </c>
      <c r="C32" s="1288" t="s">
        <v>1402</v>
      </c>
      <c r="D32" s="1291">
        <v>90</v>
      </c>
      <c r="E32" s="1292">
        <v>11</v>
      </c>
      <c r="F32" s="1292">
        <v>13</v>
      </c>
      <c r="G32" s="1292"/>
      <c r="H32" s="1292"/>
      <c r="I32" s="1292"/>
      <c r="J32" s="1292"/>
      <c r="K32" s="1292"/>
      <c r="L32" s="1292"/>
      <c r="M32" s="1292"/>
      <c r="N32" s="1292"/>
      <c r="O32" s="1292"/>
      <c r="P32" s="1292"/>
      <c r="Q32" s="1292"/>
      <c r="R32" s="1292"/>
      <c r="S32" s="1292"/>
      <c r="T32" s="1292"/>
      <c r="U32" s="1292"/>
      <c r="V32" s="1292"/>
      <c r="W32" s="1292"/>
      <c r="X32" s="1292"/>
      <c r="Y32" s="1292"/>
      <c r="Z32" s="1292"/>
      <c r="AA32" s="1292"/>
      <c r="AB32" s="1292"/>
      <c r="AC32" s="1292"/>
      <c r="AD32" s="1292"/>
      <c r="AE32" s="1292"/>
      <c r="AF32" s="1292"/>
      <c r="AG32" s="1292"/>
      <c r="AH32" s="1292"/>
      <c r="AI32" s="1292"/>
      <c r="AJ32" s="1293">
        <v>114</v>
      </c>
      <c r="AK32"/>
      <c r="AL32"/>
      <c r="AM32"/>
    </row>
    <row r="33" spans="1:39">
      <c r="A33" s="1294"/>
      <c r="B33" s="1288" t="s">
        <v>1410</v>
      </c>
      <c r="C33" s="1286"/>
      <c r="D33" s="1291">
        <v>90</v>
      </c>
      <c r="E33" s="1292">
        <v>11</v>
      </c>
      <c r="F33" s="1292">
        <v>13</v>
      </c>
      <c r="G33" s="1292"/>
      <c r="H33" s="1292"/>
      <c r="I33" s="1292"/>
      <c r="J33" s="1292"/>
      <c r="K33" s="1292"/>
      <c r="L33" s="1292"/>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3">
        <v>114</v>
      </c>
      <c r="AK33"/>
      <c r="AL33"/>
      <c r="AM33"/>
    </row>
    <row r="34" spans="1:39">
      <c r="A34" s="1294"/>
      <c r="B34" s="1288">
        <v>1.5</v>
      </c>
      <c r="C34" s="1288" t="s">
        <v>1402</v>
      </c>
      <c r="D34" s="1291"/>
      <c r="E34" s="1292"/>
      <c r="F34" s="1292"/>
      <c r="G34" s="1292"/>
      <c r="H34" s="1292"/>
      <c r="I34" s="1292"/>
      <c r="J34" s="1292">
        <v>3</v>
      </c>
      <c r="K34" s="1292"/>
      <c r="L34" s="1292"/>
      <c r="M34" s="1292"/>
      <c r="N34" s="1292"/>
      <c r="O34" s="1292"/>
      <c r="P34" s="1292"/>
      <c r="Q34" s="1292"/>
      <c r="R34" s="1292"/>
      <c r="S34" s="1292"/>
      <c r="T34" s="1292"/>
      <c r="U34" s="1292"/>
      <c r="V34" s="1292"/>
      <c r="W34" s="1292"/>
      <c r="X34" s="1292"/>
      <c r="Y34" s="1292"/>
      <c r="Z34" s="1292"/>
      <c r="AA34" s="1292"/>
      <c r="AB34" s="1292"/>
      <c r="AC34" s="1292"/>
      <c r="AD34" s="1292"/>
      <c r="AE34" s="1292"/>
      <c r="AF34" s="1292"/>
      <c r="AG34" s="1292"/>
      <c r="AH34" s="1292"/>
      <c r="AI34" s="1292"/>
      <c r="AJ34" s="1293">
        <v>3</v>
      </c>
      <c r="AK34"/>
      <c r="AL34"/>
      <c r="AM34"/>
    </row>
    <row r="35" spans="1:39">
      <c r="A35" s="1294"/>
      <c r="B35" s="1288" t="s">
        <v>1418</v>
      </c>
      <c r="C35" s="1286"/>
      <c r="D35" s="1291"/>
      <c r="E35" s="1292"/>
      <c r="F35" s="1292"/>
      <c r="G35" s="1292"/>
      <c r="H35" s="1292"/>
      <c r="I35" s="1292"/>
      <c r="J35" s="1292">
        <v>3</v>
      </c>
      <c r="K35" s="1292"/>
      <c r="L35" s="1292"/>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3">
        <v>3</v>
      </c>
      <c r="AK35"/>
      <c r="AL35"/>
      <c r="AM35"/>
    </row>
    <row r="36" spans="1:39">
      <c r="A36" s="1294"/>
      <c r="B36" s="1288">
        <v>2</v>
      </c>
      <c r="C36" s="1288" t="s">
        <v>1412</v>
      </c>
      <c r="D36" s="1291">
        <v>39</v>
      </c>
      <c r="E36" s="1292"/>
      <c r="F36" s="1292">
        <v>5</v>
      </c>
      <c r="G36" s="1292"/>
      <c r="H36" s="1292"/>
      <c r="I36" s="1292"/>
      <c r="J36" s="1292"/>
      <c r="K36" s="1292"/>
      <c r="L36" s="1292"/>
      <c r="M36" s="1292"/>
      <c r="N36" s="1292"/>
      <c r="O36" s="1292"/>
      <c r="P36" s="1292"/>
      <c r="Q36" s="1292"/>
      <c r="R36" s="1292"/>
      <c r="S36" s="1292"/>
      <c r="T36" s="1292"/>
      <c r="U36" s="1292"/>
      <c r="V36" s="1292"/>
      <c r="W36" s="1292"/>
      <c r="X36" s="1292"/>
      <c r="Y36" s="1292"/>
      <c r="Z36" s="1292"/>
      <c r="AA36" s="1292"/>
      <c r="AB36" s="1292"/>
      <c r="AC36" s="1292"/>
      <c r="AD36" s="1292"/>
      <c r="AE36" s="1292"/>
      <c r="AF36" s="1292"/>
      <c r="AG36" s="1292"/>
      <c r="AH36" s="1292"/>
      <c r="AI36" s="1292"/>
      <c r="AJ36" s="1293">
        <v>44</v>
      </c>
      <c r="AK36"/>
      <c r="AL36"/>
      <c r="AM36"/>
    </row>
    <row r="37" spans="1:39">
      <c r="A37" s="1294"/>
      <c r="B37" s="1294"/>
      <c r="C37" s="1295" t="s">
        <v>1402</v>
      </c>
      <c r="D37" s="1296">
        <v>293</v>
      </c>
      <c r="E37" s="1054">
        <v>4</v>
      </c>
      <c r="F37" s="1054">
        <v>31</v>
      </c>
      <c r="G37" s="1054">
        <v>13</v>
      </c>
      <c r="H37" s="1054"/>
      <c r="I37" s="1054"/>
      <c r="J37" s="1054">
        <v>30</v>
      </c>
      <c r="K37" s="1054"/>
      <c r="L37" s="1054"/>
      <c r="M37" s="1054"/>
      <c r="N37" s="1054"/>
      <c r="O37" s="1054"/>
      <c r="P37" s="1054"/>
      <c r="Q37" s="1054"/>
      <c r="R37" s="1054"/>
      <c r="S37" s="1054"/>
      <c r="T37" s="1054"/>
      <c r="U37" s="1054"/>
      <c r="V37" s="1054"/>
      <c r="W37" s="1054"/>
      <c r="X37" s="1054"/>
      <c r="Y37" s="1054"/>
      <c r="Z37" s="1054"/>
      <c r="AA37" s="1054"/>
      <c r="AB37" s="1054"/>
      <c r="AC37" s="1054"/>
      <c r="AD37" s="1054"/>
      <c r="AE37" s="1054"/>
      <c r="AF37" s="1054"/>
      <c r="AG37" s="1054"/>
      <c r="AH37" s="1054"/>
      <c r="AI37" s="1054"/>
      <c r="AJ37" s="1297">
        <v>371</v>
      </c>
      <c r="AK37"/>
      <c r="AL37"/>
      <c r="AM37"/>
    </row>
    <row r="38" spans="1:39">
      <c r="A38" s="1294"/>
      <c r="B38" s="1288" t="s">
        <v>1411</v>
      </c>
      <c r="C38" s="1286"/>
      <c r="D38" s="1291">
        <v>332</v>
      </c>
      <c r="E38" s="1292">
        <v>4</v>
      </c>
      <c r="F38" s="1292">
        <v>36</v>
      </c>
      <c r="G38" s="1292">
        <v>13</v>
      </c>
      <c r="H38" s="1292"/>
      <c r="I38" s="1292"/>
      <c r="J38" s="1292">
        <v>30</v>
      </c>
      <c r="K38" s="1292"/>
      <c r="L38" s="1292"/>
      <c r="M38" s="1292"/>
      <c r="N38" s="1292"/>
      <c r="O38" s="1292"/>
      <c r="P38" s="1292"/>
      <c r="Q38" s="1292"/>
      <c r="R38" s="1292"/>
      <c r="S38" s="1292"/>
      <c r="T38" s="1292"/>
      <c r="U38" s="1292"/>
      <c r="V38" s="1292"/>
      <c r="W38" s="1292"/>
      <c r="X38" s="1292"/>
      <c r="Y38" s="1292"/>
      <c r="Z38" s="1292"/>
      <c r="AA38" s="1292"/>
      <c r="AB38" s="1292"/>
      <c r="AC38" s="1292"/>
      <c r="AD38" s="1292"/>
      <c r="AE38" s="1292"/>
      <c r="AF38" s="1292"/>
      <c r="AG38" s="1292"/>
      <c r="AH38" s="1292"/>
      <c r="AI38" s="1292"/>
      <c r="AJ38" s="1293">
        <v>415</v>
      </c>
      <c r="AK38"/>
      <c r="AL38"/>
      <c r="AM38"/>
    </row>
    <row r="39" spans="1:39">
      <c r="A39" s="1294"/>
      <c r="B39" s="1288">
        <v>3</v>
      </c>
      <c r="C39" s="1288" t="s">
        <v>1412</v>
      </c>
      <c r="D39" s="1291">
        <v>12</v>
      </c>
      <c r="E39" s="1292"/>
      <c r="F39" s="1292"/>
      <c r="G39" s="1292"/>
      <c r="H39" s="1292"/>
      <c r="I39" s="1292"/>
      <c r="J39" s="1292"/>
      <c r="K39" s="1292"/>
      <c r="L39" s="1292"/>
      <c r="M39" s="1292"/>
      <c r="N39" s="1292"/>
      <c r="O39" s="1292"/>
      <c r="P39" s="1292"/>
      <c r="Q39" s="1292"/>
      <c r="R39" s="1292"/>
      <c r="S39" s="1292"/>
      <c r="T39" s="1292"/>
      <c r="U39" s="1292"/>
      <c r="V39" s="1292"/>
      <c r="W39" s="1292"/>
      <c r="X39" s="1292"/>
      <c r="Y39" s="1292"/>
      <c r="Z39" s="1292"/>
      <c r="AA39" s="1292"/>
      <c r="AB39" s="1292"/>
      <c r="AC39" s="1292"/>
      <c r="AD39" s="1292"/>
      <c r="AE39" s="1292"/>
      <c r="AF39" s="1292"/>
      <c r="AG39" s="1292"/>
      <c r="AH39" s="1292"/>
      <c r="AI39" s="1292"/>
      <c r="AJ39" s="1293">
        <v>12</v>
      </c>
      <c r="AK39"/>
      <c r="AL39"/>
      <c r="AM39"/>
    </row>
    <row r="40" spans="1:39">
      <c r="A40" s="1294"/>
      <c r="B40" s="1294"/>
      <c r="C40" s="1295" t="s">
        <v>1402</v>
      </c>
      <c r="D40" s="1296">
        <v>318</v>
      </c>
      <c r="E40" s="1054">
        <v>13</v>
      </c>
      <c r="F40" s="1054">
        <v>27</v>
      </c>
      <c r="G40" s="1054">
        <v>9</v>
      </c>
      <c r="H40" s="1054"/>
      <c r="I40" s="1054">
        <v>5</v>
      </c>
      <c r="J40" s="1054">
        <v>24</v>
      </c>
      <c r="K40" s="1054"/>
      <c r="L40" s="1054"/>
      <c r="M40" s="1054"/>
      <c r="N40" s="1054"/>
      <c r="O40" s="1054"/>
      <c r="P40" s="1054"/>
      <c r="Q40" s="1054"/>
      <c r="R40" s="1054"/>
      <c r="S40" s="1054"/>
      <c r="T40" s="1054"/>
      <c r="U40" s="1054"/>
      <c r="V40" s="1054"/>
      <c r="W40" s="1054"/>
      <c r="X40" s="1054"/>
      <c r="Y40" s="1054"/>
      <c r="Z40" s="1054"/>
      <c r="AA40" s="1054"/>
      <c r="AB40" s="1054"/>
      <c r="AC40" s="1054"/>
      <c r="AD40" s="1054"/>
      <c r="AE40" s="1054"/>
      <c r="AF40" s="1054"/>
      <c r="AG40" s="1054"/>
      <c r="AH40" s="1054"/>
      <c r="AI40" s="1054"/>
      <c r="AJ40" s="1297">
        <v>396</v>
      </c>
      <c r="AK40"/>
      <c r="AL40"/>
      <c r="AM40"/>
    </row>
    <row r="41" spans="1:39">
      <c r="A41" s="1294"/>
      <c r="B41" s="1288" t="s">
        <v>1413</v>
      </c>
      <c r="C41" s="1286"/>
      <c r="D41" s="1291">
        <v>330</v>
      </c>
      <c r="E41" s="1292">
        <v>13</v>
      </c>
      <c r="F41" s="1292">
        <v>27</v>
      </c>
      <c r="G41" s="1292">
        <v>9</v>
      </c>
      <c r="H41" s="1292"/>
      <c r="I41" s="1292">
        <v>5</v>
      </c>
      <c r="J41" s="1292">
        <v>24</v>
      </c>
      <c r="K41" s="1292"/>
      <c r="L41" s="1292"/>
      <c r="M41" s="1292"/>
      <c r="N41" s="1292"/>
      <c r="O41" s="1292"/>
      <c r="P41" s="1292"/>
      <c r="Q41" s="1292"/>
      <c r="R41" s="1292"/>
      <c r="S41" s="1292"/>
      <c r="T41" s="1292"/>
      <c r="U41" s="1292"/>
      <c r="V41" s="1292"/>
      <c r="W41" s="1292"/>
      <c r="X41" s="1292"/>
      <c r="Y41" s="1292"/>
      <c r="Z41" s="1292"/>
      <c r="AA41" s="1292"/>
      <c r="AB41" s="1292"/>
      <c r="AC41" s="1292"/>
      <c r="AD41" s="1292"/>
      <c r="AE41" s="1292"/>
      <c r="AF41" s="1292"/>
      <c r="AG41" s="1292"/>
      <c r="AH41" s="1292"/>
      <c r="AI41" s="1292"/>
      <c r="AJ41" s="1293">
        <v>408</v>
      </c>
      <c r="AK41"/>
      <c r="AL41"/>
      <c r="AM41"/>
    </row>
    <row r="42" spans="1:39">
      <c r="A42" s="1294"/>
      <c r="B42" s="1288">
        <v>4</v>
      </c>
      <c r="C42" s="1288" t="s">
        <v>1412</v>
      </c>
      <c r="D42" s="1291">
        <v>12</v>
      </c>
      <c r="E42" s="1292">
        <v>1</v>
      </c>
      <c r="F42" s="1292"/>
      <c r="G42" s="1292"/>
      <c r="H42" s="1292"/>
      <c r="I42" s="1292"/>
      <c r="J42" s="1292"/>
      <c r="K42" s="1292"/>
      <c r="L42" s="1292"/>
      <c r="M42" s="1292"/>
      <c r="N42" s="1292"/>
      <c r="O42" s="1292"/>
      <c r="P42" s="1292"/>
      <c r="Q42" s="1292"/>
      <c r="R42" s="1292"/>
      <c r="S42" s="1292"/>
      <c r="T42" s="1292"/>
      <c r="U42" s="1292"/>
      <c r="V42" s="1292"/>
      <c r="W42" s="1292"/>
      <c r="X42" s="1292"/>
      <c r="Y42" s="1292"/>
      <c r="Z42" s="1292"/>
      <c r="AA42" s="1292"/>
      <c r="AB42" s="1292"/>
      <c r="AC42" s="1292"/>
      <c r="AD42" s="1292"/>
      <c r="AE42" s="1292"/>
      <c r="AF42" s="1292"/>
      <c r="AG42" s="1292"/>
      <c r="AH42" s="1292"/>
      <c r="AI42" s="1292"/>
      <c r="AJ42" s="1293">
        <v>13</v>
      </c>
      <c r="AK42"/>
      <c r="AL42"/>
      <c r="AM42"/>
    </row>
    <row r="43" spans="1:39">
      <c r="A43" s="1294"/>
      <c r="B43" s="1294"/>
      <c r="C43" s="1295" t="s">
        <v>1402</v>
      </c>
      <c r="D43" s="1296">
        <v>509</v>
      </c>
      <c r="E43" s="1054">
        <v>18</v>
      </c>
      <c r="F43" s="1054">
        <v>25</v>
      </c>
      <c r="G43" s="1054">
        <v>30</v>
      </c>
      <c r="H43" s="1054">
        <v>1</v>
      </c>
      <c r="I43" s="1054">
        <v>3</v>
      </c>
      <c r="J43" s="1054">
        <v>18</v>
      </c>
      <c r="K43" s="1054"/>
      <c r="L43" s="1054"/>
      <c r="M43" s="1054"/>
      <c r="N43" s="1054"/>
      <c r="O43" s="1054"/>
      <c r="P43" s="1054"/>
      <c r="Q43" s="1054"/>
      <c r="R43" s="1054"/>
      <c r="S43" s="1054"/>
      <c r="T43" s="1054"/>
      <c r="U43" s="1054"/>
      <c r="V43" s="1054"/>
      <c r="W43" s="1054"/>
      <c r="X43" s="1054"/>
      <c r="Y43" s="1054"/>
      <c r="Z43" s="1054"/>
      <c r="AA43" s="1054"/>
      <c r="AB43" s="1054"/>
      <c r="AC43" s="1054"/>
      <c r="AD43" s="1054"/>
      <c r="AE43" s="1054"/>
      <c r="AF43" s="1054"/>
      <c r="AG43" s="1054"/>
      <c r="AH43" s="1054"/>
      <c r="AI43" s="1054"/>
      <c r="AJ43" s="1297">
        <v>604</v>
      </c>
      <c r="AK43"/>
      <c r="AL43"/>
      <c r="AM43"/>
    </row>
    <row r="44" spans="1:39">
      <c r="A44" s="1294"/>
      <c r="B44" s="1288" t="s">
        <v>1414</v>
      </c>
      <c r="C44" s="1286"/>
      <c r="D44" s="1291">
        <v>521</v>
      </c>
      <c r="E44" s="1292">
        <v>19</v>
      </c>
      <c r="F44" s="1292">
        <v>25</v>
      </c>
      <c r="G44" s="1292">
        <v>30</v>
      </c>
      <c r="H44" s="1292">
        <v>1</v>
      </c>
      <c r="I44" s="1292">
        <v>3</v>
      </c>
      <c r="J44" s="1292">
        <v>18</v>
      </c>
      <c r="K44" s="1292"/>
      <c r="L44" s="1292"/>
      <c r="M44" s="1292"/>
      <c r="N44" s="1292"/>
      <c r="O44" s="1292"/>
      <c r="P44" s="1292"/>
      <c r="Q44" s="1292"/>
      <c r="R44" s="1292"/>
      <c r="S44" s="1292"/>
      <c r="T44" s="1292"/>
      <c r="U44" s="1292"/>
      <c r="V44" s="1292"/>
      <c r="W44" s="1292"/>
      <c r="X44" s="1292"/>
      <c r="Y44" s="1292"/>
      <c r="Z44" s="1292"/>
      <c r="AA44" s="1292"/>
      <c r="AB44" s="1292"/>
      <c r="AC44" s="1292"/>
      <c r="AD44" s="1292"/>
      <c r="AE44" s="1292"/>
      <c r="AF44" s="1292"/>
      <c r="AG44" s="1292"/>
      <c r="AH44" s="1292"/>
      <c r="AI44" s="1292"/>
      <c r="AJ44" s="1293">
        <v>617</v>
      </c>
      <c r="AK44"/>
      <c r="AL44"/>
      <c r="AM44"/>
    </row>
    <row r="45" spans="1:39">
      <c r="A45" s="1294"/>
      <c r="B45" s="1288">
        <v>6</v>
      </c>
      <c r="C45" s="1288" t="s">
        <v>1412</v>
      </c>
      <c r="D45" s="1291">
        <v>12</v>
      </c>
      <c r="E45" s="1292"/>
      <c r="F45" s="1292"/>
      <c r="G45" s="1292">
        <v>1</v>
      </c>
      <c r="H45" s="1292"/>
      <c r="I45" s="1292"/>
      <c r="J45" s="1292">
        <v>2</v>
      </c>
      <c r="K45" s="1292"/>
      <c r="L45" s="1292"/>
      <c r="M45" s="1292"/>
      <c r="N45" s="1292"/>
      <c r="O45" s="1292"/>
      <c r="P45" s="1292"/>
      <c r="Q45" s="1292"/>
      <c r="R45" s="1292"/>
      <c r="S45" s="1292"/>
      <c r="T45" s="1292"/>
      <c r="U45" s="1292"/>
      <c r="V45" s="1292"/>
      <c r="W45" s="1292"/>
      <c r="X45" s="1292"/>
      <c r="Y45" s="1292"/>
      <c r="Z45" s="1292"/>
      <c r="AA45" s="1292"/>
      <c r="AB45" s="1292"/>
      <c r="AC45" s="1292"/>
      <c r="AD45" s="1292"/>
      <c r="AE45" s="1292"/>
      <c r="AF45" s="1292"/>
      <c r="AG45" s="1292"/>
      <c r="AH45" s="1292"/>
      <c r="AI45" s="1292"/>
      <c r="AJ45" s="1293">
        <v>15</v>
      </c>
      <c r="AK45"/>
      <c r="AL45"/>
      <c r="AM45"/>
    </row>
    <row r="46" spans="1:39">
      <c r="A46" s="1294"/>
      <c r="B46" s="1294"/>
      <c r="C46" s="1295" t="s">
        <v>1402</v>
      </c>
      <c r="D46" s="1296">
        <v>329</v>
      </c>
      <c r="E46" s="1054">
        <v>7</v>
      </c>
      <c r="F46" s="1054">
        <v>25</v>
      </c>
      <c r="G46" s="1054">
        <v>15</v>
      </c>
      <c r="H46" s="1054">
        <v>2</v>
      </c>
      <c r="I46" s="1054">
        <v>1</v>
      </c>
      <c r="J46" s="1054">
        <v>17</v>
      </c>
      <c r="K46" s="1054"/>
      <c r="L46" s="1054"/>
      <c r="M46" s="1054"/>
      <c r="N46" s="1054"/>
      <c r="O46" s="1054"/>
      <c r="P46" s="1054"/>
      <c r="Q46" s="1054"/>
      <c r="R46" s="1054"/>
      <c r="S46" s="1054"/>
      <c r="T46" s="1054"/>
      <c r="U46" s="1054"/>
      <c r="V46" s="1054"/>
      <c r="W46" s="1054"/>
      <c r="X46" s="1054"/>
      <c r="Y46" s="1054"/>
      <c r="Z46" s="1054"/>
      <c r="AA46" s="1054"/>
      <c r="AB46" s="1054"/>
      <c r="AC46" s="1054"/>
      <c r="AD46" s="1054"/>
      <c r="AE46" s="1054"/>
      <c r="AF46" s="1054"/>
      <c r="AG46" s="1054"/>
      <c r="AH46" s="1054"/>
      <c r="AI46" s="1054"/>
      <c r="AJ46" s="1297">
        <v>396</v>
      </c>
      <c r="AK46"/>
      <c r="AL46"/>
      <c r="AM46"/>
    </row>
    <row r="47" spans="1:39">
      <c r="A47" s="1294"/>
      <c r="B47" s="1288" t="s">
        <v>1415</v>
      </c>
      <c r="C47" s="1286"/>
      <c r="D47" s="1291">
        <v>341</v>
      </c>
      <c r="E47" s="1292">
        <v>7</v>
      </c>
      <c r="F47" s="1292">
        <v>25</v>
      </c>
      <c r="G47" s="1292">
        <v>16</v>
      </c>
      <c r="H47" s="1292">
        <v>2</v>
      </c>
      <c r="I47" s="1292">
        <v>1</v>
      </c>
      <c r="J47" s="1292">
        <v>19</v>
      </c>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3">
        <v>411</v>
      </c>
      <c r="AK47"/>
      <c r="AL47"/>
      <c r="AM47"/>
    </row>
    <row r="48" spans="1:39">
      <c r="A48" s="1294"/>
      <c r="B48" s="1288">
        <v>8</v>
      </c>
      <c r="C48" s="1288" t="s">
        <v>1402</v>
      </c>
      <c r="D48" s="1291">
        <v>209</v>
      </c>
      <c r="E48" s="1292">
        <v>6</v>
      </c>
      <c r="F48" s="1292">
        <v>7</v>
      </c>
      <c r="G48" s="1292">
        <v>15</v>
      </c>
      <c r="H48" s="1292">
        <v>1</v>
      </c>
      <c r="I48" s="1292"/>
      <c r="J48" s="1292">
        <v>17</v>
      </c>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3">
        <v>255</v>
      </c>
      <c r="AK48"/>
      <c r="AL48"/>
      <c r="AM48"/>
    </row>
    <row r="49" spans="1:39">
      <c r="A49" s="1294"/>
      <c r="B49" s="1288" t="s">
        <v>1416</v>
      </c>
      <c r="C49" s="1286"/>
      <c r="D49" s="1291">
        <v>209</v>
      </c>
      <c r="E49" s="1292">
        <v>6</v>
      </c>
      <c r="F49" s="1292">
        <v>7</v>
      </c>
      <c r="G49" s="1292">
        <v>15</v>
      </c>
      <c r="H49" s="1292">
        <v>1</v>
      </c>
      <c r="I49" s="1292"/>
      <c r="J49" s="1292">
        <v>17</v>
      </c>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3">
        <v>255</v>
      </c>
      <c r="AK49"/>
      <c r="AL49"/>
      <c r="AM49"/>
    </row>
    <row r="50" spans="1:39">
      <c r="A50" s="1288" t="s">
        <v>1417</v>
      </c>
      <c r="B50" s="1286"/>
      <c r="C50" s="1286"/>
      <c r="D50" s="1291">
        <v>1888</v>
      </c>
      <c r="E50" s="1292">
        <v>62</v>
      </c>
      <c r="F50" s="1292">
        <v>143</v>
      </c>
      <c r="G50" s="1292">
        <v>94</v>
      </c>
      <c r="H50" s="1292">
        <v>4</v>
      </c>
      <c r="I50" s="1292">
        <v>9</v>
      </c>
      <c r="J50" s="1292">
        <v>163</v>
      </c>
      <c r="K50" s="1292"/>
      <c r="L50" s="1292"/>
      <c r="M50" s="1292"/>
      <c r="N50" s="1292"/>
      <c r="O50" s="1292"/>
      <c r="P50" s="1292"/>
      <c r="Q50" s="1292"/>
      <c r="R50" s="1292"/>
      <c r="S50" s="1292"/>
      <c r="T50" s="1292"/>
      <c r="U50" s="1292"/>
      <c r="V50" s="1292"/>
      <c r="W50" s="1292"/>
      <c r="X50" s="1292"/>
      <c r="Y50" s="1292"/>
      <c r="Z50" s="1292"/>
      <c r="AA50" s="1292"/>
      <c r="AB50" s="1292"/>
      <c r="AC50" s="1292"/>
      <c r="AD50" s="1292"/>
      <c r="AE50" s="1292"/>
      <c r="AF50" s="1292"/>
      <c r="AG50" s="1292"/>
      <c r="AH50" s="1292"/>
      <c r="AI50" s="1292"/>
      <c r="AJ50" s="1293">
        <v>2363</v>
      </c>
      <c r="AK50"/>
      <c r="AL50"/>
      <c r="AM50"/>
    </row>
    <row r="51" spans="1:39">
      <c r="A51" s="1288" t="s">
        <v>431</v>
      </c>
      <c r="B51" s="1288">
        <v>1</v>
      </c>
      <c r="C51" s="1288" t="s">
        <v>1402</v>
      </c>
      <c r="D51" s="1291"/>
      <c r="E51" s="1292"/>
      <c r="F51" s="1292"/>
      <c r="G51" s="1292"/>
      <c r="H51" s="1292"/>
      <c r="I51" s="1292"/>
      <c r="J51" s="1292">
        <v>2</v>
      </c>
      <c r="K51" s="1292"/>
      <c r="L51" s="1292"/>
      <c r="M51" s="1292"/>
      <c r="N51" s="1292"/>
      <c r="O51" s="1292"/>
      <c r="P51" s="1292"/>
      <c r="Q51" s="1292"/>
      <c r="R51" s="1292"/>
      <c r="S51" s="1292"/>
      <c r="T51" s="1292"/>
      <c r="U51" s="1292"/>
      <c r="V51" s="1292"/>
      <c r="W51" s="1292"/>
      <c r="X51" s="1292"/>
      <c r="Y51" s="1292"/>
      <c r="Z51" s="1292"/>
      <c r="AA51" s="1292">
        <v>59</v>
      </c>
      <c r="AB51" s="1292">
        <v>2</v>
      </c>
      <c r="AC51" s="1292">
        <v>11</v>
      </c>
      <c r="AD51" s="1292">
        <v>1</v>
      </c>
      <c r="AE51" s="1292">
        <v>5</v>
      </c>
      <c r="AF51" s="1292"/>
      <c r="AG51" s="1292"/>
      <c r="AH51" s="1292">
        <v>17</v>
      </c>
      <c r="AI51" s="1292">
        <v>9</v>
      </c>
      <c r="AJ51" s="1293">
        <v>106</v>
      </c>
      <c r="AK51"/>
      <c r="AL51"/>
      <c r="AM51"/>
    </row>
    <row r="52" spans="1:39">
      <c r="A52" s="1294"/>
      <c r="B52" s="1288" t="s">
        <v>1409</v>
      </c>
      <c r="C52" s="1286"/>
      <c r="D52" s="1291"/>
      <c r="E52" s="1292"/>
      <c r="F52" s="1292"/>
      <c r="G52" s="1292"/>
      <c r="H52" s="1292"/>
      <c r="I52" s="1292"/>
      <c r="J52" s="1292">
        <v>2</v>
      </c>
      <c r="K52" s="1292"/>
      <c r="L52" s="1292"/>
      <c r="M52" s="1292"/>
      <c r="N52" s="1292"/>
      <c r="O52" s="1292"/>
      <c r="P52" s="1292"/>
      <c r="Q52" s="1292"/>
      <c r="R52" s="1292"/>
      <c r="S52" s="1292"/>
      <c r="T52" s="1292"/>
      <c r="U52" s="1292"/>
      <c r="V52" s="1292"/>
      <c r="W52" s="1292"/>
      <c r="X52" s="1292"/>
      <c r="Y52" s="1292"/>
      <c r="Z52" s="1292"/>
      <c r="AA52" s="1292">
        <v>59</v>
      </c>
      <c r="AB52" s="1292">
        <v>2</v>
      </c>
      <c r="AC52" s="1292">
        <v>11</v>
      </c>
      <c r="AD52" s="1292">
        <v>1</v>
      </c>
      <c r="AE52" s="1292">
        <v>5</v>
      </c>
      <c r="AF52" s="1292"/>
      <c r="AG52" s="1292"/>
      <c r="AH52" s="1292">
        <v>17</v>
      </c>
      <c r="AI52" s="1292">
        <v>9</v>
      </c>
      <c r="AJ52" s="1293">
        <v>106</v>
      </c>
      <c r="AK52"/>
      <c r="AL52"/>
      <c r="AM52"/>
    </row>
    <row r="53" spans="1:39">
      <c r="A53" s="1294"/>
      <c r="B53" s="1288">
        <v>1.25</v>
      </c>
      <c r="C53" s="1288" t="s">
        <v>1402</v>
      </c>
      <c r="D53" s="1291"/>
      <c r="E53" s="1292"/>
      <c r="F53" s="1292"/>
      <c r="G53" s="1292"/>
      <c r="H53" s="1292"/>
      <c r="I53" s="1292"/>
      <c r="J53" s="1292"/>
      <c r="K53" s="1292"/>
      <c r="L53" s="1292"/>
      <c r="M53" s="1292"/>
      <c r="N53" s="1292"/>
      <c r="O53" s="1292"/>
      <c r="P53" s="1292"/>
      <c r="Q53" s="1292"/>
      <c r="R53" s="1292"/>
      <c r="S53" s="1292"/>
      <c r="T53" s="1292"/>
      <c r="U53" s="1292"/>
      <c r="V53" s="1292"/>
      <c r="W53" s="1292"/>
      <c r="X53" s="1292"/>
      <c r="Y53" s="1292"/>
      <c r="Z53" s="1292"/>
      <c r="AA53" s="1292">
        <v>51</v>
      </c>
      <c r="AB53" s="1292">
        <v>6</v>
      </c>
      <c r="AC53" s="1292">
        <v>15</v>
      </c>
      <c r="AD53" s="1292"/>
      <c r="AE53" s="1292"/>
      <c r="AF53" s="1292"/>
      <c r="AG53" s="1292"/>
      <c r="AH53" s="1292"/>
      <c r="AI53" s="1292"/>
      <c r="AJ53" s="1293">
        <v>72</v>
      </c>
      <c r="AK53"/>
      <c r="AL53"/>
      <c r="AM53"/>
    </row>
    <row r="54" spans="1:39">
      <c r="A54" s="1294"/>
      <c r="B54" s="1288" t="s">
        <v>1410</v>
      </c>
      <c r="C54" s="1286"/>
      <c r="D54" s="1291"/>
      <c r="E54" s="1292"/>
      <c r="F54" s="1292"/>
      <c r="G54" s="1292"/>
      <c r="H54" s="1292"/>
      <c r="I54" s="1292"/>
      <c r="J54" s="1292"/>
      <c r="K54" s="1292"/>
      <c r="L54" s="1292"/>
      <c r="M54" s="1292"/>
      <c r="N54" s="1292"/>
      <c r="O54" s="1292"/>
      <c r="P54" s="1292"/>
      <c r="Q54" s="1292"/>
      <c r="R54" s="1292"/>
      <c r="S54" s="1292"/>
      <c r="T54" s="1292"/>
      <c r="U54" s="1292"/>
      <c r="V54" s="1292"/>
      <c r="W54" s="1292"/>
      <c r="X54" s="1292"/>
      <c r="Y54" s="1292"/>
      <c r="Z54" s="1292"/>
      <c r="AA54" s="1292">
        <v>51</v>
      </c>
      <c r="AB54" s="1292">
        <v>6</v>
      </c>
      <c r="AC54" s="1292">
        <v>15</v>
      </c>
      <c r="AD54" s="1292"/>
      <c r="AE54" s="1292"/>
      <c r="AF54" s="1292"/>
      <c r="AG54" s="1292"/>
      <c r="AH54" s="1292"/>
      <c r="AI54" s="1292"/>
      <c r="AJ54" s="1293">
        <v>72</v>
      </c>
      <c r="AK54"/>
      <c r="AL54"/>
      <c r="AM54"/>
    </row>
    <row r="55" spans="1:39">
      <c r="A55" s="1294"/>
      <c r="B55" s="1288">
        <v>1.5</v>
      </c>
      <c r="C55" s="1288" t="s">
        <v>1402</v>
      </c>
      <c r="D55" s="1291"/>
      <c r="E55" s="1292"/>
      <c r="F55" s="1292"/>
      <c r="G55" s="1292"/>
      <c r="H55" s="1292"/>
      <c r="I55" s="1292"/>
      <c r="J55" s="1292"/>
      <c r="K55" s="1292"/>
      <c r="L55" s="1292"/>
      <c r="M55" s="1292"/>
      <c r="N55" s="1292"/>
      <c r="O55" s="1292"/>
      <c r="P55" s="1292"/>
      <c r="Q55" s="1292"/>
      <c r="R55" s="1292"/>
      <c r="S55" s="1292"/>
      <c r="T55" s="1292"/>
      <c r="U55" s="1292"/>
      <c r="V55" s="1292"/>
      <c r="W55" s="1292"/>
      <c r="X55" s="1292"/>
      <c r="Y55" s="1292"/>
      <c r="Z55" s="1292"/>
      <c r="AA55" s="1292">
        <v>10</v>
      </c>
      <c r="AB55" s="1292">
        <v>1</v>
      </c>
      <c r="AC55" s="1292"/>
      <c r="AD55" s="1292">
        <v>1</v>
      </c>
      <c r="AE55" s="1292">
        <v>3</v>
      </c>
      <c r="AF55" s="1292"/>
      <c r="AG55" s="1292"/>
      <c r="AH55" s="1292">
        <v>4</v>
      </c>
      <c r="AI55" s="1292">
        <v>1</v>
      </c>
      <c r="AJ55" s="1293">
        <v>20</v>
      </c>
      <c r="AK55"/>
      <c r="AL55"/>
      <c r="AM55"/>
    </row>
    <row r="56" spans="1:39">
      <c r="A56" s="1294"/>
      <c r="B56" s="1288" t="s">
        <v>1418</v>
      </c>
      <c r="C56" s="1286"/>
      <c r="D56" s="1291"/>
      <c r="E56" s="1292"/>
      <c r="F56" s="1292"/>
      <c r="G56" s="1292"/>
      <c r="H56" s="1292"/>
      <c r="I56" s="1292"/>
      <c r="J56" s="1292"/>
      <c r="K56" s="1292"/>
      <c r="L56" s="1292"/>
      <c r="M56" s="1292"/>
      <c r="N56" s="1292"/>
      <c r="O56" s="1292"/>
      <c r="P56" s="1292"/>
      <c r="Q56" s="1292"/>
      <c r="R56" s="1292"/>
      <c r="S56" s="1292"/>
      <c r="T56" s="1292"/>
      <c r="U56" s="1292"/>
      <c r="V56" s="1292"/>
      <c r="W56" s="1292"/>
      <c r="X56" s="1292"/>
      <c r="Y56" s="1292"/>
      <c r="Z56" s="1292"/>
      <c r="AA56" s="1292">
        <v>10</v>
      </c>
      <c r="AB56" s="1292">
        <v>1</v>
      </c>
      <c r="AC56" s="1292"/>
      <c r="AD56" s="1292">
        <v>1</v>
      </c>
      <c r="AE56" s="1292">
        <v>3</v>
      </c>
      <c r="AF56" s="1292"/>
      <c r="AG56" s="1292"/>
      <c r="AH56" s="1292">
        <v>4</v>
      </c>
      <c r="AI56" s="1292">
        <v>1</v>
      </c>
      <c r="AJ56" s="1293">
        <v>20</v>
      </c>
      <c r="AK56"/>
      <c r="AL56"/>
      <c r="AM56"/>
    </row>
    <row r="57" spans="1:39">
      <c r="A57" s="1294"/>
      <c r="B57" s="1288">
        <v>2</v>
      </c>
      <c r="C57" s="1288" t="s">
        <v>1402</v>
      </c>
      <c r="D57" s="1291"/>
      <c r="E57" s="1292"/>
      <c r="F57" s="1292"/>
      <c r="G57" s="1292">
        <v>1</v>
      </c>
      <c r="H57" s="1292"/>
      <c r="I57" s="1292"/>
      <c r="J57" s="1292"/>
      <c r="K57" s="1292"/>
      <c r="L57" s="1292"/>
      <c r="M57" s="1292"/>
      <c r="N57" s="1292"/>
      <c r="O57" s="1292"/>
      <c r="P57" s="1292"/>
      <c r="Q57" s="1292"/>
      <c r="R57" s="1292"/>
      <c r="S57" s="1292"/>
      <c r="T57" s="1292"/>
      <c r="U57" s="1292"/>
      <c r="V57" s="1292"/>
      <c r="W57" s="1292"/>
      <c r="X57" s="1292"/>
      <c r="Y57" s="1292"/>
      <c r="Z57" s="1292"/>
      <c r="AA57" s="1292">
        <v>245</v>
      </c>
      <c r="AB57" s="1292">
        <v>2</v>
      </c>
      <c r="AC57" s="1292">
        <v>30</v>
      </c>
      <c r="AD57" s="1292">
        <v>3</v>
      </c>
      <c r="AE57" s="1292">
        <v>9</v>
      </c>
      <c r="AF57" s="1292">
        <v>1</v>
      </c>
      <c r="AG57" s="1292">
        <v>3</v>
      </c>
      <c r="AH57" s="1292">
        <v>26</v>
      </c>
      <c r="AI57" s="1292">
        <v>2</v>
      </c>
      <c r="AJ57" s="1293">
        <v>322</v>
      </c>
      <c r="AK57"/>
      <c r="AL57"/>
      <c r="AM57"/>
    </row>
    <row r="58" spans="1:39">
      <c r="A58" s="1294"/>
      <c r="B58" s="1288" t="s">
        <v>1411</v>
      </c>
      <c r="C58" s="1286"/>
      <c r="D58" s="1291"/>
      <c r="E58" s="1292"/>
      <c r="F58" s="1292"/>
      <c r="G58" s="1292">
        <v>1</v>
      </c>
      <c r="H58" s="1292"/>
      <c r="I58" s="1292"/>
      <c r="J58" s="1292"/>
      <c r="K58" s="1292"/>
      <c r="L58" s="1292"/>
      <c r="M58" s="1292"/>
      <c r="N58" s="1292"/>
      <c r="O58" s="1292"/>
      <c r="P58" s="1292"/>
      <c r="Q58" s="1292"/>
      <c r="R58" s="1292"/>
      <c r="S58" s="1292"/>
      <c r="T58" s="1292"/>
      <c r="U58" s="1292"/>
      <c r="V58" s="1292"/>
      <c r="W58" s="1292"/>
      <c r="X58" s="1292"/>
      <c r="Y58" s="1292"/>
      <c r="Z58" s="1292"/>
      <c r="AA58" s="1292">
        <v>245</v>
      </c>
      <c r="AB58" s="1292">
        <v>2</v>
      </c>
      <c r="AC58" s="1292">
        <v>30</v>
      </c>
      <c r="AD58" s="1292">
        <v>3</v>
      </c>
      <c r="AE58" s="1292">
        <v>9</v>
      </c>
      <c r="AF58" s="1292">
        <v>1</v>
      </c>
      <c r="AG58" s="1292">
        <v>3</v>
      </c>
      <c r="AH58" s="1292">
        <v>26</v>
      </c>
      <c r="AI58" s="1292">
        <v>2</v>
      </c>
      <c r="AJ58" s="1293">
        <v>322</v>
      </c>
      <c r="AK58"/>
      <c r="AL58"/>
      <c r="AM58"/>
    </row>
    <row r="59" spans="1:39">
      <c r="A59" s="1294"/>
      <c r="B59" s="1288">
        <v>3</v>
      </c>
      <c r="C59" s="1288" t="s">
        <v>1412</v>
      </c>
      <c r="D59" s="1291"/>
      <c r="E59" s="1292"/>
      <c r="F59" s="1292"/>
      <c r="G59" s="1292"/>
      <c r="H59" s="1292"/>
      <c r="I59" s="1292"/>
      <c r="J59" s="1292"/>
      <c r="K59" s="1292"/>
      <c r="L59" s="1292"/>
      <c r="M59" s="1292"/>
      <c r="N59" s="1292"/>
      <c r="O59" s="1292"/>
      <c r="P59" s="1292"/>
      <c r="Q59" s="1292"/>
      <c r="R59" s="1292"/>
      <c r="S59" s="1292"/>
      <c r="T59" s="1292"/>
      <c r="U59" s="1292"/>
      <c r="V59" s="1292"/>
      <c r="W59" s="1292"/>
      <c r="X59" s="1292"/>
      <c r="Y59" s="1292"/>
      <c r="Z59" s="1292"/>
      <c r="AA59" s="1292">
        <v>1</v>
      </c>
      <c r="AB59" s="1292"/>
      <c r="AC59" s="1292"/>
      <c r="AD59" s="1292"/>
      <c r="AE59" s="1292"/>
      <c r="AF59" s="1292"/>
      <c r="AG59" s="1292"/>
      <c r="AH59" s="1292"/>
      <c r="AI59" s="1292"/>
      <c r="AJ59" s="1293">
        <v>1</v>
      </c>
      <c r="AK59"/>
      <c r="AL59"/>
      <c r="AM59"/>
    </row>
    <row r="60" spans="1:39">
      <c r="A60" s="1294"/>
      <c r="B60" s="1294"/>
      <c r="C60" s="1295" t="s">
        <v>1402</v>
      </c>
      <c r="D60" s="1296"/>
      <c r="E60" s="1054"/>
      <c r="F60" s="1054"/>
      <c r="G60" s="1054"/>
      <c r="H60" s="1054"/>
      <c r="I60" s="1054"/>
      <c r="J60" s="1054"/>
      <c r="K60" s="1054"/>
      <c r="L60" s="1054"/>
      <c r="M60" s="1054"/>
      <c r="N60" s="1054"/>
      <c r="O60" s="1054"/>
      <c r="P60" s="1054"/>
      <c r="Q60" s="1054"/>
      <c r="R60" s="1054"/>
      <c r="S60" s="1054"/>
      <c r="T60" s="1054"/>
      <c r="U60" s="1054"/>
      <c r="V60" s="1054"/>
      <c r="W60" s="1054"/>
      <c r="X60" s="1054"/>
      <c r="Y60" s="1054"/>
      <c r="Z60" s="1054"/>
      <c r="AA60" s="1054">
        <v>225</v>
      </c>
      <c r="AB60" s="1054">
        <v>17</v>
      </c>
      <c r="AC60" s="1054">
        <v>14</v>
      </c>
      <c r="AD60" s="1054">
        <v>3</v>
      </c>
      <c r="AE60" s="1054">
        <v>7</v>
      </c>
      <c r="AF60" s="1054"/>
      <c r="AG60" s="1054">
        <v>2</v>
      </c>
      <c r="AH60" s="1054">
        <v>15</v>
      </c>
      <c r="AI60" s="1054">
        <v>3</v>
      </c>
      <c r="AJ60" s="1297">
        <v>286</v>
      </c>
      <c r="AK60"/>
      <c r="AL60"/>
      <c r="AM60"/>
    </row>
    <row r="61" spans="1:39">
      <c r="A61" s="1294"/>
      <c r="B61" s="1288" t="s">
        <v>1413</v>
      </c>
      <c r="C61" s="1286"/>
      <c r="D61" s="1291"/>
      <c r="E61" s="1292"/>
      <c r="F61" s="1292"/>
      <c r="G61" s="1292"/>
      <c r="H61" s="1292"/>
      <c r="I61" s="1292"/>
      <c r="J61" s="1292"/>
      <c r="K61" s="1292"/>
      <c r="L61" s="1292"/>
      <c r="M61" s="1292"/>
      <c r="N61" s="1292"/>
      <c r="O61" s="1292"/>
      <c r="P61" s="1292"/>
      <c r="Q61" s="1292"/>
      <c r="R61" s="1292"/>
      <c r="S61" s="1292"/>
      <c r="T61" s="1292"/>
      <c r="U61" s="1292"/>
      <c r="V61" s="1292"/>
      <c r="W61" s="1292"/>
      <c r="X61" s="1292"/>
      <c r="Y61" s="1292"/>
      <c r="Z61" s="1292"/>
      <c r="AA61" s="1292">
        <v>226</v>
      </c>
      <c r="AB61" s="1292">
        <v>17</v>
      </c>
      <c r="AC61" s="1292">
        <v>14</v>
      </c>
      <c r="AD61" s="1292">
        <v>3</v>
      </c>
      <c r="AE61" s="1292">
        <v>7</v>
      </c>
      <c r="AF61" s="1292"/>
      <c r="AG61" s="1292">
        <v>2</v>
      </c>
      <c r="AH61" s="1292">
        <v>15</v>
      </c>
      <c r="AI61" s="1292">
        <v>3</v>
      </c>
      <c r="AJ61" s="1293">
        <v>287</v>
      </c>
      <c r="AK61"/>
      <c r="AL61"/>
      <c r="AM61"/>
    </row>
    <row r="62" spans="1:39">
      <c r="A62" s="1294"/>
      <c r="B62" s="1288">
        <v>4</v>
      </c>
      <c r="C62" s="1288" t="s">
        <v>1402</v>
      </c>
      <c r="D62" s="1291"/>
      <c r="E62" s="1292"/>
      <c r="F62" s="1292"/>
      <c r="G62" s="1292"/>
      <c r="H62" s="1292"/>
      <c r="I62" s="1292"/>
      <c r="J62" s="1292"/>
      <c r="K62" s="1292"/>
      <c r="L62" s="1292"/>
      <c r="M62" s="1292"/>
      <c r="N62" s="1292"/>
      <c r="O62" s="1292"/>
      <c r="P62" s="1292"/>
      <c r="Q62" s="1292"/>
      <c r="R62" s="1292"/>
      <c r="S62" s="1292"/>
      <c r="T62" s="1292"/>
      <c r="U62" s="1292"/>
      <c r="V62" s="1292"/>
      <c r="W62" s="1292"/>
      <c r="X62" s="1292"/>
      <c r="Y62" s="1292"/>
      <c r="Z62" s="1292"/>
      <c r="AA62" s="1292">
        <v>387</v>
      </c>
      <c r="AB62" s="1292">
        <v>7</v>
      </c>
      <c r="AC62" s="1292">
        <v>33</v>
      </c>
      <c r="AD62" s="1292">
        <v>3</v>
      </c>
      <c r="AE62" s="1292">
        <v>14</v>
      </c>
      <c r="AF62" s="1292"/>
      <c r="AG62" s="1292">
        <v>3</v>
      </c>
      <c r="AH62" s="1292">
        <v>35</v>
      </c>
      <c r="AI62" s="1292">
        <v>6</v>
      </c>
      <c r="AJ62" s="1293">
        <v>488</v>
      </c>
      <c r="AK62"/>
      <c r="AL62"/>
      <c r="AM62"/>
    </row>
    <row r="63" spans="1:39">
      <c r="A63" s="1294"/>
      <c r="B63" s="1288" t="s">
        <v>1414</v>
      </c>
      <c r="C63" s="1286"/>
      <c r="D63" s="1291"/>
      <c r="E63" s="1292"/>
      <c r="F63" s="1292"/>
      <c r="G63" s="1292"/>
      <c r="H63" s="1292"/>
      <c r="I63" s="1292"/>
      <c r="J63" s="1292"/>
      <c r="K63" s="1292"/>
      <c r="L63" s="1292"/>
      <c r="M63" s="1292"/>
      <c r="N63" s="1292"/>
      <c r="O63" s="1292"/>
      <c r="P63" s="1292"/>
      <c r="Q63" s="1292"/>
      <c r="R63" s="1292"/>
      <c r="S63" s="1292"/>
      <c r="T63" s="1292"/>
      <c r="U63" s="1292"/>
      <c r="V63" s="1292"/>
      <c r="W63" s="1292"/>
      <c r="X63" s="1292"/>
      <c r="Y63" s="1292"/>
      <c r="Z63" s="1292"/>
      <c r="AA63" s="1292">
        <v>387</v>
      </c>
      <c r="AB63" s="1292">
        <v>7</v>
      </c>
      <c r="AC63" s="1292">
        <v>33</v>
      </c>
      <c r="AD63" s="1292">
        <v>3</v>
      </c>
      <c r="AE63" s="1292">
        <v>14</v>
      </c>
      <c r="AF63" s="1292"/>
      <c r="AG63" s="1292">
        <v>3</v>
      </c>
      <c r="AH63" s="1292">
        <v>35</v>
      </c>
      <c r="AI63" s="1292">
        <v>6</v>
      </c>
      <c r="AJ63" s="1293">
        <v>488</v>
      </c>
      <c r="AK63"/>
      <c r="AL63"/>
      <c r="AM63"/>
    </row>
    <row r="64" spans="1:39">
      <c r="A64" s="1294"/>
      <c r="B64" s="1288">
        <v>6</v>
      </c>
      <c r="C64" s="1288" t="s">
        <v>1402</v>
      </c>
      <c r="D64" s="1291"/>
      <c r="E64" s="1292"/>
      <c r="F64" s="1292"/>
      <c r="G64" s="1292">
        <v>2</v>
      </c>
      <c r="H64" s="1292"/>
      <c r="I64" s="1292"/>
      <c r="J64" s="1292"/>
      <c r="K64" s="1292"/>
      <c r="L64" s="1292"/>
      <c r="M64" s="1292"/>
      <c r="N64" s="1292"/>
      <c r="O64" s="1292"/>
      <c r="P64" s="1292"/>
      <c r="Q64" s="1292"/>
      <c r="R64" s="1292"/>
      <c r="S64" s="1292"/>
      <c r="T64" s="1292"/>
      <c r="U64" s="1292"/>
      <c r="V64" s="1292"/>
      <c r="W64" s="1292"/>
      <c r="X64" s="1292"/>
      <c r="Y64" s="1292"/>
      <c r="Z64" s="1292"/>
      <c r="AA64" s="1292">
        <v>135</v>
      </c>
      <c r="AB64" s="1292">
        <v>6</v>
      </c>
      <c r="AC64" s="1292">
        <v>12</v>
      </c>
      <c r="AD64" s="1292">
        <v>1</v>
      </c>
      <c r="AE64" s="1292">
        <v>5</v>
      </c>
      <c r="AF64" s="1292">
        <v>2</v>
      </c>
      <c r="AG64" s="1292">
        <v>3</v>
      </c>
      <c r="AH64" s="1292">
        <v>6</v>
      </c>
      <c r="AI64" s="1292">
        <v>3</v>
      </c>
      <c r="AJ64" s="1293">
        <v>175</v>
      </c>
      <c r="AK64"/>
      <c r="AL64"/>
      <c r="AM64"/>
    </row>
    <row r="65" spans="1:39">
      <c r="A65" s="1294"/>
      <c r="B65" s="1288" t="s">
        <v>1415</v>
      </c>
      <c r="C65" s="1286"/>
      <c r="D65" s="1291"/>
      <c r="E65" s="1292"/>
      <c r="F65" s="1292"/>
      <c r="G65" s="1292">
        <v>2</v>
      </c>
      <c r="H65" s="1292"/>
      <c r="I65" s="1292"/>
      <c r="J65" s="1292"/>
      <c r="K65" s="1292"/>
      <c r="L65" s="1292"/>
      <c r="M65" s="1292"/>
      <c r="N65" s="1292"/>
      <c r="O65" s="1292"/>
      <c r="P65" s="1292"/>
      <c r="Q65" s="1292"/>
      <c r="R65" s="1292"/>
      <c r="S65" s="1292"/>
      <c r="T65" s="1292"/>
      <c r="U65" s="1292"/>
      <c r="V65" s="1292"/>
      <c r="W65" s="1292"/>
      <c r="X65" s="1292"/>
      <c r="Y65" s="1292"/>
      <c r="Z65" s="1292"/>
      <c r="AA65" s="1292">
        <v>135</v>
      </c>
      <c r="AB65" s="1292">
        <v>6</v>
      </c>
      <c r="AC65" s="1292">
        <v>12</v>
      </c>
      <c r="AD65" s="1292">
        <v>1</v>
      </c>
      <c r="AE65" s="1292">
        <v>5</v>
      </c>
      <c r="AF65" s="1292">
        <v>2</v>
      </c>
      <c r="AG65" s="1292">
        <v>3</v>
      </c>
      <c r="AH65" s="1292">
        <v>6</v>
      </c>
      <c r="AI65" s="1292">
        <v>3</v>
      </c>
      <c r="AJ65" s="1293">
        <v>175</v>
      </c>
      <c r="AK65"/>
      <c r="AL65"/>
      <c r="AM65"/>
    </row>
    <row r="66" spans="1:39">
      <c r="A66" s="1294"/>
      <c r="B66" s="1288">
        <v>8</v>
      </c>
      <c r="C66" s="1288" t="s">
        <v>1402</v>
      </c>
      <c r="D66" s="1291"/>
      <c r="E66" s="1292"/>
      <c r="F66" s="1292"/>
      <c r="G66" s="1292"/>
      <c r="H66" s="1292"/>
      <c r="I66" s="1292"/>
      <c r="J66" s="1292">
        <v>1</v>
      </c>
      <c r="K66" s="1292"/>
      <c r="L66" s="1292"/>
      <c r="M66" s="1292"/>
      <c r="N66" s="1292"/>
      <c r="O66" s="1292"/>
      <c r="P66" s="1292"/>
      <c r="Q66" s="1292"/>
      <c r="R66" s="1292"/>
      <c r="S66" s="1292"/>
      <c r="T66" s="1292"/>
      <c r="U66" s="1292"/>
      <c r="V66" s="1292"/>
      <c r="W66" s="1292"/>
      <c r="X66" s="1292"/>
      <c r="Y66" s="1292"/>
      <c r="Z66" s="1292"/>
      <c r="AA66" s="1292">
        <v>141</v>
      </c>
      <c r="AB66" s="1292">
        <v>4</v>
      </c>
      <c r="AC66" s="1292">
        <v>8</v>
      </c>
      <c r="AD66" s="1292">
        <v>2</v>
      </c>
      <c r="AE66" s="1292">
        <v>3</v>
      </c>
      <c r="AF66" s="1292">
        <v>1</v>
      </c>
      <c r="AG66" s="1292"/>
      <c r="AH66" s="1292">
        <v>5</v>
      </c>
      <c r="AI66" s="1292">
        <v>2</v>
      </c>
      <c r="AJ66" s="1293">
        <v>167</v>
      </c>
      <c r="AK66"/>
      <c r="AL66"/>
      <c r="AM66"/>
    </row>
    <row r="67" spans="1:39">
      <c r="A67" s="1294"/>
      <c r="B67" s="1288" t="s">
        <v>1416</v>
      </c>
      <c r="C67" s="1286"/>
      <c r="D67" s="1291"/>
      <c r="E67" s="1292"/>
      <c r="F67" s="1292"/>
      <c r="G67" s="1292"/>
      <c r="H67" s="1292"/>
      <c r="I67" s="1292"/>
      <c r="J67" s="1292">
        <v>1</v>
      </c>
      <c r="K67" s="1292"/>
      <c r="L67" s="1292"/>
      <c r="M67" s="1292"/>
      <c r="N67" s="1292"/>
      <c r="O67" s="1292"/>
      <c r="P67" s="1292"/>
      <c r="Q67" s="1292"/>
      <c r="R67" s="1292"/>
      <c r="S67" s="1292"/>
      <c r="T67" s="1292"/>
      <c r="U67" s="1292"/>
      <c r="V67" s="1292"/>
      <c r="W67" s="1292"/>
      <c r="X67" s="1292"/>
      <c r="Y67" s="1292"/>
      <c r="Z67" s="1292"/>
      <c r="AA67" s="1292">
        <v>141</v>
      </c>
      <c r="AB67" s="1292">
        <v>4</v>
      </c>
      <c r="AC67" s="1292">
        <v>8</v>
      </c>
      <c r="AD67" s="1292">
        <v>2</v>
      </c>
      <c r="AE67" s="1292">
        <v>3</v>
      </c>
      <c r="AF67" s="1292">
        <v>1</v>
      </c>
      <c r="AG67" s="1292"/>
      <c r="AH67" s="1292">
        <v>5</v>
      </c>
      <c r="AI67" s="1292">
        <v>2</v>
      </c>
      <c r="AJ67" s="1293">
        <v>167</v>
      </c>
      <c r="AK67"/>
      <c r="AL67"/>
      <c r="AM67"/>
    </row>
    <row r="68" spans="1:39">
      <c r="A68" s="1288" t="s">
        <v>1419</v>
      </c>
      <c r="B68" s="1286"/>
      <c r="C68" s="1286"/>
      <c r="D68" s="1291"/>
      <c r="E68" s="1292"/>
      <c r="F68" s="1292"/>
      <c r="G68" s="1292">
        <v>3</v>
      </c>
      <c r="H68" s="1292"/>
      <c r="I68" s="1292"/>
      <c r="J68" s="1292">
        <v>3</v>
      </c>
      <c r="K68" s="1292"/>
      <c r="L68" s="1292"/>
      <c r="M68" s="1292"/>
      <c r="N68" s="1292"/>
      <c r="O68" s="1292"/>
      <c r="P68" s="1292"/>
      <c r="Q68" s="1292"/>
      <c r="R68" s="1292"/>
      <c r="S68" s="1292"/>
      <c r="T68" s="1292"/>
      <c r="U68" s="1292"/>
      <c r="V68" s="1292"/>
      <c r="W68" s="1292"/>
      <c r="X68" s="1292"/>
      <c r="Y68" s="1292"/>
      <c r="Z68" s="1292"/>
      <c r="AA68" s="1292">
        <v>1254</v>
      </c>
      <c r="AB68" s="1292">
        <v>45</v>
      </c>
      <c r="AC68" s="1292">
        <v>123</v>
      </c>
      <c r="AD68" s="1292">
        <v>14</v>
      </c>
      <c r="AE68" s="1292">
        <v>46</v>
      </c>
      <c r="AF68" s="1292">
        <v>4</v>
      </c>
      <c r="AG68" s="1292">
        <v>11</v>
      </c>
      <c r="AH68" s="1292">
        <v>108</v>
      </c>
      <c r="AI68" s="1292">
        <v>26</v>
      </c>
      <c r="AJ68" s="1293">
        <v>1637</v>
      </c>
      <c r="AK68"/>
      <c r="AL68"/>
      <c r="AM68"/>
    </row>
    <row r="69" spans="1:39">
      <c r="A69" s="1288" t="s">
        <v>433</v>
      </c>
      <c r="B69" s="1288">
        <v>10</v>
      </c>
      <c r="C69" s="1288" t="s">
        <v>1402</v>
      </c>
      <c r="D69" s="1291"/>
      <c r="E69" s="1292"/>
      <c r="F69" s="1292"/>
      <c r="G69" s="1292"/>
      <c r="H69" s="1292"/>
      <c r="I69" s="1292"/>
      <c r="J69" s="1292"/>
      <c r="K69" s="1292">
        <v>2</v>
      </c>
      <c r="L69" s="1292"/>
      <c r="M69" s="1292"/>
      <c r="N69" s="1292">
        <v>3</v>
      </c>
      <c r="O69" s="1292">
        <v>1</v>
      </c>
      <c r="P69" s="1292"/>
      <c r="Q69" s="1292">
        <v>1</v>
      </c>
      <c r="R69" s="1292"/>
      <c r="S69" s="1292">
        <v>1</v>
      </c>
      <c r="T69" s="1292"/>
      <c r="U69" s="1292"/>
      <c r="V69" s="1292"/>
      <c r="W69" s="1292"/>
      <c r="X69" s="1292"/>
      <c r="Y69" s="1292"/>
      <c r="Z69" s="1292"/>
      <c r="AA69" s="1292"/>
      <c r="AB69" s="1292"/>
      <c r="AC69" s="1292"/>
      <c r="AD69" s="1292"/>
      <c r="AE69" s="1292"/>
      <c r="AF69" s="1292"/>
      <c r="AG69" s="1292"/>
      <c r="AH69" s="1292"/>
      <c r="AI69" s="1292"/>
      <c r="AJ69" s="1293">
        <v>8</v>
      </c>
      <c r="AK69"/>
      <c r="AL69"/>
      <c r="AM69"/>
    </row>
    <row r="70" spans="1:39">
      <c r="A70" s="1294"/>
      <c r="B70" s="1288" t="s">
        <v>1420</v>
      </c>
      <c r="C70" s="1286"/>
      <c r="D70" s="1291"/>
      <c r="E70" s="1292"/>
      <c r="F70" s="1292"/>
      <c r="G70" s="1292"/>
      <c r="H70" s="1292"/>
      <c r="I70" s="1292"/>
      <c r="J70" s="1292"/>
      <c r="K70" s="1292">
        <v>2</v>
      </c>
      <c r="L70" s="1292"/>
      <c r="M70" s="1292"/>
      <c r="N70" s="1292">
        <v>3</v>
      </c>
      <c r="O70" s="1292">
        <v>1</v>
      </c>
      <c r="P70" s="1292"/>
      <c r="Q70" s="1292">
        <v>1</v>
      </c>
      <c r="R70" s="1292"/>
      <c r="S70" s="1292">
        <v>1</v>
      </c>
      <c r="T70" s="1292"/>
      <c r="U70" s="1292"/>
      <c r="V70" s="1292"/>
      <c r="W70" s="1292"/>
      <c r="X70" s="1292"/>
      <c r="Y70" s="1292"/>
      <c r="Z70" s="1292"/>
      <c r="AA70" s="1292"/>
      <c r="AB70" s="1292"/>
      <c r="AC70" s="1292"/>
      <c r="AD70" s="1292"/>
      <c r="AE70" s="1292"/>
      <c r="AF70" s="1292"/>
      <c r="AG70" s="1292"/>
      <c r="AH70" s="1292"/>
      <c r="AI70" s="1292"/>
      <c r="AJ70" s="1293">
        <v>8</v>
      </c>
      <c r="AK70"/>
      <c r="AL70"/>
      <c r="AM70"/>
    </row>
    <row r="71" spans="1:39">
      <c r="A71" s="1294"/>
      <c r="B71" s="1288">
        <v>12</v>
      </c>
      <c r="C71" s="1288" t="s">
        <v>1402</v>
      </c>
      <c r="D71" s="1291"/>
      <c r="E71" s="1292"/>
      <c r="F71" s="1292"/>
      <c r="G71" s="1292"/>
      <c r="H71" s="1292"/>
      <c r="I71" s="1292"/>
      <c r="J71" s="1292"/>
      <c r="K71" s="1292">
        <v>10</v>
      </c>
      <c r="L71" s="1292"/>
      <c r="M71" s="1292"/>
      <c r="N71" s="1292">
        <v>1</v>
      </c>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3">
        <v>11</v>
      </c>
      <c r="AK71"/>
      <c r="AL71"/>
      <c r="AM71"/>
    </row>
    <row r="72" spans="1:39">
      <c r="A72" s="1294"/>
      <c r="B72" s="1288" t="s">
        <v>1421</v>
      </c>
      <c r="C72" s="1286"/>
      <c r="D72" s="1291"/>
      <c r="E72" s="1292"/>
      <c r="F72" s="1292"/>
      <c r="G72" s="1292"/>
      <c r="H72" s="1292"/>
      <c r="I72" s="1292"/>
      <c r="J72" s="1292"/>
      <c r="K72" s="1292">
        <v>10</v>
      </c>
      <c r="L72" s="1292"/>
      <c r="M72" s="1292"/>
      <c r="N72" s="1292">
        <v>1</v>
      </c>
      <c r="O72" s="1292"/>
      <c r="P72" s="1292"/>
      <c r="Q72" s="1292"/>
      <c r="R72" s="1292"/>
      <c r="S72" s="1292"/>
      <c r="T72" s="1292"/>
      <c r="U72" s="1292"/>
      <c r="V72" s="1292"/>
      <c r="W72" s="1292"/>
      <c r="X72" s="1292"/>
      <c r="Y72" s="1292"/>
      <c r="Z72" s="1292"/>
      <c r="AA72" s="1292"/>
      <c r="AB72" s="1292"/>
      <c r="AC72" s="1292"/>
      <c r="AD72" s="1292"/>
      <c r="AE72" s="1292"/>
      <c r="AF72" s="1292"/>
      <c r="AG72" s="1292"/>
      <c r="AH72" s="1292"/>
      <c r="AI72" s="1292"/>
      <c r="AJ72" s="1293">
        <v>11</v>
      </c>
      <c r="AK72"/>
      <c r="AL72"/>
      <c r="AM72"/>
    </row>
    <row r="73" spans="1:39">
      <c r="A73" s="1294"/>
      <c r="B73" s="1288">
        <v>15</v>
      </c>
      <c r="C73" s="1288" t="s">
        <v>1412</v>
      </c>
      <c r="D73" s="1291"/>
      <c r="E73" s="1292"/>
      <c r="F73" s="1292"/>
      <c r="G73" s="1292"/>
      <c r="H73" s="1292"/>
      <c r="I73" s="1292"/>
      <c r="J73" s="1292"/>
      <c r="K73" s="1292"/>
      <c r="L73" s="1292"/>
      <c r="M73" s="1292">
        <v>1</v>
      </c>
      <c r="N73" s="1292"/>
      <c r="O73" s="1292"/>
      <c r="P73" s="1292"/>
      <c r="Q73" s="1292"/>
      <c r="R73" s="1292"/>
      <c r="S73" s="1292"/>
      <c r="T73" s="1292"/>
      <c r="U73" s="1292"/>
      <c r="V73" s="1292"/>
      <c r="W73" s="1292"/>
      <c r="X73" s="1292"/>
      <c r="Y73" s="1292"/>
      <c r="Z73" s="1292"/>
      <c r="AA73" s="1292"/>
      <c r="AB73" s="1292"/>
      <c r="AC73" s="1292"/>
      <c r="AD73" s="1292"/>
      <c r="AE73" s="1292"/>
      <c r="AF73" s="1292"/>
      <c r="AG73" s="1292"/>
      <c r="AH73" s="1292"/>
      <c r="AI73" s="1292"/>
      <c r="AJ73" s="1293">
        <v>1</v>
      </c>
      <c r="AK73"/>
      <c r="AL73"/>
      <c r="AM73"/>
    </row>
    <row r="74" spans="1:39">
      <c r="A74" s="1294"/>
      <c r="B74" s="1294"/>
      <c r="C74" s="1295" t="s">
        <v>1402</v>
      </c>
      <c r="D74" s="1296"/>
      <c r="E74" s="1054"/>
      <c r="F74" s="1054"/>
      <c r="G74" s="1054"/>
      <c r="H74" s="1054"/>
      <c r="I74" s="1054"/>
      <c r="J74" s="1054"/>
      <c r="K74" s="1054">
        <v>3</v>
      </c>
      <c r="L74" s="1054"/>
      <c r="M74" s="1054"/>
      <c r="N74" s="1054"/>
      <c r="O74" s="1054"/>
      <c r="P74" s="1054"/>
      <c r="Q74" s="1054"/>
      <c r="R74" s="1054"/>
      <c r="S74" s="1054"/>
      <c r="T74" s="1054"/>
      <c r="U74" s="1054"/>
      <c r="V74" s="1054"/>
      <c r="W74" s="1054"/>
      <c r="X74" s="1054"/>
      <c r="Y74" s="1054"/>
      <c r="Z74" s="1054"/>
      <c r="AA74" s="1054"/>
      <c r="AB74" s="1054"/>
      <c r="AC74" s="1054"/>
      <c r="AD74" s="1054"/>
      <c r="AE74" s="1054"/>
      <c r="AF74" s="1054"/>
      <c r="AG74" s="1054"/>
      <c r="AH74" s="1054"/>
      <c r="AI74" s="1054"/>
      <c r="AJ74" s="1297">
        <v>3</v>
      </c>
      <c r="AK74"/>
      <c r="AL74"/>
      <c r="AM74"/>
    </row>
    <row r="75" spans="1:39">
      <c r="A75" s="1294"/>
      <c r="B75" s="1288" t="s">
        <v>1479</v>
      </c>
      <c r="C75" s="1286"/>
      <c r="D75" s="1291"/>
      <c r="E75" s="1292"/>
      <c r="F75" s="1292"/>
      <c r="G75" s="1292"/>
      <c r="H75" s="1292"/>
      <c r="I75" s="1292"/>
      <c r="J75" s="1292"/>
      <c r="K75" s="1292">
        <v>3</v>
      </c>
      <c r="L75" s="1292"/>
      <c r="M75" s="1292">
        <v>1</v>
      </c>
      <c r="N75" s="1292"/>
      <c r="O75" s="1292"/>
      <c r="P75" s="1292"/>
      <c r="Q75" s="1292"/>
      <c r="R75" s="1292"/>
      <c r="S75" s="1292"/>
      <c r="T75" s="1292"/>
      <c r="U75" s="1292"/>
      <c r="V75" s="1292"/>
      <c r="W75" s="1292"/>
      <c r="X75" s="1292"/>
      <c r="Y75" s="1292"/>
      <c r="Z75" s="1292"/>
      <c r="AA75" s="1292"/>
      <c r="AB75" s="1292"/>
      <c r="AC75" s="1292"/>
      <c r="AD75" s="1292"/>
      <c r="AE75" s="1292"/>
      <c r="AF75" s="1292"/>
      <c r="AG75" s="1292"/>
      <c r="AH75" s="1292"/>
      <c r="AI75" s="1292"/>
      <c r="AJ75" s="1293">
        <v>4</v>
      </c>
      <c r="AK75"/>
      <c r="AL75"/>
      <c r="AM75"/>
    </row>
    <row r="76" spans="1:39">
      <c r="A76" s="1294"/>
      <c r="B76" s="1288">
        <v>20</v>
      </c>
      <c r="C76" s="1288" t="s">
        <v>1412</v>
      </c>
      <c r="D76" s="1291"/>
      <c r="E76" s="1292"/>
      <c r="F76" s="1292"/>
      <c r="G76" s="1292"/>
      <c r="H76" s="1292"/>
      <c r="I76" s="1292"/>
      <c r="J76" s="1292"/>
      <c r="K76" s="1292">
        <v>3</v>
      </c>
      <c r="L76" s="1292"/>
      <c r="M76" s="1292"/>
      <c r="N76" s="1292"/>
      <c r="O76" s="1292"/>
      <c r="P76" s="1292"/>
      <c r="Q76" s="1292"/>
      <c r="R76" s="1292"/>
      <c r="S76" s="1292"/>
      <c r="T76" s="1292"/>
      <c r="U76" s="1292"/>
      <c r="V76" s="1292"/>
      <c r="W76" s="1292"/>
      <c r="X76" s="1292"/>
      <c r="Y76" s="1292"/>
      <c r="Z76" s="1292"/>
      <c r="AA76" s="1292"/>
      <c r="AB76" s="1292"/>
      <c r="AC76" s="1292"/>
      <c r="AD76" s="1292"/>
      <c r="AE76" s="1292">
        <v>1</v>
      </c>
      <c r="AF76" s="1292"/>
      <c r="AG76" s="1292"/>
      <c r="AH76" s="1292"/>
      <c r="AI76" s="1292"/>
      <c r="AJ76" s="1293">
        <v>4</v>
      </c>
      <c r="AK76"/>
      <c r="AL76"/>
      <c r="AM76"/>
    </row>
    <row r="77" spans="1:39">
      <c r="A77" s="1294"/>
      <c r="B77" s="1294"/>
      <c r="C77" s="1295" t="s">
        <v>1402</v>
      </c>
      <c r="D77" s="1296"/>
      <c r="E77" s="1054"/>
      <c r="F77" s="1054"/>
      <c r="G77" s="1054"/>
      <c r="H77" s="1054"/>
      <c r="I77" s="1054"/>
      <c r="J77" s="1054"/>
      <c r="K77" s="1054">
        <v>22</v>
      </c>
      <c r="L77" s="1054"/>
      <c r="M77" s="1054">
        <v>1</v>
      </c>
      <c r="N77" s="1054">
        <v>5</v>
      </c>
      <c r="O77" s="1054">
        <v>1</v>
      </c>
      <c r="P77" s="1054">
        <v>1</v>
      </c>
      <c r="Q77" s="1054"/>
      <c r="R77" s="1054"/>
      <c r="S77" s="1054">
        <v>1</v>
      </c>
      <c r="T77" s="1054"/>
      <c r="U77" s="1054"/>
      <c r="V77" s="1054"/>
      <c r="W77" s="1054"/>
      <c r="X77" s="1054"/>
      <c r="Y77" s="1054"/>
      <c r="Z77" s="1054"/>
      <c r="AA77" s="1054"/>
      <c r="AB77" s="1054"/>
      <c r="AC77" s="1054"/>
      <c r="AD77" s="1054"/>
      <c r="AE77" s="1054"/>
      <c r="AF77" s="1054"/>
      <c r="AG77" s="1054"/>
      <c r="AH77" s="1054"/>
      <c r="AI77" s="1054"/>
      <c r="AJ77" s="1297">
        <v>31</v>
      </c>
      <c r="AK77"/>
      <c r="AL77"/>
      <c r="AM77"/>
    </row>
    <row r="78" spans="1:39">
      <c r="A78" s="1294"/>
      <c r="B78" s="1288" t="s">
        <v>1422</v>
      </c>
      <c r="C78" s="1286"/>
      <c r="D78" s="1291"/>
      <c r="E78" s="1292"/>
      <c r="F78" s="1292"/>
      <c r="G78" s="1292"/>
      <c r="H78" s="1292"/>
      <c r="I78" s="1292"/>
      <c r="J78" s="1292"/>
      <c r="K78" s="1292">
        <v>25</v>
      </c>
      <c r="L78" s="1292"/>
      <c r="M78" s="1292">
        <v>1</v>
      </c>
      <c r="N78" s="1292">
        <v>5</v>
      </c>
      <c r="O78" s="1292">
        <v>1</v>
      </c>
      <c r="P78" s="1292">
        <v>1</v>
      </c>
      <c r="Q78" s="1292"/>
      <c r="R78" s="1292"/>
      <c r="S78" s="1292">
        <v>1</v>
      </c>
      <c r="T78" s="1292"/>
      <c r="U78" s="1292"/>
      <c r="V78" s="1292"/>
      <c r="W78" s="1292"/>
      <c r="X78" s="1292"/>
      <c r="Y78" s="1292"/>
      <c r="Z78" s="1292"/>
      <c r="AA78" s="1292"/>
      <c r="AB78" s="1292"/>
      <c r="AC78" s="1292"/>
      <c r="AD78" s="1292"/>
      <c r="AE78" s="1292">
        <v>1</v>
      </c>
      <c r="AF78" s="1292"/>
      <c r="AG78" s="1292"/>
      <c r="AH78" s="1292"/>
      <c r="AI78" s="1292"/>
      <c r="AJ78" s="1293">
        <v>35</v>
      </c>
      <c r="AK78"/>
      <c r="AL78"/>
      <c r="AM78"/>
    </row>
    <row r="79" spans="1:39">
      <c r="A79" s="1294"/>
      <c r="B79" s="1288">
        <v>25</v>
      </c>
      <c r="C79" s="1288" t="s">
        <v>1412</v>
      </c>
      <c r="D79" s="1291"/>
      <c r="E79" s="1292"/>
      <c r="F79" s="1292"/>
      <c r="G79" s="1292"/>
      <c r="H79" s="1292"/>
      <c r="I79" s="1292"/>
      <c r="J79" s="1292"/>
      <c r="K79" s="1292">
        <v>6</v>
      </c>
      <c r="L79" s="1292"/>
      <c r="M79" s="1292"/>
      <c r="N79" s="1292"/>
      <c r="O79" s="1292"/>
      <c r="P79" s="1292"/>
      <c r="Q79" s="1292"/>
      <c r="R79" s="1292"/>
      <c r="S79" s="1292"/>
      <c r="T79" s="1292"/>
      <c r="U79" s="1292"/>
      <c r="V79" s="1292"/>
      <c r="W79" s="1292"/>
      <c r="X79" s="1292"/>
      <c r="Y79" s="1292"/>
      <c r="Z79" s="1292"/>
      <c r="AA79" s="1292"/>
      <c r="AB79" s="1292"/>
      <c r="AC79" s="1292"/>
      <c r="AD79" s="1292"/>
      <c r="AE79" s="1292"/>
      <c r="AF79" s="1292"/>
      <c r="AG79" s="1292"/>
      <c r="AH79" s="1292"/>
      <c r="AI79" s="1292"/>
      <c r="AJ79" s="1293">
        <v>6</v>
      </c>
      <c r="AK79"/>
      <c r="AL79"/>
      <c r="AM79"/>
    </row>
    <row r="80" spans="1:39">
      <c r="A80" s="1294"/>
      <c r="B80" s="1294"/>
      <c r="C80" s="1295" t="s">
        <v>1402</v>
      </c>
      <c r="D80" s="1296"/>
      <c r="E80" s="1054"/>
      <c r="F80" s="1054"/>
      <c r="G80" s="1054"/>
      <c r="H80" s="1054"/>
      <c r="I80" s="1054"/>
      <c r="J80" s="1054"/>
      <c r="K80" s="1054">
        <v>23</v>
      </c>
      <c r="L80" s="1054"/>
      <c r="M80" s="1054">
        <v>1</v>
      </c>
      <c r="N80" s="1054">
        <v>5</v>
      </c>
      <c r="O80" s="1054"/>
      <c r="P80" s="1054"/>
      <c r="Q80" s="1054"/>
      <c r="R80" s="1054"/>
      <c r="S80" s="1054"/>
      <c r="T80" s="1054"/>
      <c r="U80" s="1054"/>
      <c r="V80" s="1054"/>
      <c r="W80" s="1054"/>
      <c r="X80" s="1054"/>
      <c r="Y80" s="1054"/>
      <c r="Z80" s="1054"/>
      <c r="AA80" s="1054"/>
      <c r="AB80" s="1054"/>
      <c r="AC80" s="1054"/>
      <c r="AD80" s="1054"/>
      <c r="AE80" s="1054"/>
      <c r="AF80" s="1054"/>
      <c r="AG80" s="1054"/>
      <c r="AH80" s="1054"/>
      <c r="AI80" s="1054"/>
      <c r="AJ80" s="1297">
        <v>29</v>
      </c>
      <c r="AK80"/>
      <c r="AL80"/>
      <c r="AM80"/>
    </row>
    <row r="81" spans="1:39">
      <c r="A81" s="1294"/>
      <c r="B81" s="1288" t="s">
        <v>1423</v>
      </c>
      <c r="C81" s="1286"/>
      <c r="D81" s="1291"/>
      <c r="E81" s="1292"/>
      <c r="F81" s="1292"/>
      <c r="G81" s="1292"/>
      <c r="H81" s="1292"/>
      <c r="I81" s="1292"/>
      <c r="J81" s="1292"/>
      <c r="K81" s="1292">
        <v>29</v>
      </c>
      <c r="L81" s="1292"/>
      <c r="M81" s="1292">
        <v>1</v>
      </c>
      <c r="N81" s="1292">
        <v>5</v>
      </c>
      <c r="O81" s="1292"/>
      <c r="P81" s="1292"/>
      <c r="Q81" s="1292"/>
      <c r="R81" s="1292"/>
      <c r="S81" s="1292"/>
      <c r="T81" s="1292"/>
      <c r="U81" s="1292"/>
      <c r="V81" s="1292"/>
      <c r="W81" s="1292"/>
      <c r="X81" s="1292"/>
      <c r="Y81" s="1292"/>
      <c r="Z81" s="1292"/>
      <c r="AA81" s="1292"/>
      <c r="AB81" s="1292"/>
      <c r="AC81" s="1292"/>
      <c r="AD81" s="1292"/>
      <c r="AE81" s="1292"/>
      <c r="AF81" s="1292"/>
      <c r="AG81" s="1292"/>
      <c r="AH81" s="1292"/>
      <c r="AI81" s="1292"/>
      <c r="AJ81" s="1293">
        <v>35</v>
      </c>
      <c r="AK81"/>
      <c r="AL81"/>
      <c r="AM81"/>
    </row>
    <row r="82" spans="1:39">
      <c r="A82" s="1294"/>
      <c r="B82" s="1288">
        <v>30</v>
      </c>
      <c r="C82" s="1288" t="s">
        <v>1412</v>
      </c>
      <c r="D82" s="1291"/>
      <c r="E82" s="1292"/>
      <c r="F82" s="1292"/>
      <c r="G82" s="1292"/>
      <c r="H82" s="1292"/>
      <c r="I82" s="1292"/>
      <c r="J82" s="1292"/>
      <c r="K82" s="1292">
        <v>6</v>
      </c>
      <c r="L82" s="1292">
        <v>1</v>
      </c>
      <c r="M82" s="1292"/>
      <c r="N82" s="1292">
        <v>1</v>
      </c>
      <c r="O82" s="1292"/>
      <c r="P82" s="1292"/>
      <c r="Q82" s="1292">
        <v>1</v>
      </c>
      <c r="R82" s="1292">
        <v>1</v>
      </c>
      <c r="S82" s="1292"/>
      <c r="T82" s="1292"/>
      <c r="U82" s="1292"/>
      <c r="V82" s="1292"/>
      <c r="W82" s="1292"/>
      <c r="X82" s="1292"/>
      <c r="Y82" s="1292"/>
      <c r="Z82" s="1292"/>
      <c r="AA82" s="1292"/>
      <c r="AB82" s="1292"/>
      <c r="AC82" s="1292"/>
      <c r="AD82" s="1292"/>
      <c r="AE82" s="1292"/>
      <c r="AF82" s="1292"/>
      <c r="AG82" s="1292"/>
      <c r="AH82" s="1292"/>
      <c r="AI82" s="1292"/>
      <c r="AJ82" s="1293">
        <v>10</v>
      </c>
      <c r="AK82"/>
      <c r="AL82"/>
      <c r="AM82"/>
    </row>
    <row r="83" spans="1:39">
      <c r="A83" s="1294"/>
      <c r="B83" s="1294"/>
      <c r="C83" s="1295" t="s">
        <v>1402</v>
      </c>
      <c r="D83" s="1296"/>
      <c r="E83" s="1054"/>
      <c r="F83" s="1054"/>
      <c r="G83" s="1054"/>
      <c r="H83" s="1054"/>
      <c r="I83" s="1054"/>
      <c r="J83" s="1054"/>
      <c r="K83" s="1054">
        <v>18</v>
      </c>
      <c r="L83" s="1054"/>
      <c r="M83" s="1054">
        <v>2</v>
      </c>
      <c r="N83" s="1054">
        <v>11</v>
      </c>
      <c r="O83" s="1054"/>
      <c r="P83" s="1054"/>
      <c r="Q83" s="1054"/>
      <c r="R83" s="1054"/>
      <c r="S83" s="1054"/>
      <c r="T83" s="1054"/>
      <c r="U83" s="1054"/>
      <c r="V83" s="1054"/>
      <c r="W83" s="1054"/>
      <c r="X83" s="1054"/>
      <c r="Y83" s="1054"/>
      <c r="Z83" s="1054"/>
      <c r="AA83" s="1054"/>
      <c r="AB83" s="1054"/>
      <c r="AC83" s="1054"/>
      <c r="AD83" s="1054"/>
      <c r="AE83" s="1054"/>
      <c r="AF83" s="1054"/>
      <c r="AG83" s="1054"/>
      <c r="AH83" s="1054"/>
      <c r="AI83" s="1054"/>
      <c r="AJ83" s="1297">
        <v>31</v>
      </c>
      <c r="AK83"/>
      <c r="AL83"/>
      <c r="AM83"/>
    </row>
    <row r="84" spans="1:39">
      <c r="A84" s="1294"/>
      <c r="B84" s="1288" t="s">
        <v>1424</v>
      </c>
      <c r="C84" s="1286"/>
      <c r="D84" s="1291"/>
      <c r="E84" s="1292"/>
      <c r="F84" s="1292"/>
      <c r="G84" s="1292"/>
      <c r="H84" s="1292"/>
      <c r="I84" s="1292"/>
      <c r="J84" s="1292"/>
      <c r="K84" s="1292">
        <v>24</v>
      </c>
      <c r="L84" s="1292">
        <v>1</v>
      </c>
      <c r="M84" s="1292">
        <v>2</v>
      </c>
      <c r="N84" s="1292">
        <v>12</v>
      </c>
      <c r="O84" s="1292"/>
      <c r="P84" s="1292"/>
      <c r="Q84" s="1292">
        <v>1</v>
      </c>
      <c r="R84" s="1292">
        <v>1</v>
      </c>
      <c r="S84" s="1292"/>
      <c r="T84" s="1292"/>
      <c r="U84" s="1292"/>
      <c r="V84" s="1292"/>
      <c r="W84" s="1292"/>
      <c r="X84" s="1292"/>
      <c r="Y84" s="1292"/>
      <c r="Z84" s="1292"/>
      <c r="AA84" s="1292"/>
      <c r="AB84" s="1292"/>
      <c r="AC84" s="1292"/>
      <c r="AD84" s="1292"/>
      <c r="AE84" s="1292"/>
      <c r="AF84" s="1292"/>
      <c r="AG84" s="1292"/>
      <c r="AH84" s="1292"/>
      <c r="AI84" s="1292"/>
      <c r="AJ84" s="1293">
        <v>41</v>
      </c>
      <c r="AK84"/>
      <c r="AL84"/>
      <c r="AM84"/>
    </row>
    <row r="85" spans="1:39">
      <c r="A85" s="1294"/>
      <c r="B85" s="1288">
        <v>40</v>
      </c>
      <c r="C85" s="1288" t="s">
        <v>1412</v>
      </c>
      <c r="D85" s="1291"/>
      <c r="E85" s="1292"/>
      <c r="F85" s="1292"/>
      <c r="G85" s="1292"/>
      <c r="H85" s="1292"/>
      <c r="I85" s="1292"/>
      <c r="J85" s="1292"/>
      <c r="K85" s="1292">
        <v>9</v>
      </c>
      <c r="L85" s="1292"/>
      <c r="M85" s="1292"/>
      <c r="N85" s="1292">
        <v>3</v>
      </c>
      <c r="O85" s="1292"/>
      <c r="P85" s="1292"/>
      <c r="Q85" s="1292"/>
      <c r="R85" s="1292">
        <v>3</v>
      </c>
      <c r="S85" s="1292"/>
      <c r="T85" s="1292"/>
      <c r="U85" s="1292"/>
      <c r="V85" s="1292"/>
      <c r="W85" s="1292"/>
      <c r="X85" s="1292"/>
      <c r="Y85" s="1292"/>
      <c r="Z85" s="1292"/>
      <c r="AA85" s="1292"/>
      <c r="AB85" s="1292"/>
      <c r="AC85" s="1292"/>
      <c r="AD85" s="1292"/>
      <c r="AE85" s="1292"/>
      <c r="AF85" s="1292"/>
      <c r="AG85" s="1292"/>
      <c r="AH85" s="1292"/>
      <c r="AI85" s="1292"/>
      <c r="AJ85" s="1293">
        <v>15</v>
      </c>
      <c r="AK85"/>
      <c r="AL85"/>
      <c r="AM85"/>
    </row>
    <row r="86" spans="1:39">
      <c r="A86" s="1294"/>
      <c r="B86" s="1294"/>
      <c r="C86" s="1295" t="s">
        <v>1402</v>
      </c>
      <c r="D86" s="1296"/>
      <c r="E86" s="1054"/>
      <c r="F86" s="1054"/>
      <c r="G86" s="1054"/>
      <c r="H86" s="1054"/>
      <c r="I86" s="1054"/>
      <c r="J86" s="1054"/>
      <c r="K86" s="1054">
        <v>16</v>
      </c>
      <c r="L86" s="1054">
        <v>2</v>
      </c>
      <c r="M86" s="1054">
        <v>3</v>
      </c>
      <c r="N86" s="1054">
        <v>13</v>
      </c>
      <c r="O86" s="1054"/>
      <c r="P86" s="1054"/>
      <c r="Q86" s="1054">
        <v>1</v>
      </c>
      <c r="R86" s="1054">
        <v>3</v>
      </c>
      <c r="S86" s="1054"/>
      <c r="T86" s="1054"/>
      <c r="U86" s="1054"/>
      <c r="V86" s="1054"/>
      <c r="W86" s="1054"/>
      <c r="X86" s="1054"/>
      <c r="Y86" s="1054"/>
      <c r="Z86" s="1054"/>
      <c r="AA86" s="1054"/>
      <c r="AB86" s="1054"/>
      <c r="AC86" s="1054"/>
      <c r="AD86" s="1054"/>
      <c r="AE86" s="1054"/>
      <c r="AF86" s="1054"/>
      <c r="AG86" s="1054"/>
      <c r="AH86" s="1054"/>
      <c r="AI86" s="1054"/>
      <c r="AJ86" s="1297">
        <v>38</v>
      </c>
      <c r="AK86"/>
      <c r="AL86"/>
      <c r="AM86"/>
    </row>
    <row r="87" spans="1:39">
      <c r="A87" s="1294"/>
      <c r="B87" s="1288" t="s">
        <v>1425</v>
      </c>
      <c r="C87" s="1286"/>
      <c r="D87" s="1291"/>
      <c r="E87" s="1292"/>
      <c r="F87" s="1292"/>
      <c r="G87" s="1292"/>
      <c r="H87" s="1292"/>
      <c r="I87" s="1292"/>
      <c r="J87" s="1292"/>
      <c r="K87" s="1292">
        <v>25</v>
      </c>
      <c r="L87" s="1292">
        <v>2</v>
      </c>
      <c r="M87" s="1292">
        <v>3</v>
      </c>
      <c r="N87" s="1292">
        <v>16</v>
      </c>
      <c r="O87" s="1292"/>
      <c r="P87" s="1292"/>
      <c r="Q87" s="1292">
        <v>1</v>
      </c>
      <c r="R87" s="1292">
        <v>6</v>
      </c>
      <c r="S87" s="1292"/>
      <c r="T87" s="1292"/>
      <c r="U87" s="1292"/>
      <c r="V87" s="1292"/>
      <c r="W87" s="1292"/>
      <c r="X87" s="1292"/>
      <c r="Y87" s="1292"/>
      <c r="Z87" s="1292"/>
      <c r="AA87" s="1292"/>
      <c r="AB87" s="1292"/>
      <c r="AC87" s="1292"/>
      <c r="AD87" s="1292"/>
      <c r="AE87" s="1292"/>
      <c r="AF87" s="1292"/>
      <c r="AG87" s="1292"/>
      <c r="AH87" s="1292"/>
      <c r="AI87" s="1292"/>
      <c r="AJ87" s="1293">
        <v>53</v>
      </c>
      <c r="AK87"/>
      <c r="AL87"/>
      <c r="AM87"/>
    </row>
    <row r="88" spans="1:39">
      <c r="A88" s="1288" t="s">
        <v>1426</v>
      </c>
      <c r="B88" s="1286"/>
      <c r="C88" s="1286"/>
      <c r="D88" s="1291"/>
      <c r="E88" s="1292"/>
      <c r="F88" s="1292"/>
      <c r="G88" s="1292"/>
      <c r="H88" s="1292"/>
      <c r="I88" s="1292"/>
      <c r="J88" s="1292"/>
      <c r="K88" s="1292">
        <v>118</v>
      </c>
      <c r="L88" s="1292">
        <v>3</v>
      </c>
      <c r="M88" s="1292">
        <v>8</v>
      </c>
      <c r="N88" s="1292">
        <v>42</v>
      </c>
      <c r="O88" s="1292">
        <v>2</v>
      </c>
      <c r="P88" s="1292">
        <v>1</v>
      </c>
      <c r="Q88" s="1292">
        <v>3</v>
      </c>
      <c r="R88" s="1292">
        <v>7</v>
      </c>
      <c r="S88" s="1292">
        <v>2</v>
      </c>
      <c r="T88" s="1292"/>
      <c r="U88" s="1292"/>
      <c r="V88" s="1292"/>
      <c r="W88" s="1292"/>
      <c r="X88" s="1292"/>
      <c r="Y88" s="1292"/>
      <c r="Z88" s="1292"/>
      <c r="AA88" s="1292"/>
      <c r="AB88" s="1292"/>
      <c r="AC88" s="1292"/>
      <c r="AD88" s="1292"/>
      <c r="AE88" s="1292">
        <v>1</v>
      </c>
      <c r="AF88" s="1292"/>
      <c r="AG88" s="1292"/>
      <c r="AH88" s="1292"/>
      <c r="AI88" s="1292"/>
      <c r="AJ88" s="1293">
        <v>187</v>
      </c>
      <c r="AK88"/>
      <c r="AL88"/>
      <c r="AM88"/>
    </row>
    <row r="89" spans="1:39">
      <c r="A89" s="1288" t="s">
        <v>434</v>
      </c>
      <c r="B89" s="1288">
        <v>0.16</v>
      </c>
      <c r="C89" s="1286"/>
      <c r="D89" s="1291"/>
      <c r="E89" s="1292"/>
      <c r="F89" s="1292"/>
      <c r="G89" s="1292"/>
      <c r="H89" s="1292"/>
      <c r="I89" s="1292"/>
      <c r="J89" s="1292"/>
      <c r="K89" s="1292"/>
      <c r="L89" s="1292"/>
      <c r="M89" s="1292"/>
      <c r="N89" s="1292"/>
      <c r="O89" s="1292"/>
      <c r="P89" s="1292"/>
      <c r="Q89" s="1292"/>
      <c r="R89" s="1292"/>
      <c r="S89" s="1292"/>
      <c r="T89" s="1292">
        <v>2204</v>
      </c>
      <c r="U89" s="1292">
        <v>13</v>
      </c>
      <c r="V89" s="1292">
        <v>29</v>
      </c>
      <c r="W89" s="1292">
        <v>249</v>
      </c>
      <c r="X89" s="1292">
        <v>1</v>
      </c>
      <c r="Y89" s="1292">
        <v>12</v>
      </c>
      <c r="Z89" s="1292">
        <v>11</v>
      </c>
      <c r="AA89" s="1292">
        <v>303</v>
      </c>
      <c r="AB89" s="1292"/>
      <c r="AC89" s="1292"/>
      <c r="AD89" s="1292"/>
      <c r="AE89" s="1292">
        <v>38</v>
      </c>
      <c r="AF89" s="1292"/>
      <c r="AG89" s="1292"/>
      <c r="AH89" s="1292">
        <v>6</v>
      </c>
      <c r="AI89" s="1292">
        <v>1</v>
      </c>
      <c r="AJ89" s="1293">
        <v>2867</v>
      </c>
      <c r="AK89"/>
      <c r="AL89"/>
      <c r="AM89"/>
    </row>
    <row r="90" spans="1:39">
      <c r="A90" s="1294"/>
      <c r="B90" s="1288">
        <v>0.3</v>
      </c>
      <c r="C90" s="1288" t="s">
        <v>1402</v>
      </c>
      <c r="D90" s="1291"/>
      <c r="E90" s="1292"/>
      <c r="F90" s="1292"/>
      <c r="G90" s="1292"/>
      <c r="H90" s="1292"/>
      <c r="I90" s="1292"/>
      <c r="J90" s="1292"/>
      <c r="K90" s="1292"/>
      <c r="L90" s="1292"/>
      <c r="M90" s="1292"/>
      <c r="N90" s="1292"/>
      <c r="O90" s="1292"/>
      <c r="P90" s="1292"/>
      <c r="Q90" s="1292"/>
      <c r="R90" s="1292"/>
      <c r="S90" s="1292"/>
      <c r="T90" s="1292">
        <v>3509</v>
      </c>
      <c r="U90" s="1292">
        <v>30</v>
      </c>
      <c r="V90" s="1292">
        <v>87</v>
      </c>
      <c r="W90" s="1292">
        <v>486</v>
      </c>
      <c r="X90" s="1292">
        <v>9</v>
      </c>
      <c r="Y90" s="1292">
        <v>141</v>
      </c>
      <c r="Z90" s="1292">
        <v>1058</v>
      </c>
      <c r="AA90" s="1292">
        <v>365</v>
      </c>
      <c r="AB90" s="1292">
        <v>5</v>
      </c>
      <c r="AC90" s="1292">
        <v>6</v>
      </c>
      <c r="AD90" s="1292"/>
      <c r="AE90" s="1292">
        <v>3</v>
      </c>
      <c r="AF90" s="1292"/>
      <c r="AG90" s="1292">
        <v>1</v>
      </c>
      <c r="AH90" s="1292">
        <v>21</v>
      </c>
      <c r="AI90" s="1292">
        <v>1</v>
      </c>
      <c r="AJ90" s="1293">
        <v>5722</v>
      </c>
      <c r="AK90"/>
      <c r="AL90"/>
      <c r="AM90"/>
    </row>
    <row r="91" spans="1:39">
      <c r="A91" s="1294"/>
      <c r="B91" s="1288" t="s">
        <v>1404</v>
      </c>
      <c r="C91" s="1286"/>
      <c r="D91" s="1291"/>
      <c r="E91" s="1292"/>
      <c r="F91" s="1292"/>
      <c r="G91" s="1292"/>
      <c r="H91" s="1292"/>
      <c r="I91" s="1292"/>
      <c r="J91" s="1292"/>
      <c r="K91" s="1292"/>
      <c r="L91" s="1292"/>
      <c r="M91" s="1292"/>
      <c r="N91" s="1292"/>
      <c r="O91" s="1292"/>
      <c r="P91" s="1292"/>
      <c r="Q91" s="1292"/>
      <c r="R91" s="1292"/>
      <c r="S91" s="1292"/>
      <c r="T91" s="1292">
        <v>3509</v>
      </c>
      <c r="U91" s="1292">
        <v>30</v>
      </c>
      <c r="V91" s="1292">
        <v>87</v>
      </c>
      <c r="W91" s="1292">
        <v>486</v>
      </c>
      <c r="X91" s="1292">
        <v>9</v>
      </c>
      <c r="Y91" s="1292">
        <v>141</v>
      </c>
      <c r="Z91" s="1292">
        <v>1058</v>
      </c>
      <c r="AA91" s="1292">
        <v>365</v>
      </c>
      <c r="AB91" s="1292">
        <v>5</v>
      </c>
      <c r="AC91" s="1292">
        <v>6</v>
      </c>
      <c r="AD91" s="1292"/>
      <c r="AE91" s="1292">
        <v>3</v>
      </c>
      <c r="AF91" s="1292"/>
      <c r="AG91" s="1292">
        <v>1</v>
      </c>
      <c r="AH91" s="1292">
        <v>21</v>
      </c>
      <c r="AI91" s="1292">
        <v>1</v>
      </c>
      <c r="AJ91" s="1293">
        <v>5722</v>
      </c>
      <c r="AK91"/>
      <c r="AL91"/>
      <c r="AM91"/>
    </row>
    <row r="92" spans="1:39">
      <c r="A92" s="1294"/>
      <c r="B92" s="1288">
        <v>0.32</v>
      </c>
      <c r="C92" s="1288" t="s">
        <v>1402</v>
      </c>
      <c r="D92" s="1291"/>
      <c r="E92" s="1292"/>
      <c r="F92" s="1292"/>
      <c r="G92" s="1292"/>
      <c r="H92" s="1292"/>
      <c r="I92" s="1292"/>
      <c r="J92" s="1292"/>
      <c r="K92" s="1292"/>
      <c r="L92" s="1292"/>
      <c r="M92" s="1292"/>
      <c r="N92" s="1292"/>
      <c r="O92" s="1292"/>
      <c r="P92" s="1292"/>
      <c r="Q92" s="1292"/>
      <c r="R92" s="1292"/>
      <c r="S92" s="1292"/>
      <c r="T92" s="1292">
        <v>1</v>
      </c>
      <c r="U92" s="1292"/>
      <c r="V92" s="1292"/>
      <c r="W92" s="1292"/>
      <c r="X92" s="1292"/>
      <c r="Y92" s="1292"/>
      <c r="Z92" s="1292"/>
      <c r="AA92" s="1292"/>
      <c r="AB92" s="1292"/>
      <c r="AC92" s="1292">
        <v>6</v>
      </c>
      <c r="AD92" s="1292"/>
      <c r="AE92" s="1292"/>
      <c r="AF92" s="1292"/>
      <c r="AG92" s="1292"/>
      <c r="AH92" s="1292"/>
      <c r="AI92" s="1292"/>
      <c r="AJ92" s="1293">
        <v>7</v>
      </c>
      <c r="AK92"/>
      <c r="AL92"/>
      <c r="AM92"/>
    </row>
    <row r="93" spans="1:39">
      <c r="A93" s="1294"/>
      <c r="B93" s="1288" t="s">
        <v>1476</v>
      </c>
      <c r="C93" s="1286"/>
      <c r="D93" s="1291"/>
      <c r="E93" s="1292"/>
      <c r="F93" s="1292"/>
      <c r="G93" s="1292"/>
      <c r="H93" s="1292"/>
      <c r="I93" s="1292"/>
      <c r="J93" s="1292"/>
      <c r="K93" s="1292"/>
      <c r="L93" s="1292"/>
      <c r="M93" s="1292"/>
      <c r="N93" s="1292"/>
      <c r="O93" s="1292"/>
      <c r="P93" s="1292"/>
      <c r="Q93" s="1292"/>
      <c r="R93" s="1292"/>
      <c r="S93" s="1292"/>
      <c r="T93" s="1292">
        <v>1</v>
      </c>
      <c r="U93" s="1292"/>
      <c r="V93" s="1292"/>
      <c r="W93" s="1292"/>
      <c r="X93" s="1292"/>
      <c r="Y93" s="1292"/>
      <c r="Z93" s="1292"/>
      <c r="AA93" s="1292"/>
      <c r="AB93" s="1292"/>
      <c r="AC93" s="1292">
        <v>6</v>
      </c>
      <c r="AD93" s="1292"/>
      <c r="AE93" s="1292"/>
      <c r="AF93" s="1292"/>
      <c r="AG93" s="1292"/>
      <c r="AH93" s="1292"/>
      <c r="AI93" s="1292"/>
      <c r="AJ93" s="1293">
        <v>7</v>
      </c>
      <c r="AK93"/>
      <c r="AL93"/>
      <c r="AM93"/>
    </row>
    <row r="94" spans="1:39">
      <c r="A94" s="1294"/>
      <c r="B94" s="1288">
        <v>0.45</v>
      </c>
      <c r="C94" s="1288" t="s">
        <v>1402</v>
      </c>
      <c r="D94" s="1291"/>
      <c r="E94" s="1292"/>
      <c r="F94" s="1292"/>
      <c r="G94" s="1292"/>
      <c r="H94" s="1292"/>
      <c r="I94" s="1292"/>
      <c r="J94" s="1292">
        <v>1</v>
      </c>
      <c r="K94" s="1292"/>
      <c r="L94" s="1292"/>
      <c r="M94" s="1292"/>
      <c r="N94" s="1292">
        <v>1</v>
      </c>
      <c r="O94" s="1292"/>
      <c r="P94" s="1292"/>
      <c r="Q94" s="1292"/>
      <c r="R94" s="1292"/>
      <c r="S94" s="1292"/>
      <c r="T94" s="1292">
        <v>24002</v>
      </c>
      <c r="U94" s="1292">
        <v>4054</v>
      </c>
      <c r="V94" s="1292">
        <v>6891</v>
      </c>
      <c r="W94" s="1292">
        <v>7913</v>
      </c>
      <c r="X94" s="1292">
        <v>1073</v>
      </c>
      <c r="Y94" s="1292">
        <v>787</v>
      </c>
      <c r="Z94" s="1292">
        <v>551</v>
      </c>
      <c r="AA94" s="1292">
        <v>1102</v>
      </c>
      <c r="AB94" s="1292">
        <v>101</v>
      </c>
      <c r="AC94" s="1292">
        <v>179</v>
      </c>
      <c r="AD94" s="1292"/>
      <c r="AE94" s="1292">
        <v>57</v>
      </c>
      <c r="AF94" s="1292">
        <v>8</v>
      </c>
      <c r="AG94" s="1292">
        <v>52</v>
      </c>
      <c r="AH94" s="1292">
        <v>193</v>
      </c>
      <c r="AI94" s="1292">
        <v>143</v>
      </c>
      <c r="AJ94" s="1293">
        <v>47108</v>
      </c>
      <c r="AK94"/>
      <c r="AL94"/>
      <c r="AM94"/>
    </row>
    <row r="95" spans="1:39">
      <c r="A95" s="1294"/>
      <c r="B95" s="1288" t="s">
        <v>1405</v>
      </c>
      <c r="C95" s="1286"/>
      <c r="D95" s="1291"/>
      <c r="E95" s="1292"/>
      <c r="F95" s="1292"/>
      <c r="G95" s="1292"/>
      <c r="H95" s="1292"/>
      <c r="I95" s="1292"/>
      <c r="J95" s="1292">
        <v>1</v>
      </c>
      <c r="K95" s="1292"/>
      <c r="L95" s="1292"/>
      <c r="M95" s="1292"/>
      <c r="N95" s="1292">
        <v>1</v>
      </c>
      <c r="O95" s="1292"/>
      <c r="P95" s="1292"/>
      <c r="Q95" s="1292"/>
      <c r="R95" s="1292"/>
      <c r="S95" s="1292"/>
      <c r="T95" s="1292">
        <v>24002</v>
      </c>
      <c r="U95" s="1292">
        <v>4054</v>
      </c>
      <c r="V95" s="1292">
        <v>6891</v>
      </c>
      <c r="W95" s="1292">
        <v>7913</v>
      </c>
      <c r="X95" s="1292">
        <v>1073</v>
      </c>
      <c r="Y95" s="1292">
        <v>787</v>
      </c>
      <c r="Z95" s="1292">
        <v>551</v>
      </c>
      <c r="AA95" s="1292">
        <v>1102</v>
      </c>
      <c r="AB95" s="1292">
        <v>101</v>
      </c>
      <c r="AC95" s="1292">
        <v>179</v>
      </c>
      <c r="AD95" s="1292"/>
      <c r="AE95" s="1292">
        <v>57</v>
      </c>
      <c r="AF95" s="1292">
        <v>8</v>
      </c>
      <c r="AG95" s="1292">
        <v>52</v>
      </c>
      <c r="AH95" s="1292">
        <v>193</v>
      </c>
      <c r="AI95" s="1292">
        <v>143</v>
      </c>
      <c r="AJ95" s="1293">
        <v>47108</v>
      </c>
      <c r="AK95"/>
      <c r="AL95"/>
      <c r="AM95"/>
    </row>
    <row r="96" spans="1:39">
      <c r="A96" s="1294"/>
      <c r="B96" s="1288">
        <v>0.5</v>
      </c>
      <c r="C96" s="1288" t="s">
        <v>1402</v>
      </c>
      <c r="D96" s="1291"/>
      <c r="E96" s="1292"/>
      <c r="F96" s="1292"/>
      <c r="G96" s="1292"/>
      <c r="H96" s="1292"/>
      <c r="I96" s="1292"/>
      <c r="J96" s="1292"/>
      <c r="K96" s="1292"/>
      <c r="L96" s="1292"/>
      <c r="M96" s="1292"/>
      <c r="N96" s="1292"/>
      <c r="O96" s="1292"/>
      <c r="P96" s="1292"/>
      <c r="Q96" s="1292"/>
      <c r="R96" s="1292"/>
      <c r="S96" s="1292"/>
      <c r="T96" s="1292"/>
      <c r="U96" s="1292"/>
      <c r="V96" s="1292"/>
      <c r="W96" s="1292"/>
      <c r="X96" s="1292"/>
      <c r="Y96" s="1292"/>
      <c r="Z96" s="1292"/>
      <c r="AA96" s="1292">
        <v>1843</v>
      </c>
      <c r="AB96" s="1292"/>
      <c r="AC96" s="1292"/>
      <c r="AD96" s="1292"/>
      <c r="AE96" s="1292"/>
      <c r="AF96" s="1292"/>
      <c r="AG96" s="1292"/>
      <c r="AH96" s="1292"/>
      <c r="AI96" s="1292"/>
      <c r="AJ96" s="1293">
        <v>1843</v>
      </c>
      <c r="AK96"/>
      <c r="AL96"/>
      <c r="AM96"/>
    </row>
    <row r="97" spans="1:52">
      <c r="A97" s="1294"/>
      <c r="B97" s="1288" t="s">
        <v>1480</v>
      </c>
      <c r="C97" s="1286"/>
      <c r="D97" s="1291"/>
      <c r="E97" s="1292"/>
      <c r="F97" s="1292"/>
      <c r="G97" s="1292"/>
      <c r="H97" s="1292"/>
      <c r="I97" s="1292"/>
      <c r="J97" s="1292"/>
      <c r="K97" s="1292"/>
      <c r="L97" s="1292"/>
      <c r="M97" s="1292"/>
      <c r="N97" s="1292"/>
      <c r="O97" s="1292"/>
      <c r="P97" s="1292"/>
      <c r="Q97" s="1292"/>
      <c r="R97" s="1292"/>
      <c r="S97" s="1292"/>
      <c r="T97" s="1292"/>
      <c r="U97" s="1292"/>
      <c r="V97" s="1292"/>
      <c r="W97" s="1292"/>
      <c r="X97" s="1292"/>
      <c r="Y97" s="1292"/>
      <c r="Z97" s="1292"/>
      <c r="AA97" s="1292">
        <v>1843</v>
      </c>
      <c r="AB97" s="1292"/>
      <c r="AC97" s="1292"/>
      <c r="AD97" s="1292"/>
      <c r="AE97" s="1292"/>
      <c r="AF97" s="1292"/>
      <c r="AG97" s="1292"/>
      <c r="AH97" s="1292"/>
      <c r="AI97" s="1292"/>
      <c r="AJ97" s="1293">
        <v>1843</v>
      </c>
      <c r="AK97"/>
      <c r="AL97"/>
      <c r="AM97"/>
      <c r="AZ97" s="1236">
        <f>SUM(AV97:AY97)</f>
        <v>0</v>
      </c>
    </row>
    <row r="98" spans="1:52">
      <c r="A98" s="1288" t="s">
        <v>1427</v>
      </c>
      <c r="B98" s="1286"/>
      <c r="C98" s="1286"/>
      <c r="D98" s="1291"/>
      <c r="E98" s="1292"/>
      <c r="F98" s="1292"/>
      <c r="G98" s="1292"/>
      <c r="H98" s="1292"/>
      <c r="I98" s="1292"/>
      <c r="J98" s="1292">
        <v>1</v>
      </c>
      <c r="K98" s="1292"/>
      <c r="L98" s="1292"/>
      <c r="M98" s="1292"/>
      <c r="N98" s="1292">
        <v>1</v>
      </c>
      <c r="O98" s="1292"/>
      <c r="P98" s="1292"/>
      <c r="Q98" s="1292"/>
      <c r="R98" s="1292"/>
      <c r="S98" s="1292"/>
      <c r="T98" s="1292">
        <v>29716</v>
      </c>
      <c r="U98" s="1292">
        <v>4097</v>
      </c>
      <c r="V98" s="1292">
        <v>7007</v>
      </c>
      <c r="W98" s="1292">
        <v>8648</v>
      </c>
      <c r="X98" s="1292">
        <v>1083</v>
      </c>
      <c r="Y98" s="1292">
        <v>940</v>
      </c>
      <c r="Z98" s="1292">
        <v>1620</v>
      </c>
      <c r="AA98" s="1292">
        <v>3613</v>
      </c>
      <c r="AB98" s="1292">
        <v>106</v>
      </c>
      <c r="AC98" s="1292">
        <v>191</v>
      </c>
      <c r="AD98" s="1292"/>
      <c r="AE98" s="1292">
        <v>98</v>
      </c>
      <c r="AF98" s="1292">
        <v>8</v>
      </c>
      <c r="AG98" s="1292">
        <v>53</v>
      </c>
      <c r="AH98" s="1292">
        <v>220</v>
      </c>
      <c r="AI98" s="1292">
        <v>145</v>
      </c>
      <c r="AJ98" s="1293">
        <v>57547</v>
      </c>
      <c r="AK98"/>
      <c r="AL98"/>
      <c r="AM98"/>
    </row>
    <row r="99" spans="1:52">
      <c r="A99" s="1288" t="s">
        <v>430</v>
      </c>
      <c r="B99" s="1288">
        <v>10</v>
      </c>
      <c r="C99" s="1288" t="s">
        <v>1412</v>
      </c>
      <c r="D99" s="1291"/>
      <c r="E99" s="1292"/>
      <c r="F99" s="1292"/>
      <c r="G99" s="1292"/>
      <c r="H99" s="1292"/>
      <c r="I99" s="1292"/>
      <c r="J99" s="1292"/>
      <c r="K99" s="1292">
        <v>1</v>
      </c>
      <c r="L99" s="1292"/>
      <c r="M99" s="1292">
        <v>1</v>
      </c>
      <c r="N99" s="1292"/>
      <c r="O99" s="1292"/>
      <c r="P99" s="1292"/>
      <c r="Q99" s="1292"/>
      <c r="R99" s="1292"/>
      <c r="S99" s="1292"/>
      <c r="T99" s="1292"/>
      <c r="U99" s="1292"/>
      <c r="V99" s="1292"/>
      <c r="W99" s="1292"/>
      <c r="X99" s="1292"/>
      <c r="Y99" s="1292"/>
      <c r="Z99" s="1292"/>
      <c r="AA99" s="1292"/>
      <c r="AB99" s="1292"/>
      <c r="AC99" s="1292"/>
      <c r="AD99" s="1292"/>
      <c r="AE99" s="1292"/>
      <c r="AF99" s="1292"/>
      <c r="AG99" s="1292"/>
      <c r="AH99" s="1292"/>
      <c r="AI99" s="1292"/>
      <c r="AJ99" s="1293">
        <v>2</v>
      </c>
      <c r="AK99"/>
      <c r="AL99"/>
      <c r="AM99"/>
    </row>
    <row r="100" spans="1:52">
      <c r="A100" s="1294"/>
      <c r="B100" s="1294"/>
      <c r="C100" s="1295" t="s">
        <v>1402</v>
      </c>
      <c r="D100" s="1296"/>
      <c r="E100" s="1054"/>
      <c r="F100" s="1054"/>
      <c r="G100" s="1054"/>
      <c r="H100" s="1054"/>
      <c r="I100" s="1054"/>
      <c r="J100" s="1054"/>
      <c r="K100" s="1054">
        <v>1</v>
      </c>
      <c r="L100" s="1054"/>
      <c r="M100" s="1054"/>
      <c r="N100" s="1054"/>
      <c r="O100" s="1054"/>
      <c r="P100" s="1054"/>
      <c r="Q100" s="1054"/>
      <c r="R100" s="1054"/>
      <c r="S100" s="1054"/>
      <c r="T100" s="1054"/>
      <c r="U100" s="1054"/>
      <c r="V100" s="1054"/>
      <c r="W100" s="1054"/>
      <c r="X100" s="1054"/>
      <c r="Y100" s="1054"/>
      <c r="Z100" s="1054"/>
      <c r="AA100" s="1054"/>
      <c r="AB100" s="1054"/>
      <c r="AC100" s="1054"/>
      <c r="AD100" s="1054"/>
      <c r="AE100" s="1054"/>
      <c r="AF100" s="1054"/>
      <c r="AG100" s="1054"/>
      <c r="AH100" s="1054"/>
      <c r="AI100" s="1054"/>
      <c r="AJ100" s="1297">
        <v>1</v>
      </c>
      <c r="AK100"/>
      <c r="AL100"/>
      <c r="AM100"/>
    </row>
    <row r="101" spans="1:52">
      <c r="A101" s="1294"/>
      <c r="B101" s="1288" t="s">
        <v>1420</v>
      </c>
      <c r="C101" s="1286"/>
      <c r="D101" s="1291"/>
      <c r="E101" s="1292"/>
      <c r="F101" s="1292"/>
      <c r="G101" s="1292"/>
      <c r="H101" s="1292"/>
      <c r="I101" s="1292"/>
      <c r="J101" s="1292"/>
      <c r="K101" s="1292">
        <v>2</v>
      </c>
      <c r="L101" s="1292"/>
      <c r="M101" s="1292">
        <v>1</v>
      </c>
      <c r="N101" s="1292"/>
      <c r="O101" s="1292"/>
      <c r="P101" s="1292"/>
      <c r="Q101" s="1292"/>
      <c r="R101" s="1292"/>
      <c r="S101" s="1292"/>
      <c r="T101" s="1292"/>
      <c r="U101" s="1292"/>
      <c r="V101" s="1292"/>
      <c r="W101" s="1292"/>
      <c r="X101" s="1292"/>
      <c r="Y101" s="1292"/>
      <c r="Z101" s="1292"/>
      <c r="AA101" s="1292"/>
      <c r="AB101" s="1292"/>
      <c r="AC101" s="1292"/>
      <c r="AD101" s="1292"/>
      <c r="AE101" s="1292"/>
      <c r="AF101" s="1292"/>
      <c r="AG101" s="1292"/>
      <c r="AH101" s="1292"/>
      <c r="AI101" s="1292"/>
      <c r="AJ101" s="1293">
        <v>3</v>
      </c>
      <c r="AK101"/>
      <c r="AL101"/>
      <c r="AM101"/>
    </row>
    <row r="102" spans="1:52">
      <c r="A102" s="1294"/>
      <c r="B102" s="1288">
        <v>12</v>
      </c>
      <c r="C102" s="1288" t="s">
        <v>1402</v>
      </c>
      <c r="D102" s="1291"/>
      <c r="E102" s="1292"/>
      <c r="F102" s="1292"/>
      <c r="G102" s="1292"/>
      <c r="H102" s="1292"/>
      <c r="I102" s="1292"/>
      <c r="J102" s="1292"/>
      <c r="K102" s="1292">
        <v>11</v>
      </c>
      <c r="L102" s="1292"/>
      <c r="M102" s="1292">
        <v>1</v>
      </c>
      <c r="N102" s="1292"/>
      <c r="O102" s="1292"/>
      <c r="P102" s="1292"/>
      <c r="Q102" s="1292"/>
      <c r="R102" s="1292"/>
      <c r="S102" s="1292"/>
      <c r="T102" s="1292"/>
      <c r="U102" s="1292"/>
      <c r="V102" s="1292"/>
      <c r="W102" s="1292"/>
      <c r="X102" s="1292"/>
      <c r="Y102" s="1292"/>
      <c r="Z102" s="1292"/>
      <c r="AA102" s="1292"/>
      <c r="AB102" s="1292"/>
      <c r="AC102" s="1292"/>
      <c r="AD102" s="1292"/>
      <c r="AE102" s="1292"/>
      <c r="AF102" s="1292"/>
      <c r="AG102" s="1292"/>
      <c r="AH102" s="1292"/>
      <c r="AI102" s="1292"/>
      <c r="AJ102" s="1293">
        <v>12</v>
      </c>
      <c r="AK102"/>
      <c r="AL102"/>
      <c r="AM102"/>
    </row>
    <row r="103" spans="1:52">
      <c r="A103" s="1294"/>
      <c r="B103" s="1288" t="s">
        <v>1421</v>
      </c>
      <c r="C103" s="1286"/>
      <c r="D103" s="1291"/>
      <c r="E103" s="1292"/>
      <c r="F103" s="1292"/>
      <c r="G103" s="1292"/>
      <c r="H103" s="1292"/>
      <c r="I103" s="1292"/>
      <c r="J103" s="1292"/>
      <c r="K103" s="1292">
        <v>11</v>
      </c>
      <c r="L103" s="1292"/>
      <c r="M103" s="1292">
        <v>1</v>
      </c>
      <c r="N103" s="1292"/>
      <c r="O103" s="1292"/>
      <c r="P103" s="1292"/>
      <c r="Q103" s="1292"/>
      <c r="R103" s="1292"/>
      <c r="S103" s="1292"/>
      <c r="T103" s="1292"/>
      <c r="U103" s="1292"/>
      <c r="V103" s="1292"/>
      <c r="W103" s="1292"/>
      <c r="X103" s="1292"/>
      <c r="Y103" s="1292"/>
      <c r="Z103" s="1292"/>
      <c r="AA103" s="1292"/>
      <c r="AB103" s="1292"/>
      <c r="AC103" s="1292"/>
      <c r="AD103" s="1292"/>
      <c r="AE103" s="1292"/>
      <c r="AF103" s="1292"/>
      <c r="AG103" s="1292"/>
      <c r="AH103" s="1292"/>
      <c r="AI103" s="1292"/>
      <c r="AJ103" s="1293">
        <v>12</v>
      </c>
      <c r="AK103"/>
      <c r="AL103"/>
      <c r="AM103"/>
    </row>
    <row r="104" spans="1:52">
      <c r="A104" s="1294"/>
      <c r="B104" s="1288">
        <v>15</v>
      </c>
      <c r="C104" s="1288" t="s">
        <v>1412</v>
      </c>
      <c r="D104" s="1291"/>
      <c r="E104" s="1292"/>
      <c r="F104" s="1292"/>
      <c r="G104" s="1292"/>
      <c r="H104" s="1292"/>
      <c r="I104" s="1292"/>
      <c r="J104" s="1292"/>
      <c r="K104" s="1292">
        <v>6</v>
      </c>
      <c r="L104" s="1292">
        <v>1</v>
      </c>
      <c r="M104" s="1292">
        <v>2</v>
      </c>
      <c r="N104" s="1292"/>
      <c r="O104" s="1292"/>
      <c r="P104" s="1292"/>
      <c r="Q104" s="1292"/>
      <c r="R104" s="1292"/>
      <c r="S104" s="1292"/>
      <c r="T104" s="1292"/>
      <c r="U104" s="1292"/>
      <c r="V104" s="1292"/>
      <c r="W104" s="1292"/>
      <c r="X104" s="1292"/>
      <c r="Y104" s="1292"/>
      <c r="Z104" s="1292"/>
      <c r="AA104" s="1292"/>
      <c r="AB104" s="1292"/>
      <c r="AC104" s="1292"/>
      <c r="AD104" s="1292"/>
      <c r="AE104" s="1292"/>
      <c r="AF104" s="1292"/>
      <c r="AG104" s="1292"/>
      <c r="AH104" s="1292"/>
      <c r="AI104" s="1292"/>
      <c r="AJ104" s="1293">
        <v>9</v>
      </c>
      <c r="AK104"/>
      <c r="AL104"/>
      <c r="AM104"/>
    </row>
    <row r="105" spans="1:52">
      <c r="A105" s="1294"/>
      <c r="B105" s="1294"/>
      <c r="C105" s="1295" t="s">
        <v>1402</v>
      </c>
      <c r="D105" s="1296"/>
      <c r="E105" s="1054"/>
      <c r="F105" s="1054"/>
      <c r="G105" s="1054"/>
      <c r="H105" s="1054"/>
      <c r="I105" s="1054"/>
      <c r="J105" s="1054"/>
      <c r="K105" s="1054">
        <v>4</v>
      </c>
      <c r="L105" s="1054"/>
      <c r="M105" s="1054"/>
      <c r="N105" s="1054"/>
      <c r="O105" s="1054"/>
      <c r="P105" s="1054"/>
      <c r="Q105" s="1054"/>
      <c r="R105" s="1054"/>
      <c r="S105" s="1054"/>
      <c r="T105" s="1054"/>
      <c r="U105" s="1054"/>
      <c r="V105" s="1054"/>
      <c r="W105" s="1054"/>
      <c r="X105" s="1054"/>
      <c r="Y105" s="1054"/>
      <c r="Z105" s="1054"/>
      <c r="AA105" s="1054"/>
      <c r="AB105" s="1054"/>
      <c r="AC105" s="1054"/>
      <c r="AD105" s="1054"/>
      <c r="AE105" s="1054"/>
      <c r="AF105" s="1054"/>
      <c r="AG105" s="1054"/>
      <c r="AH105" s="1054"/>
      <c r="AI105" s="1054"/>
      <c r="AJ105" s="1297">
        <v>4</v>
      </c>
      <c r="AK105"/>
      <c r="AL105"/>
      <c r="AM105"/>
    </row>
    <row r="106" spans="1:52">
      <c r="A106" s="1294"/>
      <c r="B106" s="1288" t="s">
        <v>1479</v>
      </c>
      <c r="C106" s="1286"/>
      <c r="D106" s="1291"/>
      <c r="E106" s="1292"/>
      <c r="F106" s="1292"/>
      <c r="G106" s="1292"/>
      <c r="H106" s="1292"/>
      <c r="I106" s="1292"/>
      <c r="J106" s="1292"/>
      <c r="K106" s="1292">
        <v>10</v>
      </c>
      <c r="L106" s="1292">
        <v>1</v>
      </c>
      <c r="M106" s="1292">
        <v>2</v>
      </c>
      <c r="N106" s="1292"/>
      <c r="O106" s="1292"/>
      <c r="P106" s="1292"/>
      <c r="Q106" s="1292"/>
      <c r="R106" s="1292"/>
      <c r="S106" s="1292"/>
      <c r="T106" s="1292"/>
      <c r="U106" s="1292"/>
      <c r="V106" s="1292"/>
      <c r="W106" s="1292"/>
      <c r="X106" s="1292"/>
      <c r="Y106" s="1292"/>
      <c r="Z106" s="1292"/>
      <c r="AA106" s="1292"/>
      <c r="AB106" s="1292"/>
      <c r="AC106" s="1292"/>
      <c r="AD106" s="1292"/>
      <c r="AE106" s="1292"/>
      <c r="AF106" s="1292"/>
      <c r="AG106" s="1292"/>
      <c r="AH106" s="1292"/>
      <c r="AI106" s="1292"/>
      <c r="AJ106" s="1293">
        <v>13</v>
      </c>
      <c r="AK106"/>
      <c r="AL106"/>
      <c r="AM106"/>
    </row>
    <row r="107" spans="1:52">
      <c r="A107" s="1294"/>
      <c r="B107" s="1288">
        <v>20</v>
      </c>
      <c r="C107" s="1288" t="s">
        <v>1412</v>
      </c>
      <c r="D107" s="1291"/>
      <c r="E107" s="1292"/>
      <c r="F107" s="1292"/>
      <c r="G107" s="1292"/>
      <c r="H107" s="1292"/>
      <c r="I107" s="1292"/>
      <c r="J107" s="1292"/>
      <c r="K107" s="1292">
        <v>30</v>
      </c>
      <c r="L107" s="1292">
        <v>1</v>
      </c>
      <c r="M107" s="1292">
        <v>1</v>
      </c>
      <c r="N107" s="1292"/>
      <c r="O107" s="1292">
        <v>4</v>
      </c>
      <c r="P107" s="1292"/>
      <c r="Q107" s="1292"/>
      <c r="R107" s="1292">
        <v>2</v>
      </c>
      <c r="S107" s="1292"/>
      <c r="T107" s="1292"/>
      <c r="U107" s="1292"/>
      <c r="V107" s="1292"/>
      <c r="W107" s="1292"/>
      <c r="X107" s="1292"/>
      <c r="Y107" s="1292"/>
      <c r="Z107" s="1292"/>
      <c r="AA107" s="1292"/>
      <c r="AB107" s="1292"/>
      <c r="AC107" s="1292"/>
      <c r="AD107" s="1292"/>
      <c r="AE107" s="1292"/>
      <c r="AF107" s="1292"/>
      <c r="AG107" s="1292"/>
      <c r="AH107" s="1292"/>
      <c r="AI107" s="1292"/>
      <c r="AJ107" s="1293">
        <v>38</v>
      </c>
      <c r="AK107"/>
      <c r="AL107"/>
      <c r="AM107"/>
    </row>
    <row r="108" spans="1:52">
      <c r="A108" s="1294"/>
      <c r="B108" s="1294"/>
      <c r="C108" s="1295" t="s">
        <v>1402</v>
      </c>
      <c r="D108" s="1296"/>
      <c r="E108" s="1054"/>
      <c r="F108" s="1054"/>
      <c r="G108" s="1054"/>
      <c r="H108" s="1054"/>
      <c r="I108" s="1054"/>
      <c r="J108" s="1054"/>
      <c r="K108" s="1054">
        <v>8</v>
      </c>
      <c r="L108" s="1054"/>
      <c r="M108" s="1054">
        <v>1</v>
      </c>
      <c r="N108" s="1054"/>
      <c r="O108" s="1054">
        <v>2</v>
      </c>
      <c r="P108" s="1054"/>
      <c r="Q108" s="1054"/>
      <c r="R108" s="1054">
        <v>1</v>
      </c>
      <c r="S108" s="1054"/>
      <c r="T108" s="1054"/>
      <c r="U108" s="1054"/>
      <c r="V108" s="1054"/>
      <c r="W108" s="1054"/>
      <c r="X108" s="1054"/>
      <c r="Y108" s="1054"/>
      <c r="Z108" s="1054"/>
      <c r="AA108" s="1054"/>
      <c r="AB108" s="1054"/>
      <c r="AC108" s="1054"/>
      <c r="AD108" s="1054"/>
      <c r="AE108" s="1054"/>
      <c r="AF108" s="1054"/>
      <c r="AG108" s="1054"/>
      <c r="AH108" s="1054"/>
      <c r="AI108" s="1054"/>
      <c r="AJ108" s="1297">
        <v>12</v>
      </c>
      <c r="AK108"/>
      <c r="AL108"/>
      <c r="AM108"/>
    </row>
    <row r="109" spans="1:52">
      <c r="A109" s="1294"/>
      <c r="B109" s="1288" t="s">
        <v>1422</v>
      </c>
      <c r="C109" s="1286"/>
      <c r="D109" s="1291"/>
      <c r="E109" s="1292"/>
      <c r="F109" s="1292"/>
      <c r="G109" s="1292"/>
      <c r="H109" s="1292"/>
      <c r="I109" s="1292"/>
      <c r="J109" s="1292"/>
      <c r="K109" s="1292">
        <v>38</v>
      </c>
      <c r="L109" s="1292">
        <v>1</v>
      </c>
      <c r="M109" s="1292">
        <v>2</v>
      </c>
      <c r="N109" s="1292"/>
      <c r="O109" s="1292">
        <v>6</v>
      </c>
      <c r="P109" s="1292"/>
      <c r="Q109" s="1292"/>
      <c r="R109" s="1292">
        <v>3</v>
      </c>
      <c r="S109" s="1292"/>
      <c r="T109" s="1292"/>
      <c r="U109" s="1292"/>
      <c r="V109" s="1292"/>
      <c r="W109" s="1292"/>
      <c r="X109" s="1292"/>
      <c r="Y109" s="1292"/>
      <c r="Z109" s="1292"/>
      <c r="AA109" s="1292"/>
      <c r="AB109" s="1292"/>
      <c r="AC109" s="1292"/>
      <c r="AD109" s="1292"/>
      <c r="AE109" s="1292"/>
      <c r="AF109" s="1292"/>
      <c r="AG109" s="1292"/>
      <c r="AH109" s="1292"/>
      <c r="AI109" s="1292"/>
      <c r="AJ109" s="1293">
        <v>50</v>
      </c>
      <c r="AK109"/>
      <c r="AL109"/>
      <c r="AM109"/>
    </row>
    <row r="110" spans="1:52">
      <c r="A110" s="1294"/>
      <c r="B110" s="1288">
        <v>25</v>
      </c>
      <c r="C110" s="1288" t="s">
        <v>1412</v>
      </c>
      <c r="D110" s="1291"/>
      <c r="E110" s="1292"/>
      <c r="F110" s="1292"/>
      <c r="G110" s="1292"/>
      <c r="H110" s="1292"/>
      <c r="I110" s="1292"/>
      <c r="J110" s="1292"/>
      <c r="K110" s="1292">
        <v>34</v>
      </c>
      <c r="L110" s="1292"/>
      <c r="M110" s="1292">
        <v>4</v>
      </c>
      <c r="N110" s="1292"/>
      <c r="O110" s="1292"/>
      <c r="P110" s="1292"/>
      <c r="Q110" s="1292"/>
      <c r="R110" s="1292">
        <v>1</v>
      </c>
      <c r="S110" s="1292"/>
      <c r="T110" s="1292"/>
      <c r="U110" s="1292"/>
      <c r="V110" s="1292"/>
      <c r="W110" s="1292"/>
      <c r="X110" s="1292"/>
      <c r="Y110" s="1292"/>
      <c r="Z110" s="1292"/>
      <c r="AA110" s="1292"/>
      <c r="AB110" s="1292"/>
      <c r="AC110" s="1292"/>
      <c r="AD110" s="1292"/>
      <c r="AE110" s="1292"/>
      <c r="AF110" s="1292"/>
      <c r="AG110" s="1292"/>
      <c r="AH110" s="1292"/>
      <c r="AI110" s="1292"/>
      <c r="AJ110" s="1293">
        <v>39</v>
      </c>
      <c r="AK110"/>
      <c r="AL110"/>
      <c r="AM110"/>
    </row>
    <row r="111" spans="1:52">
      <c r="A111" s="1294"/>
      <c r="B111" s="1294"/>
      <c r="C111" s="1295" t="s">
        <v>1402</v>
      </c>
      <c r="D111" s="1296"/>
      <c r="E111" s="1054"/>
      <c r="F111" s="1054"/>
      <c r="G111" s="1054"/>
      <c r="H111" s="1054"/>
      <c r="I111" s="1054"/>
      <c r="J111" s="1054"/>
      <c r="K111" s="1054">
        <v>29</v>
      </c>
      <c r="L111" s="1054"/>
      <c r="M111" s="1054">
        <v>3</v>
      </c>
      <c r="N111" s="1054"/>
      <c r="O111" s="1054">
        <v>1</v>
      </c>
      <c r="P111" s="1054">
        <v>1</v>
      </c>
      <c r="Q111" s="1054"/>
      <c r="R111" s="1054">
        <v>1</v>
      </c>
      <c r="S111" s="1054"/>
      <c r="T111" s="1054"/>
      <c r="U111" s="1054"/>
      <c r="V111" s="1054"/>
      <c r="W111" s="1054"/>
      <c r="X111" s="1054"/>
      <c r="Y111" s="1054"/>
      <c r="Z111" s="1054"/>
      <c r="AA111" s="1054"/>
      <c r="AB111" s="1054"/>
      <c r="AC111" s="1054"/>
      <c r="AD111" s="1054"/>
      <c r="AE111" s="1054"/>
      <c r="AF111" s="1054"/>
      <c r="AG111" s="1054"/>
      <c r="AH111" s="1054"/>
      <c r="AI111" s="1054"/>
      <c r="AJ111" s="1297">
        <v>35</v>
      </c>
      <c r="AK111"/>
      <c r="AL111"/>
      <c r="AM111"/>
    </row>
    <row r="112" spans="1:52">
      <c r="A112" s="1294"/>
      <c r="B112" s="1288" t="s">
        <v>1423</v>
      </c>
      <c r="C112" s="1286"/>
      <c r="D112" s="1291"/>
      <c r="E112" s="1292"/>
      <c r="F112" s="1292"/>
      <c r="G112" s="1292"/>
      <c r="H112" s="1292"/>
      <c r="I112" s="1292"/>
      <c r="J112" s="1292"/>
      <c r="K112" s="1292">
        <v>63</v>
      </c>
      <c r="L112" s="1292"/>
      <c r="M112" s="1292">
        <v>7</v>
      </c>
      <c r="N112" s="1292"/>
      <c r="O112" s="1292">
        <v>1</v>
      </c>
      <c r="P112" s="1292">
        <v>1</v>
      </c>
      <c r="Q112" s="1292"/>
      <c r="R112" s="1292">
        <v>2</v>
      </c>
      <c r="S112" s="1292"/>
      <c r="T112" s="1292"/>
      <c r="U112" s="1292"/>
      <c r="V112" s="1292"/>
      <c r="W112" s="1292"/>
      <c r="X112" s="1292"/>
      <c r="Y112" s="1292"/>
      <c r="Z112" s="1292"/>
      <c r="AA112" s="1292"/>
      <c r="AB112" s="1292"/>
      <c r="AC112" s="1292"/>
      <c r="AD112" s="1292"/>
      <c r="AE112" s="1292"/>
      <c r="AF112" s="1292"/>
      <c r="AG112" s="1292"/>
      <c r="AH112" s="1292"/>
      <c r="AI112" s="1292"/>
      <c r="AJ112" s="1293">
        <v>74</v>
      </c>
      <c r="AK112"/>
      <c r="AL112"/>
      <c r="AM112"/>
    </row>
    <row r="113" spans="1:39">
      <c r="A113" s="1294"/>
      <c r="B113" s="1288">
        <v>30</v>
      </c>
      <c r="C113" s="1288" t="s">
        <v>1412</v>
      </c>
      <c r="D113" s="1291"/>
      <c r="E113" s="1292"/>
      <c r="F113" s="1292"/>
      <c r="G113" s="1292"/>
      <c r="H113" s="1292"/>
      <c r="I113" s="1292"/>
      <c r="J113" s="1292"/>
      <c r="K113" s="1292">
        <v>35</v>
      </c>
      <c r="L113" s="1292">
        <v>2</v>
      </c>
      <c r="M113" s="1292">
        <v>2</v>
      </c>
      <c r="N113" s="1292"/>
      <c r="O113" s="1292">
        <v>2</v>
      </c>
      <c r="P113" s="1292"/>
      <c r="Q113" s="1292"/>
      <c r="R113" s="1292">
        <v>2</v>
      </c>
      <c r="S113" s="1292"/>
      <c r="T113" s="1292"/>
      <c r="U113" s="1292"/>
      <c r="V113" s="1292"/>
      <c r="W113" s="1292"/>
      <c r="X113" s="1292"/>
      <c r="Y113" s="1292"/>
      <c r="Z113" s="1292"/>
      <c r="AA113" s="1292"/>
      <c r="AB113" s="1292"/>
      <c r="AC113" s="1292"/>
      <c r="AD113" s="1292"/>
      <c r="AE113" s="1292"/>
      <c r="AF113" s="1292"/>
      <c r="AG113" s="1292"/>
      <c r="AH113" s="1292"/>
      <c r="AI113" s="1292"/>
      <c r="AJ113" s="1293">
        <v>43</v>
      </c>
      <c r="AK113"/>
      <c r="AL113"/>
      <c r="AM113"/>
    </row>
    <row r="114" spans="1:39">
      <c r="A114" s="1294"/>
      <c r="B114" s="1294"/>
      <c r="C114" s="1295" t="s">
        <v>1402</v>
      </c>
      <c r="D114" s="1296"/>
      <c r="E114" s="1054"/>
      <c r="F114" s="1054"/>
      <c r="G114" s="1054"/>
      <c r="H114" s="1054"/>
      <c r="I114" s="1054"/>
      <c r="J114" s="1054"/>
      <c r="K114" s="1054">
        <v>4</v>
      </c>
      <c r="L114" s="1054"/>
      <c r="M114" s="1054"/>
      <c r="N114" s="1054"/>
      <c r="O114" s="1054">
        <v>1</v>
      </c>
      <c r="P114" s="1054"/>
      <c r="Q114" s="1054"/>
      <c r="R114" s="1054"/>
      <c r="S114" s="1054"/>
      <c r="T114" s="1054"/>
      <c r="U114" s="1054"/>
      <c r="V114" s="1054"/>
      <c r="W114" s="1054"/>
      <c r="X114" s="1054"/>
      <c r="Y114" s="1054"/>
      <c r="Z114" s="1054"/>
      <c r="AA114" s="1054"/>
      <c r="AB114" s="1054"/>
      <c r="AC114" s="1054"/>
      <c r="AD114" s="1054"/>
      <c r="AE114" s="1054"/>
      <c r="AF114" s="1054"/>
      <c r="AG114" s="1054"/>
      <c r="AH114" s="1054"/>
      <c r="AI114" s="1054"/>
      <c r="AJ114" s="1297">
        <v>5</v>
      </c>
      <c r="AK114"/>
      <c r="AL114"/>
      <c r="AM114"/>
    </row>
    <row r="115" spans="1:39">
      <c r="A115" s="1294"/>
      <c r="B115" s="1288" t="s">
        <v>1424</v>
      </c>
      <c r="C115" s="1286"/>
      <c r="D115" s="1291"/>
      <c r="E115" s="1292"/>
      <c r="F115" s="1292"/>
      <c r="G115" s="1292"/>
      <c r="H115" s="1292"/>
      <c r="I115" s="1292"/>
      <c r="J115" s="1292"/>
      <c r="K115" s="1292">
        <v>39</v>
      </c>
      <c r="L115" s="1292">
        <v>2</v>
      </c>
      <c r="M115" s="1292">
        <v>2</v>
      </c>
      <c r="N115" s="1292"/>
      <c r="O115" s="1292">
        <v>3</v>
      </c>
      <c r="P115" s="1292"/>
      <c r="Q115" s="1292"/>
      <c r="R115" s="1292">
        <v>2</v>
      </c>
      <c r="S115" s="1292"/>
      <c r="T115" s="1292"/>
      <c r="U115" s="1292"/>
      <c r="V115" s="1292"/>
      <c r="W115" s="1292"/>
      <c r="X115" s="1292"/>
      <c r="Y115" s="1292"/>
      <c r="Z115" s="1292"/>
      <c r="AA115" s="1292"/>
      <c r="AB115" s="1292"/>
      <c r="AC115" s="1292"/>
      <c r="AD115" s="1292"/>
      <c r="AE115" s="1292"/>
      <c r="AF115" s="1292"/>
      <c r="AG115" s="1292"/>
      <c r="AH115" s="1292"/>
      <c r="AI115" s="1292"/>
      <c r="AJ115" s="1293">
        <v>48</v>
      </c>
      <c r="AK115"/>
      <c r="AL115"/>
      <c r="AM115"/>
    </row>
    <row r="116" spans="1:39">
      <c r="A116" s="1294"/>
      <c r="B116" s="1288">
        <v>40</v>
      </c>
      <c r="C116" s="1288" t="s">
        <v>1412</v>
      </c>
      <c r="D116" s="1291"/>
      <c r="E116" s="1292"/>
      <c r="F116" s="1292"/>
      <c r="G116" s="1292"/>
      <c r="H116" s="1292"/>
      <c r="I116" s="1292"/>
      <c r="J116" s="1292"/>
      <c r="K116" s="1292">
        <v>4</v>
      </c>
      <c r="L116" s="1292">
        <v>1</v>
      </c>
      <c r="M116" s="1292"/>
      <c r="N116" s="1292"/>
      <c r="O116" s="1292"/>
      <c r="P116" s="1292"/>
      <c r="Q116" s="1292"/>
      <c r="R116" s="1292">
        <v>1</v>
      </c>
      <c r="S116" s="1292"/>
      <c r="T116" s="1292"/>
      <c r="U116" s="1292"/>
      <c r="V116" s="1292"/>
      <c r="W116" s="1292"/>
      <c r="X116" s="1292"/>
      <c r="Y116" s="1292"/>
      <c r="Z116" s="1292"/>
      <c r="AA116" s="1292"/>
      <c r="AB116" s="1292"/>
      <c r="AC116" s="1292"/>
      <c r="AD116" s="1292"/>
      <c r="AE116" s="1292"/>
      <c r="AF116" s="1292"/>
      <c r="AG116" s="1292"/>
      <c r="AH116" s="1292"/>
      <c r="AI116" s="1292"/>
      <c r="AJ116" s="1293">
        <v>6</v>
      </c>
      <c r="AK116"/>
      <c r="AL116"/>
      <c r="AM116"/>
    </row>
    <row r="117" spans="1:39">
      <c r="A117" s="1294"/>
      <c r="B117" s="1294"/>
      <c r="C117" s="1295" t="s">
        <v>1402</v>
      </c>
      <c r="D117" s="1296"/>
      <c r="E117" s="1054"/>
      <c r="F117" s="1054"/>
      <c r="G117" s="1054"/>
      <c r="H117" s="1054"/>
      <c r="I117" s="1054"/>
      <c r="J117" s="1054"/>
      <c r="K117" s="1054">
        <v>10</v>
      </c>
      <c r="L117" s="1054"/>
      <c r="M117" s="1054">
        <v>2</v>
      </c>
      <c r="N117" s="1054"/>
      <c r="O117" s="1054">
        <v>1</v>
      </c>
      <c r="P117" s="1054"/>
      <c r="Q117" s="1054"/>
      <c r="R117" s="1054"/>
      <c r="S117" s="1054"/>
      <c r="T117" s="1054"/>
      <c r="U117" s="1054"/>
      <c r="V117" s="1054"/>
      <c r="W117" s="1054"/>
      <c r="X117" s="1054"/>
      <c r="Y117" s="1054"/>
      <c r="Z117" s="1054"/>
      <c r="AA117" s="1054"/>
      <c r="AB117" s="1054"/>
      <c r="AC117" s="1054"/>
      <c r="AD117" s="1054"/>
      <c r="AE117" s="1054"/>
      <c r="AF117" s="1054"/>
      <c r="AG117" s="1054"/>
      <c r="AH117" s="1054"/>
      <c r="AI117" s="1054"/>
      <c r="AJ117" s="1297">
        <v>13</v>
      </c>
      <c r="AK117"/>
      <c r="AL117"/>
      <c r="AM117"/>
    </row>
    <row r="118" spans="1:39">
      <c r="A118" s="1294"/>
      <c r="B118" s="1288" t="s">
        <v>1425</v>
      </c>
      <c r="C118" s="1286"/>
      <c r="D118" s="1291"/>
      <c r="E118" s="1292"/>
      <c r="F118" s="1292"/>
      <c r="G118" s="1292"/>
      <c r="H118" s="1292"/>
      <c r="I118" s="1292"/>
      <c r="J118" s="1292"/>
      <c r="K118" s="1292">
        <v>14</v>
      </c>
      <c r="L118" s="1292">
        <v>1</v>
      </c>
      <c r="M118" s="1292">
        <v>2</v>
      </c>
      <c r="N118" s="1292"/>
      <c r="O118" s="1292">
        <v>1</v>
      </c>
      <c r="P118" s="1292"/>
      <c r="Q118" s="1292"/>
      <c r="R118" s="1292">
        <v>1</v>
      </c>
      <c r="S118" s="1292"/>
      <c r="T118" s="1292"/>
      <c r="U118" s="1292"/>
      <c r="V118" s="1292"/>
      <c r="W118" s="1292"/>
      <c r="X118" s="1292"/>
      <c r="Y118" s="1292"/>
      <c r="Z118" s="1292"/>
      <c r="AA118" s="1292"/>
      <c r="AB118" s="1292"/>
      <c r="AC118" s="1292"/>
      <c r="AD118" s="1292"/>
      <c r="AE118" s="1292"/>
      <c r="AF118" s="1292"/>
      <c r="AG118" s="1292"/>
      <c r="AH118" s="1292"/>
      <c r="AI118" s="1292"/>
      <c r="AJ118" s="1293">
        <v>19</v>
      </c>
      <c r="AK118"/>
      <c r="AL118"/>
      <c r="AM118"/>
    </row>
    <row r="119" spans="1:39">
      <c r="A119" s="1288" t="s">
        <v>1428</v>
      </c>
      <c r="B119" s="1286"/>
      <c r="C119" s="1286"/>
      <c r="D119" s="1291"/>
      <c r="E119" s="1292"/>
      <c r="F119" s="1292"/>
      <c r="G119" s="1292"/>
      <c r="H119" s="1292"/>
      <c r="I119" s="1292"/>
      <c r="J119" s="1292"/>
      <c r="K119" s="1292">
        <v>177</v>
      </c>
      <c r="L119" s="1292">
        <v>5</v>
      </c>
      <c r="M119" s="1292">
        <v>17</v>
      </c>
      <c r="N119" s="1292"/>
      <c r="O119" s="1292">
        <v>11</v>
      </c>
      <c r="P119" s="1292">
        <v>1</v>
      </c>
      <c r="Q119" s="1292"/>
      <c r="R119" s="1292">
        <v>8</v>
      </c>
      <c r="S119" s="1292"/>
      <c r="T119" s="1292"/>
      <c r="U119" s="1292"/>
      <c r="V119" s="1292"/>
      <c r="W119" s="1292"/>
      <c r="X119" s="1292"/>
      <c r="Y119" s="1292"/>
      <c r="Z119" s="1292"/>
      <c r="AA119" s="1292"/>
      <c r="AB119" s="1292"/>
      <c r="AC119" s="1292"/>
      <c r="AD119" s="1292"/>
      <c r="AE119" s="1292"/>
      <c r="AF119" s="1292"/>
      <c r="AG119" s="1292"/>
      <c r="AH119" s="1292"/>
      <c r="AI119" s="1292"/>
      <c r="AJ119" s="1293">
        <v>219</v>
      </c>
      <c r="AK119"/>
      <c r="AL119"/>
      <c r="AM119"/>
    </row>
    <row r="120" spans="1:39">
      <c r="A120" s="1288" t="s">
        <v>680</v>
      </c>
      <c r="B120" s="1288">
        <v>2</v>
      </c>
      <c r="C120" s="1288" t="s">
        <v>1402</v>
      </c>
      <c r="D120" s="1291"/>
      <c r="E120" s="1292"/>
      <c r="F120" s="1292"/>
      <c r="G120" s="1292"/>
      <c r="H120" s="1292"/>
      <c r="I120" s="1292">
        <v>1</v>
      </c>
      <c r="J120" s="1292"/>
      <c r="K120" s="1292"/>
      <c r="L120" s="1292"/>
      <c r="M120" s="1292"/>
      <c r="N120" s="1292"/>
      <c r="O120" s="1292"/>
      <c r="P120" s="1292"/>
      <c r="Q120" s="1292"/>
      <c r="R120" s="1292"/>
      <c r="S120" s="1292"/>
      <c r="T120" s="1292"/>
      <c r="U120" s="1292"/>
      <c r="V120" s="1292"/>
      <c r="W120" s="1292"/>
      <c r="X120" s="1292"/>
      <c r="Y120" s="1292"/>
      <c r="Z120" s="1292"/>
      <c r="AA120" s="1292"/>
      <c r="AB120" s="1292"/>
      <c r="AC120" s="1292"/>
      <c r="AD120" s="1292"/>
      <c r="AE120" s="1292"/>
      <c r="AF120" s="1292"/>
      <c r="AG120" s="1292"/>
      <c r="AH120" s="1292"/>
      <c r="AI120" s="1292"/>
      <c r="AJ120" s="1293">
        <v>1</v>
      </c>
      <c r="AK120"/>
      <c r="AL120"/>
      <c r="AM120"/>
    </row>
    <row r="121" spans="1:39">
      <c r="A121" s="1294"/>
      <c r="B121" s="1288" t="s">
        <v>1411</v>
      </c>
      <c r="C121" s="1286"/>
      <c r="D121" s="1291"/>
      <c r="E121" s="1292"/>
      <c r="F121" s="1292"/>
      <c r="G121" s="1292"/>
      <c r="H121" s="1292"/>
      <c r="I121" s="1292">
        <v>1</v>
      </c>
      <c r="J121" s="1292"/>
      <c r="K121" s="1292"/>
      <c r="L121" s="1292"/>
      <c r="M121" s="1292"/>
      <c r="N121" s="1292"/>
      <c r="O121" s="1292"/>
      <c r="P121" s="1292"/>
      <c r="Q121" s="1292"/>
      <c r="R121" s="1292"/>
      <c r="S121" s="1292"/>
      <c r="T121" s="1292"/>
      <c r="U121" s="1292"/>
      <c r="V121" s="1292"/>
      <c r="W121" s="1292"/>
      <c r="X121" s="1292"/>
      <c r="Y121" s="1292"/>
      <c r="Z121" s="1292"/>
      <c r="AA121" s="1292"/>
      <c r="AB121" s="1292"/>
      <c r="AC121" s="1292"/>
      <c r="AD121" s="1292"/>
      <c r="AE121" s="1292"/>
      <c r="AF121" s="1292"/>
      <c r="AG121" s="1292"/>
      <c r="AH121" s="1292"/>
      <c r="AI121" s="1292"/>
      <c r="AJ121" s="1293">
        <v>1</v>
      </c>
      <c r="AK121"/>
      <c r="AL121"/>
      <c r="AM121"/>
    </row>
    <row r="122" spans="1:39">
      <c r="A122" s="1294"/>
      <c r="B122" s="1288">
        <v>4</v>
      </c>
      <c r="C122" s="1288" t="s">
        <v>1402</v>
      </c>
      <c r="D122" s="1291"/>
      <c r="E122" s="1292"/>
      <c r="F122" s="1292"/>
      <c r="G122" s="1292"/>
      <c r="H122" s="1292"/>
      <c r="I122" s="1292"/>
      <c r="J122" s="1292"/>
      <c r="K122" s="1292">
        <v>1</v>
      </c>
      <c r="L122" s="1292"/>
      <c r="M122" s="1292"/>
      <c r="N122" s="1292"/>
      <c r="O122" s="1292"/>
      <c r="P122" s="1292"/>
      <c r="Q122" s="1292"/>
      <c r="R122" s="1292"/>
      <c r="S122" s="1292"/>
      <c r="T122" s="1292"/>
      <c r="U122" s="1292"/>
      <c r="V122" s="1292"/>
      <c r="W122" s="1292"/>
      <c r="X122" s="1292"/>
      <c r="Y122" s="1292"/>
      <c r="Z122" s="1292"/>
      <c r="AA122" s="1292"/>
      <c r="AB122" s="1292"/>
      <c r="AC122" s="1292"/>
      <c r="AD122" s="1292"/>
      <c r="AE122" s="1292"/>
      <c r="AF122" s="1292"/>
      <c r="AG122" s="1292"/>
      <c r="AH122" s="1292">
        <v>1</v>
      </c>
      <c r="AI122" s="1292"/>
      <c r="AJ122" s="1293">
        <v>2</v>
      </c>
      <c r="AK122"/>
      <c r="AL122"/>
      <c r="AM122"/>
    </row>
    <row r="123" spans="1:39">
      <c r="A123" s="1294"/>
      <c r="B123" s="1288" t="s">
        <v>1414</v>
      </c>
      <c r="C123" s="1286"/>
      <c r="D123" s="1291"/>
      <c r="E123" s="1292"/>
      <c r="F123" s="1292"/>
      <c r="G123" s="1292"/>
      <c r="H123" s="1292"/>
      <c r="I123" s="1292"/>
      <c r="J123" s="1292"/>
      <c r="K123" s="1292">
        <v>1</v>
      </c>
      <c r="L123" s="1292"/>
      <c r="M123" s="1292"/>
      <c r="N123" s="1292"/>
      <c r="O123" s="1292"/>
      <c r="P123" s="1292"/>
      <c r="Q123" s="1292"/>
      <c r="R123" s="1292"/>
      <c r="S123" s="1292"/>
      <c r="T123" s="1292"/>
      <c r="U123" s="1292"/>
      <c r="V123" s="1292"/>
      <c r="W123" s="1292"/>
      <c r="X123" s="1292"/>
      <c r="Y123" s="1292"/>
      <c r="Z123" s="1292"/>
      <c r="AA123" s="1292"/>
      <c r="AB123" s="1292"/>
      <c r="AC123" s="1292"/>
      <c r="AD123" s="1292"/>
      <c r="AE123" s="1292"/>
      <c r="AF123" s="1292"/>
      <c r="AG123" s="1292"/>
      <c r="AH123" s="1292">
        <v>1</v>
      </c>
      <c r="AI123" s="1292"/>
      <c r="AJ123" s="1293">
        <v>2</v>
      </c>
      <c r="AK123"/>
      <c r="AL123"/>
      <c r="AM123"/>
    </row>
    <row r="124" spans="1:39">
      <c r="A124" s="1294"/>
      <c r="B124" s="1288">
        <v>6</v>
      </c>
      <c r="C124" s="1288" t="s">
        <v>1402</v>
      </c>
      <c r="D124" s="1291"/>
      <c r="E124" s="1292"/>
      <c r="F124" s="1292"/>
      <c r="G124" s="1292"/>
      <c r="H124" s="1292"/>
      <c r="I124" s="1292"/>
      <c r="J124" s="1292"/>
      <c r="K124" s="1292"/>
      <c r="L124" s="1292"/>
      <c r="M124" s="1292"/>
      <c r="N124" s="1292"/>
      <c r="O124" s="1292"/>
      <c r="P124" s="1292"/>
      <c r="Q124" s="1292"/>
      <c r="R124" s="1292"/>
      <c r="S124" s="1292"/>
      <c r="T124" s="1292"/>
      <c r="U124" s="1292"/>
      <c r="V124" s="1292"/>
      <c r="W124" s="1292"/>
      <c r="X124" s="1292"/>
      <c r="Y124" s="1292"/>
      <c r="Z124" s="1292"/>
      <c r="AA124" s="1292">
        <v>3</v>
      </c>
      <c r="AB124" s="1292"/>
      <c r="AC124" s="1292"/>
      <c r="AD124" s="1292"/>
      <c r="AE124" s="1292"/>
      <c r="AF124" s="1292">
        <v>1</v>
      </c>
      <c r="AG124" s="1292">
        <v>1</v>
      </c>
      <c r="AH124" s="1292"/>
      <c r="AI124" s="1292"/>
      <c r="AJ124" s="1293">
        <v>5</v>
      </c>
      <c r="AK124"/>
      <c r="AL124"/>
      <c r="AM124"/>
    </row>
    <row r="125" spans="1:39">
      <c r="A125" s="1294"/>
      <c r="B125" s="1288" t="s">
        <v>1415</v>
      </c>
      <c r="C125" s="1286"/>
      <c r="D125" s="1291"/>
      <c r="E125" s="1292"/>
      <c r="F125" s="1292"/>
      <c r="G125" s="1292"/>
      <c r="H125" s="1292"/>
      <c r="I125" s="1292"/>
      <c r="J125" s="1292"/>
      <c r="K125" s="1292"/>
      <c r="L125" s="1292"/>
      <c r="M125" s="1292"/>
      <c r="N125" s="1292"/>
      <c r="O125" s="1292"/>
      <c r="P125" s="1292"/>
      <c r="Q125" s="1292"/>
      <c r="R125" s="1292"/>
      <c r="S125" s="1292"/>
      <c r="T125" s="1292"/>
      <c r="U125" s="1292"/>
      <c r="V125" s="1292"/>
      <c r="W125" s="1292"/>
      <c r="X125" s="1292"/>
      <c r="Y125" s="1292"/>
      <c r="Z125" s="1292"/>
      <c r="AA125" s="1292">
        <v>3</v>
      </c>
      <c r="AB125" s="1292"/>
      <c r="AC125" s="1292"/>
      <c r="AD125" s="1292"/>
      <c r="AE125" s="1292"/>
      <c r="AF125" s="1292">
        <v>1</v>
      </c>
      <c r="AG125" s="1292">
        <v>1</v>
      </c>
      <c r="AH125" s="1292"/>
      <c r="AI125" s="1292"/>
      <c r="AJ125" s="1293">
        <v>5</v>
      </c>
      <c r="AK125"/>
      <c r="AL125"/>
      <c r="AM125"/>
    </row>
    <row r="126" spans="1:39">
      <c r="A126" s="1288" t="s">
        <v>1429</v>
      </c>
      <c r="B126" s="1286"/>
      <c r="C126" s="1286"/>
      <c r="D126" s="1291"/>
      <c r="E126" s="1292"/>
      <c r="F126" s="1292"/>
      <c r="G126" s="1292"/>
      <c r="H126" s="1292"/>
      <c r="I126" s="1292">
        <v>1</v>
      </c>
      <c r="J126" s="1292"/>
      <c r="K126" s="1292">
        <v>1</v>
      </c>
      <c r="L126" s="1292"/>
      <c r="M126" s="1292"/>
      <c r="N126" s="1292"/>
      <c r="O126" s="1292"/>
      <c r="P126" s="1292"/>
      <c r="Q126" s="1292"/>
      <c r="R126" s="1292"/>
      <c r="S126" s="1292"/>
      <c r="T126" s="1292"/>
      <c r="U126" s="1292"/>
      <c r="V126" s="1292"/>
      <c r="W126" s="1292"/>
      <c r="X126" s="1292"/>
      <c r="Y126" s="1292"/>
      <c r="Z126" s="1292"/>
      <c r="AA126" s="1292">
        <v>3</v>
      </c>
      <c r="AB126" s="1292"/>
      <c r="AC126" s="1292"/>
      <c r="AD126" s="1292"/>
      <c r="AE126" s="1292"/>
      <c r="AF126" s="1292">
        <v>1</v>
      </c>
      <c r="AG126" s="1292">
        <v>1</v>
      </c>
      <c r="AH126" s="1292">
        <v>1</v>
      </c>
      <c r="AI126" s="1292"/>
      <c r="AJ126" s="1293">
        <v>8</v>
      </c>
      <c r="AK126"/>
      <c r="AL126"/>
      <c r="AM126"/>
    </row>
    <row r="127" spans="1:39">
      <c r="A127" s="1288" t="s">
        <v>1481</v>
      </c>
      <c r="B127" s="1288">
        <v>35</v>
      </c>
      <c r="C127" s="1288" t="s">
        <v>1412</v>
      </c>
      <c r="D127" s="1291"/>
      <c r="E127" s="1292"/>
      <c r="F127" s="1292"/>
      <c r="G127" s="1292"/>
      <c r="H127" s="1292"/>
      <c r="I127" s="1292"/>
      <c r="J127" s="1292"/>
      <c r="K127" s="1292">
        <v>1</v>
      </c>
      <c r="L127" s="1292"/>
      <c r="M127" s="1292"/>
      <c r="N127" s="1292"/>
      <c r="O127" s="1292"/>
      <c r="P127" s="1292"/>
      <c r="Q127" s="1292"/>
      <c r="R127" s="1292"/>
      <c r="S127" s="1292"/>
      <c r="T127" s="1292"/>
      <c r="U127" s="1292"/>
      <c r="V127" s="1292"/>
      <c r="W127" s="1292"/>
      <c r="X127" s="1292"/>
      <c r="Y127" s="1292"/>
      <c r="Z127" s="1292"/>
      <c r="AA127" s="1292"/>
      <c r="AB127" s="1292"/>
      <c r="AC127" s="1292"/>
      <c r="AD127" s="1292"/>
      <c r="AE127" s="1292"/>
      <c r="AF127" s="1292"/>
      <c r="AG127" s="1292"/>
      <c r="AH127" s="1292"/>
      <c r="AI127" s="1292"/>
      <c r="AJ127" s="1293">
        <v>1</v>
      </c>
      <c r="AK127"/>
      <c r="AL127"/>
      <c r="AM127"/>
    </row>
    <row r="128" spans="1:39">
      <c r="A128" s="1294"/>
      <c r="B128" s="1288" t="s">
        <v>1482</v>
      </c>
      <c r="C128" s="1286"/>
      <c r="D128" s="1291"/>
      <c r="E128" s="1292"/>
      <c r="F128" s="1292"/>
      <c r="G128" s="1292"/>
      <c r="H128" s="1292"/>
      <c r="I128" s="1292"/>
      <c r="J128" s="1292"/>
      <c r="K128" s="1292">
        <v>1</v>
      </c>
      <c r="L128" s="1292"/>
      <c r="M128" s="1292"/>
      <c r="N128" s="1292"/>
      <c r="O128" s="1292"/>
      <c r="P128" s="1292"/>
      <c r="Q128" s="1292"/>
      <c r="R128" s="1292"/>
      <c r="S128" s="1292"/>
      <c r="T128" s="1292"/>
      <c r="U128" s="1292"/>
      <c r="V128" s="1292"/>
      <c r="W128" s="1292"/>
      <c r="X128" s="1292"/>
      <c r="Y128" s="1292"/>
      <c r="Z128" s="1292"/>
      <c r="AA128" s="1292"/>
      <c r="AB128" s="1292"/>
      <c r="AC128" s="1292"/>
      <c r="AD128" s="1292"/>
      <c r="AE128" s="1292"/>
      <c r="AF128" s="1292"/>
      <c r="AG128" s="1292"/>
      <c r="AH128" s="1292"/>
      <c r="AI128" s="1292"/>
      <c r="AJ128" s="1293">
        <v>1</v>
      </c>
      <c r="AK128"/>
      <c r="AL128"/>
      <c r="AM128"/>
    </row>
    <row r="129" spans="1:39">
      <c r="A129" s="1288" t="s">
        <v>1483</v>
      </c>
      <c r="B129" s="1286"/>
      <c r="C129" s="1286"/>
      <c r="D129" s="1291"/>
      <c r="E129" s="1292"/>
      <c r="F129" s="1292"/>
      <c r="G129" s="1292"/>
      <c r="H129" s="1292"/>
      <c r="I129" s="1292"/>
      <c r="J129" s="1292"/>
      <c r="K129" s="1292">
        <v>1</v>
      </c>
      <c r="L129" s="1292"/>
      <c r="M129" s="1292"/>
      <c r="N129" s="1292"/>
      <c r="O129" s="1292"/>
      <c r="P129" s="1292"/>
      <c r="Q129" s="1292"/>
      <c r="R129" s="1292"/>
      <c r="S129" s="1292"/>
      <c r="T129" s="1292"/>
      <c r="U129" s="1292"/>
      <c r="V129" s="1292"/>
      <c r="W129" s="1292"/>
      <c r="X129" s="1292"/>
      <c r="Y129" s="1292"/>
      <c r="Z129" s="1292"/>
      <c r="AA129" s="1292"/>
      <c r="AB129" s="1292"/>
      <c r="AC129" s="1292"/>
      <c r="AD129" s="1292"/>
      <c r="AE129" s="1292"/>
      <c r="AF129" s="1292"/>
      <c r="AG129" s="1292"/>
      <c r="AH129" s="1292"/>
      <c r="AI129" s="1292"/>
      <c r="AJ129" s="1293">
        <v>1</v>
      </c>
      <c r="AK129"/>
      <c r="AL129"/>
      <c r="AM129"/>
    </row>
    <row r="130" spans="1:39">
      <c r="A130" s="1288" t="s">
        <v>1432</v>
      </c>
      <c r="B130" s="1288">
        <v>0</v>
      </c>
      <c r="C130" s="1288" t="s">
        <v>1402</v>
      </c>
      <c r="D130" s="1291">
        <v>17079</v>
      </c>
      <c r="E130" s="1292">
        <v>98</v>
      </c>
      <c r="F130" s="1292">
        <v>1122</v>
      </c>
      <c r="G130" s="1292"/>
      <c r="H130" s="1292"/>
      <c r="I130" s="1292">
        <v>53</v>
      </c>
      <c r="J130" s="1292">
        <v>478</v>
      </c>
      <c r="K130" s="1292"/>
      <c r="L130" s="1292"/>
      <c r="M130" s="1292"/>
      <c r="N130" s="1292"/>
      <c r="O130" s="1292">
        <v>425</v>
      </c>
      <c r="P130" s="1292"/>
      <c r="Q130" s="1292"/>
      <c r="R130" s="1292"/>
      <c r="S130" s="1292"/>
      <c r="T130" s="1292"/>
      <c r="U130" s="1292"/>
      <c r="V130" s="1292"/>
      <c r="W130" s="1292"/>
      <c r="X130" s="1292"/>
      <c r="Y130" s="1292"/>
      <c r="Z130" s="1292"/>
      <c r="AA130" s="1292">
        <v>8443</v>
      </c>
      <c r="AB130" s="1292">
        <v>454</v>
      </c>
      <c r="AC130" s="1292">
        <v>682</v>
      </c>
      <c r="AD130" s="1292"/>
      <c r="AE130" s="1292">
        <v>258</v>
      </c>
      <c r="AF130" s="1292"/>
      <c r="AG130" s="1292">
        <v>162</v>
      </c>
      <c r="AH130" s="1292">
        <v>61</v>
      </c>
      <c r="AI130" s="1292">
        <v>130</v>
      </c>
      <c r="AJ130" s="1293">
        <v>29445</v>
      </c>
      <c r="AK130"/>
      <c r="AL130"/>
      <c r="AM130"/>
    </row>
    <row r="131" spans="1:39">
      <c r="A131" s="1294"/>
      <c r="B131" s="1288" t="s">
        <v>1433</v>
      </c>
      <c r="C131" s="1286"/>
      <c r="D131" s="1291">
        <v>17079</v>
      </c>
      <c r="E131" s="1292">
        <v>98</v>
      </c>
      <c r="F131" s="1292">
        <v>1122</v>
      </c>
      <c r="G131" s="1292"/>
      <c r="H131" s="1292"/>
      <c r="I131" s="1292">
        <v>53</v>
      </c>
      <c r="J131" s="1292">
        <v>478</v>
      </c>
      <c r="K131" s="1292"/>
      <c r="L131" s="1292"/>
      <c r="M131" s="1292"/>
      <c r="N131" s="1292"/>
      <c r="O131" s="1292">
        <v>425</v>
      </c>
      <c r="P131" s="1292"/>
      <c r="Q131" s="1292"/>
      <c r="R131" s="1292"/>
      <c r="S131" s="1292"/>
      <c r="T131" s="1292"/>
      <c r="U131" s="1292"/>
      <c r="V131" s="1292"/>
      <c r="W131" s="1292"/>
      <c r="X131" s="1292"/>
      <c r="Y131" s="1292"/>
      <c r="Z131" s="1292"/>
      <c r="AA131" s="1292">
        <v>8443</v>
      </c>
      <c r="AB131" s="1292">
        <v>454</v>
      </c>
      <c r="AC131" s="1292">
        <v>682</v>
      </c>
      <c r="AD131" s="1292"/>
      <c r="AE131" s="1292">
        <v>258</v>
      </c>
      <c r="AF131" s="1292"/>
      <c r="AG131" s="1292">
        <v>162</v>
      </c>
      <c r="AH131" s="1292">
        <v>61</v>
      </c>
      <c r="AI131" s="1292">
        <v>130</v>
      </c>
      <c r="AJ131" s="1293">
        <v>29445</v>
      </c>
      <c r="AK131"/>
      <c r="AL131"/>
      <c r="AM131"/>
    </row>
    <row r="132" spans="1:39">
      <c r="A132" s="1288" t="s">
        <v>1434</v>
      </c>
      <c r="B132" s="1286"/>
      <c r="C132" s="1286"/>
      <c r="D132" s="1291">
        <v>17079</v>
      </c>
      <c r="E132" s="1292">
        <v>98</v>
      </c>
      <c r="F132" s="1292">
        <v>1122</v>
      </c>
      <c r="G132" s="1292"/>
      <c r="H132" s="1292"/>
      <c r="I132" s="1292">
        <v>53</v>
      </c>
      <c r="J132" s="1292">
        <v>478</v>
      </c>
      <c r="K132" s="1292"/>
      <c r="L132" s="1292"/>
      <c r="M132" s="1292"/>
      <c r="N132" s="1292"/>
      <c r="O132" s="1292">
        <v>425</v>
      </c>
      <c r="P132" s="1292"/>
      <c r="Q132" s="1292"/>
      <c r="R132" s="1292"/>
      <c r="S132" s="1292"/>
      <c r="T132" s="1292"/>
      <c r="U132" s="1292"/>
      <c r="V132" s="1292"/>
      <c r="W132" s="1292"/>
      <c r="X132" s="1292"/>
      <c r="Y132" s="1292"/>
      <c r="Z132" s="1292"/>
      <c r="AA132" s="1292">
        <v>8443</v>
      </c>
      <c r="AB132" s="1292">
        <v>454</v>
      </c>
      <c r="AC132" s="1292">
        <v>682</v>
      </c>
      <c r="AD132" s="1292"/>
      <c r="AE132" s="1292">
        <v>258</v>
      </c>
      <c r="AF132" s="1292"/>
      <c r="AG132" s="1292">
        <v>162</v>
      </c>
      <c r="AH132" s="1292">
        <v>61</v>
      </c>
      <c r="AI132" s="1292">
        <v>130</v>
      </c>
      <c r="AJ132" s="1293">
        <v>29445</v>
      </c>
      <c r="AK132"/>
      <c r="AL132"/>
      <c r="AM132"/>
    </row>
    <row r="133" spans="1:39">
      <c r="A133" s="1288" t="s">
        <v>427</v>
      </c>
      <c r="B133" s="1288">
        <v>7.0000000000000007E-2</v>
      </c>
      <c r="C133" s="1288" t="s">
        <v>1402</v>
      </c>
      <c r="D133" s="1291"/>
      <c r="E133" s="1292"/>
      <c r="F133" s="1292"/>
      <c r="G133" s="1292"/>
      <c r="H133" s="1292"/>
      <c r="I133" s="1292"/>
      <c r="J133" s="1292"/>
      <c r="K133" s="1292"/>
      <c r="L133" s="1292"/>
      <c r="M133" s="1292"/>
      <c r="N133" s="1292"/>
      <c r="O133" s="1292"/>
      <c r="P133" s="1292"/>
      <c r="Q133" s="1292"/>
      <c r="R133" s="1292"/>
      <c r="S133" s="1292"/>
      <c r="T133" s="1292">
        <v>21</v>
      </c>
      <c r="U133" s="1292"/>
      <c r="V133" s="1292"/>
      <c r="W133" s="1292"/>
      <c r="X133" s="1292"/>
      <c r="Y133" s="1292"/>
      <c r="Z133" s="1292"/>
      <c r="AA133" s="1292"/>
      <c r="AB133" s="1292"/>
      <c r="AC133" s="1292"/>
      <c r="AD133" s="1292"/>
      <c r="AE133" s="1292"/>
      <c r="AF133" s="1292"/>
      <c r="AG133" s="1292"/>
      <c r="AH133" s="1292"/>
      <c r="AI133" s="1292"/>
      <c r="AJ133" s="1293">
        <v>21</v>
      </c>
      <c r="AK133"/>
      <c r="AL133"/>
      <c r="AM133"/>
    </row>
    <row r="134" spans="1:39">
      <c r="A134" s="1294"/>
      <c r="B134" s="1288" t="s">
        <v>1484</v>
      </c>
      <c r="C134" s="1286"/>
      <c r="D134" s="1291"/>
      <c r="E134" s="1292"/>
      <c r="F134" s="1292"/>
      <c r="G134" s="1292"/>
      <c r="H134" s="1292"/>
      <c r="I134" s="1292"/>
      <c r="J134" s="1292"/>
      <c r="K134" s="1292"/>
      <c r="L134" s="1292"/>
      <c r="M134" s="1292"/>
      <c r="N134" s="1292"/>
      <c r="O134" s="1292"/>
      <c r="P134" s="1292"/>
      <c r="Q134" s="1292"/>
      <c r="R134" s="1292"/>
      <c r="S134" s="1292"/>
      <c r="T134" s="1292">
        <v>21</v>
      </c>
      <c r="U134" s="1292"/>
      <c r="V134" s="1292"/>
      <c r="W134" s="1292"/>
      <c r="X134" s="1292"/>
      <c r="Y134" s="1292"/>
      <c r="Z134" s="1292"/>
      <c r="AA134" s="1292"/>
      <c r="AB134" s="1292"/>
      <c r="AC134" s="1292"/>
      <c r="AD134" s="1292"/>
      <c r="AE134" s="1292"/>
      <c r="AF134" s="1292"/>
      <c r="AG134" s="1292"/>
      <c r="AH134" s="1292"/>
      <c r="AI134" s="1292"/>
      <c r="AJ134" s="1293">
        <v>21</v>
      </c>
      <c r="AK134"/>
      <c r="AL134"/>
      <c r="AM134"/>
    </row>
    <row r="135" spans="1:39">
      <c r="A135" s="1294"/>
      <c r="B135" s="1288">
        <v>0.16</v>
      </c>
      <c r="C135" s="1286"/>
      <c r="D135" s="1291"/>
      <c r="E135" s="1292"/>
      <c r="F135" s="1292"/>
      <c r="G135" s="1292"/>
      <c r="H135" s="1292">
        <v>1</v>
      </c>
      <c r="I135" s="1292"/>
      <c r="J135" s="1292"/>
      <c r="K135" s="1292"/>
      <c r="L135" s="1292"/>
      <c r="M135" s="1292"/>
      <c r="N135" s="1292"/>
      <c r="O135" s="1292"/>
      <c r="P135" s="1292"/>
      <c r="Q135" s="1292"/>
      <c r="R135" s="1292"/>
      <c r="S135" s="1292"/>
      <c r="T135" s="1292">
        <v>333</v>
      </c>
      <c r="U135" s="1292">
        <v>415</v>
      </c>
      <c r="V135" s="1292">
        <v>28</v>
      </c>
      <c r="W135" s="1292">
        <v>352</v>
      </c>
      <c r="X135" s="1292">
        <v>39</v>
      </c>
      <c r="Y135" s="1292">
        <v>6</v>
      </c>
      <c r="Z135" s="1292">
        <v>3</v>
      </c>
      <c r="AA135" s="1292"/>
      <c r="AB135" s="1292"/>
      <c r="AC135" s="1292"/>
      <c r="AD135" s="1292"/>
      <c r="AE135" s="1292"/>
      <c r="AF135" s="1292"/>
      <c r="AG135" s="1292"/>
      <c r="AH135" s="1292"/>
      <c r="AI135" s="1292"/>
      <c r="AJ135" s="1293">
        <v>1177</v>
      </c>
      <c r="AK135"/>
      <c r="AL135"/>
      <c r="AM135"/>
    </row>
    <row r="136" spans="1:39">
      <c r="A136" s="1294"/>
      <c r="B136" s="1288">
        <v>0.3</v>
      </c>
      <c r="C136" s="1288" t="s">
        <v>1402</v>
      </c>
      <c r="D136" s="1291"/>
      <c r="E136" s="1292"/>
      <c r="F136" s="1292"/>
      <c r="G136" s="1292"/>
      <c r="H136" s="1292"/>
      <c r="I136" s="1292"/>
      <c r="J136" s="1292"/>
      <c r="K136" s="1292"/>
      <c r="L136" s="1292"/>
      <c r="M136" s="1292"/>
      <c r="N136" s="1292"/>
      <c r="O136" s="1292"/>
      <c r="P136" s="1292"/>
      <c r="Q136" s="1292"/>
      <c r="R136" s="1292"/>
      <c r="S136" s="1292"/>
      <c r="T136" s="1292">
        <v>272</v>
      </c>
      <c r="U136" s="1292">
        <v>12</v>
      </c>
      <c r="V136" s="1292">
        <v>32</v>
      </c>
      <c r="W136" s="1292">
        <v>36</v>
      </c>
      <c r="X136" s="1292">
        <v>5</v>
      </c>
      <c r="Y136" s="1292">
        <v>1</v>
      </c>
      <c r="Z136" s="1292">
        <v>22</v>
      </c>
      <c r="AA136" s="1292">
        <v>1</v>
      </c>
      <c r="AB136" s="1292"/>
      <c r="AC136" s="1292"/>
      <c r="AD136" s="1292"/>
      <c r="AE136" s="1292"/>
      <c r="AF136" s="1292"/>
      <c r="AG136" s="1292"/>
      <c r="AH136" s="1292"/>
      <c r="AI136" s="1292"/>
      <c r="AJ136" s="1293">
        <v>381</v>
      </c>
      <c r="AK136"/>
      <c r="AL136"/>
      <c r="AM136"/>
    </row>
    <row r="137" spans="1:39">
      <c r="A137" s="1294"/>
      <c r="B137" s="1288" t="s">
        <v>1404</v>
      </c>
      <c r="C137" s="1286"/>
      <c r="D137" s="1291"/>
      <c r="E137" s="1292"/>
      <c r="F137" s="1292"/>
      <c r="G137" s="1292"/>
      <c r="H137" s="1292"/>
      <c r="I137" s="1292"/>
      <c r="J137" s="1292"/>
      <c r="K137" s="1292"/>
      <c r="L137" s="1292"/>
      <c r="M137" s="1292"/>
      <c r="N137" s="1292"/>
      <c r="O137" s="1292"/>
      <c r="P137" s="1292"/>
      <c r="Q137" s="1292"/>
      <c r="R137" s="1292"/>
      <c r="S137" s="1292"/>
      <c r="T137" s="1292">
        <v>272</v>
      </c>
      <c r="U137" s="1292">
        <v>12</v>
      </c>
      <c r="V137" s="1292">
        <v>32</v>
      </c>
      <c r="W137" s="1292">
        <v>36</v>
      </c>
      <c r="X137" s="1292">
        <v>5</v>
      </c>
      <c r="Y137" s="1292">
        <v>1</v>
      </c>
      <c r="Z137" s="1292">
        <v>22</v>
      </c>
      <c r="AA137" s="1292">
        <v>1</v>
      </c>
      <c r="AB137" s="1292"/>
      <c r="AC137" s="1292"/>
      <c r="AD137" s="1292"/>
      <c r="AE137" s="1292"/>
      <c r="AF137" s="1292"/>
      <c r="AG137" s="1292"/>
      <c r="AH137" s="1292"/>
      <c r="AI137" s="1292"/>
      <c r="AJ137" s="1293">
        <v>381</v>
      </c>
      <c r="AK137"/>
      <c r="AL137"/>
      <c r="AM137"/>
    </row>
    <row r="138" spans="1:39">
      <c r="A138" s="1294"/>
      <c r="B138" s="1288">
        <v>0.32</v>
      </c>
      <c r="C138" s="1288" t="s">
        <v>1402</v>
      </c>
      <c r="D138" s="1291"/>
      <c r="E138" s="1292"/>
      <c r="F138" s="1292"/>
      <c r="G138" s="1292"/>
      <c r="H138" s="1292"/>
      <c r="I138" s="1292"/>
      <c r="J138" s="1292"/>
      <c r="K138" s="1292"/>
      <c r="L138" s="1292"/>
      <c r="M138" s="1292"/>
      <c r="N138" s="1292"/>
      <c r="O138" s="1292"/>
      <c r="P138" s="1292"/>
      <c r="Q138" s="1292"/>
      <c r="R138" s="1292"/>
      <c r="S138" s="1292"/>
      <c r="T138" s="1292">
        <v>4</v>
      </c>
      <c r="U138" s="1292"/>
      <c r="V138" s="1292"/>
      <c r="W138" s="1292"/>
      <c r="X138" s="1292"/>
      <c r="Y138" s="1292"/>
      <c r="Z138" s="1292"/>
      <c r="AA138" s="1292"/>
      <c r="AB138" s="1292"/>
      <c r="AC138" s="1292"/>
      <c r="AD138" s="1292"/>
      <c r="AE138" s="1292"/>
      <c r="AF138" s="1292"/>
      <c r="AG138" s="1292"/>
      <c r="AH138" s="1292"/>
      <c r="AI138" s="1292"/>
      <c r="AJ138" s="1293">
        <v>4</v>
      </c>
      <c r="AK138"/>
      <c r="AL138"/>
      <c r="AM138"/>
    </row>
    <row r="139" spans="1:39">
      <c r="A139" s="1294"/>
      <c r="B139" s="1288" t="s">
        <v>1476</v>
      </c>
      <c r="C139" s="1286"/>
      <c r="D139" s="1291"/>
      <c r="E139" s="1292"/>
      <c r="F139" s="1292"/>
      <c r="G139" s="1292"/>
      <c r="H139" s="1292"/>
      <c r="I139" s="1292"/>
      <c r="J139" s="1292"/>
      <c r="K139" s="1292"/>
      <c r="L139" s="1292"/>
      <c r="M139" s="1292"/>
      <c r="N139" s="1292"/>
      <c r="O139" s="1292"/>
      <c r="P139" s="1292"/>
      <c r="Q139" s="1292"/>
      <c r="R139" s="1292"/>
      <c r="S139" s="1292"/>
      <c r="T139" s="1292">
        <v>4</v>
      </c>
      <c r="U139" s="1292"/>
      <c r="V139" s="1292"/>
      <c r="W139" s="1292"/>
      <c r="X139" s="1292"/>
      <c r="Y139" s="1292"/>
      <c r="Z139" s="1292"/>
      <c r="AA139" s="1292"/>
      <c r="AB139" s="1292"/>
      <c r="AC139" s="1292"/>
      <c r="AD139" s="1292"/>
      <c r="AE139" s="1292"/>
      <c r="AF139" s="1292"/>
      <c r="AG139" s="1292"/>
      <c r="AH139" s="1292"/>
      <c r="AI139" s="1292"/>
      <c r="AJ139" s="1293">
        <v>4</v>
      </c>
      <c r="AK139"/>
      <c r="AL139"/>
      <c r="AM139"/>
    </row>
    <row r="140" spans="1:39">
      <c r="A140" s="1294"/>
      <c r="B140" s="1288">
        <v>0.45</v>
      </c>
      <c r="C140" s="1288" t="s">
        <v>1402</v>
      </c>
      <c r="D140" s="1291">
        <v>4</v>
      </c>
      <c r="E140" s="1292"/>
      <c r="F140" s="1292">
        <v>4</v>
      </c>
      <c r="G140" s="1292">
        <v>2</v>
      </c>
      <c r="H140" s="1292"/>
      <c r="I140" s="1292"/>
      <c r="J140" s="1292"/>
      <c r="K140" s="1292"/>
      <c r="L140" s="1292"/>
      <c r="M140" s="1292"/>
      <c r="N140" s="1292"/>
      <c r="O140" s="1292"/>
      <c r="P140" s="1292"/>
      <c r="Q140" s="1292"/>
      <c r="R140" s="1292"/>
      <c r="S140" s="1292"/>
      <c r="T140" s="1292">
        <v>27946</v>
      </c>
      <c r="U140" s="1292">
        <v>3525</v>
      </c>
      <c r="V140" s="1292">
        <v>10344</v>
      </c>
      <c r="W140" s="1292">
        <v>4891</v>
      </c>
      <c r="X140" s="1292">
        <v>827</v>
      </c>
      <c r="Y140" s="1292">
        <v>782</v>
      </c>
      <c r="Z140" s="1292">
        <v>1277</v>
      </c>
      <c r="AA140" s="1292"/>
      <c r="AB140" s="1292"/>
      <c r="AC140" s="1292"/>
      <c r="AD140" s="1292"/>
      <c r="AE140" s="1292"/>
      <c r="AF140" s="1292"/>
      <c r="AG140" s="1292"/>
      <c r="AH140" s="1292"/>
      <c r="AI140" s="1292"/>
      <c r="AJ140" s="1293">
        <v>49602</v>
      </c>
      <c r="AK140"/>
      <c r="AL140"/>
      <c r="AM140"/>
    </row>
    <row r="141" spans="1:39">
      <c r="A141" s="1294"/>
      <c r="B141" s="1288" t="s">
        <v>1405</v>
      </c>
      <c r="C141" s="1286"/>
      <c r="D141" s="1291">
        <v>4</v>
      </c>
      <c r="E141" s="1292"/>
      <c r="F141" s="1292">
        <v>4</v>
      </c>
      <c r="G141" s="1292">
        <v>2</v>
      </c>
      <c r="H141" s="1292"/>
      <c r="I141" s="1292"/>
      <c r="J141" s="1292"/>
      <c r="K141" s="1292"/>
      <c r="L141" s="1292"/>
      <c r="M141" s="1292"/>
      <c r="N141" s="1292"/>
      <c r="O141" s="1292"/>
      <c r="P141" s="1292"/>
      <c r="Q141" s="1292"/>
      <c r="R141" s="1292"/>
      <c r="S141" s="1292"/>
      <c r="T141" s="1292">
        <v>27946</v>
      </c>
      <c r="U141" s="1292">
        <v>3525</v>
      </c>
      <c r="V141" s="1292">
        <v>10344</v>
      </c>
      <c r="W141" s="1292">
        <v>4891</v>
      </c>
      <c r="X141" s="1292">
        <v>827</v>
      </c>
      <c r="Y141" s="1292">
        <v>782</v>
      </c>
      <c r="Z141" s="1292">
        <v>1277</v>
      </c>
      <c r="AA141" s="1292"/>
      <c r="AB141" s="1292"/>
      <c r="AC141" s="1292"/>
      <c r="AD141" s="1292"/>
      <c r="AE141" s="1292"/>
      <c r="AF141" s="1292"/>
      <c r="AG141" s="1292"/>
      <c r="AH141" s="1292"/>
      <c r="AI141" s="1292"/>
      <c r="AJ141" s="1293">
        <v>49602</v>
      </c>
      <c r="AK141"/>
      <c r="AL141"/>
      <c r="AM141"/>
    </row>
    <row r="142" spans="1:39">
      <c r="A142" s="1294"/>
      <c r="B142" s="1288">
        <v>0.48</v>
      </c>
      <c r="C142" s="1288" t="s">
        <v>1402</v>
      </c>
      <c r="D142" s="1291"/>
      <c r="E142" s="1292"/>
      <c r="F142" s="1292"/>
      <c r="G142" s="1292"/>
      <c r="H142" s="1292"/>
      <c r="I142" s="1292"/>
      <c r="J142" s="1292"/>
      <c r="K142" s="1292"/>
      <c r="L142" s="1292"/>
      <c r="M142" s="1292"/>
      <c r="N142" s="1292"/>
      <c r="O142" s="1292"/>
      <c r="P142" s="1292"/>
      <c r="Q142" s="1292"/>
      <c r="R142" s="1292"/>
      <c r="S142" s="1292"/>
      <c r="T142" s="1292">
        <v>15</v>
      </c>
      <c r="U142" s="1292"/>
      <c r="V142" s="1292"/>
      <c r="W142" s="1292"/>
      <c r="X142" s="1292"/>
      <c r="Y142" s="1292"/>
      <c r="Z142" s="1292"/>
      <c r="AA142" s="1292">
        <v>1</v>
      </c>
      <c r="AB142" s="1292"/>
      <c r="AC142" s="1292"/>
      <c r="AD142" s="1292"/>
      <c r="AE142" s="1292"/>
      <c r="AF142" s="1292"/>
      <c r="AG142" s="1292"/>
      <c r="AH142" s="1292"/>
      <c r="AI142" s="1292"/>
      <c r="AJ142" s="1293">
        <v>16</v>
      </c>
      <c r="AK142"/>
      <c r="AL142"/>
      <c r="AM142"/>
    </row>
    <row r="143" spans="1:39">
      <c r="A143" s="1294"/>
      <c r="B143" s="1288" t="s">
        <v>1485</v>
      </c>
      <c r="C143" s="1286"/>
      <c r="D143" s="1291"/>
      <c r="E143" s="1292"/>
      <c r="F143" s="1292"/>
      <c r="G143" s="1292"/>
      <c r="H143" s="1292"/>
      <c r="I143" s="1292"/>
      <c r="J143" s="1292"/>
      <c r="K143" s="1292"/>
      <c r="L143" s="1292"/>
      <c r="M143" s="1292"/>
      <c r="N143" s="1292"/>
      <c r="O143" s="1292"/>
      <c r="P143" s="1292"/>
      <c r="Q143" s="1292"/>
      <c r="R143" s="1292"/>
      <c r="S143" s="1292"/>
      <c r="T143" s="1292">
        <v>15</v>
      </c>
      <c r="U143" s="1292"/>
      <c r="V143" s="1292"/>
      <c r="W143" s="1292"/>
      <c r="X143" s="1292"/>
      <c r="Y143" s="1292"/>
      <c r="Z143" s="1292"/>
      <c r="AA143" s="1292">
        <v>1</v>
      </c>
      <c r="AB143" s="1292"/>
      <c r="AC143" s="1292"/>
      <c r="AD143" s="1292"/>
      <c r="AE143" s="1292"/>
      <c r="AF143" s="1292"/>
      <c r="AG143" s="1292"/>
      <c r="AH143" s="1292"/>
      <c r="AI143" s="1292"/>
      <c r="AJ143" s="1293">
        <v>16</v>
      </c>
      <c r="AK143"/>
      <c r="AL143"/>
      <c r="AM143"/>
    </row>
    <row r="144" spans="1:39">
      <c r="A144" s="1288" t="s">
        <v>1430</v>
      </c>
      <c r="B144" s="1286"/>
      <c r="C144" s="1286"/>
      <c r="D144" s="1291">
        <v>4</v>
      </c>
      <c r="E144" s="1292"/>
      <c r="F144" s="1292">
        <v>4</v>
      </c>
      <c r="G144" s="1292">
        <v>2</v>
      </c>
      <c r="H144" s="1292">
        <v>1</v>
      </c>
      <c r="I144" s="1292"/>
      <c r="J144" s="1292"/>
      <c r="K144" s="1292"/>
      <c r="L144" s="1292"/>
      <c r="M144" s="1292"/>
      <c r="N144" s="1292"/>
      <c r="O144" s="1292"/>
      <c r="P144" s="1292"/>
      <c r="Q144" s="1292"/>
      <c r="R144" s="1292"/>
      <c r="S144" s="1292"/>
      <c r="T144" s="1292">
        <v>28591</v>
      </c>
      <c r="U144" s="1292">
        <v>3952</v>
      </c>
      <c r="V144" s="1292">
        <v>10404</v>
      </c>
      <c r="W144" s="1292">
        <v>5279</v>
      </c>
      <c r="X144" s="1292">
        <v>871</v>
      </c>
      <c r="Y144" s="1292">
        <v>789</v>
      </c>
      <c r="Z144" s="1292">
        <v>1302</v>
      </c>
      <c r="AA144" s="1292">
        <v>2</v>
      </c>
      <c r="AB144" s="1292"/>
      <c r="AC144" s="1292"/>
      <c r="AD144" s="1292"/>
      <c r="AE144" s="1292"/>
      <c r="AF144" s="1292"/>
      <c r="AG144" s="1292"/>
      <c r="AH144" s="1292"/>
      <c r="AI144" s="1292"/>
      <c r="AJ144" s="1293">
        <v>51201</v>
      </c>
      <c r="AK144"/>
      <c r="AL144"/>
      <c r="AM144"/>
    </row>
    <row r="145" spans="1:39">
      <c r="A145" s="1288" t="s">
        <v>436</v>
      </c>
      <c r="B145" s="1288">
        <v>0.45</v>
      </c>
      <c r="C145" s="1288" t="s">
        <v>1402</v>
      </c>
      <c r="D145" s="1291">
        <v>284</v>
      </c>
      <c r="E145" s="1292">
        <v>25</v>
      </c>
      <c r="F145" s="1292">
        <v>36</v>
      </c>
      <c r="G145" s="1292">
        <v>6</v>
      </c>
      <c r="H145" s="1292">
        <v>1</v>
      </c>
      <c r="I145" s="1292">
        <v>1</v>
      </c>
      <c r="J145" s="1292">
        <v>20</v>
      </c>
      <c r="K145" s="1292"/>
      <c r="L145" s="1292"/>
      <c r="M145" s="1292"/>
      <c r="N145" s="1292"/>
      <c r="O145" s="1292"/>
      <c r="P145" s="1292"/>
      <c r="Q145" s="1292"/>
      <c r="R145" s="1292"/>
      <c r="S145" s="1292"/>
      <c r="T145" s="1292">
        <v>5</v>
      </c>
      <c r="U145" s="1292"/>
      <c r="V145" s="1292"/>
      <c r="W145" s="1292"/>
      <c r="X145" s="1292"/>
      <c r="Y145" s="1292"/>
      <c r="Z145" s="1292"/>
      <c r="AA145" s="1292">
        <v>6</v>
      </c>
      <c r="AB145" s="1292"/>
      <c r="AC145" s="1292"/>
      <c r="AD145" s="1292"/>
      <c r="AE145" s="1292"/>
      <c r="AF145" s="1292"/>
      <c r="AG145" s="1292"/>
      <c r="AH145" s="1292">
        <v>1</v>
      </c>
      <c r="AI145" s="1292"/>
      <c r="AJ145" s="1293">
        <v>385</v>
      </c>
      <c r="AK145"/>
      <c r="AL145"/>
      <c r="AM145"/>
    </row>
    <row r="146" spans="1:39">
      <c r="A146" s="1294"/>
      <c r="B146" s="1288" t="s">
        <v>1405</v>
      </c>
      <c r="C146" s="1286"/>
      <c r="D146" s="1291">
        <v>284</v>
      </c>
      <c r="E146" s="1292">
        <v>25</v>
      </c>
      <c r="F146" s="1292">
        <v>36</v>
      </c>
      <c r="G146" s="1292">
        <v>6</v>
      </c>
      <c r="H146" s="1292">
        <v>1</v>
      </c>
      <c r="I146" s="1292">
        <v>1</v>
      </c>
      <c r="J146" s="1292">
        <v>20</v>
      </c>
      <c r="K146" s="1292"/>
      <c r="L146" s="1292"/>
      <c r="M146" s="1292"/>
      <c r="N146" s="1292"/>
      <c r="O146" s="1292"/>
      <c r="P146" s="1292"/>
      <c r="Q146" s="1292"/>
      <c r="R146" s="1292"/>
      <c r="S146" s="1292"/>
      <c r="T146" s="1292">
        <v>5</v>
      </c>
      <c r="U146" s="1292"/>
      <c r="V146" s="1292"/>
      <c r="W146" s="1292"/>
      <c r="X146" s="1292"/>
      <c r="Y146" s="1292"/>
      <c r="Z146" s="1292"/>
      <c r="AA146" s="1292">
        <v>6</v>
      </c>
      <c r="AB146" s="1292"/>
      <c r="AC146" s="1292"/>
      <c r="AD146" s="1292"/>
      <c r="AE146" s="1292"/>
      <c r="AF146" s="1292"/>
      <c r="AG146" s="1292"/>
      <c r="AH146" s="1292">
        <v>1</v>
      </c>
      <c r="AI146" s="1292"/>
      <c r="AJ146" s="1293">
        <v>385</v>
      </c>
      <c r="AK146"/>
      <c r="AL146"/>
      <c r="AM146"/>
    </row>
    <row r="147" spans="1:39">
      <c r="A147" s="1288" t="s">
        <v>1431</v>
      </c>
      <c r="B147" s="1286"/>
      <c r="C147" s="1286"/>
      <c r="D147" s="1291">
        <v>284</v>
      </c>
      <c r="E147" s="1292">
        <v>25</v>
      </c>
      <c r="F147" s="1292">
        <v>36</v>
      </c>
      <c r="G147" s="1292">
        <v>6</v>
      </c>
      <c r="H147" s="1292">
        <v>1</v>
      </c>
      <c r="I147" s="1292">
        <v>1</v>
      </c>
      <c r="J147" s="1292">
        <v>20</v>
      </c>
      <c r="K147" s="1292"/>
      <c r="L147" s="1292"/>
      <c r="M147" s="1292"/>
      <c r="N147" s="1292"/>
      <c r="O147" s="1292"/>
      <c r="P147" s="1292"/>
      <c r="Q147" s="1292"/>
      <c r="R147" s="1292"/>
      <c r="S147" s="1292"/>
      <c r="T147" s="1292">
        <v>5</v>
      </c>
      <c r="U147" s="1292"/>
      <c r="V147" s="1292"/>
      <c r="W147" s="1292"/>
      <c r="X147" s="1292"/>
      <c r="Y147" s="1292"/>
      <c r="Z147" s="1292"/>
      <c r="AA147" s="1292">
        <v>6</v>
      </c>
      <c r="AB147" s="1292"/>
      <c r="AC147" s="1292"/>
      <c r="AD147" s="1292"/>
      <c r="AE147" s="1292"/>
      <c r="AF147" s="1292"/>
      <c r="AG147" s="1292"/>
      <c r="AH147" s="1292">
        <v>1</v>
      </c>
      <c r="AI147" s="1292"/>
      <c r="AJ147" s="1293">
        <v>385</v>
      </c>
      <c r="AK147"/>
      <c r="AL147"/>
      <c r="AM147"/>
    </row>
    <row r="148" spans="1:39">
      <c r="A148" s="1298" t="s">
        <v>1401</v>
      </c>
      <c r="B148" s="1299"/>
      <c r="C148" s="1299"/>
      <c r="D148" s="1300">
        <v>20607</v>
      </c>
      <c r="E148" s="1301">
        <v>231</v>
      </c>
      <c r="F148" s="1301">
        <v>1415</v>
      </c>
      <c r="G148" s="1301">
        <v>123</v>
      </c>
      <c r="H148" s="1301">
        <v>13</v>
      </c>
      <c r="I148" s="1301">
        <v>66</v>
      </c>
      <c r="J148" s="1301">
        <v>744</v>
      </c>
      <c r="K148" s="1301">
        <v>297</v>
      </c>
      <c r="L148" s="1301">
        <v>8</v>
      </c>
      <c r="M148" s="1301">
        <v>25</v>
      </c>
      <c r="N148" s="1301">
        <v>43</v>
      </c>
      <c r="O148" s="1301">
        <v>438</v>
      </c>
      <c r="P148" s="1301">
        <v>2</v>
      </c>
      <c r="Q148" s="1301">
        <v>3</v>
      </c>
      <c r="R148" s="1301">
        <v>15</v>
      </c>
      <c r="S148" s="1301">
        <v>2</v>
      </c>
      <c r="T148" s="1301">
        <v>88004</v>
      </c>
      <c r="U148" s="1301">
        <v>12084</v>
      </c>
      <c r="V148" s="1301">
        <v>24058</v>
      </c>
      <c r="W148" s="1301">
        <v>22980</v>
      </c>
      <c r="X148" s="1301">
        <v>2980</v>
      </c>
      <c r="Y148" s="1301">
        <v>2667</v>
      </c>
      <c r="Z148" s="1301">
        <v>4545</v>
      </c>
      <c r="AA148" s="1301">
        <v>13428</v>
      </c>
      <c r="AB148" s="1301">
        <v>605</v>
      </c>
      <c r="AC148" s="1301">
        <v>996</v>
      </c>
      <c r="AD148" s="1301">
        <v>14</v>
      </c>
      <c r="AE148" s="1301">
        <v>403</v>
      </c>
      <c r="AF148" s="1301">
        <v>13</v>
      </c>
      <c r="AG148" s="1301">
        <v>227</v>
      </c>
      <c r="AH148" s="1301">
        <v>391</v>
      </c>
      <c r="AI148" s="1301">
        <v>301</v>
      </c>
      <c r="AJ148" s="1302">
        <v>197728</v>
      </c>
      <c r="AK148"/>
      <c r="AL148"/>
      <c r="AM148"/>
    </row>
    <row r="149" spans="1:3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row>
    <row r="150" spans="1:3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row>
    <row r="151" spans="1:3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row>
    <row r="152" spans="1:3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row>
  </sheetData>
  <mergeCells count="2">
    <mergeCell ref="J2:N2"/>
    <mergeCell ref="P2:T2"/>
  </mergeCells>
  <pageMargins left="0.7" right="0.7" top="0.75" bottom="0.75" header="0.3" footer="0.3"/>
  <pageSetup scale="40"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7"/>
    <pageSetUpPr fitToPage="1"/>
  </sheetPr>
  <dimension ref="A1:O2953"/>
  <sheetViews>
    <sheetView workbookViewId="0">
      <pane ySplit="1" topLeftCell="A1802" activePane="bottomLeft" state="frozen"/>
      <selection activeCell="B41" sqref="B41"/>
      <selection pane="bottomLeft" activeCell="N1" sqref="N1:O1"/>
    </sheetView>
  </sheetViews>
  <sheetFormatPr defaultRowHeight="12.75"/>
  <cols>
    <col min="1" max="1" width="13.33203125" style="1236" bestFit="1" customWidth="1"/>
    <col min="2" max="2" width="17.33203125" style="1236" bestFit="1" customWidth="1"/>
    <col min="3" max="3" width="17" style="1236" bestFit="1" customWidth="1"/>
    <col min="4" max="4" width="19.6640625" style="1236" bestFit="1" customWidth="1"/>
    <col min="5" max="5" width="16.1640625" style="1236" bestFit="1" customWidth="1"/>
    <col min="6" max="6" width="15.83203125" style="1236" bestFit="1" customWidth="1"/>
    <col min="7" max="7" width="11.5" style="1236" bestFit="1" customWidth="1"/>
    <col min="8" max="8" width="16.33203125" style="1236" bestFit="1" customWidth="1"/>
    <col min="9" max="9" width="13" style="1236" bestFit="1" customWidth="1"/>
    <col min="10" max="10" width="13" style="1236" customWidth="1"/>
    <col min="11" max="11" width="16.33203125" style="1236" bestFit="1" customWidth="1"/>
    <col min="12" max="12" width="17.6640625" style="1236" bestFit="1" customWidth="1"/>
    <col min="13" max="13" width="14" style="1236" bestFit="1" customWidth="1"/>
    <col min="14" max="14" width="16" style="1236" customWidth="1"/>
    <col min="15" max="16384" width="9.33203125" style="1236"/>
  </cols>
  <sheetData>
    <row r="1" spans="1:15" s="1245" customFormat="1" ht="76.5">
      <c r="A1" s="1243" t="s">
        <v>1696</v>
      </c>
      <c r="B1" s="1243" t="s">
        <v>1394</v>
      </c>
      <c r="C1" s="1244" t="s">
        <v>1395</v>
      </c>
      <c r="D1" s="1243" t="s">
        <v>1697</v>
      </c>
      <c r="E1" s="1243" t="s">
        <v>1389</v>
      </c>
      <c r="F1" s="1244" t="s">
        <v>1698</v>
      </c>
      <c r="G1" s="1244" t="s">
        <v>1699</v>
      </c>
      <c r="H1" s="1244" t="s">
        <v>1700</v>
      </c>
      <c r="I1" s="1243" t="s">
        <v>1701</v>
      </c>
      <c r="J1" s="1283" t="s">
        <v>1702</v>
      </c>
      <c r="K1" s="1243" t="s">
        <v>1393</v>
      </c>
      <c r="L1" s="1243" t="s">
        <v>1486</v>
      </c>
      <c r="M1" s="1244" t="s">
        <v>1487</v>
      </c>
      <c r="N1" s="1244" t="s">
        <v>1488</v>
      </c>
      <c r="O1" s="1244" t="s">
        <v>1489</v>
      </c>
    </row>
    <row r="2" spans="1:15">
      <c r="A2" s="1246" t="s">
        <v>1490</v>
      </c>
      <c r="B2" s="1246" t="s">
        <v>426</v>
      </c>
      <c r="C2" s="1247">
        <v>0.08</v>
      </c>
      <c r="F2" s="1248">
        <v>1</v>
      </c>
      <c r="G2" s="1248">
        <v>1</v>
      </c>
      <c r="H2" s="1249">
        <v>1</v>
      </c>
      <c r="I2" s="1246" t="s">
        <v>1491</v>
      </c>
      <c r="J2" s="1246" t="s">
        <v>1459</v>
      </c>
      <c r="K2" s="1284" t="str">
        <f t="shared" ref="K2:K65" si="0">IF(J2="1B","10", IF(J2="2B","20",IF(J2="3B","30",IF(J2="7B",70,J2))))</f>
        <v>3A</v>
      </c>
      <c r="L2" s="1246" t="s">
        <v>1492</v>
      </c>
      <c r="M2" s="1250">
        <v>3</v>
      </c>
      <c r="N2" s="1251">
        <v>1</v>
      </c>
      <c r="O2" s="1252">
        <v>1</v>
      </c>
    </row>
    <row r="3" spans="1:15">
      <c r="A3" s="1246" t="s">
        <v>1493</v>
      </c>
      <c r="B3" s="1246" t="s">
        <v>426</v>
      </c>
      <c r="C3" s="1247">
        <v>0.08</v>
      </c>
      <c r="E3" s="1246" t="s">
        <v>1494</v>
      </c>
      <c r="F3" s="1248">
        <v>1</v>
      </c>
      <c r="G3" s="1248">
        <v>1</v>
      </c>
      <c r="H3" s="1249">
        <v>1</v>
      </c>
      <c r="I3" s="1246" t="s">
        <v>1491</v>
      </c>
      <c r="J3" s="1246" t="s">
        <v>1462</v>
      </c>
      <c r="K3" s="1284" t="str">
        <f t="shared" si="0"/>
        <v>71</v>
      </c>
      <c r="L3" s="1246" t="s">
        <v>1495</v>
      </c>
      <c r="M3" s="1250">
        <v>9</v>
      </c>
      <c r="N3" s="1251">
        <v>5</v>
      </c>
      <c r="O3" s="1252">
        <v>5</v>
      </c>
    </row>
    <row r="4" spans="1:15">
      <c r="A4" s="1246" t="s">
        <v>1493</v>
      </c>
      <c r="B4" s="1246" t="s">
        <v>426</v>
      </c>
      <c r="C4" s="1247">
        <v>0.08</v>
      </c>
      <c r="E4" s="1246" t="s">
        <v>376</v>
      </c>
      <c r="F4" s="1248">
        <v>2</v>
      </c>
      <c r="G4" s="1248">
        <v>2</v>
      </c>
      <c r="H4" s="1249">
        <v>1</v>
      </c>
      <c r="I4" s="1246" t="s">
        <v>1491</v>
      </c>
      <c r="J4" s="1246" t="s">
        <v>1462</v>
      </c>
      <c r="K4" s="1284" t="str">
        <f t="shared" si="0"/>
        <v>71</v>
      </c>
      <c r="L4" s="1246" t="s">
        <v>1496</v>
      </c>
      <c r="M4" s="1250">
        <v>9</v>
      </c>
      <c r="N4" s="1251">
        <v>2</v>
      </c>
      <c r="O4" s="1252">
        <v>1</v>
      </c>
    </row>
    <row r="5" spans="1:15">
      <c r="A5" s="1246" t="s">
        <v>1493</v>
      </c>
      <c r="B5" s="1246" t="s">
        <v>426</v>
      </c>
      <c r="C5" s="1247">
        <v>0.08</v>
      </c>
      <c r="E5" s="1246" t="s">
        <v>376</v>
      </c>
      <c r="F5" s="1248">
        <v>30</v>
      </c>
      <c r="G5" s="1248">
        <v>30</v>
      </c>
      <c r="H5" s="1249">
        <v>1</v>
      </c>
      <c r="I5" s="1246" t="s">
        <v>1491</v>
      </c>
      <c r="J5" s="1246" t="s">
        <v>1462</v>
      </c>
      <c r="K5" s="1284" t="str">
        <f t="shared" si="0"/>
        <v>71</v>
      </c>
      <c r="L5" s="1246" t="s">
        <v>1496</v>
      </c>
      <c r="M5" s="1250">
        <v>9</v>
      </c>
      <c r="N5" s="1251">
        <v>30</v>
      </c>
      <c r="O5" s="1252">
        <v>1</v>
      </c>
    </row>
    <row r="6" spans="1:15">
      <c r="A6" s="1246" t="s">
        <v>1493</v>
      </c>
      <c r="B6" s="1246" t="s">
        <v>426</v>
      </c>
      <c r="C6" s="1247">
        <v>0.08</v>
      </c>
      <c r="E6" s="1246" t="s">
        <v>376</v>
      </c>
      <c r="F6" s="1248">
        <v>33</v>
      </c>
      <c r="G6" s="1248">
        <v>33</v>
      </c>
      <c r="H6" s="1249">
        <v>1</v>
      </c>
      <c r="I6" s="1246" t="s">
        <v>1491</v>
      </c>
      <c r="J6" s="1246" t="s">
        <v>1462</v>
      </c>
      <c r="K6" s="1284" t="str">
        <f t="shared" si="0"/>
        <v>71</v>
      </c>
      <c r="L6" s="1246" t="s">
        <v>1496</v>
      </c>
      <c r="M6" s="1250">
        <v>9</v>
      </c>
      <c r="N6" s="1251">
        <v>33</v>
      </c>
      <c r="O6" s="1252">
        <v>1</v>
      </c>
    </row>
    <row r="7" spans="1:15">
      <c r="A7" s="1246" t="s">
        <v>1493</v>
      </c>
      <c r="B7" s="1246" t="s">
        <v>426</v>
      </c>
      <c r="C7" s="1247">
        <v>0.08</v>
      </c>
      <c r="E7" s="1246" t="s">
        <v>376</v>
      </c>
      <c r="F7" s="1248">
        <v>36</v>
      </c>
      <c r="G7" s="1248">
        <v>36</v>
      </c>
      <c r="H7" s="1249">
        <v>1</v>
      </c>
      <c r="I7" s="1246" t="s">
        <v>1491</v>
      </c>
      <c r="J7" s="1246" t="s">
        <v>1462</v>
      </c>
      <c r="K7" s="1284" t="str">
        <f t="shared" si="0"/>
        <v>71</v>
      </c>
      <c r="L7" s="1246" t="s">
        <v>1496</v>
      </c>
      <c r="M7" s="1250">
        <v>9</v>
      </c>
      <c r="N7" s="1251">
        <v>36</v>
      </c>
      <c r="O7" s="1252">
        <v>1</v>
      </c>
    </row>
    <row r="8" spans="1:15">
      <c r="A8" s="1246" t="s">
        <v>1490</v>
      </c>
      <c r="B8" s="1246" t="s">
        <v>426</v>
      </c>
      <c r="C8" s="1247">
        <v>0.09</v>
      </c>
      <c r="F8" s="1248">
        <v>1</v>
      </c>
      <c r="G8" s="1248">
        <v>1</v>
      </c>
      <c r="H8" s="1249">
        <v>1</v>
      </c>
      <c r="I8" s="1246" t="s">
        <v>1491</v>
      </c>
      <c r="J8" s="1246" t="s">
        <v>1460</v>
      </c>
      <c r="K8" s="1284" t="str">
        <f t="shared" si="0"/>
        <v>30</v>
      </c>
      <c r="L8" s="1246" t="s">
        <v>1497</v>
      </c>
      <c r="M8" s="1250">
        <v>1</v>
      </c>
      <c r="N8" s="1251">
        <v>2</v>
      </c>
      <c r="O8" s="1252">
        <v>2</v>
      </c>
    </row>
    <row r="9" spans="1:15">
      <c r="A9" s="1246" t="s">
        <v>1490</v>
      </c>
      <c r="B9" s="1246" t="s">
        <v>426</v>
      </c>
      <c r="C9" s="1247">
        <v>0.09</v>
      </c>
      <c r="F9" s="1248">
        <v>1</v>
      </c>
      <c r="G9" s="1248">
        <v>1</v>
      </c>
      <c r="H9" s="1249">
        <v>1</v>
      </c>
      <c r="I9" s="1246" t="s">
        <v>1491</v>
      </c>
      <c r="J9" s="1246" t="s">
        <v>1460</v>
      </c>
      <c r="K9" s="1284" t="str">
        <f t="shared" si="0"/>
        <v>30</v>
      </c>
      <c r="L9" s="1246" t="s">
        <v>1498</v>
      </c>
      <c r="M9" s="1250">
        <v>2</v>
      </c>
      <c r="N9" s="1251">
        <v>3</v>
      </c>
      <c r="O9" s="1252">
        <v>3</v>
      </c>
    </row>
    <row r="10" spans="1:15">
      <c r="A10" s="1246" t="s">
        <v>1490</v>
      </c>
      <c r="B10" s="1246" t="s">
        <v>426</v>
      </c>
      <c r="C10" s="1247">
        <v>0.09</v>
      </c>
      <c r="F10" s="1248">
        <v>1</v>
      </c>
      <c r="G10" s="1248">
        <v>1</v>
      </c>
      <c r="H10" s="1249">
        <v>1</v>
      </c>
      <c r="I10" s="1246" t="s">
        <v>1491</v>
      </c>
      <c r="J10" s="1246" t="s">
        <v>1460</v>
      </c>
      <c r="K10" s="1284" t="str">
        <f t="shared" si="0"/>
        <v>30</v>
      </c>
      <c r="L10" s="1246" t="s">
        <v>1499</v>
      </c>
      <c r="M10" s="1250">
        <v>5</v>
      </c>
      <c r="N10" s="1251">
        <v>1</v>
      </c>
      <c r="O10" s="1252">
        <v>1</v>
      </c>
    </row>
    <row r="11" spans="1:15">
      <c r="A11" s="1246" t="s">
        <v>1490</v>
      </c>
      <c r="B11" s="1246" t="s">
        <v>426</v>
      </c>
      <c r="C11" s="1247">
        <v>0.09</v>
      </c>
      <c r="F11" s="1248">
        <v>1</v>
      </c>
      <c r="G11" s="1248">
        <v>1</v>
      </c>
      <c r="H11" s="1249">
        <v>1</v>
      </c>
      <c r="I11" s="1246" t="s">
        <v>1491</v>
      </c>
      <c r="J11" s="1246" t="s">
        <v>1454</v>
      </c>
      <c r="K11" s="1284" t="str">
        <f t="shared" si="0"/>
        <v>31</v>
      </c>
      <c r="L11" s="1246" t="s">
        <v>1500</v>
      </c>
      <c r="M11" s="1250">
        <v>2</v>
      </c>
      <c r="N11" s="1251">
        <v>1</v>
      </c>
      <c r="O11" s="1252">
        <v>1</v>
      </c>
    </row>
    <row r="12" spans="1:15">
      <c r="A12" s="1246" t="s">
        <v>1493</v>
      </c>
      <c r="B12" s="1246" t="s">
        <v>426</v>
      </c>
      <c r="C12" s="1247">
        <v>0.09</v>
      </c>
      <c r="E12" s="1246" t="s">
        <v>1494</v>
      </c>
      <c r="F12" s="1248">
        <v>1</v>
      </c>
      <c r="G12" s="1248">
        <v>1</v>
      </c>
      <c r="H12" s="1249">
        <v>1</v>
      </c>
      <c r="I12" s="1246" t="s">
        <v>1491</v>
      </c>
      <c r="J12" s="1246" t="s">
        <v>1462</v>
      </c>
      <c r="K12" s="1284" t="str">
        <f t="shared" si="0"/>
        <v>71</v>
      </c>
      <c r="L12" s="1246" t="s">
        <v>1495</v>
      </c>
      <c r="M12" s="1250">
        <v>9</v>
      </c>
      <c r="N12" s="1251">
        <v>1</v>
      </c>
      <c r="O12" s="1252">
        <v>1</v>
      </c>
    </row>
    <row r="13" spans="1:15">
      <c r="A13" s="1246" t="s">
        <v>1490</v>
      </c>
      <c r="B13" s="1246" t="s">
        <v>428</v>
      </c>
      <c r="C13" s="1247">
        <v>0.15</v>
      </c>
      <c r="F13" s="1248">
        <v>1</v>
      </c>
      <c r="G13" s="1248">
        <v>1</v>
      </c>
      <c r="H13" s="1249">
        <v>1</v>
      </c>
      <c r="I13" s="1246" t="s">
        <v>1491</v>
      </c>
      <c r="J13" s="1246" t="s">
        <v>1457</v>
      </c>
      <c r="K13" s="1284" t="str">
        <f t="shared" si="0"/>
        <v>35</v>
      </c>
      <c r="L13" s="1246" t="s">
        <v>1501</v>
      </c>
      <c r="M13" s="1250">
        <v>1</v>
      </c>
      <c r="N13" s="1251">
        <v>1</v>
      </c>
      <c r="O13" s="1252">
        <v>1</v>
      </c>
    </row>
    <row r="14" spans="1:15">
      <c r="A14" s="1246" t="s">
        <v>1490</v>
      </c>
      <c r="B14" s="1246" t="s">
        <v>428</v>
      </c>
      <c r="C14" s="1247">
        <v>0.16</v>
      </c>
      <c r="F14" s="1248">
        <v>1</v>
      </c>
      <c r="G14" s="1248">
        <v>1</v>
      </c>
      <c r="H14" s="1249">
        <v>1</v>
      </c>
      <c r="I14" s="1246" t="s">
        <v>1491</v>
      </c>
      <c r="J14" s="1246" t="s">
        <v>1460</v>
      </c>
      <c r="K14" s="1284" t="str">
        <f t="shared" si="0"/>
        <v>30</v>
      </c>
      <c r="L14" s="1246" t="s">
        <v>1497</v>
      </c>
      <c r="M14" s="1250">
        <v>1</v>
      </c>
      <c r="N14" s="1251">
        <v>7</v>
      </c>
      <c r="O14" s="1252">
        <v>7</v>
      </c>
    </row>
    <row r="15" spans="1:15">
      <c r="A15" s="1246" t="s">
        <v>1490</v>
      </c>
      <c r="B15" s="1246" t="s">
        <v>428</v>
      </c>
      <c r="C15" s="1247">
        <v>0.16</v>
      </c>
      <c r="F15" s="1248">
        <v>1</v>
      </c>
      <c r="G15" s="1248">
        <v>1</v>
      </c>
      <c r="H15" s="1249">
        <v>1</v>
      </c>
      <c r="I15" s="1246" t="s">
        <v>1491</v>
      </c>
      <c r="J15" s="1246" t="s">
        <v>1461</v>
      </c>
      <c r="K15" s="1284" t="str">
        <f t="shared" si="0"/>
        <v>3C</v>
      </c>
      <c r="L15" s="1246" t="s">
        <v>1502</v>
      </c>
      <c r="M15" s="1250">
        <v>1</v>
      </c>
      <c r="N15" s="1251">
        <v>18</v>
      </c>
      <c r="O15" s="1252">
        <v>18</v>
      </c>
    </row>
    <row r="16" spans="1:15">
      <c r="A16" s="1246" t="s">
        <v>1490</v>
      </c>
      <c r="B16" s="1246" t="s">
        <v>428</v>
      </c>
      <c r="C16" s="1247">
        <v>0.16</v>
      </c>
      <c r="F16" s="1248">
        <v>1</v>
      </c>
      <c r="G16" s="1248">
        <v>1</v>
      </c>
      <c r="H16" s="1249">
        <v>1</v>
      </c>
      <c r="I16" s="1246" t="s">
        <v>1491</v>
      </c>
      <c r="J16" s="1246" t="s">
        <v>1461</v>
      </c>
      <c r="K16" s="1284" t="str">
        <f t="shared" si="0"/>
        <v>3C</v>
      </c>
      <c r="L16" s="1246" t="s">
        <v>1502</v>
      </c>
      <c r="M16" s="1250">
        <v>3</v>
      </c>
      <c r="N16" s="1251">
        <v>435</v>
      </c>
      <c r="O16" s="1252">
        <v>435</v>
      </c>
    </row>
    <row r="17" spans="1:15">
      <c r="A17" s="1246" t="s">
        <v>1493</v>
      </c>
      <c r="B17" s="1246" t="s">
        <v>428</v>
      </c>
      <c r="C17" s="1247">
        <v>0.16</v>
      </c>
      <c r="E17" s="1246" t="s">
        <v>370</v>
      </c>
      <c r="F17" s="1248">
        <v>1</v>
      </c>
      <c r="G17" s="1248">
        <v>1</v>
      </c>
      <c r="H17" s="1249">
        <v>1</v>
      </c>
      <c r="I17" s="1246" t="s">
        <v>1491</v>
      </c>
      <c r="J17" s="1246" t="s">
        <v>1443</v>
      </c>
      <c r="K17" s="1284" t="str">
        <f t="shared" si="0"/>
        <v>1C</v>
      </c>
      <c r="L17" s="1246" t="s">
        <v>1502</v>
      </c>
      <c r="M17" s="1250">
        <v>4</v>
      </c>
      <c r="N17" s="1251">
        <v>3</v>
      </c>
      <c r="O17" s="1252">
        <v>3</v>
      </c>
    </row>
    <row r="18" spans="1:15">
      <c r="A18" s="1246" t="s">
        <v>1490</v>
      </c>
      <c r="B18" s="1246" t="s">
        <v>428</v>
      </c>
      <c r="C18" s="1247">
        <v>0.16</v>
      </c>
      <c r="F18" s="1248">
        <v>1</v>
      </c>
      <c r="G18" s="1248">
        <v>1</v>
      </c>
      <c r="H18" s="1249">
        <v>1</v>
      </c>
      <c r="I18" s="1246" t="s">
        <v>1491</v>
      </c>
      <c r="J18" s="1246" t="s">
        <v>1460</v>
      </c>
      <c r="K18" s="1284" t="str">
        <f t="shared" si="0"/>
        <v>30</v>
      </c>
      <c r="L18" s="1246" t="s">
        <v>1498</v>
      </c>
      <c r="M18" s="1250">
        <v>2</v>
      </c>
      <c r="N18" s="1251">
        <v>12</v>
      </c>
      <c r="O18" s="1252">
        <v>12</v>
      </c>
    </row>
    <row r="19" spans="1:15">
      <c r="A19" s="1246" t="s">
        <v>1490</v>
      </c>
      <c r="B19" s="1246" t="s">
        <v>428</v>
      </c>
      <c r="C19" s="1247">
        <v>0.16</v>
      </c>
      <c r="F19" s="1248">
        <v>1</v>
      </c>
      <c r="G19" s="1248">
        <v>1</v>
      </c>
      <c r="H19" s="1249">
        <v>1</v>
      </c>
      <c r="I19" s="1246" t="s">
        <v>1491</v>
      </c>
      <c r="J19" s="1246" t="s">
        <v>1460</v>
      </c>
      <c r="K19" s="1284" t="str">
        <f t="shared" si="0"/>
        <v>30</v>
      </c>
      <c r="L19" s="1246" t="s">
        <v>1499</v>
      </c>
      <c r="M19" s="1250">
        <v>5</v>
      </c>
      <c r="N19" s="1251">
        <v>14</v>
      </c>
      <c r="O19" s="1252">
        <v>14</v>
      </c>
    </row>
    <row r="20" spans="1:15">
      <c r="A20" s="1246" t="s">
        <v>1490</v>
      </c>
      <c r="B20" s="1246" t="s">
        <v>428</v>
      </c>
      <c r="C20" s="1247">
        <v>0.16</v>
      </c>
      <c r="F20" s="1248">
        <v>1</v>
      </c>
      <c r="G20" s="1248">
        <v>1</v>
      </c>
      <c r="H20" s="1249">
        <v>1</v>
      </c>
      <c r="I20" s="1246" t="s">
        <v>1491</v>
      </c>
      <c r="J20" s="1246" t="s">
        <v>1399</v>
      </c>
      <c r="K20" s="1284" t="str">
        <f t="shared" si="0"/>
        <v>30</v>
      </c>
      <c r="L20" s="1246" t="s">
        <v>1503</v>
      </c>
      <c r="M20" s="1250">
        <v>1</v>
      </c>
      <c r="N20" s="1251">
        <v>2</v>
      </c>
      <c r="O20" s="1252">
        <v>2</v>
      </c>
    </row>
    <row r="21" spans="1:15">
      <c r="A21" s="1246" t="s">
        <v>1490</v>
      </c>
      <c r="B21" s="1246" t="s">
        <v>428</v>
      </c>
      <c r="C21" s="1247">
        <v>0.16</v>
      </c>
      <c r="F21" s="1248">
        <v>1</v>
      </c>
      <c r="G21" s="1248">
        <v>1</v>
      </c>
      <c r="H21" s="1249">
        <v>1</v>
      </c>
      <c r="I21" s="1246" t="s">
        <v>1491</v>
      </c>
      <c r="J21" s="1246" t="s">
        <v>1399</v>
      </c>
      <c r="K21" s="1284" t="str">
        <f t="shared" si="0"/>
        <v>30</v>
      </c>
      <c r="L21" s="1246" t="s">
        <v>1504</v>
      </c>
      <c r="M21" s="1250">
        <v>1</v>
      </c>
      <c r="N21" s="1251">
        <v>4</v>
      </c>
      <c r="O21" s="1252">
        <v>4</v>
      </c>
    </row>
    <row r="22" spans="1:15">
      <c r="A22" s="1246" t="s">
        <v>1490</v>
      </c>
      <c r="B22" s="1246" t="s">
        <v>428</v>
      </c>
      <c r="C22" s="1247">
        <v>0.16</v>
      </c>
      <c r="F22" s="1248">
        <v>1</v>
      </c>
      <c r="G22" s="1248">
        <v>1</v>
      </c>
      <c r="H22" s="1249">
        <v>1</v>
      </c>
      <c r="I22" s="1246" t="s">
        <v>1491</v>
      </c>
      <c r="J22" s="1246" t="s">
        <v>1455</v>
      </c>
      <c r="K22" s="1284" t="str">
        <f t="shared" si="0"/>
        <v>32</v>
      </c>
      <c r="L22" s="1246" t="s">
        <v>1505</v>
      </c>
      <c r="M22" s="1250">
        <v>1</v>
      </c>
      <c r="N22" s="1251">
        <v>348</v>
      </c>
      <c r="O22" s="1252">
        <v>348</v>
      </c>
    </row>
    <row r="23" spans="1:15">
      <c r="A23" s="1246" t="s">
        <v>1490</v>
      </c>
      <c r="B23" s="1246" t="s">
        <v>428</v>
      </c>
      <c r="C23" s="1247">
        <v>0.16</v>
      </c>
      <c r="E23" s="1246" t="s">
        <v>370</v>
      </c>
      <c r="F23" s="1248">
        <v>1</v>
      </c>
      <c r="G23" s="1248">
        <v>1</v>
      </c>
      <c r="H23" s="1249">
        <v>1</v>
      </c>
      <c r="I23" s="1246" t="s">
        <v>1491</v>
      </c>
      <c r="J23" s="1246" t="s">
        <v>1455</v>
      </c>
      <c r="K23" s="1284" t="str">
        <f t="shared" si="0"/>
        <v>32</v>
      </c>
      <c r="L23" s="1246" t="s">
        <v>1505</v>
      </c>
      <c r="M23" s="1250">
        <v>1</v>
      </c>
      <c r="N23" s="1251">
        <v>6</v>
      </c>
      <c r="O23" s="1252">
        <v>6</v>
      </c>
    </row>
    <row r="24" spans="1:15">
      <c r="A24" s="1246" t="s">
        <v>1490</v>
      </c>
      <c r="B24" s="1246" t="s">
        <v>428</v>
      </c>
      <c r="C24" s="1247">
        <v>0.16</v>
      </c>
      <c r="E24" s="1246" t="s">
        <v>370</v>
      </c>
      <c r="F24" s="1248">
        <v>1</v>
      </c>
      <c r="G24" s="1248">
        <v>1</v>
      </c>
      <c r="H24" s="1249">
        <v>1</v>
      </c>
      <c r="I24" s="1246" t="s">
        <v>1491</v>
      </c>
      <c r="J24" s="1246" t="s">
        <v>1454</v>
      </c>
      <c r="K24" s="1284" t="str">
        <f t="shared" si="0"/>
        <v>31</v>
      </c>
      <c r="L24" s="1246" t="s">
        <v>1506</v>
      </c>
      <c r="M24" s="1250">
        <v>1</v>
      </c>
      <c r="N24" s="1251">
        <v>69</v>
      </c>
      <c r="O24" s="1252">
        <v>69</v>
      </c>
    </row>
    <row r="25" spans="1:15">
      <c r="A25" s="1246" t="s">
        <v>1490</v>
      </c>
      <c r="B25" s="1246" t="s">
        <v>428</v>
      </c>
      <c r="C25" s="1247">
        <v>0.16</v>
      </c>
      <c r="F25" s="1248">
        <v>1</v>
      </c>
      <c r="G25" s="1248">
        <v>1</v>
      </c>
      <c r="H25" s="1249">
        <v>1</v>
      </c>
      <c r="I25" s="1246" t="s">
        <v>1491</v>
      </c>
      <c r="J25" s="1246" t="s">
        <v>1454</v>
      </c>
      <c r="K25" s="1284" t="str">
        <f t="shared" si="0"/>
        <v>31</v>
      </c>
      <c r="L25" s="1246" t="s">
        <v>1506</v>
      </c>
      <c r="M25" s="1250">
        <v>1</v>
      </c>
      <c r="N25" s="1251">
        <v>3742</v>
      </c>
      <c r="O25" s="1252">
        <v>3742</v>
      </c>
    </row>
    <row r="26" spans="1:15">
      <c r="A26" s="1246" t="s">
        <v>1490</v>
      </c>
      <c r="B26" s="1246" t="s">
        <v>428</v>
      </c>
      <c r="C26" s="1247">
        <v>0.16</v>
      </c>
      <c r="F26" s="1248">
        <v>1</v>
      </c>
      <c r="G26" s="1248">
        <v>1</v>
      </c>
      <c r="H26" s="1249">
        <v>1</v>
      </c>
      <c r="I26" s="1246" t="s">
        <v>1491</v>
      </c>
      <c r="J26" s="1246" t="s">
        <v>1458</v>
      </c>
      <c r="K26" s="1284" t="str">
        <f t="shared" si="0"/>
        <v>36</v>
      </c>
      <c r="L26" s="1246" t="s">
        <v>1507</v>
      </c>
      <c r="M26" s="1250">
        <v>1</v>
      </c>
      <c r="N26" s="1251">
        <v>9</v>
      </c>
      <c r="O26" s="1252">
        <v>9</v>
      </c>
    </row>
    <row r="27" spans="1:15">
      <c r="A27" s="1246" t="s">
        <v>1490</v>
      </c>
      <c r="B27" s="1246" t="s">
        <v>428</v>
      </c>
      <c r="C27" s="1247">
        <v>0.16</v>
      </c>
      <c r="E27" s="1246" t="s">
        <v>370</v>
      </c>
      <c r="F27" s="1248">
        <v>1</v>
      </c>
      <c r="G27" s="1248">
        <v>1</v>
      </c>
      <c r="H27" s="1249">
        <v>1</v>
      </c>
      <c r="I27" s="1246" t="s">
        <v>1491</v>
      </c>
      <c r="J27" s="1246" t="s">
        <v>1458</v>
      </c>
      <c r="K27" s="1284" t="str">
        <f t="shared" si="0"/>
        <v>36</v>
      </c>
      <c r="L27" s="1246" t="s">
        <v>1507</v>
      </c>
      <c r="M27" s="1250">
        <v>1</v>
      </c>
      <c r="N27" s="1251">
        <v>1</v>
      </c>
      <c r="O27" s="1252">
        <v>1</v>
      </c>
    </row>
    <row r="28" spans="1:15">
      <c r="A28" s="1246" t="s">
        <v>1490</v>
      </c>
      <c r="B28" s="1246" t="s">
        <v>428</v>
      </c>
      <c r="C28" s="1247">
        <v>0.16</v>
      </c>
      <c r="F28" s="1248">
        <v>1</v>
      </c>
      <c r="G28" s="1248">
        <v>1</v>
      </c>
      <c r="H28" s="1249">
        <v>1</v>
      </c>
      <c r="I28" s="1246" t="s">
        <v>1491</v>
      </c>
      <c r="J28" s="1246" t="s">
        <v>1399</v>
      </c>
      <c r="K28" s="1284" t="str">
        <f t="shared" si="0"/>
        <v>30</v>
      </c>
      <c r="L28" s="1246" t="s">
        <v>1508</v>
      </c>
      <c r="M28" s="1250">
        <v>1</v>
      </c>
      <c r="N28" s="1251">
        <v>9</v>
      </c>
      <c r="O28" s="1252">
        <v>9</v>
      </c>
    </row>
    <row r="29" spans="1:15">
      <c r="A29" s="1246" t="s">
        <v>1490</v>
      </c>
      <c r="B29" s="1246" t="s">
        <v>428</v>
      </c>
      <c r="C29" s="1247">
        <v>0.16</v>
      </c>
      <c r="F29" s="1248">
        <v>1</v>
      </c>
      <c r="G29" s="1248">
        <v>1</v>
      </c>
      <c r="H29" s="1249">
        <v>1</v>
      </c>
      <c r="I29" s="1246" t="s">
        <v>1491</v>
      </c>
      <c r="J29" s="1246" t="s">
        <v>1399</v>
      </c>
      <c r="K29" s="1284" t="str">
        <f t="shared" si="0"/>
        <v>30</v>
      </c>
      <c r="L29" s="1246" t="s">
        <v>1509</v>
      </c>
      <c r="M29" s="1250">
        <v>1</v>
      </c>
      <c r="N29" s="1251">
        <v>1</v>
      </c>
      <c r="O29" s="1252">
        <v>1</v>
      </c>
    </row>
    <row r="30" spans="1:15">
      <c r="A30" s="1246" t="s">
        <v>1490</v>
      </c>
      <c r="B30" s="1246" t="s">
        <v>428</v>
      </c>
      <c r="C30" s="1247">
        <v>0.16</v>
      </c>
      <c r="E30" s="1246" t="s">
        <v>370</v>
      </c>
      <c r="F30" s="1248">
        <v>1</v>
      </c>
      <c r="G30" s="1248">
        <v>1</v>
      </c>
      <c r="H30" s="1249">
        <v>1</v>
      </c>
      <c r="I30" s="1246" t="s">
        <v>1491</v>
      </c>
      <c r="J30" s="1246" t="s">
        <v>1399</v>
      </c>
      <c r="K30" s="1284" t="str">
        <f t="shared" si="0"/>
        <v>30</v>
      </c>
      <c r="L30" s="1246" t="s">
        <v>1509</v>
      </c>
      <c r="M30" s="1250">
        <v>1</v>
      </c>
      <c r="N30" s="1251">
        <v>1</v>
      </c>
      <c r="O30" s="1252">
        <v>1</v>
      </c>
    </row>
    <row r="31" spans="1:15">
      <c r="A31" s="1246" t="s">
        <v>1490</v>
      </c>
      <c r="B31" s="1246" t="s">
        <v>428</v>
      </c>
      <c r="C31" s="1247">
        <v>0.16</v>
      </c>
      <c r="E31" s="1246" t="s">
        <v>370</v>
      </c>
      <c r="F31" s="1248">
        <v>1</v>
      </c>
      <c r="G31" s="1248">
        <v>1</v>
      </c>
      <c r="H31" s="1249">
        <v>1</v>
      </c>
      <c r="I31" s="1246" t="s">
        <v>1491</v>
      </c>
      <c r="J31" s="1246" t="s">
        <v>1457</v>
      </c>
      <c r="K31" s="1284" t="str">
        <f t="shared" si="0"/>
        <v>35</v>
      </c>
      <c r="L31" s="1246" t="s">
        <v>1501</v>
      </c>
      <c r="M31" s="1250">
        <v>1</v>
      </c>
      <c r="N31" s="1251">
        <v>1</v>
      </c>
      <c r="O31" s="1252">
        <v>1</v>
      </c>
    </row>
    <row r="32" spans="1:15">
      <c r="A32" s="1246" t="s">
        <v>1490</v>
      </c>
      <c r="B32" s="1246" t="s">
        <v>428</v>
      </c>
      <c r="C32" s="1247">
        <v>0.16</v>
      </c>
      <c r="F32" s="1248">
        <v>1</v>
      </c>
      <c r="G32" s="1248">
        <v>1</v>
      </c>
      <c r="H32" s="1249">
        <v>1</v>
      </c>
      <c r="I32" s="1246" t="s">
        <v>1491</v>
      </c>
      <c r="J32" s="1246" t="s">
        <v>1457</v>
      </c>
      <c r="K32" s="1284" t="str">
        <f t="shared" si="0"/>
        <v>35</v>
      </c>
      <c r="L32" s="1246" t="s">
        <v>1501</v>
      </c>
      <c r="M32" s="1250">
        <v>1</v>
      </c>
      <c r="N32" s="1251">
        <v>89</v>
      </c>
      <c r="O32" s="1252">
        <v>89</v>
      </c>
    </row>
    <row r="33" spans="1:15">
      <c r="A33" s="1246" t="s">
        <v>1490</v>
      </c>
      <c r="B33" s="1246" t="s">
        <v>428</v>
      </c>
      <c r="C33" s="1247">
        <v>0.16</v>
      </c>
      <c r="F33" s="1248">
        <v>1</v>
      </c>
      <c r="G33" s="1248">
        <v>1</v>
      </c>
      <c r="H33" s="1249">
        <v>1</v>
      </c>
      <c r="I33" s="1246" t="s">
        <v>1491</v>
      </c>
      <c r="J33" s="1246" t="s">
        <v>1399</v>
      </c>
      <c r="K33" s="1284" t="str">
        <f t="shared" si="0"/>
        <v>30</v>
      </c>
      <c r="L33" s="1246" t="s">
        <v>1510</v>
      </c>
      <c r="M33" s="1250">
        <v>1</v>
      </c>
      <c r="N33" s="1251">
        <v>31</v>
      </c>
      <c r="O33" s="1252">
        <v>31</v>
      </c>
    </row>
    <row r="34" spans="1:15">
      <c r="A34" s="1246" t="s">
        <v>1490</v>
      </c>
      <c r="B34" s="1246" t="s">
        <v>428</v>
      </c>
      <c r="C34" s="1247">
        <v>0.16</v>
      </c>
      <c r="E34" s="1246" t="s">
        <v>370</v>
      </c>
      <c r="F34" s="1248">
        <v>1</v>
      </c>
      <c r="G34" s="1248">
        <v>1</v>
      </c>
      <c r="H34" s="1249">
        <v>1</v>
      </c>
      <c r="I34" s="1246" t="s">
        <v>1491</v>
      </c>
      <c r="J34" s="1246" t="s">
        <v>1399</v>
      </c>
      <c r="K34" s="1284" t="str">
        <f t="shared" si="0"/>
        <v>30</v>
      </c>
      <c r="L34" s="1246" t="s">
        <v>1510</v>
      </c>
      <c r="M34" s="1250">
        <v>1</v>
      </c>
      <c r="N34" s="1251">
        <v>10</v>
      </c>
      <c r="O34" s="1252">
        <v>10</v>
      </c>
    </row>
    <row r="35" spans="1:15">
      <c r="A35" s="1246" t="s">
        <v>1490</v>
      </c>
      <c r="B35" s="1246" t="s">
        <v>428</v>
      </c>
      <c r="C35" s="1247">
        <v>0.16</v>
      </c>
      <c r="F35" s="1248">
        <v>1</v>
      </c>
      <c r="G35" s="1248">
        <v>1</v>
      </c>
      <c r="H35" s="1249">
        <v>1</v>
      </c>
      <c r="I35" s="1246" t="s">
        <v>1491</v>
      </c>
      <c r="J35" s="1246" t="s">
        <v>1399</v>
      </c>
      <c r="K35" s="1284" t="str">
        <f t="shared" si="0"/>
        <v>30</v>
      </c>
      <c r="L35" s="1246" t="s">
        <v>1511</v>
      </c>
      <c r="M35" s="1250">
        <v>2</v>
      </c>
      <c r="N35" s="1251">
        <v>1</v>
      </c>
      <c r="O35" s="1252">
        <v>1</v>
      </c>
    </row>
    <row r="36" spans="1:15">
      <c r="A36" s="1246" t="s">
        <v>1490</v>
      </c>
      <c r="B36" s="1246" t="s">
        <v>428</v>
      </c>
      <c r="C36" s="1247">
        <v>0.16</v>
      </c>
      <c r="F36" s="1248">
        <v>1</v>
      </c>
      <c r="G36" s="1248">
        <v>1</v>
      </c>
      <c r="H36" s="1249">
        <v>1</v>
      </c>
      <c r="I36" s="1246" t="s">
        <v>1491</v>
      </c>
      <c r="J36" s="1246" t="s">
        <v>1399</v>
      </c>
      <c r="K36" s="1284" t="str">
        <f t="shared" si="0"/>
        <v>30</v>
      </c>
      <c r="L36" s="1246" t="s">
        <v>1512</v>
      </c>
      <c r="M36" s="1250">
        <v>2</v>
      </c>
      <c r="N36" s="1251">
        <v>1</v>
      </c>
      <c r="O36" s="1252">
        <v>1</v>
      </c>
    </row>
    <row r="37" spans="1:15">
      <c r="A37" s="1246" t="s">
        <v>1490</v>
      </c>
      <c r="B37" s="1246" t="s">
        <v>428</v>
      </c>
      <c r="C37" s="1247">
        <v>0.16</v>
      </c>
      <c r="F37" s="1248">
        <v>1</v>
      </c>
      <c r="G37" s="1248">
        <v>1</v>
      </c>
      <c r="H37" s="1249">
        <v>1</v>
      </c>
      <c r="I37" s="1246" t="s">
        <v>1491</v>
      </c>
      <c r="J37" s="1246" t="s">
        <v>1455</v>
      </c>
      <c r="K37" s="1284" t="str">
        <f t="shared" si="0"/>
        <v>32</v>
      </c>
      <c r="L37" s="1246" t="s">
        <v>1513</v>
      </c>
      <c r="M37" s="1250">
        <v>2</v>
      </c>
      <c r="N37" s="1251">
        <v>377</v>
      </c>
      <c r="O37" s="1252">
        <v>377</v>
      </c>
    </row>
    <row r="38" spans="1:15">
      <c r="A38" s="1246" t="s">
        <v>1490</v>
      </c>
      <c r="B38" s="1246" t="s">
        <v>428</v>
      </c>
      <c r="C38" s="1247">
        <v>0.16</v>
      </c>
      <c r="E38" s="1246" t="s">
        <v>370</v>
      </c>
      <c r="F38" s="1248">
        <v>1</v>
      </c>
      <c r="G38" s="1248">
        <v>1</v>
      </c>
      <c r="H38" s="1249">
        <v>1</v>
      </c>
      <c r="I38" s="1246" t="s">
        <v>1491</v>
      </c>
      <c r="J38" s="1246" t="s">
        <v>1455</v>
      </c>
      <c r="K38" s="1284" t="str">
        <f t="shared" si="0"/>
        <v>32</v>
      </c>
      <c r="L38" s="1246" t="s">
        <v>1513</v>
      </c>
      <c r="M38" s="1250">
        <v>2</v>
      </c>
      <c r="N38" s="1251">
        <v>3</v>
      </c>
      <c r="O38" s="1252">
        <v>3</v>
      </c>
    </row>
    <row r="39" spans="1:15">
      <c r="A39" s="1246" t="s">
        <v>1490</v>
      </c>
      <c r="B39" s="1246" t="s">
        <v>428</v>
      </c>
      <c r="C39" s="1247">
        <v>0.16</v>
      </c>
      <c r="F39" s="1248">
        <v>1</v>
      </c>
      <c r="G39" s="1248">
        <v>1</v>
      </c>
      <c r="H39" s="1249">
        <v>1</v>
      </c>
      <c r="I39" s="1246" t="s">
        <v>1491</v>
      </c>
      <c r="J39" s="1246" t="s">
        <v>1454</v>
      </c>
      <c r="K39" s="1284" t="str">
        <f t="shared" si="0"/>
        <v>31</v>
      </c>
      <c r="L39" s="1246" t="s">
        <v>1500</v>
      </c>
      <c r="M39" s="1250">
        <v>2</v>
      </c>
      <c r="N39" s="1251">
        <v>3633</v>
      </c>
      <c r="O39" s="1252">
        <v>3633</v>
      </c>
    </row>
    <row r="40" spans="1:15">
      <c r="A40" s="1246" t="s">
        <v>1490</v>
      </c>
      <c r="B40" s="1246" t="s">
        <v>428</v>
      </c>
      <c r="C40" s="1247">
        <v>0.16</v>
      </c>
      <c r="E40" s="1246" t="s">
        <v>370</v>
      </c>
      <c r="F40" s="1248">
        <v>1</v>
      </c>
      <c r="G40" s="1248">
        <v>1</v>
      </c>
      <c r="H40" s="1249">
        <v>1</v>
      </c>
      <c r="I40" s="1246" t="s">
        <v>1491</v>
      </c>
      <c r="J40" s="1246" t="s">
        <v>1454</v>
      </c>
      <c r="K40" s="1284" t="str">
        <f t="shared" si="0"/>
        <v>31</v>
      </c>
      <c r="L40" s="1246" t="s">
        <v>1500</v>
      </c>
      <c r="M40" s="1250">
        <v>2</v>
      </c>
      <c r="N40" s="1251">
        <v>40</v>
      </c>
      <c r="O40" s="1252">
        <v>40</v>
      </c>
    </row>
    <row r="41" spans="1:15">
      <c r="A41" s="1246" t="s">
        <v>1490</v>
      </c>
      <c r="B41" s="1246" t="s">
        <v>428</v>
      </c>
      <c r="C41" s="1247">
        <v>0.16</v>
      </c>
      <c r="F41" s="1248">
        <v>1</v>
      </c>
      <c r="G41" s="1248">
        <v>1</v>
      </c>
      <c r="H41" s="1249">
        <v>1</v>
      </c>
      <c r="I41" s="1246" t="s">
        <v>1491</v>
      </c>
      <c r="J41" s="1246" t="s">
        <v>1458</v>
      </c>
      <c r="K41" s="1284" t="str">
        <f t="shared" si="0"/>
        <v>36</v>
      </c>
      <c r="L41" s="1246" t="s">
        <v>1514</v>
      </c>
      <c r="M41" s="1250">
        <v>2</v>
      </c>
      <c r="N41" s="1251">
        <v>16</v>
      </c>
      <c r="O41" s="1252">
        <v>16</v>
      </c>
    </row>
    <row r="42" spans="1:15">
      <c r="A42" s="1246" t="s">
        <v>1490</v>
      </c>
      <c r="B42" s="1246" t="s">
        <v>428</v>
      </c>
      <c r="C42" s="1247">
        <v>0.16</v>
      </c>
      <c r="F42" s="1248">
        <v>1</v>
      </c>
      <c r="G42" s="1248">
        <v>1</v>
      </c>
      <c r="H42" s="1249">
        <v>1</v>
      </c>
      <c r="I42" s="1246" t="s">
        <v>1491</v>
      </c>
      <c r="J42" s="1246" t="s">
        <v>1399</v>
      </c>
      <c r="K42" s="1284" t="str">
        <f t="shared" si="0"/>
        <v>30</v>
      </c>
      <c r="L42" s="1246" t="s">
        <v>1515</v>
      </c>
      <c r="M42" s="1250">
        <v>2</v>
      </c>
      <c r="N42" s="1251">
        <v>14</v>
      </c>
      <c r="O42" s="1252">
        <v>14</v>
      </c>
    </row>
    <row r="43" spans="1:15">
      <c r="A43" s="1246" t="s">
        <v>1490</v>
      </c>
      <c r="B43" s="1246" t="s">
        <v>428</v>
      </c>
      <c r="C43" s="1247">
        <v>0.16</v>
      </c>
      <c r="E43" s="1246" t="s">
        <v>370</v>
      </c>
      <c r="F43" s="1248">
        <v>1</v>
      </c>
      <c r="G43" s="1248">
        <v>1</v>
      </c>
      <c r="H43" s="1249">
        <v>1</v>
      </c>
      <c r="I43" s="1246" t="s">
        <v>1491</v>
      </c>
      <c r="J43" s="1246" t="s">
        <v>1399</v>
      </c>
      <c r="K43" s="1284" t="str">
        <f t="shared" si="0"/>
        <v>30</v>
      </c>
      <c r="L43" s="1246" t="s">
        <v>1515</v>
      </c>
      <c r="M43" s="1250">
        <v>2</v>
      </c>
      <c r="N43" s="1251">
        <v>1</v>
      </c>
      <c r="O43" s="1252">
        <v>1</v>
      </c>
    </row>
    <row r="44" spans="1:15">
      <c r="A44" s="1246" t="s">
        <v>1490</v>
      </c>
      <c r="B44" s="1246" t="s">
        <v>428</v>
      </c>
      <c r="C44" s="1247">
        <v>0.16</v>
      </c>
      <c r="E44" s="1246" t="s">
        <v>370</v>
      </c>
      <c r="F44" s="1248">
        <v>1</v>
      </c>
      <c r="G44" s="1248">
        <v>1</v>
      </c>
      <c r="H44" s="1249">
        <v>1</v>
      </c>
      <c r="I44" s="1246" t="s">
        <v>1491</v>
      </c>
      <c r="J44" s="1246" t="s">
        <v>1399</v>
      </c>
      <c r="K44" s="1284" t="str">
        <f t="shared" si="0"/>
        <v>30</v>
      </c>
      <c r="L44" s="1246" t="s">
        <v>1516</v>
      </c>
      <c r="M44" s="1250">
        <v>2</v>
      </c>
      <c r="N44" s="1251">
        <v>1</v>
      </c>
      <c r="O44" s="1252">
        <v>1</v>
      </c>
    </row>
    <row r="45" spans="1:15">
      <c r="A45" s="1246" t="s">
        <v>1490</v>
      </c>
      <c r="B45" s="1246" t="s">
        <v>428</v>
      </c>
      <c r="C45" s="1247">
        <v>0.16</v>
      </c>
      <c r="F45" s="1248">
        <v>1</v>
      </c>
      <c r="G45" s="1248">
        <v>1</v>
      </c>
      <c r="H45" s="1249">
        <v>1</v>
      </c>
      <c r="I45" s="1246" t="s">
        <v>1491</v>
      </c>
      <c r="J45" s="1246" t="s">
        <v>1399</v>
      </c>
      <c r="K45" s="1284" t="str">
        <f t="shared" si="0"/>
        <v>30</v>
      </c>
      <c r="L45" s="1246" t="s">
        <v>1516</v>
      </c>
      <c r="M45" s="1250">
        <v>2</v>
      </c>
      <c r="N45" s="1251">
        <v>6</v>
      </c>
      <c r="O45" s="1252">
        <v>6</v>
      </c>
    </row>
    <row r="46" spans="1:15">
      <c r="A46" s="1246" t="s">
        <v>1490</v>
      </c>
      <c r="B46" s="1246" t="s">
        <v>428</v>
      </c>
      <c r="C46" s="1247">
        <v>0.16</v>
      </c>
      <c r="F46" s="1248">
        <v>1</v>
      </c>
      <c r="G46" s="1248">
        <v>1</v>
      </c>
      <c r="H46" s="1249">
        <v>1</v>
      </c>
      <c r="I46" s="1246" t="s">
        <v>1491</v>
      </c>
      <c r="J46" s="1246" t="s">
        <v>1457</v>
      </c>
      <c r="K46" s="1284" t="str">
        <f t="shared" si="0"/>
        <v>35</v>
      </c>
      <c r="L46" s="1246" t="s">
        <v>1517</v>
      </c>
      <c r="M46" s="1250">
        <v>2</v>
      </c>
      <c r="N46" s="1251">
        <v>75</v>
      </c>
      <c r="O46" s="1252">
        <v>75</v>
      </c>
    </row>
    <row r="47" spans="1:15">
      <c r="A47" s="1246" t="s">
        <v>1490</v>
      </c>
      <c r="B47" s="1246" t="s">
        <v>428</v>
      </c>
      <c r="C47" s="1247">
        <v>0.16</v>
      </c>
      <c r="F47" s="1248">
        <v>1</v>
      </c>
      <c r="G47" s="1248">
        <v>1</v>
      </c>
      <c r="H47" s="1249">
        <v>1</v>
      </c>
      <c r="I47" s="1246" t="s">
        <v>1491</v>
      </c>
      <c r="J47" s="1246" t="s">
        <v>1399</v>
      </c>
      <c r="K47" s="1284" t="str">
        <f t="shared" si="0"/>
        <v>30</v>
      </c>
      <c r="L47" s="1246" t="s">
        <v>1518</v>
      </c>
      <c r="M47" s="1250">
        <v>2</v>
      </c>
      <c r="N47" s="1251">
        <v>53</v>
      </c>
      <c r="O47" s="1252">
        <v>53</v>
      </c>
    </row>
    <row r="48" spans="1:15">
      <c r="A48" s="1246" t="s">
        <v>1490</v>
      </c>
      <c r="B48" s="1246" t="s">
        <v>428</v>
      </c>
      <c r="C48" s="1247">
        <v>0.16</v>
      </c>
      <c r="E48" s="1246" t="s">
        <v>370</v>
      </c>
      <c r="F48" s="1248">
        <v>1</v>
      </c>
      <c r="G48" s="1248">
        <v>1</v>
      </c>
      <c r="H48" s="1249">
        <v>1</v>
      </c>
      <c r="I48" s="1246" t="s">
        <v>1491</v>
      </c>
      <c r="J48" s="1246" t="s">
        <v>1399</v>
      </c>
      <c r="K48" s="1284" t="str">
        <f t="shared" si="0"/>
        <v>30</v>
      </c>
      <c r="L48" s="1246" t="s">
        <v>1518</v>
      </c>
      <c r="M48" s="1250">
        <v>2</v>
      </c>
      <c r="N48" s="1251">
        <v>4</v>
      </c>
      <c r="O48" s="1252">
        <v>4</v>
      </c>
    </row>
    <row r="49" spans="1:15">
      <c r="A49" s="1246" t="s">
        <v>1490</v>
      </c>
      <c r="B49" s="1246" t="s">
        <v>428</v>
      </c>
      <c r="C49" s="1247">
        <v>0.16</v>
      </c>
      <c r="F49" s="1248">
        <v>1</v>
      </c>
      <c r="G49" s="1248">
        <v>1</v>
      </c>
      <c r="H49" s="1249">
        <v>1</v>
      </c>
      <c r="I49" s="1246" t="s">
        <v>1491</v>
      </c>
      <c r="J49" s="1246" t="s">
        <v>1456</v>
      </c>
      <c r="K49" s="1284" t="str">
        <f t="shared" si="0"/>
        <v>33</v>
      </c>
      <c r="L49" s="1246" t="s">
        <v>1519</v>
      </c>
      <c r="M49" s="1250">
        <v>2</v>
      </c>
      <c r="N49" s="1251">
        <v>1735</v>
      </c>
      <c r="O49" s="1252">
        <v>1735</v>
      </c>
    </row>
    <row r="50" spans="1:15">
      <c r="A50" s="1246" t="s">
        <v>1490</v>
      </c>
      <c r="B50" s="1246" t="s">
        <v>428</v>
      </c>
      <c r="C50" s="1247">
        <v>0.16</v>
      </c>
      <c r="E50" s="1246" t="s">
        <v>370</v>
      </c>
      <c r="F50" s="1248">
        <v>1</v>
      </c>
      <c r="G50" s="1248">
        <v>1</v>
      </c>
      <c r="H50" s="1249">
        <v>1</v>
      </c>
      <c r="I50" s="1246" t="s">
        <v>1491</v>
      </c>
      <c r="J50" s="1246" t="s">
        <v>1456</v>
      </c>
      <c r="K50" s="1284" t="str">
        <f t="shared" si="0"/>
        <v>33</v>
      </c>
      <c r="L50" s="1246" t="s">
        <v>1519</v>
      </c>
      <c r="M50" s="1250">
        <v>2</v>
      </c>
      <c r="N50" s="1251">
        <v>29</v>
      </c>
      <c r="O50" s="1252">
        <v>29</v>
      </c>
    </row>
    <row r="51" spans="1:15">
      <c r="A51" s="1246" t="s">
        <v>1490</v>
      </c>
      <c r="B51" s="1246" t="s">
        <v>428</v>
      </c>
      <c r="C51" s="1247">
        <v>0.16</v>
      </c>
      <c r="F51" s="1248">
        <v>1</v>
      </c>
      <c r="G51" s="1248">
        <v>1</v>
      </c>
      <c r="H51" s="1249">
        <v>1</v>
      </c>
      <c r="I51" s="1246" t="s">
        <v>1491</v>
      </c>
      <c r="J51" s="1246" t="s">
        <v>1399</v>
      </c>
      <c r="K51" s="1284" t="str">
        <f t="shared" si="0"/>
        <v>30</v>
      </c>
      <c r="L51" s="1246" t="s">
        <v>1520</v>
      </c>
      <c r="M51" s="1250">
        <v>3</v>
      </c>
      <c r="N51" s="1251">
        <v>1</v>
      </c>
      <c r="O51" s="1252">
        <v>1</v>
      </c>
    </row>
    <row r="52" spans="1:15">
      <c r="A52" s="1246" t="s">
        <v>1490</v>
      </c>
      <c r="B52" s="1246" t="s">
        <v>428</v>
      </c>
      <c r="C52" s="1247">
        <v>0.16</v>
      </c>
      <c r="F52" s="1248">
        <v>1</v>
      </c>
      <c r="G52" s="1248">
        <v>1</v>
      </c>
      <c r="H52" s="1249">
        <v>1</v>
      </c>
      <c r="I52" s="1246" t="s">
        <v>1491</v>
      </c>
      <c r="J52" s="1246" t="s">
        <v>1399</v>
      </c>
      <c r="K52" s="1284" t="str">
        <f t="shared" si="0"/>
        <v>30</v>
      </c>
      <c r="L52" s="1246" t="s">
        <v>1521</v>
      </c>
      <c r="M52" s="1250">
        <v>3</v>
      </c>
      <c r="N52" s="1251">
        <v>4</v>
      </c>
      <c r="O52" s="1252">
        <v>4</v>
      </c>
    </row>
    <row r="53" spans="1:15">
      <c r="A53" s="1246" t="s">
        <v>1490</v>
      </c>
      <c r="B53" s="1246" t="s">
        <v>428</v>
      </c>
      <c r="C53" s="1247">
        <v>0.16</v>
      </c>
      <c r="F53" s="1248">
        <v>1</v>
      </c>
      <c r="G53" s="1248">
        <v>1</v>
      </c>
      <c r="H53" s="1249">
        <v>1</v>
      </c>
      <c r="I53" s="1246" t="s">
        <v>1491</v>
      </c>
      <c r="J53" s="1246" t="s">
        <v>1455</v>
      </c>
      <c r="K53" s="1284" t="str">
        <f t="shared" si="0"/>
        <v>32</v>
      </c>
      <c r="L53" s="1246" t="s">
        <v>1522</v>
      </c>
      <c r="M53" s="1250">
        <v>3</v>
      </c>
      <c r="N53" s="1251">
        <v>469</v>
      </c>
      <c r="O53" s="1252">
        <v>469</v>
      </c>
    </row>
    <row r="54" spans="1:15">
      <c r="A54" s="1246" t="s">
        <v>1490</v>
      </c>
      <c r="B54" s="1246" t="s">
        <v>428</v>
      </c>
      <c r="C54" s="1247">
        <v>0.16</v>
      </c>
      <c r="E54" s="1246" t="s">
        <v>370</v>
      </c>
      <c r="F54" s="1248">
        <v>1</v>
      </c>
      <c r="G54" s="1248">
        <v>1</v>
      </c>
      <c r="H54" s="1249">
        <v>1</v>
      </c>
      <c r="I54" s="1246" t="s">
        <v>1491</v>
      </c>
      <c r="J54" s="1246" t="s">
        <v>1455</v>
      </c>
      <c r="K54" s="1284" t="str">
        <f t="shared" si="0"/>
        <v>32</v>
      </c>
      <c r="L54" s="1246" t="s">
        <v>1522</v>
      </c>
      <c r="M54" s="1250">
        <v>3</v>
      </c>
      <c r="N54" s="1251">
        <v>11</v>
      </c>
      <c r="O54" s="1252">
        <v>11</v>
      </c>
    </row>
    <row r="55" spans="1:15">
      <c r="A55" s="1246" t="s">
        <v>1490</v>
      </c>
      <c r="B55" s="1246" t="s">
        <v>428</v>
      </c>
      <c r="C55" s="1247">
        <v>0.16</v>
      </c>
      <c r="E55" s="1246" t="s">
        <v>370</v>
      </c>
      <c r="F55" s="1248">
        <v>1</v>
      </c>
      <c r="G55" s="1248">
        <v>1</v>
      </c>
      <c r="H55" s="1249">
        <v>1</v>
      </c>
      <c r="I55" s="1246" t="s">
        <v>1491</v>
      </c>
      <c r="J55" s="1246" t="s">
        <v>1454</v>
      </c>
      <c r="K55" s="1284" t="str">
        <f t="shared" si="0"/>
        <v>31</v>
      </c>
      <c r="L55" s="1246" t="s">
        <v>1523</v>
      </c>
      <c r="M55" s="1250">
        <v>3</v>
      </c>
      <c r="N55" s="1251">
        <v>41</v>
      </c>
      <c r="O55" s="1252">
        <v>41</v>
      </c>
    </row>
    <row r="56" spans="1:15">
      <c r="A56" s="1246" t="s">
        <v>1490</v>
      </c>
      <c r="B56" s="1246" t="s">
        <v>428</v>
      </c>
      <c r="C56" s="1247">
        <v>0.16</v>
      </c>
      <c r="F56" s="1248">
        <v>1</v>
      </c>
      <c r="G56" s="1248">
        <v>1</v>
      </c>
      <c r="H56" s="1249">
        <v>1</v>
      </c>
      <c r="I56" s="1246" t="s">
        <v>1491</v>
      </c>
      <c r="J56" s="1246" t="s">
        <v>1454</v>
      </c>
      <c r="K56" s="1284" t="str">
        <f t="shared" si="0"/>
        <v>31</v>
      </c>
      <c r="L56" s="1246" t="s">
        <v>1523</v>
      </c>
      <c r="M56" s="1250">
        <v>3</v>
      </c>
      <c r="N56" s="1251">
        <v>3312</v>
      </c>
      <c r="O56" s="1252">
        <v>3312</v>
      </c>
    </row>
    <row r="57" spans="1:15">
      <c r="A57" s="1246" t="s">
        <v>1490</v>
      </c>
      <c r="B57" s="1246" t="s">
        <v>428</v>
      </c>
      <c r="C57" s="1247">
        <v>0.16</v>
      </c>
      <c r="F57" s="1248">
        <v>1</v>
      </c>
      <c r="G57" s="1248">
        <v>1</v>
      </c>
      <c r="H57" s="1249">
        <v>1</v>
      </c>
      <c r="I57" s="1246" t="s">
        <v>1491</v>
      </c>
      <c r="J57" s="1246" t="s">
        <v>1458</v>
      </c>
      <c r="K57" s="1284" t="str">
        <f t="shared" si="0"/>
        <v>36</v>
      </c>
      <c r="L57" s="1246" t="s">
        <v>1524</v>
      </c>
      <c r="M57" s="1250">
        <v>3</v>
      </c>
      <c r="N57" s="1251">
        <v>5</v>
      </c>
      <c r="O57" s="1252">
        <v>5</v>
      </c>
    </row>
    <row r="58" spans="1:15">
      <c r="A58" s="1246" t="s">
        <v>1490</v>
      </c>
      <c r="B58" s="1246" t="s">
        <v>428</v>
      </c>
      <c r="C58" s="1247">
        <v>0.16</v>
      </c>
      <c r="F58" s="1248">
        <v>1</v>
      </c>
      <c r="G58" s="1248">
        <v>1</v>
      </c>
      <c r="H58" s="1249">
        <v>1</v>
      </c>
      <c r="I58" s="1246" t="s">
        <v>1491</v>
      </c>
      <c r="J58" s="1246" t="s">
        <v>1399</v>
      </c>
      <c r="K58" s="1284" t="str">
        <f t="shared" si="0"/>
        <v>30</v>
      </c>
      <c r="L58" s="1246" t="s">
        <v>1525</v>
      </c>
      <c r="M58" s="1250">
        <v>3</v>
      </c>
      <c r="N58" s="1251">
        <v>8</v>
      </c>
      <c r="O58" s="1252">
        <v>8</v>
      </c>
    </row>
    <row r="59" spans="1:15">
      <c r="A59" s="1246" t="s">
        <v>1490</v>
      </c>
      <c r="B59" s="1246" t="s">
        <v>428</v>
      </c>
      <c r="C59" s="1247">
        <v>0.16</v>
      </c>
      <c r="E59" s="1246" t="s">
        <v>370</v>
      </c>
      <c r="F59" s="1248">
        <v>1</v>
      </c>
      <c r="G59" s="1248">
        <v>1</v>
      </c>
      <c r="H59" s="1249">
        <v>1</v>
      </c>
      <c r="I59" s="1246" t="s">
        <v>1491</v>
      </c>
      <c r="J59" s="1246" t="s">
        <v>1399</v>
      </c>
      <c r="K59" s="1284" t="str">
        <f t="shared" si="0"/>
        <v>30</v>
      </c>
      <c r="L59" s="1246" t="s">
        <v>1525</v>
      </c>
      <c r="M59" s="1250">
        <v>3</v>
      </c>
      <c r="N59" s="1251">
        <v>1</v>
      </c>
      <c r="O59" s="1252">
        <v>1</v>
      </c>
    </row>
    <row r="60" spans="1:15">
      <c r="A60" s="1246" t="s">
        <v>1490</v>
      </c>
      <c r="B60" s="1246" t="s">
        <v>428</v>
      </c>
      <c r="C60" s="1247">
        <v>0.16</v>
      </c>
      <c r="F60" s="1248">
        <v>1</v>
      </c>
      <c r="G60" s="1248">
        <v>1</v>
      </c>
      <c r="H60" s="1249">
        <v>1</v>
      </c>
      <c r="I60" s="1246" t="s">
        <v>1491</v>
      </c>
      <c r="J60" s="1246" t="s">
        <v>1399</v>
      </c>
      <c r="K60" s="1284" t="str">
        <f t="shared" si="0"/>
        <v>30</v>
      </c>
      <c r="L60" s="1246" t="s">
        <v>1526</v>
      </c>
      <c r="M60" s="1250">
        <v>3</v>
      </c>
      <c r="N60" s="1251">
        <v>3</v>
      </c>
      <c r="O60" s="1252">
        <v>3</v>
      </c>
    </row>
    <row r="61" spans="1:15">
      <c r="A61" s="1246" t="s">
        <v>1490</v>
      </c>
      <c r="B61" s="1246" t="s">
        <v>428</v>
      </c>
      <c r="C61" s="1247">
        <v>0.16</v>
      </c>
      <c r="F61" s="1248">
        <v>1</v>
      </c>
      <c r="G61" s="1248">
        <v>1</v>
      </c>
      <c r="H61" s="1249">
        <v>1</v>
      </c>
      <c r="I61" s="1246" t="s">
        <v>1491</v>
      </c>
      <c r="J61" s="1246" t="s">
        <v>1457</v>
      </c>
      <c r="K61" s="1284" t="str">
        <f t="shared" si="0"/>
        <v>35</v>
      </c>
      <c r="L61" s="1246" t="s">
        <v>1527</v>
      </c>
      <c r="M61" s="1250">
        <v>3</v>
      </c>
      <c r="N61" s="1251">
        <v>82</v>
      </c>
      <c r="O61" s="1252">
        <v>82</v>
      </c>
    </row>
    <row r="62" spans="1:15">
      <c r="A62" s="1246" t="s">
        <v>1490</v>
      </c>
      <c r="B62" s="1246" t="s">
        <v>428</v>
      </c>
      <c r="C62" s="1247">
        <v>0.16</v>
      </c>
      <c r="F62" s="1248">
        <v>1</v>
      </c>
      <c r="G62" s="1248">
        <v>1</v>
      </c>
      <c r="H62" s="1249">
        <v>1</v>
      </c>
      <c r="I62" s="1246" t="s">
        <v>1491</v>
      </c>
      <c r="J62" s="1246" t="s">
        <v>1459</v>
      </c>
      <c r="K62" s="1284" t="str">
        <f t="shared" si="0"/>
        <v>3A</v>
      </c>
      <c r="L62" s="1246" t="s">
        <v>1492</v>
      </c>
      <c r="M62" s="1250">
        <v>3</v>
      </c>
      <c r="N62" s="1251">
        <v>493</v>
      </c>
      <c r="O62" s="1252">
        <v>493</v>
      </c>
    </row>
    <row r="63" spans="1:15">
      <c r="A63" s="1246" t="s">
        <v>1490</v>
      </c>
      <c r="B63" s="1246" t="s">
        <v>428</v>
      </c>
      <c r="C63" s="1247">
        <v>0.16</v>
      </c>
      <c r="F63" s="1248">
        <v>1</v>
      </c>
      <c r="G63" s="1248">
        <v>1</v>
      </c>
      <c r="H63" s="1249">
        <v>1</v>
      </c>
      <c r="I63" s="1246" t="s">
        <v>1491</v>
      </c>
      <c r="J63" s="1246" t="s">
        <v>1399</v>
      </c>
      <c r="K63" s="1284" t="str">
        <f t="shared" si="0"/>
        <v>30</v>
      </c>
      <c r="L63" s="1246" t="s">
        <v>1528</v>
      </c>
      <c r="M63" s="1250">
        <v>3</v>
      </c>
      <c r="N63" s="1251">
        <v>53</v>
      </c>
      <c r="O63" s="1252">
        <v>53</v>
      </c>
    </row>
    <row r="64" spans="1:15">
      <c r="A64" s="1246" t="s">
        <v>1490</v>
      </c>
      <c r="B64" s="1246" t="s">
        <v>428</v>
      </c>
      <c r="C64" s="1247">
        <v>0.16</v>
      </c>
      <c r="E64" s="1246" t="s">
        <v>370</v>
      </c>
      <c r="F64" s="1248">
        <v>1</v>
      </c>
      <c r="G64" s="1248">
        <v>1</v>
      </c>
      <c r="H64" s="1249">
        <v>1</v>
      </c>
      <c r="I64" s="1246" t="s">
        <v>1491</v>
      </c>
      <c r="J64" s="1246" t="s">
        <v>1399</v>
      </c>
      <c r="K64" s="1284" t="str">
        <f t="shared" si="0"/>
        <v>30</v>
      </c>
      <c r="L64" s="1246" t="s">
        <v>1528</v>
      </c>
      <c r="M64" s="1250">
        <v>3</v>
      </c>
      <c r="N64" s="1251">
        <v>3</v>
      </c>
      <c r="O64" s="1252">
        <v>3</v>
      </c>
    </row>
    <row r="65" spans="1:15">
      <c r="A65" s="1246" t="s">
        <v>1493</v>
      </c>
      <c r="B65" s="1246" t="s">
        <v>428</v>
      </c>
      <c r="C65" s="1247">
        <v>0.16</v>
      </c>
      <c r="E65" s="1246" t="s">
        <v>370</v>
      </c>
      <c r="F65" s="1248">
        <v>1</v>
      </c>
      <c r="G65" s="1248">
        <v>1</v>
      </c>
      <c r="H65" s="1249">
        <v>1</v>
      </c>
      <c r="I65" s="1246" t="s">
        <v>1491</v>
      </c>
      <c r="J65" s="1246" t="s">
        <v>1437</v>
      </c>
      <c r="K65" s="1284" t="str">
        <f t="shared" si="0"/>
        <v>12</v>
      </c>
      <c r="L65" s="1246" t="s">
        <v>1529</v>
      </c>
      <c r="M65" s="1250">
        <v>9</v>
      </c>
      <c r="N65" s="1251">
        <v>2</v>
      </c>
      <c r="O65" s="1252">
        <v>2</v>
      </c>
    </row>
    <row r="66" spans="1:15">
      <c r="A66" s="1246" t="s">
        <v>1493</v>
      </c>
      <c r="B66" s="1246" t="s">
        <v>428</v>
      </c>
      <c r="C66" s="1247">
        <v>0.16</v>
      </c>
      <c r="E66" s="1246" t="s">
        <v>370</v>
      </c>
      <c r="F66" s="1248">
        <v>1</v>
      </c>
      <c r="G66" s="1248">
        <v>1</v>
      </c>
      <c r="H66" s="1249">
        <v>1</v>
      </c>
      <c r="I66" s="1246" t="s">
        <v>1491</v>
      </c>
      <c r="J66" s="1246" t="s">
        <v>1436</v>
      </c>
      <c r="K66" s="1284" t="str">
        <f t="shared" ref="K66:K129" si="1">IF(J66="1B","10", IF(J66="2B","20",IF(J66="3B","30",IF(J66="7B",70,J66))))</f>
        <v>11</v>
      </c>
      <c r="L66" s="1246" t="s">
        <v>1495</v>
      </c>
      <c r="M66" s="1250">
        <v>9</v>
      </c>
      <c r="N66" s="1251">
        <v>8</v>
      </c>
      <c r="O66" s="1252">
        <v>8</v>
      </c>
    </row>
    <row r="67" spans="1:15">
      <c r="A67" s="1246" t="s">
        <v>1493</v>
      </c>
      <c r="B67" s="1246" t="s">
        <v>428</v>
      </c>
      <c r="C67" s="1247">
        <v>0.16</v>
      </c>
      <c r="E67" s="1246" t="s">
        <v>370</v>
      </c>
      <c r="F67" s="1248">
        <v>1</v>
      </c>
      <c r="G67" s="1248">
        <v>1</v>
      </c>
      <c r="H67" s="1249">
        <v>1</v>
      </c>
      <c r="I67" s="1246" t="s">
        <v>1491</v>
      </c>
      <c r="J67" s="1246" t="s">
        <v>1439</v>
      </c>
      <c r="K67" s="1284" t="str">
        <f t="shared" si="1"/>
        <v>15</v>
      </c>
      <c r="L67" s="1246" t="s">
        <v>1530</v>
      </c>
      <c r="M67" s="1250">
        <v>9</v>
      </c>
      <c r="N67" s="1251">
        <v>1</v>
      </c>
      <c r="O67" s="1252">
        <v>1</v>
      </c>
    </row>
    <row r="68" spans="1:15">
      <c r="A68" s="1246" t="s">
        <v>1493</v>
      </c>
      <c r="B68" s="1246" t="s">
        <v>428</v>
      </c>
      <c r="C68" s="1247">
        <v>0.16</v>
      </c>
      <c r="E68" s="1246" t="s">
        <v>370</v>
      </c>
      <c r="F68" s="1248">
        <v>1</v>
      </c>
      <c r="G68" s="1248">
        <v>1</v>
      </c>
      <c r="H68" s="1249">
        <v>1</v>
      </c>
      <c r="I68" s="1246" t="s">
        <v>1491</v>
      </c>
      <c r="J68" s="1246" t="s">
        <v>1441</v>
      </c>
      <c r="K68" s="1284" t="str">
        <f t="shared" si="1"/>
        <v>1A</v>
      </c>
      <c r="L68" s="1246" t="s">
        <v>1531</v>
      </c>
      <c r="M68" s="1250">
        <v>9</v>
      </c>
      <c r="N68" s="1251">
        <v>1</v>
      </c>
      <c r="O68" s="1252">
        <v>1</v>
      </c>
    </row>
    <row r="69" spans="1:15">
      <c r="A69" s="1246" t="s">
        <v>1493</v>
      </c>
      <c r="B69" s="1246" t="s">
        <v>428</v>
      </c>
      <c r="C69" s="1247">
        <v>0.16</v>
      </c>
      <c r="E69" s="1246" t="s">
        <v>370</v>
      </c>
      <c r="F69" s="1248">
        <v>1</v>
      </c>
      <c r="G69" s="1248">
        <v>1</v>
      </c>
      <c r="H69" s="1249">
        <v>1</v>
      </c>
      <c r="I69" s="1246" t="s">
        <v>1491</v>
      </c>
      <c r="J69" s="1246" t="s">
        <v>1397</v>
      </c>
      <c r="K69" s="1284" t="str">
        <f t="shared" si="1"/>
        <v>10</v>
      </c>
      <c r="L69" s="1246" t="s">
        <v>1532</v>
      </c>
      <c r="M69" s="1250">
        <v>9</v>
      </c>
      <c r="N69" s="1251">
        <v>2</v>
      </c>
      <c r="O69" s="1252">
        <v>2</v>
      </c>
    </row>
    <row r="70" spans="1:15">
      <c r="A70" s="1246" t="s">
        <v>1493</v>
      </c>
      <c r="B70" s="1246" t="s">
        <v>428</v>
      </c>
      <c r="C70" s="1247">
        <v>0.16</v>
      </c>
      <c r="E70" s="1246" t="s">
        <v>370</v>
      </c>
      <c r="F70" s="1248">
        <v>1</v>
      </c>
      <c r="G70" s="1248">
        <v>1</v>
      </c>
      <c r="H70" s="1249">
        <v>1</v>
      </c>
      <c r="I70" s="1246" t="s">
        <v>1491</v>
      </c>
      <c r="J70" s="1246" t="s">
        <v>1438</v>
      </c>
      <c r="K70" s="1284" t="str">
        <f t="shared" si="1"/>
        <v>13</v>
      </c>
      <c r="L70" s="1246" t="s">
        <v>1533</v>
      </c>
      <c r="M70" s="1250">
        <v>9</v>
      </c>
      <c r="N70" s="1251">
        <v>2</v>
      </c>
      <c r="O70" s="1252">
        <v>2</v>
      </c>
    </row>
    <row r="71" spans="1:15">
      <c r="A71" s="1246" t="s">
        <v>1493</v>
      </c>
      <c r="B71" s="1246" t="s">
        <v>428</v>
      </c>
      <c r="C71" s="1247">
        <v>0.16</v>
      </c>
      <c r="E71" s="1246" t="s">
        <v>376</v>
      </c>
      <c r="F71" s="1248">
        <v>1</v>
      </c>
      <c r="G71" s="1248">
        <v>1</v>
      </c>
      <c r="H71" s="1249">
        <v>1</v>
      </c>
      <c r="I71" s="1246" t="s">
        <v>1491</v>
      </c>
      <c r="J71" s="1246" t="s">
        <v>1436</v>
      </c>
      <c r="K71" s="1284" t="str">
        <f t="shared" si="1"/>
        <v>11</v>
      </c>
      <c r="L71" s="1246" t="s">
        <v>1496</v>
      </c>
      <c r="M71" s="1250">
        <v>9</v>
      </c>
      <c r="N71" s="1251">
        <v>2</v>
      </c>
      <c r="O71" s="1252">
        <v>2</v>
      </c>
    </row>
    <row r="72" spans="1:15">
      <c r="A72" s="1246" t="s">
        <v>1490</v>
      </c>
      <c r="B72" s="1246" t="s">
        <v>428</v>
      </c>
      <c r="C72" s="1247">
        <v>0.16</v>
      </c>
      <c r="F72" s="1248">
        <v>1</v>
      </c>
      <c r="G72" s="1248">
        <v>1</v>
      </c>
      <c r="H72" s="1249">
        <v>4</v>
      </c>
      <c r="I72" s="1246" t="s">
        <v>1491</v>
      </c>
      <c r="J72" s="1246" t="s">
        <v>1455</v>
      </c>
      <c r="K72" s="1284" t="str">
        <f t="shared" si="1"/>
        <v>32</v>
      </c>
      <c r="L72" s="1246" t="s">
        <v>1505</v>
      </c>
      <c r="M72" s="1250">
        <v>1</v>
      </c>
      <c r="N72" s="1251">
        <v>1</v>
      </c>
      <c r="O72" s="1252">
        <v>1</v>
      </c>
    </row>
    <row r="73" spans="1:15">
      <c r="A73" s="1246" t="s">
        <v>1490</v>
      </c>
      <c r="B73" s="1246" t="s">
        <v>428</v>
      </c>
      <c r="C73" s="1247">
        <v>0.16</v>
      </c>
      <c r="F73" s="1248">
        <v>1</v>
      </c>
      <c r="G73" s="1248">
        <v>1</v>
      </c>
      <c r="H73" s="1249">
        <v>4</v>
      </c>
      <c r="I73" s="1246" t="s">
        <v>1491</v>
      </c>
      <c r="J73" s="1246" t="s">
        <v>1455</v>
      </c>
      <c r="K73" s="1284" t="str">
        <f t="shared" si="1"/>
        <v>32</v>
      </c>
      <c r="L73" s="1246" t="s">
        <v>1513</v>
      </c>
      <c r="M73" s="1250">
        <v>2</v>
      </c>
      <c r="N73" s="1251">
        <v>1</v>
      </c>
      <c r="O73" s="1252">
        <v>1</v>
      </c>
    </row>
    <row r="74" spans="1:15">
      <c r="A74" s="1246" t="s">
        <v>1490</v>
      </c>
      <c r="B74" s="1246" t="s">
        <v>428</v>
      </c>
      <c r="C74" s="1247">
        <v>0.16</v>
      </c>
      <c r="F74" s="1248">
        <v>1</v>
      </c>
      <c r="G74" s="1248">
        <v>1</v>
      </c>
      <c r="H74" s="1249">
        <v>4</v>
      </c>
      <c r="I74" s="1246" t="s">
        <v>1491</v>
      </c>
      <c r="J74" s="1246" t="s">
        <v>1455</v>
      </c>
      <c r="K74" s="1284" t="str">
        <f t="shared" si="1"/>
        <v>32</v>
      </c>
      <c r="L74" s="1246" t="s">
        <v>1522</v>
      </c>
      <c r="M74" s="1250">
        <v>3</v>
      </c>
      <c r="N74" s="1251">
        <v>2</v>
      </c>
      <c r="O74" s="1252">
        <v>2</v>
      </c>
    </row>
    <row r="75" spans="1:15">
      <c r="A75" s="1246" t="s">
        <v>1490</v>
      </c>
      <c r="B75" s="1246" t="s">
        <v>428</v>
      </c>
      <c r="C75" s="1247">
        <v>0.16</v>
      </c>
      <c r="F75" s="1248">
        <v>1</v>
      </c>
      <c r="G75" s="1248">
        <v>1</v>
      </c>
      <c r="H75" s="1249">
        <v>14</v>
      </c>
      <c r="I75" s="1246" t="s">
        <v>1491</v>
      </c>
      <c r="J75" s="1246" t="s">
        <v>1454</v>
      </c>
      <c r="K75" s="1284" t="str">
        <f t="shared" si="1"/>
        <v>31</v>
      </c>
      <c r="L75" s="1246" t="s">
        <v>1506</v>
      </c>
      <c r="M75" s="1250">
        <v>1</v>
      </c>
      <c r="N75" s="1251">
        <v>1</v>
      </c>
      <c r="O75" s="1252">
        <v>1</v>
      </c>
    </row>
    <row r="76" spans="1:15">
      <c r="A76" s="1246" t="s">
        <v>1490</v>
      </c>
      <c r="B76" s="1246" t="s">
        <v>428</v>
      </c>
      <c r="C76" s="1247">
        <v>0.16</v>
      </c>
      <c r="F76" s="1248">
        <v>1</v>
      </c>
      <c r="G76" s="1248">
        <v>2</v>
      </c>
      <c r="H76" s="1249">
        <v>1</v>
      </c>
      <c r="I76" s="1246" t="s">
        <v>1491</v>
      </c>
      <c r="J76" s="1246" t="s">
        <v>1457</v>
      </c>
      <c r="K76" s="1284" t="str">
        <f t="shared" si="1"/>
        <v>35</v>
      </c>
      <c r="L76" s="1246" t="s">
        <v>1527</v>
      </c>
      <c r="M76" s="1250">
        <v>3</v>
      </c>
      <c r="N76" s="1251">
        <v>1</v>
      </c>
      <c r="O76" s="1252">
        <v>1</v>
      </c>
    </row>
    <row r="77" spans="1:15">
      <c r="A77" s="1246" t="s">
        <v>1490</v>
      </c>
      <c r="B77" s="1246" t="s">
        <v>428</v>
      </c>
      <c r="C77" s="1247">
        <v>0.16</v>
      </c>
      <c r="F77" s="1248">
        <v>2</v>
      </c>
      <c r="G77" s="1248">
        <v>2</v>
      </c>
      <c r="H77" s="1249">
        <v>1</v>
      </c>
      <c r="I77" s="1246" t="s">
        <v>1491</v>
      </c>
      <c r="J77" s="1246" t="s">
        <v>1460</v>
      </c>
      <c r="K77" s="1284" t="str">
        <f t="shared" si="1"/>
        <v>30</v>
      </c>
      <c r="L77" s="1246" t="s">
        <v>1499</v>
      </c>
      <c r="M77" s="1250">
        <v>5</v>
      </c>
      <c r="N77" s="1251">
        <v>2</v>
      </c>
      <c r="O77" s="1252">
        <v>1</v>
      </c>
    </row>
    <row r="78" spans="1:15">
      <c r="A78" s="1246" t="s">
        <v>1490</v>
      </c>
      <c r="B78" s="1246" t="s">
        <v>428</v>
      </c>
      <c r="C78" s="1247">
        <v>0.16</v>
      </c>
      <c r="F78" s="1248">
        <v>2</v>
      </c>
      <c r="G78" s="1248">
        <v>2</v>
      </c>
      <c r="H78" s="1249">
        <v>1</v>
      </c>
      <c r="I78" s="1246" t="s">
        <v>1491</v>
      </c>
      <c r="J78" s="1246" t="s">
        <v>1454</v>
      </c>
      <c r="K78" s="1284" t="str">
        <f t="shared" si="1"/>
        <v>31</v>
      </c>
      <c r="L78" s="1246" t="s">
        <v>1506</v>
      </c>
      <c r="M78" s="1250">
        <v>1</v>
      </c>
      <c r="N78" s="1251">
        <v>8</v>
      </c>
      <c r="O78" s="1252">
        <v>4</v>
      </c>
    </row>
    <row r="79" spans="1:15">
      <c r="A79" s="1246" t="s">
        <v>1490</v>
      </c>
      <c r="B79" s="1246" t="s">
        <v>428</v>
      </c>
      <c r="C79" s="1247">
        <v>0.16</v>
      </c>
      <c r="F79" s="1248">
        <v>2</v>
      </c>
      <c r="G79" s="1248">
        <v>2</v>
      </c>
      <c r="H79" s="1249">
        <v>1</v>
      </c>
      <c r="I79" s="1246" t="s">
        <v>1491</v>
      </c>
      <c r="J79" s="1246" t="s">
        <v>1457</v>
      </c>
      <c r="K79" s="1284" t="str">
        <f t="shared" si="1"/>
        <v>35</v>
      </c>
      <c r="L79" s="1246" t="s">
        <v>1501</v>
      </c>
      <c r="M79" s="1250">
        <v>1</v>
      </c>
      <c r="N79" s="1251">
        <v>4</v>
      </c>
      <c r="O79" s="1252">
        <v>2</v>
      </c>
    </row>
    <row r="80" spans="1:15">
      <c r="A80" s="1246" t="s">
        <v>1490</v>
      </c>
      <c r="B80" s="1246" t="s">
        <v>428</v>
      </c>
      <c r="C80" s="1247">
        <v>0.16</v>
      </c>
      <c r="F80" s="1248">
        <v>2</v>
      </c>
      <c r="G80" s="1248">
        <v>2</v>
      </c>
      <c r="H80" s="1249">
        <v>1</v>
      </c>
      <c r="I80" s="1246" t="s">
        <v>1491</v>
      </c>
      <c r="J80" s="1246" t="s">
        <v>1399</v>
      </c>
      <c r="K80" s="1284" t="str">
        <f t="shared" si="1"/>
        <v>30</v>
      </c>
      <c r="L80" s="1246" t="s">
        <v>1512</v>
      </c>
      <c r="M80" s="1250">
        <v>2</v>
      </c>
      <c r="N80" s="1251">
        <v>2</v>
      </c>
      <c r="O80" s="1252">
        <v>1</v>
      </c>
    </row>
    <row r="81" spans="1:15">
      <c r="A81" s="1246" t="s">
        <v>1490</v>
      </c>
      <c r="B81" s="1246" t="s">
        <v>428</v>
      </c>
      <c r="C81" s="1247">
        <v>0.16</v>
      </c>
      <c r="F81" s="1248">
        <v>2</v>
      </c>
      <c r="G81" s="1248">
        <v>2</v>
      </c>
      <c r="H81" s="1249">
        <v>1</v>
      </c>
      <c r="I81" s="1246" t="s">
        <v>1491</v>
      </c>
      <c r="J81" s="1246" t="s">
        <v>1454</v>
      </c>
      <c r="K81" s="1284" t="str">
        <f t="shared" si="1"/>
        <v>31</v>
      </c>
      <c r="L81" s="1246" t="s">
        <v>1500</v>
      </c>
      <c r="M81" s="1250">
        <v>2</v>
      </c>
      <c r="N81" s="1251">
        <v>4</v>
      </c>
      <c r="O81" s="1252">
        <v>2</v>
      </c>
    </row>
    <row r="82" spans="1:15">
      <c r="A82" s="1246" t="s">
        <v>1490</v>
      </c>
      <c r="B82" s="1246" t="s">
        <v>428</v>
      </c>
      <c r="C82" s="1247">
        <v>0.16</v>
      </c>
      <c r="F82" s="1248">
        <v>2</v>
      </c>
      <c r="G82" s="1248">
        <v>2</v>
      </c>
      <c r="H82" s="1249">
        <v>1</v>
      </c>
      <c r="I82" s="1246" t="s">
        <v>1491</v>
      </c>
      <c r="J82" s="1246" t="s">
        <v>1456</v>
      </c>
      <c r="K82" s="1284" t="str">
        <f t="shared" si="1"/>
        <v>33</v>
      </c>
      <c r="L82" s="1246" t="s">
        <v>1519</v>
      </c>
      <c r="M82" s="1250">
        <v>2</v>
      </c>
      <c r="N82" s="1251">
        <v>6</v>
      </c>
      <c r="O82" s="1252">
        <v>3</v>
      </c>
    </row>
    <row r="83" spans="1:15">
      <c r="A83" s="1246" t="s">
        <v>1490</v>
      </c>
      <c r="B83" s="1246" t="s">
        <v>428</v>
      </c>
      <c r="C83" s="1247">
        <v>0.16</v>
      </c>
      <c r="F83" s="1248">
        <v>2</v>
      </c>
      <c r="G83" s="1248">
        <v>2</v>
      </c>
      <c r="H83" s="1249">
        <v>1</v>
      </c>
      <c r="I83" s="1246" t="s">
        <v>1491</v>
      </c>
      <c r="J83" s="1246" t="s">
        <v>1454</v>
      </c>
      <c r="K83" s="1284" t="str">
        <f t="shared" si="1"/>
        <v>31</v>
      </c>
      <c r="L83" s="1246" t="s">
        <v>1523</v>
      </c>
      <c r="M83" s="1250">
        <v>3</v>
      </c>
      <c r="N83" s="1251">
        <v>6</v>
      </c>
      <c r="O83" s="1252">
        <v>3</v>
      </c>
    </row>
    <row r="84" spans="1:15">
      <c r="A84" s="1246" t="s">
        <v>1490</v>
      </c>
      <c r="B84" s="1246" t="s">
        <v>428</v>
      </c>
      <c r="C84" s="1247">
        <v>0.16</v>
      </c>
      <c r="F84" s="1248">
        <v>2</v>
      </c>
      <c r="G84" s="1248">
        <v>2</v>
      </c>
      <c r="H84" s="1249">
        <v>1</v>
      </c>
      <c r="I84" s="1246" t="s">
        <v>1491</v>
      </c>
      <c r="J84" s="1246" t="s">
        <v>1459</v>
      </c>
      <c r="K84" s="1284" t="str">
        <f t="shared" si="1"/>
        <v>3A</v>
      </c>
      <c r="L84" s="1246" t="s">
        <v>1492</v>
      </c>
      <c r="M84" s="1250">
        <v>3</v>
      </c>
      <c r="N84" s="1251">
        <v>2</v>
      </c>
      <c r="O84" s="1252">
        <v>1</v>
      </c>
    </row>
    <row r="85" spans="1:15">
      <c r="A85" s="1246" t="s">
        <v>1493</v>
      </c>
      <c r="B85" s="1246" t="s">
        <v>428</v>
      </c>
      <c r="C85" s="1247">
        <v>0.16</v>
      </c>
      <c r="E85" s="1246" t="s">
        <v>376</v>
      </c>
      <c r="F85" s="1248">
        <v>2</v>
      </c>
      <c r="G85" s="1248">
        <v>2</v>
      </c>
      <c r="H85" s="1249">
        <v>1</v>
      </c>
      <c r="I85" s="1246" t="s">
        <v>1491</v>
      </c>
      <c r="J85" s="1246" t="s">
        <v>1436</v>
      </c>
      <c r="K85" s="1284" t="str">
        <f t="shared" si="1"/>
        <v>11</v>
      </c>
      <c r="L85" s="1246" t="s">
        <v>1496</v>
      </c>
      <c r="M85" s="1250">
        <v>9</v>
      </c>
      <c r="N85" s="1251">
        <v>6</v>
      </c>
      <c r="O85" s="1252">
        <v>3</v>
      </c>
    </row>
    <row r="86" spans="1:15">
      <c r="A86" s="1246" t="s">
        <v>1493</v>
      </c>
      <c r="B86" s="1246" t="s">
        <v>428</v>
      </c>
      <c r="C86" s="1247">
        <v>0.16</v>
      </c>
      <c r="E86" s="1246" t="s">
        <v>376</v>
      </c>
      <c r="F86" s="1248">
        <v>4</v>
      </c>
      <c r="G86" s="1248">
        <v>4</v>
      </c>
      <c r="H86" s="1249">
        <v>1</v>
      </c>
      <c r="I86" s="1246" t="s">
        <v>1491</v>
      </c>
      <c r="J86" s="1246" t="s">
        <v>1436</v>
      </c>
      <c r="K86" s="1284" t="str">
        <f t="shared" si="1"/>
        <v>11</v>
      </c>
      <c r="L86" s="1246" t="s">
        <v>1496</v>
      </c>
      <c r="M86" s="1250">
        <v>9</v>
      </c>
      <c r="N86" s="1251">
        <v>4</v>
      </c>
      <c r="O86" s="1252">
        <v>1</v>
      </c>
    </row>
    <row r="87" spans="1:15">
      <c r="A87" s="1246" t="s">
        <v>1493</v>
      </c>
      <c r="B87" s="1246" t="s">
        <v>428</v>
      </c>
      <c r="C87" s="1247">
        <v>0.16</v>
      </c>
      <c r="E87" s="1246" t="s">
        <v>376</v>
      </c>
      <c r="F87" s="1248">
        <v>6</v>
      </c>
      <c r="G87" s="1248">
        <v>6</v>
      </c>
      <c r="H87" s="1249">
        <v>1</v>
      </c>
      <c r="I87" s="1246" t="s">
        <v>1491</v>
      </c>
      <c r="J87" s="1246" t="s">
        <v>1436</v>
      </c>
      <c r="K87" s="1284" t="str">
        <f t="shared" si="1"/>
        <v>11</v>
      </c>
      <c r="L87" s="1246" t="s">
        <v>1496</v>
      </c>
      <c r="M87" s="1250">
        <v>9</v>
      </c>
      <c r="N87" s="1251">
        <v>6</v>
      </c>
      <c r="O87" s="1252">
        <v>1</v>
      </c>
    </row>
    <row r="88" spans="1:15">
      <c r="A88" s="1246" t="s">
        <v>1493</v>
      </c>
      <c r="B88" s="1246" t="s">
        <v>428</v>
      </c>
      <c r="C88" s="1247">
        <v>0.16</v>
      </c>
      <c r="E88" s="1246" t="s">
        <v>370</v>
      </c>
      <c r="F88" s="1248">
        <v>8</v>
      </c>
      <c r="G88" s="1248">
        <v>0</v>
      </c>
      <c r="H88" s="1249">
        <v>0</v>
      </c>
      <c r="J88" s="1246" t="s">
        <v>1439</v>
      </c>
      <c r="K88" s="1284" t="str">
        <f t="shared" si="1"/>
        <v>15</v>
      </c>
      <c r="L88" s="1246" t="s">
        <v>1530</v>
      </c>
      <c r="M88" s="1250">
        <v>9</v>
      </c>
      <c r="N88" s="1251">
        <v>8</v>
      </c>
      <c r="O88" s="1252">
        <v>1</v>
      </c>
    </row>
    <row r="89" spans="1:15">
      <c r="A89" s="1246" t="s">
        <v>1493</v>
      </c>
      <c r="B89" s="1246" t="s">
        <v>428</v>
      </c>
      <c r="C89" s="1247">
        <v>0.16</v>
      </c>
      <c r="E89" s="1246" t="s">
        <v>376</v>
      </c>
      <c r="F89" s="1248">
        <v>13</v>
      </c>
      <c r="G89" s="1248">
        <v>13</v>
      </c>
      <c r="H89" s="1249">
        <v>1</v>
      </c>
      <c r="I89" s="1246" t="s">
        <v>1491</v>
      </c>
      <c r="J89" s="1246" t="s">
        <v>1436</v>
      </c>
      <c r="K89" s="1284" t="str">
        <f t="shared" si="1"/>
        <v>11</v>
      </c>
      <c r="L89" s="1246" t="s">
        <v>1496</v>
      </c>
      <c r="M89" s="1250">
        <v>9</v>
      </c>
      <c r="N89" s="1251">
        <v>13</v>
      </c>
      <c r="O89" s="1252">
        <v>1</v>
      </c>
    </row>
    <row r="90" spans="1:15">
      <c r="A90" s="1246" t="s">
        <v>1493</v>
      </c>
      <c r="B90" s="1246" t="s">
        <v>428</v>
      </c>
      <c r="C90" s="1247">
        <v>0.16</v>
      </c>
      <c r="E90" s="1246" t="s">
        <v>376</v>
      </c>
      <c r="F90" s="1248">
        <v>17</v>
      </c>
      <c r="G90" s="1248">
        <v>17</v>
      </c>
      <c r="H90" s="1249">
        <v>1</v>
      </c>
      <c r="I90" s="1246" t="s">
        <v>1491</v>
      </c>
      <c r="J90" s="1246" t="s">
        <v>1436</v>
      </c>
      <c r="K90" s="1284" t="str">
        <f t="shared" si="1"/>
        <v>11</v>
      </c>
      <c r="L90" s="1246" t="s">
        <v>1496</v>
      </c>
      <c r="M90" s="1250">
        <v>9</v>
      </c>
      <c r="N90" s="1251">
        <v>17</v>
      </c>
      <c r="O90" s="1252">
        <v>1</v>
      </c>
    </row>
    <row r="91" spans="1:15">
      <c r="A91" s="1246" t="s">
        <v>1493</v>
      </c>
      <c r="B91" s="1246" t="s">
        <v>428</v>
      </c>
      <c r="C91" s="1247">
        <v>0.16</v>
      </c>
      <c r="E91" s="1246" t="s">
        <v>370</v>
      </c>
      <c r="F91" s="1248">
        <v>18</v>
      </c>
      <c r="G91" s="1248">
        <v>0</v>
      </c>
      <c r="H91" s="1249">
        <v>0</v>
      </c>
      <c r="J91" s="1246" t="s">
        <v>1436</v>
      </c>
      <c r="K91" s="1284" t="str">
        <f t="shared" si="1"/>
        <v>11</v>
      </c>
      <c r="L91" s="1246" t="s">
        <v>1495</v>
      </c>
      <c r="M91" s="1250">
        <v>9</v>
      </c>
      <c r="N91" s="1251">
        <v>18</v>
      </c>
      <c r="O91" s="1252">
        <v>1</v>
      </c>
    </row>
    <row r="92" spans="1:15">
      <c r="A92" s="1246" t="s">
        <v>1493</v>
      </c>
      <c r="B92" s="1246" t="s">
        <v>428</v>
      </c>
      <c r="C92" s="1247">
        <v>0.16</v>
      </c>
      <c r="E92" s="1246" t="s">
        <v>376</v>
      </c>
      <c r="F92" s="1248">
        <v>28</v>
      </c>
      <c r="G92" s="1248">
        <v>28</v>
      </c>
      <c r="H92" s="1249">
        <v>1</v>
      </c>
      <c r="I92" s="1246" t="s">
        <v>1491</v>
      </c>
      <c r="J92" s="1246" t="s">
        <v>1436</v>
      </c>
      <c r="K92" s="1284" t="str">
        <f t="shared" si="1"/>
        <v>11</v>
      </c>
      <c r="L92" s="1246" t="s">
        <v>1496</v>
      </c>
      <c r="M92" s="1250">
        <v>9</v>
      </c>
      <c r="N92" s="1251">
        <v>28</v>
      </c>
      <c r="O92" s="1252">
        <v>1</v>
      </c>
    </row>
    <row r="93" spans="1:15">
      <c r="A93" s="1246" t="s">
        <v>1493</v>
      </c>
      <c r="B93" s="1246" t="s">
        <v>428</v>
      </c>
      <c r="C93" s="1247">
        <v>0.16</v>
      </c>
      <c r="E93" s="1246" t="s">
        <v>376</v>
      </c>
      <c r="F93" s="1248">
        <v>32</v>
      </c>
      <c r="G93" s="1248">
        <v>32</v>
      </c>
      <c r="H93" s="1249">
        <v>1</v>
      </c>
      <c r="I93" s="1246" t="s">
        <v>1491</v>
      </c>
      <c r="J93" s="1246" t="s">
        <v>1436</v>
      </c>
      <c r="K93" s="1284" t="str">
        <f t="shared" si="1"/>
        <v>11</v>
      </c>
      <c r="L93" s="1246" t="s">
        <v>1496</v>
      </c>
      <c r="M93" s="1250">
        <v>9</v>
      </c>
      <c r="N93" s="1251">
        <v>32</v>
      </c>
      <c r="O93" s="1252">
        <v>1</v>
      </c>
    </row>
    <row r="94" spans="1:15">
      <c r="A94" s="1246" t="s">
        <v>1493</v>
      </c>
      <c r="B94" s="1246" t="s">
        <v>428</v>
      </c>
      <c r="C94" s="1247">
        <v>0.16</v>
      </c>
      <c r="E94" s="1246" t="s">
        <v>376</v>
      </c>
      <c r="F94" s="1248">
        <v>38</v>
      </c>
      <c r="G94" s="1248">
        <v>38</v>
      </c>
      <c r="H94" s="1249">
        <v>1</v>
      </c>
      <c r="I94" s="1246" t="s">
        <v>1491</v>
      </c>
      <c r="J94" s="1246" t="s">
        <v>1436</v>
      </c>
      <c r="K94" s="1284" t="str">
        <f t="shared" si="1"/>
        <v>11</v>
      </c>
      <c r="L94" s="1246" t="s">
        <v>1496</v>
      </c>
      <c r="M94" s="1250">
        <v>9</v>
      </c>
      <c r="N94" s="1251">
        <v>38</v>
      </c>
      <c r="O94" s="1252">
        <v>1</v>
      </c>
    </row>
    <row r="95" spans="1:15">
      <c r="A95" s="1246" t="s">
        <v>1493</v>
      </c>
      <c r="B95" s="1246" t="s">
        <v>428</v>
      </c>
      <c r="C95" s="1247">
        <v>0.16</v>
      </c>
      <c r="E95" s="1246" t="s">
        <v>376</v>
      </c>
      <c r="F95" s="1248">
        <v>40</v>
      </c>
      <c r="G95" s="1248">
        <v>40</v>
      </c>
      <c r="H95" s="1249">
        <v>1</v>
      </c>
      <c r="I95" s="1246" t="s">
        <v>1491</v>
      </c>
      <c r="J95" s="1246" t="s">
        <v>1436</v>
      </c>
      <c r="K95" s="1284" t="str">
        <f t="shared" si="1"/>
        <v>11</v>
      </c>
      <c r="L95" s="1246" t="s">
        <v>1496</v>
      </c>
      <c r="M95" s="1250">
        <v>9</v>
      </c>
      <c r="N95" s="1251">
        <v>40</v>
      </c>
      <c r="O95" s="1252">
        <v>1</v>
      </c>
    </row>
    <row r="96" spans="1:15">
      <c r="A96" s="1246" t="s">
        <v>1493</v>
      </c>
      <c r="B96" s="1246" t="s">
        <v>428</v>
      </c>
      <c r="C96" s="1247">
        <v>0.16</v>
      </c>
      <c r="E96" s="1246" t="s">
        <v>376</v>
      </c>
      <c r="F96" s="1248">
        <v>74</v>
      </c>
      <c r="G96" s="1248">
        <v>74</v>
      </c>
      <c r="H96" s="1249">
        <v>1</v>
      </c>
      <c r="I96" s="1246" t="s">
        <v>1491</v>
      </c>
      <c r="J96" s="1246" t="s">
        <v>1397</v>
      </c>
      <c r="K96" s="1284" t="str">
        <f t="shared" si="1"/>
        <v>10</v>
      </c>
      <c r="L96" s="1246" t="s">
        <v>1532</v>
      </c>
      <c r="M96" s="1250">
        <v>9</v>
      </c>
      <c r="N96" s="1251">
        <v>74</v>
      </c>
      <c r="O96" s="1252">
        <v>1</v>
      </c>
    </row>
    <row r="97" spans="1:15">
      <c r="A97" s="1246" t="s">
        <v>1490</v>
      </c>
      <c r="B97" s="1246" t="s">
        <v>428</v>
      </c>
      <c r="C97" s="1247">
        <v>0.24</v>
      </c>
      <c r="F97" s="1248">
        <v>1</v>
      </c>
      <c r="G97" s="1248">
        <v>1</v>
      </c>
      <c r="H97" s="1249">
        <v>1</v>
      </c>
      <c r="I97" s="1246" t="s">
        <v>1491</v>
      </c>
      <c r="J97" s="1246" t="s">
        <v>1461</v>
      </c>
      <c r="K97" s="1284" t="str">
        <f t="shared" si="1"/>
        <v>3C</v>
      </c>
      <c r="L97" s="1246" t="s">
        <v>1502</v>
      </c>
      <c r="M97" s="1250">
        <v>3</v>
      </c>
      <c r="N97" s="1251">
        <v>17</v>
      </c>
      <c r="O97" s="1252">
        <v>17</v>
      </c>
    </row>
    <row r="98" spans="1:15">
      <c r="A98" s="1246" t="s">
        <v>1493</v>
      </c>
      <c r="B98" s="1246" t="s">
        <v>428</v>
      </c>
      <c r="C98" s="1247">
        <v>0.24</v>
      </c>
      <c r="E98" s="1246" t="s">
        <v>370</v>
      </c>
      <c r="F98" s="1248">
        <v>1</v>
      </c>
      <c r="G98" s="1248">
        <v>1</v>
      </c>
      <c r="H98" s="1249">
        <v>1</v>
      </c>
      <c r="I98" s="1246" t="s">
        <v>1491</v>
      </c>
      <c r="J98" s="1246" t="s">
        <v>1443</v>
      </c>
      <c r="K98" s="1284" t="str">
        <f t="shared" si="1"/>
        <v>1C</v>
      </c>
      <c r="L98" s="1246" t="s">
        <v>1502</v>
      </c>
      <c r="M98" s="1250">
        <v>4</v>
      </c>
      <c r="N98" s="1251">
        <v>1</v>
      </c>
      <c r="O98" s="1252">
        <v>1</v>
      </c>
    </row>
    <row r="99" spans="1:15">
      <c r="A99" s="1246" t="s">
        <v>1490</v>
      </c>
      <c r="B99" s="1246" t="s">
        <v>428</v>
      </c>
      <c r="C99" s="1247">
        <v>0.24</v>
      </c>
      <c r="F99" s="1248">
        <v>1</v>
      </c>
      <c r="G99" s="1248">
        <v>1</v>
      </c>
      <c r="H99" s="1249">
        <v>1</v>
      </c>
      <c r="I99" s="1246" t="s">
        <v>1491</v>
      </c>
      <c r="J99" s="1246" t="s">
        <v>1454</v>
      </c>
      <c r="K99" s="1284" t="str">
        <f t="shared" si="1"/>
        <v>31</v>
      </c>
      <c r="L99" s="1246" t="s">
        <v>1506</v>
      </c>
      <c r="M99" s="1250">
        <v>1</v>
      </c>
      <c r="N99" s="1251">
        <v>1</v>
      </c>
      <c r="O99" s="1252">
        <v>1</v>
      </c>
    </row>
    <row r="100" spans="1:15">
      <c r="A100" s="1246" t="s">
        <v>1490</v>
      </c>
      <c r="B100" s="1246" t="s">
        <v>428</v>
      </c>
      <c r="C100" s="1247">
        <v>0.24</v>
      </c>
      <c r="F100" s="1248">
        <v>1</v>
      </c>
      <c r="G100" s="1248">
        <v>1</v>
      </c>
      <c r="H100" s="1249">
        <v>1</v>
      </c>
      <c r="I100" s="1246" t="s">
        <v>1491</v>
      </c>
      <c r="J100" s="1246" t="s">
        <v>1454</v>
      </c>
      <c r="K100" s="1284" t="str">
        <f t="shared" si="1"/>
        <v>31</v>
      </c>
      <c r="L100" s="1246" t="s">
        <v>1523</v>
      </c>
      <c r="M100" s="1250">
        <v>3</v>
      </c>
      <c r="N100" s="1251">
        <v>1</v>
      </c>
      <c r="O100" s="1252">
        <v>1</v>
      </c>
    </row>
    <row r="101" spans="1:15">
      <c r="A101" s="1246" t="s">
        <v>1490</v>
      </c>
      <c r="B101" s="1246" t="s">
        <v>428</v>
      </c>
      <c r="C101" s="1247">
        <v>0.3</v>
      </c>
      <c r="F101" s="1248">
        <v>1</v>
      </c>
      <c r="G101" s="1248">
        <v>1</v>
      </c>
      <c r="H101" s="1249">
        <v>1</v>
      </c>
      <c r="I101" s="1246" t="s">
        <v>1491</v>
      </c>
      <c r="J101" s="1246" t="s">
        <v>1460</v>
      </c>
      <c r="K101" s="1284" t="str">
        <f t="shared" si="1"/>
        <v>30</v>
      </c>
      <c r="L101" s="1246" t="s">
        <v>1497</v>
      </c>
      <c r="M101" s="1250">
        <v>1</v>
      </c>
      <c r="N101" s="1251">
        <v>233</v>
      </c>
      <c r="O101" s="1252">
        <v>233</v>
      </c>
    </row>
    <row r="102" spans="1:15">
      <c r="A102" s="1246" t="s">
        <v>1490</v>
      </c>
      <c r="B102" s="1246" t="s">
        <v>428</v>
      </c>
      <c r="C102" s="1247">
        <v>0.3</v>
      </c>
      <c r="F102" s="1248">
        <v>1</v>
      </c>
      <c r="G102" s="1248">
        <v>1</v>
      </c>
      <c r="H102" s="1249">
        <v>1</v>
      </c>
      <c r="I102" s="1246" t="s">
        <v>1491</v>
      </c>
      <c r="J102" s="1246" t="s">
        <v>1461</v>
      </c>
      <c r="K102" s="1284" t="str">
        <f t="shared" si="1"/>
        <v>3C</v>
      </c>
      <c r="L102" s="1246" t="s">
        <v>1502</v>
      </c>
      <c r="M102" s="1250">
        <v>1</v>
      </c>
      <c r="N102" s="1251">
        <v>212</v>
      </c>
      <c r="O102" s="1252">
        <v>212</v>
      </c>
    </row>
    <row r="103" spans="1:15">
      <c r="A103" s="1246" t="s">
        <v>1490</v>
      </c>
      <c r="B103" s="1246" t="s">
        <v>428</v>
      </c>
      <c r="C103" s="1247">
        <v>0.3</v>
      </c>
      <c r="E103" s="1246" t="s">
        <v>370</v>
      </c>
      <c r="F103" s="1248">
        <v>1</v>
      </c>
      <c r="G103" s="1248">
        <v>1</v>
      </c>
      <c r="H103" s="1249">
        <v>1</v>
      </c>
      <c r="I103" s="1246" t="s">
        <v>1491</v>
      </c>
      <c r="J103" s="1246" t="s">
        <v>1461</v>
      </c>
      <c r="K103" s="1284" t="str">
        <f t="shared" si="1"/>
        <v>3C</v>
      </c>
      <c r="L103" s="1246" t="s">
        <v>1502</v>
      </c>
      <c r="M103" s="1250">
        <v>1</v>
      </c>
      <c r="N103" s="1251">
        <v>52</v>
      </c>
      <c r="O103" s="1252">
        <v>52</v>
      </c>
    </row>
    <row r="104" spans="1:15">
      <c r="A104" s="1246" t="s">
        <v>1490</v>
      </c>
      <c r="B104" s="1246" t="s">
        <v>428</v>
      </c>
      <c r="C104" s="1247">
        <v>0.3</v>
      </c>
      <c r="F104" s="1248">
        <v>1</v>
      </c>
      <c r="G104" s="1248">
        <v>1</v>
      </c>
      <c r="H104" s="1249">
        <v>1</v>
      </c>
      <c r="I104" s="1246" t="s">
        <v>1491</v>
      </c>
      <c r="J104" s="1246" t="s">
        <v>1461</v>
      </c>
      <c r="K104" s="1284" t="str">
        <f t="shared" si="1"/>
        <v>3C</v>
      </c>
      <c r="L104" s="1246" t="s">
        <v>1502</v>
      </c>
      <c r="M104" s="1250">
        <v>3</v>
      </c>
      <c r="N104" s="1251">
        <v>222</v>
      </c>
      <c r="O104" s="1252">
        <v>222</v>
      </c>
    </row>
    <row r="105" spans="1:15">
      <c r="A105" s="1246" t="s">
        <v>1493</v>
      </c>
      <c r="B105" s="1246" t="s">
        <v>428</v>
      </c>
      <c r="C105" s="1247">
        <v>0.3</v>
      </c>
      <c r="E105" s="1246" t="s">
        <v>370</v>
      </c>
      <c r="F105" s="1248">
        <v>1</v>
      </c>
      <c r="G105" s="1248">
        <v>1</v>
      </c>
      <c r="H105" s="1249">
        <v>1</v>
      </c>
      <c r="I105" s="1246" t="s">
        <v>1491</v>
      </c>
      <c r="J105" s="1246" t="s">
        <v>1443</v>
      </c>
      <c r="K105" s="1284" t="str">
        <f t="shared" si="1"/>
        <v>1C</v>
      </c>
      <c r="L105" s="1246" t="s">
        <v>1502</v>
      </c>
      <c r="M105" s="1250">
        <v>4</v>
      </c>
      <c r="N105" s="1251">
        <v>16</v>
      </c>
      <c r="O105" s="1252">
        <v>16</v>
      </c>
    </row>
    <row r="106" spans="1:15">
      <c r="A106" s="1246" t="s">
        <v>1490</v>
      </c>
      <c r="B106" s="1246" t="s">
        <v>428</v>
      </c>
      <c r="C106" s="1247">
        <v>0.3</v>
      </c>
      <c r="F106" s="1248">
        <v>1</v>
      </c>
      <c r="G106" s="1248">
        <v>1</v>
      </c>
      <c r="H106" s="1249">
        <v>1</v>
      </c>
      <c r="I106" s="1246" t="s">
        <v>1491</v>
      </c>
      <c r="J106" s="1246" t="s">
        <v>1460</v>
      </c>
      <c r="K106" s="1284" t="str">
        <f t="shared" si="1"/>
        <v>30</v>
      </c>
      <c r="L106" s="1246" t="s">
        <v>1498</v>
      </c>
      <c r="M106" s="1250">
        <v>2</v>
      </c>
      <c r="N106" s="1251">
        <v>205</v>
      </c>
      <c r="O106" s="1252">
        <v>205</v>
      </c>
    </row>
    <row r="107" spans="1:15">
      <c r="A107" s="1246" t="s">
        <v>1493</v>
      </c>
      <c r="B107" s="1246" t="s">
        <v>428</v>
      </c>
      <c r="C107" s="1247">
        <v>0.3</v>
      </c>
      <c r="E107" s="1246" t="s">
        <v>370</v>
      </c>
      <c r="F107" s="1248">
        <v>1</v>
      </c>
      <c r="G107" s="1248">
        <v>1</v>
      </c>
      <c r="H107" s="1249">
        <v>1</v>
      </c>
      <c r="I107" s="1246" t="s">
        <v>1491</v>
      </c>
      <c r="J107" s="1246" t="s">
        <v>1442</v>
      </c>
      <c r="K107" s="1284" t="str">
        <f t="shared" si="1"/>
        <v>10</v>
      </c>
      <c r="L107" s="1246" t="s">
        <v>1534</v>
      </c>
      <c r="M107" s="1250">
        <v>4</v>
      </c>
      <c r="N107" s="1251">
        <v>1</v>
      </c>
      <c r="O107" s="1252">
        <v>1</v>
      </c>
    </row>
    <row r="108" spans="1:15">
      <c r="A108" s="1246" t="s">
        <v>1490</v>
      </c>
      <c r="B108" s="1246" t="s">
        <v>428</v>
      </c>
      <c r="C108" s="1247">
        <v>0.3</v>
      </c>
      <c r="F108" s="1248">
        <v>1</v>
      </c>
      <c r="G108" s="1248">
        <v>1</v>
      </c>
      <c r="H108" s="1249">
        <v>1</v>
      </c>
      <c r="I108" s="1246" t="s">
        <v>1491</v>
      </c>
      <c r="J108" s="1246" t="s">
        <v>1460</v>
      </c>
      <c r="K108" s="1284" t="str">
        <f t="shared" si="1"/>
        <v>30</v>
      </c>
      <c r="L108" s="1246" t="s">
        <v>1499</v>
      </c>
      <c r="M108" s="1250">
        <v>5</v>
      </c>
      <c r="N108" s="1251">
        <v>245</v>
      </c>
      <c r="O108" s="1252">
        <v>245</v>
      </c>
    </row>
    <row r="109" spans="1:15">
      <c r="A109" s="1246" t="s">
        <v>1490</v>
      </c>
      <c r="B109" s="1246" t="s">
        <v>428</v>
      </c>
      <c r="C109" s="1247">
        <v>0.3</v>
      </c>
      <c r="E109" s="1246" t="s">
        <v>370</v>
      </c>
      <c r="F109" s="1248">
        <v>1</v>
      </c>
      <c r="G109" s="1248">
        <v>1</v>
      </c>
      <c r="H109" s="1249">
        <v>1</v>
      </c>
      <c r="I109" s="1246" t="s">
        <v>1491</v>
      </c>
      <c r="J109" s="1246" t="s">
        <v>1399</v>
      </c>
      <c r="K109" s="1284" t="str">
        <f t="shared" si="1"/>
        <v>30</v>
      </c>
      <c r="L109" s="1246" t="s">
        <v>1503</v>
      </c>
      <c r="M109" s="1250">
        <v>1</v>
      </c>
      <c r="N109" s="1251">
        <v>5</v>
      </c>
      <c r="O109" s="1252">
        <v>5</v>
      </c>
    </row>
    <row r="110" spans="1:15">
      <c r="A110" s="1246" t="s">
        <v>1490</v>
      </c>
      <c r="B110" s="1246" t="s">
        <v>428</v>
      </c>
      <c r="C110" s="1247">
        <v>0.3</v>
      </c>
      <c r="F110" s="1248">
        <v>1</v>
      </c>
      <c r="G110" s="1248">
        <v>1</v>
      </c>
      <c r="H110" s="1249">
        <v>1</v>
      </c>
      <c r="I110" s="1246" t="s">
        <v>1491</v>
      </c>
      <c r="J110" s="1246" t="s">
        <v>1399</v>
      </c>
      <c r="K110" s="1284" t="str">
        <f t="shared" si="1"/>
        <v>30</v>
      </c>
      <c r="L110" s="1246" t="s">
        <v>1503</v>
      </c>
      <c r="M110" s="1250">
        <v>1</v>
      </c>
      <c r="N110" s="1251">
        <v>15</v>
      </c>
      <c r="O110" s="1252">
        <v>15</v>
      </c>
    </row>
    <row r="111" spans="1:15">
      <c r="A111" s="1246" t="s">
        <v>1490</v>
      </c>
      <c r="B111" s="1246" t="s">
        <v>428</v>
      </c>
      <c r="C111" s="1247">
        <v>0.3</v>
      </c>
      <c r="F111" s="1248">
        <v>1</v>
      </c>
      <c r="G111" s="1248">
        <v>1</v>
      </c>
      <c r="H111" s="1249">
        <v>1</v>
      </c>
      <c r="I111" s="1246" t="s">
        <v>1491</v>
      </c>
      <c r="J111" s="1246" t="s">
        <v>1399</v>
      </c>
      <c r="K111" s="1284" t="str">
        <f t="shared" si="1"/>
        <v>30</v>
      </c>
      <c r="L111" s="1246" t="s">
        <v>1504</v>
      </c>
      <c r="M111" s="1250">
        <v>1</v>
      </c>
      <c r="N111" s="1251">
        <v>7</v>
      </c>
      <c r="O111" s="1252">
        <v>7</v>
      </c>
    </row>
    <row r="112" spans="1:15">
      <c r="A112" s="1246" t="s">
        <v>1490</v>
      </c>
      <c r="B112" s="1246" t="s">
        <v>428</v>
      </c>
      <c r="C112" s="1247">
        <v>0.3</v>
      </c>
      <c r="E112" s="1246" t="s">
        <v>370</v>
      </c>
      <c r="F112" s="1248">
        <v>1</v>
      </c>
      <c r="G112" s="1248">
        <v>1</v>
      </c>
      <c r="H112" s="1249">
        <v>1</v>
      </c>
      <c r="I112" s="1246" t="s">
        <v>1491</v>
      </c>
      <c r="J112" s="1246" t="s">
        <v>1399</v>
      </c>
      <c r="K112" s="1284" t="str">
        <f t="shared" si="1"/>
        <v>30</v>
      </c>
      <c r="L112" s="1246" t="s">
        <v>1504</v>
      </c>
      <c r="M112" s="1250">
        <v>1</v>
      </c>
      <c r="N112" s="1251">
        <v>3</v>
      </c>
      <c r="O112" s="1252">
        <v>3</v>
      </c>
    </row>
    <row r="113" spans="1:15">
      <c r="A113" s="1246" t="s">
        <v>1490</v>
      </c>
      <c r="B113" s="1246" t="s">
        <v>428</v>
      </c>
      <c r="C113" s="1247">
        <v>0.3</v>
      </c>
      <c r="E113" s="1246" t="s">
        <v>370</v>
      </c>
      <c r="F113" s="1248">
        <v>1</v>
      </c>
      <c r="G113" s="1248">
        <v>1</v>
      </c>
      <c r="H113" s="1249">
        <v>1</v>
      </c>
      <c r="I113" s="1246" t="s">
        <v>1491</v>
      </c>
      <c r="J113" s="1246" t="s">
        <v>1455</v>
      </c>
      <c r="K113" s="1284" t="str">
        <f t="shared" si="1"/>
        <v>32</v>
      </c>
      <c r="L113" s="1246" t="s">
        <v>1505</v>
      </c>
      <c r="M113" s="1250">
        <v>1</v>
      </c>
      <c r="N113" s="1251">
        <v>52</v>
      </c>
      <c r="O113" s="1252">
        <v>52</v>
      </c>
    </row>
    <row r="114" spans="1:15">
      <c r="A114" s="1246" t="s">
        <v>1490</v>
      </c>
      <c r="B114" s="1246" t="s">
        <v>428</v>
      </c>
      <c r="C114" s="1247">
        <v>0.3</v>
      </c>
      <c r="F114" s="1248">
        <v>1</v>
      </c>
      <c r="G114" s="1248">
        <v>1</v>
      </c>
      <c r="H114" s="1249">
        <v>1</v>
      </c>
      <c r="I114" s="1246" t="s">
        <v>1491</v>
      </c>
      <c r="J114" s="1246" t="s">
        <v>1455</v>
      </c>
      <c r="K114" s="1284" t="str">
        <f t="shared" si="1"/>
        <v>32</v>
      </c>
      <c r="L114" s="1246" t="s">
        <v>1505</v>
      </c>
      <c r="M114" s="1250">
        <v>1</v>
      </c>
      <c r="N114" s="1251">
        <v>214</v>
      </c>
      <c r="O114" s="1252">
        <v>214</v>
      </c>
    </row>
    <row r="115" spans="1:15">
      <c r="A115" s="1246" t="s">
        <v>1490</v>
      </c>
      <c r="B115" s="1246" t="s">
        <v>428</v>
      </c>
      <c r="C115" s="1247">
        <v>0.3</v>
      </c>
      <c r="F115" s="1248">
        <v>1</v>
      </c>
      <c r="G115" s="1248">
        <v>1</v>
      </c>
      <c r="H115" s="1249">
        <v>1</v>
      </c>
      <c r="I115" s="1246" t="s">
        <v>1491</v>
      </c>
      <c r="J115" s="1246" t="s">
        <v>1454</v>
      </c>
      <c r="K115" s="1284" t="str">
        <f t="shared" si="1"/>
        <v>31</v>
      </c>
      <c r="L115" s="1246" t="s">
        <v>1506</v>
      </c>
      <c r="M115" s="1250">
        <v>1</v>
      </c>
      <c r="N115" s="1251">
        <v>1868</v>
      </c>
      <c r="O115" s="1252">
        <v>1868</v>
      </c>
    </row>
    <row r="116" spans="1:15">
      <c r="A116" s="1246" t="s">
        <v>1490</v>
      </c>
      <c r="B116" s="1246" t="s">
        <v>428</v>
      </c>
      <c r="C116" s="1247">
        <v>0.3</v>
      </c>
      <c r="E116" s="1246" t="s">
        <v>370</v>
      </c>
      <c r="F116" s="1248">
        <v>1</v>
      </c>
      <c r="G116" s="1248">
        <v>1</v>
      </c>
      <c r="H116" s="1249">
        <v>1</v>
      </c>
      <c r="I116" s="1246" t="s">
        <v>1491</v>
      </c>
      <c r="J116" s="1246" t="s">
        <v>1454</v>
      </c>
      <c r="K116" s="1284" t="str">
        <f t="shared" si="1"/>
        <v>31</v>
      </c>
      <c r="L116" s="1246" t="s">
        <v>1506</v>
      </c>
      <c r="M116" s="1250">
        <v>1</v>
      </c>
      <c r="N116" s="1251">
        <v>322</v>
      </c>
      <c r="O116" s="1252">
        <v>322</v>
      </c>
    </row>
    <row r="117" spans="1:15">
      <c r="A117" s="1246" t="s">
        <v>1490</v>
      </c>
      <c r="B117" s="1246" t="s">
        <v>428</v>
      </c>
      <c r="C117" s="1247">
        <v>0.3</v>
      </c>
      <c r="F117" s="1248">
        <v>1</v>
      </c>
      <c r="G117" s="1248">
        <v>1</v>
      </c>
      <c r="H117" s="1249">
        <v>1</v>
      </c>
      <c r="I117" s="1246" t="s">
        <v>1491</v>
      </c>
      <c r="J117" s="1246" t="s">
        <v>1458</v>
      </c>
      <c r="K117" s="1284" t="str">
        <f t="shared" si="1"/>
        <v>36</v>
      </c>
      <c r="L117" s="1246" t="s">
        <v>1507</v>
      </c>
      <c r="M117" s="1250">
        <v>1</v>
      </c>
      <c r="N117" s="1251">
        <v>101</v>
      </c>
      <c r="O117" s="1252">
        <v>101</v>
      </c>
    </row>
    <row r="118" spans="1:15">
      <c r="A118" s="1246" t="s">
        <v>1490</v>
      </c>
      <c r="B118" s="1246" t="s">
        <v>428</v>
      </c>
      <c r="C118" s="1247">
        <v>0.3</v>
      </c>
      <c r="E118" s="1246" t="s">
        <v>370</v>
      </c>
      <c r="F118" s="1248">
        <v>1</v>
      </c>
      <c r="G118" s="1248">
        <v>1</v>
      </c>
      <c r="H118" s="1249">
        <v>1</v>
      </c>
      <c r="I118" s="1246" t="s">
        <v>1491</v>
      </c>
      <c r="J118" s="1246" t="s">
        <v>1458</v>
      </c>
      <c r="K118" s="1284" t="str">
        <f t="shared" si="1"/>
        <v>36</v>
      </c>
      <c r="L118" s="1246" t="s">
        <v>1507</v>
      </c>
      <c r="M118" s="1250">
        <v>1</v>
      </c>
      <c r="N118" s="1251">
        <v>17</v>
      </c>
      <c r="O118" s="1252">
        <v>17</v>
      </c>
    </row>
    <row r="119" spans="1:15">
      <c r="A119" s="1246" t="s">
        <v>1490</v>
      </c>
      <c r="B119" s="1246" t="s">
        <v>428</v>
      </c>
      <c r="C119" s="1247">
        <v>0.3</v>
      </c>
      <c r="F119" s="1248">
        <v>1</v>
      </c>
      <c r="G119" s="1248">
        <v>1</v>
      </c>
      <c r="H119" s="1249">
        <v>1</v>
      </c>
      <c r="I119" s="1246" t="s">
        <v>1491</v>
      </c>
      <c r="J119" s="1246" t="s">
        <v>1399</v>
      </c>
      <c r="K119" s="1284" t="str">
        <f t="shared" si="1"/>
        <v>30</v>
      </c>
      <c r="L119" s="1246" t="s">
        <v>1508</v>
      </c>
      <c r="M119" s="1250">
        <v>1</v>
      </c>
      <c r="N119" s="1251">
        <v>93</v>
      </c>
      <c r="O119" s="1252">
        <v>93</v>
      </c>
    </row>
    <row r="120" spans="1:15">
      <c r="A120" s="1246" t="s">
        <v>1490</v>
      </c>
      <c r="B120" s="1246" t="s">
        <v>428</v>
      </c>
      <c r="C120" s="1247">
        <v>0.3</v>
      </c>
      <c r="E120" s="1246" t="s">
        <v>370</v>
      </c>
      <c r="F120" s="1248">
        <v>1</v>
      </c>
      <c r="G120" s="1248">
        <v>1</v>
      </c>
      <c r="H120" s="1249">
        <v>1</v>
      </c>
      <c r="I120" s="1246" t="s">
        <v>1491</v>
      </c>
      <c r="J120" s="1246" t="s">
        <v>1399</v>
      </c>
      <c r="K120" s="1284" t="str">
        <f t="shared" si="1"/>
        <v>30</v>
      </c>
      <c r="L120" s="1246" t="s">
        <v>1508</v>
      </c>
      <c r="M120" s="1250">
        <v>1</v>
      </c>
      <c r="N120" s="1251">
        <v>16</v>
      </c>
      <c r="O120" s="1252">
        <v>16</v>
      </c>
    </row>
    <row r="121" spans="1:15">
      <c r="A121" s="1246" t="s">
        <v>1490</v>
      </c>
      <c r="B121" s="1246" t="s">
        <v>428</v>
      </c>
      <c r="C121" s="1247">
        <v>0.3</v>
      </c>
      <c r="F121" s="1248">
        <v>1</v>
      </c>
      <c r="G121" s="1248">
        <v>1</v>
      </c>
      <c r="H121" s="1249">
        <v>1</v>
      </c>
      <c r="I121" s="1246" t="s">
        <v>1491</v>
      </c>
      <c r="J121" s="1246" t="s">
        <v>1399</v>
      </c>
      <c r="K121" s="1284" t="str">
        <f t="shared" si="1"/>
        <v>30</v>
      </c>
      <c r="L121" s="1246" t="s">
        <v>1509</v>
      </c>
      <c r="M121" s="1250">
        <v>1</v>
      </c>
      <c r="N121" s="1251">
        <v>38</v>
      </c>
      <c r="O121" s="1252">
        <v>38</v>
      </c>
    </row>
    <row r="122" spans="1:15">
      <c r="A122" s="1246" t="s">
        <v>1490</v>
      </c>
      <c r="B122" s="1246" t="s">
        <v>428</v>
      </c>
      <c r="C122" s="1247">
        <v>0.3</v>
      </c>
      <c r="E122" s="1246" t="s">
        <v>370</v>
      </c>
      <c r="F122" s="1248">
        <v>1</v>
      </c>
      <c r="G122" s="1248">
        <v>1</v>
      </c>
      <c r="H122" s="1249">
        <v>1</v>
      </c>
      <c r="I122" s="1246" t="s">
        <v>1491</v>
      </c>
      <c r="J122" s="1246" t="s">
        <v>1399</v>
      </c>
      <c r="K122" s="1284" t="str">
        <f t="shared" si="1"/>
        <v>30</v>
      </c>
      <c r="L122" s="1246" t="s">
        <v>1509</v>
      </c>
      <c r="M122" s="1250">
        <v>1</v>
      </c>
      <c r="N122" s="1251">
        <v>5</v>
      </c>
      <c r="O122" s="1252">
        <v>5</v>
      </c>
    </row>
    <row r="123" spans="1:15">
      <c r="A123" s="1246" t="s">
        <v>1490</v>
      </c>
      <c r="B123" s="1246" t="s">
        <v>428</v>
      </c>
      <c r="C123" s="1247">
        <v>0.3</v>
      </c>
      <c r="F123" s="1248">
        <v>1</v>
      </c>
      <c r="G123" s="1248">
        <v>1</v>
      </c>
      <c r="H123" s="1249">
        <v>1</v>
      </c>
      <c r="I123" s="1246" t="s">
        <v>1491</v>
      </c>
      <c r="J123" s="1246" t="s">
        <v>1457</v>
      </c>
      <c r="K123" s="1284" t="str">
        <f t="shared" si="1"/>
        <v>35</v>
      </c>
      <c r="L123" s="1246" t="s">
        <v>1501</v>
      </c>
      <c r="M123" s="1250">
        <v>1</v>
      </c>
      <c r="N123" s="1251">
        <v>782</v>
      </c>
      <c r="O123" s="1252">
        <v>782</v>
      </c>
    </row>
    <row r="124" spans="1:15">
      <c r="A124" s="1246" t="s">
        <v>1490</v>
      </c>
      <c r="B124" s="1246" t="s">
        <v>428</v>
      </c>
      <c r="C124" s="1247">
        <v>0.3</v>
      </c>
      <c r="F124" s="1248">
        <v>1</v>
      </c>
      <c r="G124" s="1248">
        <v>1</v>
      </c>
      <c r="H124" s="1249">
        <v>1</v>
      </c>
      <c r="I124" s="1246" t="s">
        <v>1491</v>
      </c>
      <c r="J124" s="1246" t="s">
        <v>1399</v>
      </c>
      <c r="K124" s="1284" t="str">
        <f t="shared" si="1"/>
        <v>30</v>
      </c>
      <c r="L124" s="1246" t="s">
        <v>1510</v>
      </c>
      <c r="M124" s="1250">
        <v>1</v>
      </c>
      <c r="N124" s="1251">
        <v>520</v>
      </c>
      <c r="O124" s="1252">
        <v>520</v>
      </c>
    </row>
    <row r="125" spans="1:15">
      <c r="A125" s="1246" t="s">
        <v>1490</v>
      </c>
      <c r="B125" s="1246" t="s">
        <v>428</v>
      </c>
      <c r="C125" s="1247">
        <v>0.3</v>
      </c>
      <c r="E125" s="1246" t="s">
        <v>370</v>
      </c>
      <c r="F125" s="1248">
        <v>1</v>
      </c>
      <c r="G125" s="1248">
        <v>1</v>
      </c>
      <c r="H125" s="1249">
        <v>1</v>
      </c>
      <c r="I125" s="1246" t="s">
        <v>1491</v>
      </c>
      <c r="J125" s="1246" t="s">
        <v>1399</v>
      </c>
      <c r="K125" s="1284" t="str">
        <f t="shared" si="1"/>
        <v>30</v>
      </c>
      <c r="L125" s="1246" t="s">
        <v>1510</v>
      </c>
      <c r="M125" s="1250">
        <v>1</v>
      </c>
      <c r="N125" s="1251">
        <v>93</v>
      </c>
      <c r="O125" s="1252">
        <v>93</v>
      </c>
    </row>
    <row r="126" spans="1:15">
      <c r="A126" s="1246" t="s">
        <v>1490</v>
      </c>
      <c r="B126" s="1246" t="s">
        <v>428</v>
      </c>
      <c r="C126" s="1247">
        <v>0.3</v>
      </c>
      <c r="F126" s="1248">
        <v>1</v>
      </c>
      <c r="G126" s="1248">
        <v>1</v>
      </c>
      <c r="H126" s="1249">
        <v>1</v>
      </c>
      <c r="I126" s="1246" t="s">
        <v>1491</v>
      </c>
      <c r="J126" s="1246" t="s">
        <v>1399</v>
      </c>
      <c r="K126" s="1284" t="str">
        <f t="shared" si="1"/>
        <v>30</v>
      </c>
      <c r="L126" s="1246" t="s">
        <v>1511</v>
      </c>
      <c r="M126" s="1250">
        <v>2</v>
      </c>
      <c r="N126" s="1251">
        <v>9</v>
      </c>
      <c r="O126" s="1252">
        <v>9</v>
      </c>
    </row>
    <row r="127" spans="1:15">
      <c r="A127" s="1246" t="s">
        <v>1490</v>
      </c>
      <c r="B127" s="1246" t="s">
        <v>428</v>
      </c>
      <c r="C127" s="1247">
        <v>0.3</v>
      </c>
      <c r="E127" s="1246" t="s">
        <v>370</v>
      </c>
      <c r="F127" s="1248">
        <v>1</v>
      </c>
      <c r="G127" s="1248">
        <v>1</v>
      </c>
      <c r="H127" s="1249">
        <v>1</v>
      </c>
      <c r="I127" s="1246" t="s">
        <v>1491</v>
      </c>
      <c r="J127" s="1246" t="s">
        <v>1399</v>
      </c>
      <c r="K127" s="1284" t="str">
        <f t="shared" si="1"/>
        <v>30</v>
      </c>
      <c r="L127" s="1246" t="s">
        <v>1511</v>
      </c>
      <c r="M127" s="1250">
        <v>2</v>
      </c>
      <c r="N127" s="1251">
        <v>3</v>
      </c>
      <c r="O127" s="1252">
        <v>3</v>
      </c>
    </row>
    <row r="128" spans="1:15">
      <c r="A128" s="1246" t="s">
        <v>1490</v>
      </c>
      <c r="B128" s="1246" t="s">
        <v>428</v>
      </c>
      <c r="C128" s="1247">
        <v>0.3</v>
      </c>
      <c r="F128" s="1248">
        <v>1</v>
      </c>
      <c r="G128" s="1248">
        <v>1</v>
      </c>
      <c r="H128" s="1249">
        <v>1</v>
      </c>
      <c r="I128" s="1246" t="s">
        <v>1491</v>
      </c>
      <c r="J128" s="1246" t="s">
        <v>1399</v>
      </c>
      <c r="K128" s="1284" t="str">
        <f t="shared" si="1"/>
        <v>30</v>
      </c>
      <c r="L128" s="1246" t="s">
        <v>1512</v>
      </c>
      <c r="M128" s="1250">
        <v>2</v>
      </c>
      <c r="N128" s="1251">
        <v>9</v>
      </c>
      <c r="O128" s="1252">
        <v>9</v>
      </c>
    </row>
    <row r="129" spans="1:15">
      <c r="A129" s="1246" t="s">
        <v>1490</v>
      </c>
      <c r="B129" s="1246" t="s">
        <v>428</v>
      </c>
      <c r="C129" s="1247">
        <v>0.3</v>
      </c>
      <c r="F129" s="1248">
        <v>1</v>
      </c>
      <c r="G129" s="1248">
        <v>1</v>
      </c>
      <c r="H129" s="1249">
        <v>1</v>
      </c>
      <c r="I129" s="1246" t="s">
        <v>1491</v>
      </c>
      <c r="J129" s="1246" t="s">
        <v>1455</v>
      </c>
      <c r="K129" s="1284" t="str">
        <f t="shared" si="1"/>
        <v>32</v>
      </c>
      <c r="L129" s="1246" t="s">
        <v>1513</v>
      </c>
      <c r="M129" s="1250">
        <v>2</v>
      </c>
      <c r="N129" s="1251">
        <v>208</v>
      </c>
      <c r="O129" s="1252">
        <v>208</v>
      </c>
    </row>
    <row r="130" spans="1:15">
      <c r="A130" s="1246" t="s">
        <v>1490</v>
      </c>
      <c r="B130" s="1246" t="s">
        <v>428</v>
      </c>
      <c r="C130" s="1247">
        <v>0.3</v>
      </c>
      <c r="E130" s="1246" t="s">
        <v>370</v>
      </c>
      <c r="F130" s="1248">
        <v>1</v>
      </c>
      <c r="G130" s="1248">
        <v>1</v>
      </c>
      <c r="H130" s="1249">
        <v>1</v>
      </c>
      <c r="I130" s="1246" t="s">
        <v>1491</v>
      </c>
      <c r="J130" s="1246" t="s">
        <v>1455</v>
      </c>
      <c r="K130" s="1284" t="str">
        <f t="shared" ref="K130:K193" si="2">IF(J130="1B","10", IF(J130="2B","20",IF(J130="3B","30",IF(J130="7B",70,J130))))</f>
        <v>32</v>
      </c>
      <c r="L130" s="1246" t="s">
        <v>1513</v>
      </c>
      <c r="M130" s="1250">
        <v>2</v>
      </c>
      <c r="N130" s="1251">
        <v>44</v>
      </c>
      <c r="O130" s="1252">
        <v>44</v>
      </c>
    </row>
    <row r="131" spans="1:15">
      <c r="A131" s="1246" t="s">
        <v>1490</v>
      </c>
      <c r="B131" s="1246" t="s">
        <v>428</v>
      </c>
      <c r="C131" s="1247">
        <v>0.3</v>
      </c>
      <c r="F131" s="1248">
        <v>1</v>
      </c>
      <c r="G131" s="1248">
        <v>1</v>
      </c>
      <c r="H131" s="1249">
        <v>1</v>
      </c>
      <c r="I131" s="1246" t="s">
        <v>1491</v>
      </c>
      <c r="J131" s="1246" t="s">
        <v>1454</v>
      </c>
      <c r="K131" s="1284" t="str">
        <f t="shared" si="2"/>
        <v>31</v>
      </c>
      <c r="L131" s="1246" t="s">
        <v>1500</v>
      </c>
      <c r="M131" s="1250">
        <v>2</v>
      </c>
      <c r="N131" s="1251">
        <v>1913</v>
      </c>
      <c r="O131" s="1252">
        <v>1913</v>
      </c>
    </row>
    <row r="132" spans="1:15">
      <c r="A132" s="1246" t="s">
        <v>1490</v>
      </c>
      <c r="B132" s="1246" t="s">
        <v>428</v>
      </c>
      <c r="C132" s="1247">
        <v>0.3</v>
      </c>
      <c r="E132" s="1246" t="s">
        <v>370</v>
      </c>
      <c r="F132" s="1248">
        <v>1</v>
      </c>
      <c r="G132" s="1248">
        <v>1</v>
      </c>
      <c r="H132" s="1249">
        <v>1</v>
      </c>
      <c r="I132" s="1246" t="s">
        <v>1491</v>
      </c>
      <c r="J132" s="1246" t="s">
        <v>1454</v>
      </c>
      <c r="K132" s="1284" t="str">
        <f t="shared" si="2"/>
        <v>31</v>
      </c>
      <c r="L132" s="1246" t="s">
        <v>1500</v>
      </c>
      <c r="M132" s="1250">
        <v>2</v>
      </c>
      <c r="N132" s="1251">
        <v>234</v>
      </c>
      <c r="O132" s="1252">
        <v>234</v>
      </c>
    </row>
    <row r="133" spans="1:15">
      <c r="A133" s="1246" t="s">
        <v>1490</v>
      </c>
      <c r="B133" s="1246" t="s">
        <v>428</v>
      </c>
      <c r="C133" s="1247">
        <v>0.3</v>
      </c>
      <c r="F133" s="1248">
        <v>1</v>
      </c>
      <c r="G133" s="1248">
        <v>1</v>
      </c>
      <c r="H133" s="1249">
        <v>1</v>
      </c>
      <c r="I133" s="1246" t="s">
        <v>1491</v>
      </c>
      <c r="J133" s="1246" t="s">
        <v>1458</v>
      </c>
      <c r="K133" s="1284" t="str">
        <f t="shared" si="2"/>
        <v>36</v>
      </c>
      <c r="L133" s="1246" t="s">
        <v>1514</v>
      </c>
      <c r="M133" s="1250">
        <v>2</v>
      </c>
      <c r="N133" s="1251">
        <v>115</v>
      </c>
      <c r="O133" s="1252">
        <v>115</v>
      </c>
    </row>
    <row r="134" spans="1:15">
      <c r="A134" s="1246" t="s">
        <v>1490</v>
      </c>
      <c r="B134" s="1246" t="s">
        <v>428</v>
      </c>
      <c r="C134" s="1247">
        <v>0.3</v>
      </c>
      <c r="E134" s="1246" t="s">
        <v>370</v>
      </c>
      <c r="F134" s="1248">
        <v>1</v>
      </c>
      <c r="G134" s="1248">
        <v>1</v>
      </c>
      <c r="H134" s="1249">
        <v>1</v>
      </c>
      <c r="I134" s="1246" t="s">
        <v>1491</v>
      </c>
      <c r="J134" s="1246" t="s">
        <v>1458</v>
      </c>
      <c r="K134" s="1284" t="str">
        <f t="shared" si="2"/>
        <v>36</v>
      </c>
      <c r="L134" s="1246" t="s">
        <v>1514</v>
      </c>
      <c r="M134" s="1250">
        <v>2</v>
      </c>
      <c r="N134" s="1251">
        <v>21</v>
      </c>
      <c r="O134" s="1252">
        <v>21</v>
      </c>
    </row>
    <row r="135" spans="1:15">
      <c r="A135" s="1246" t="s">
        <v>1490</v>
      </c>
      <c r="B135" s="1246" t="s">
        <v>428</v>
      </c>
      <c r="C135" s="1247">
        <v>0.3</v>
      </c>
      <c r="F135" s="1248">
        <v>1</v>
      </c>
      <c r="G135" s="1248">
        <v>1</v>
      </c>
      <c r="H135" s="1249">
        <v>1</v>
      </c>
      <c r="I135" s="1246" t="s">
        <v>1491</v>
      </c>
      <c r="J135" s="1246" t="s">
        <v>1399</v>
      </c>
      <c r="K135" s="1284" t="str">
        <f t="shared" si="2"/>
        <v>30</v>
      </c>
      <c r="L135" s="1246" t="s">
        <v>1515</v>
      </c>
      <c r="M135" s="1250">
        <v>2</v>
      </c>
      <c r="N135" s="1251">
        <v>108</v>
      </c>
      <c r="O135" s="1252">
        <v>108</v>
      </c>
    </row>
    <row r="136" spans="1:15">
      <c r="A136" s="1246" t="s">
        <v>1490</v>
      </c>
      <c r="B136" s="1246" t="s">
        <v>428</v>
      </c>
      <c r="C136" s="1247">
        <v>0.3</v>
      </c>
      <c r="E136" s="1246" t="s">
        <v>370</v>
      </c>
      <c r="F136" s="1248">
        <v>1</v>
      </c>
      <c r="G136" s="1248">
        <v>1</v>
      </c>
      <c r="H136" s="1249">
        <v>1</v>
      </c>
      <c r="I136" s="1246" t="s">
        <v>1491</v>
      </c>
      <c r="J136" s="1246" t="s">
        <v>1399</v>
      </c>
      <c r="K136" s="1284" t="str">
        <f t="shared" si="2"/>
        <v>30</v>
      </c>
      <c r="L136" s="1246" t="s">
        <v>1515</v>
      </c>
      <c r="M136" s="1250">
        <v>2</v>
      </c>
      <c r="N136" s="1251">
        <v>32</v>
      </c>
      <c r="O136" s="1252">
        <v>32</v>
      </c>
    </row>
    <row r="137" spans="1:15">
      <c r="A137" s="1246" t="s">
        <v>1490</v>
      </c>
      <c r="B137" s="1246" t="s">
        <v>428</v>
      </c>
      <c r="C137" s="1247">
        <v>0.3</v>
      </c>
      <c r="F137" s="1248">
        <v>1</v>
      </c>
      <c r="G137" s="1248">
        <v>1</v>
      </c>
      <c r="H137" s="1249">
        <v>1</v>
      </c>
      <c r="I137" s="1246" t="s">
        <v>1491</v>
      </c>
      <c r="J137" s="1246" t="s">
        <v>1399</v>
      </c>
      <c r="K137" s="1284" t="str">
        <f t="shared" si="2"/>
        <v>30</v>
      </c>
      <c r="L137" s="1246" t="s">
        <v>1516</v>
      </c>
      <c r="M137" s="1250">
        <v>2</v>
      </c>
      <c r="N137" s="1251">
        <v>41</v>
      </c>
      <c r="O137" s="1252">
        <v>41</v>
      </c>
    </row>
    <row r="138" spans="1:15">
      <c r="A138" s="1246" t="s">
        <v>1490</v>
      </c>
      <c r="B138" s="1246" t="s">
        <v>428</v>
      </c>
      <c r="C138" s="1247">
        <v>0.3</v>
      </c>
      <c r="E138" s="1246" t="s">
        <v>370</v>
      </c>
      <c r="F138" s="1248">
        <v>1</v>
      </c>
      <c r="G138" s="1248">
        <v>1</v>
      </c>
      <c r="H138" s="1249">
        <v>1</v>
      </c>
      <c r="I138" s="1246" t="s">
        <v>1491</v>
      </c>
      <c r="J138" s="1246" t="s">
        <v>1399</v>
      </c>
      <c r="K138" s="1284" t="str">
        <f t="shared" si="2"/>
        <v>30</v>
      </c>
      <c r="L138" s="1246" t="s">
        <v>1516</v>
      </c>
      <c r="M138" s="1250">
        <v>2</v>
      </c>
      <c r="N138" s="1251">
        <v>7</v>
      </c>
      <c r="O138" s="1252">
        <v>7</v>
      </c>
    </row>
    <row r="139" spans="1:15">
      <c r="A139" s="1246" t="s">
        <v>1490</v>
      </c>
      <c r="B139" s="1246" t="s">
        <v>428</v>
      </c>
      <c r="C139" s="1247">
        <v>0.3</v>
      </c>
      <c r="F139" s="1248">
        <v>1</v>
      </c>
      <c r="G139" s="1248">
        <v>1</v>
      </c>
      <c r="H139" s="1249">
        <v>1</v>
      </c>
      <c r="I139" s="1246" t="s">
        <v>1491</v>
      </c>
      <c r="J139" s="1246" t="s">
        <v>1457</v>
      </c>
      <c r="K139" s="1284" t="str">
        <f t="shared" si="2"/>
        <v>35</v>
      </c>
      <c r="L139" s="1246" t="s">
        <v>1517</v>
      </c>
      <c r="M139" s="1250">
        <v>2</v>
      </c>
      <c r="N139" s="1251">
        <v>778</v>
      </c>
      <c r="O139" s="1252">
        <v>778</v>
      </c>
    </row>
    <row r="140" spans="1:15">
      <c r="A140" s="1246" t="s">
        <v>1490</v>
      </c>
      <c r="B140" s="1246" t="s">
        <v>428</v>
      </c>
      <c r="C140" s="1247">
        <v>0.3</v>
      </c>
      <c r="F140" s="1248">
        <v>1</v>
      </c>
      <c r="G140" s="1248">
        <v>1</v>
      </c>
      <c r="H140" s="1249">
        <v>1</v>
      </c>
      <c r="I140" s="1246" t="s">
        <v>1491</v>
      </c>
      <c r="J140" s="1246" t="s">
        <v>1399</v>
      </c>
      <c r="K140" s="1284" t="str">
        <f t="shared" si="2"/>
        <v>30</v>
      </c>
      <c r="L140" s="1246" t="s">
        <v>1518</v>
      </c>
      <c r="M140" s="1250">
        <v>2</v>
      </c>
      <c r="N140" s="1251">
        <v>438</v>
      </c>
      <c r="O140" s="1252">
        <v>438</v>
      </c>
    </row>
    <row r="141" spans="1:15">
      <c r="A141" s="1246" t="s">
        <v>1490</v>
      </c>
      <c r="B141" s="1246" t="s">
        <v>428</v>
      </c>
      <c r="C141" s="1247">
        <v>0.3</v>
      </c>
      <c r="E141" s="1246" t="s">
        <v>370</v>
      </c>
      <c r="F141" s="1248">
        <v>1</v>
      </c>
      <c r="G141" s="1248">
        <v>1</v>
      </c>
      <c r="H141" s="1249">
        <v>1</v>
      </c>
      <c r="I141" s="1246" t="s">
        <v>1491</v>
      </c>
      <c r="J141" s="1246" t="s">
        <v>1399</v>
      </c>
      <c r="K141" s="1284" t="str">
        <f t="shared" si="2"/>
        <v>30</v>
      </c>
      <c r="L141" s="1246" t="s">
        <v>1518</v>
      </c>
      <c r="M141" s="1250">
        <v>2</v>
      </c>
      <c r="N141" s="1251">
        <v>88</v>
      </c>
      <c r="O141" s="1252">
        <v>88</v>
      </c>
    </row>
    <row r="142" spans="1:15">
      <c r="A142" s="1246" t="s">
        <v>1490</v>
      </c>
      <c r="B142" s="1246" t="s">
        <v>428</v>
      </c>
      <c r="C142" s="1247">
        <v>0.3</v>
      </c>
      <c r="F142" s="1248">
        <v>1</v>
      </c>
      <c r="G142" s="1248">
        <v>1</v>
      </c>
      <c r="H142" s="1249">
        <v>1</v>
      </c>
      <c r="I142" s="1246" t="s">
        <v>1491</v>
      </c>
      <c r="J142" s="1246" t="s">
        <v>1456</v>
      </c>
      <c r="K142" s="1284" t="str">
        <f t="shared" si="2"/>
        <v>33</v>
      </c>
      <c r="L142" s="1246" t="s">
        <v>1519</v>
      </c>
      <c r="M142" s="1250">
        <v>2</v>
      </c>
      <c r="N142" s="1251">
        <v>1446</v>
      </c>
      <c r="O142" s="1252">
        <v>1446</v>
      </c>
    </row>
    <row r="143" spans="1:15">
      <c r="A143" s="1246" t="s">
        <v>1490</v>
      </c>
      <c r="B143" s="1246" t="s">
        <v>428</v>
      </c>
      <c r="C143" s="1247">
        <v>0.3</v>
      </c>
      <c r="E143" s="1246" t="s">
        <v>370</v>
      </c>
      <c r="F143" s="1248">
        <v>1</v>
      </c>
      <c r="G143" s="1248">
        <v>1</v>
      </c>
      <c r="H143" s="1249">
        <v>1</v>
      </c>
      <c r="I143" s="1246" t="s">
        <v>1491</v>
      </c>
      <c r="J143" s="1246" t="s">
        <v>1456</v>
      </c>
      <c r="K143" s="1284" t="str">
        <f t="shared" si="2"/>
        <v>33</v>
      </c>
      <c r="L143" s="1246" t="s">
        <v>1519</v>
      </c>
      <c r="M143" s="1250">
        <v>2</v>
      </c>
      <c r="N143" s="1251">
        <v>267</v>
      </c>
      <c r="O143" s="1252">
        <v>267</v>
      </c>
    </row>
    <row r="144" spans="1:15">
      <c r="A144" s="1246" t="s">
        <v>1490</v>
      </c>
      <c r="B144" s="1246" t="s">
        <v>428</v>
      </c>
      <c r="C144" s="1247">
        <v>0.3</v>
      </c>
      <c r="F144" s="1248">
        <v>1</v>
      </c>
      <c r="G144" s="1248">
        <v>1</v>
      </c>
      <c r="H144" s="1249">
        <v>1</v>
      </c>
      <c r="I144" s="1246" t="s">
        <v>1491</v>
      </c>
      <c r="J144" s="1246" t="s">
        <v>1399</v>
      </c>
      <c r="K144" s="1284" t="str">
        <f t="shared" si="2"/>
        <v>30</v>
      </c>
      <c r="L144" s="1246" t="s">
        <v>1520</v>
      </c>
      <c r="M144" s="1250">
        <v>3</v>
      </c>
      <c r="N144" s="1251">
        <v>12</v>
      </c>
      <c r="O144" s="1252">
        <v>12</v>
      </c>
    </row>
    <row r="145" spans="1:15">
      <c r="A145" s="1246" t="s">
        <v>1490</v>
      </c>
      <c r="B145" s="1246" t="s">
        <v>428</v>
      </c>
      <c r="C145" s="1247">
        <v>0.3</v>
      </c>
      <c r="E145" s="1246" t="s">
        <v>370</v>
      </c>
      <c r="F145" s="1248">
        <v>1</v>
      </c>
      <c r="G145" s="1248">
        <v>1</v>
      </c>
      <c r="H145" s="1249">
        <v>1</v>
      </c>
      <c r="I145" s="1246" t="s">
        <v>1491</v>
      </c>
      <c r="J145" s="1246" t="s">
        <v>1399</v>
      </c>
      <c r="K145" s="1284" t="str">
        <f t="shared" si="2"/>
        <v>30</v>
      </c>
      <c r="L145" s="1246" t="s">
        <v>1520</v>
      </c>
      <c r="M145" s="1250">
        <v>3</v>
      </c>
      <c r="N145" s="1251">
        <v>1</v>
      </c>
      <c r="O145" s="1252">
        <v>1</v>
      </c>
    </row>
    <row r="146" spans="1:15">
      <c r="A146" s="1246" t="s">
        <v>1490</v>
      </c>
      <c r="B146" s="1246" t="s">
        <v>428</v>
      </c>
      <c r="C146" s="1247">
        <v>0.3</v>
      </c>
      <c r="E146" s="1246" t="s">
        <v>370</v>
      </c>
      <c r="F146" s="1248">
        <v>1</v>
      </c>
      <c r="G146" s="1248">
        <v>1</v>
      </c>
      <c r="H146" s="1249">
        <v>1</v>
      </c>
      <c r="I146" s="1246" t="s">
        <v>1491</v>
      </c>
      <c r="J146" s="1246" t="s">
        <v>1399</v>
      </c>
      <c r="K146" s="1284" t="str">
        <f t="shared" si="2"/>
        <v>30</v>
      </c>
      <c r="L146" s="1246" t="s">
        <v>1521</v>
      </c>
      <c r="M146" s="1250">
        <v>3</v>
      </c>
      <c r="N146" s="1251">
        <v>1</v>
      </c>
      <c r="O146" s="1252">
        <v>1</v>
      </c>
    </row>
    <row r="147" spans="1:15">
      <c r="A147" s="1246" t="s">
        <v>1490</v>
      </c>
      <c r="B147" s="1246" t="s">
        <v>428</v>
      </c>
      <c r="C147" s="1247">
        <v>0.3</v>
      </c>
      <c r="F147" s="1248">
        <v>1</v>
      </c>
      <c r="G147" s="1248">
        <v>1</v>
      </c>
      <c r="H147" s="1249">
        <v>1</v>
      </c>
      <c r="I147" s="1246" t="s">
        <v>1491</v>
      </c>
      <c r="J147" s="1246" t="s">
        <v>1399</v>
      </c>
      <c r="K147" s="1284" t="str">
        <f t="shared" si="2"/>
        <v>30</v>
      </c>
      <c r="L147" s="1246" t="s">
        <v>1521</v>
      </c>
      <c r="M147" s="1250">
        <v>3</v>
      </c>
      <c r="N147" s="1251">
        <v>9</v>
      </c>
      <c r="O147" s="1252">
        <v>9</v>
      </c>
    </row>
    <row r="148" spans="1:15">
      <c r="A148" s="1246" t="s">
        <v>1490</v>
      </c>
      <c r="B148" s="1246" t="s">
        <v>428</v>
      </c>
      <c r="C148" s="1247">
        <v>0.3</v>
      </c>
      <c r="F148" s="1248">
        <v>1</v>
      </c>
      <c r="G148" s="1248">
        <v>1</v>
      </c>
      <c r="H148" s="1249">
        <v>1</v>
      </c>
      <c r="I148" s="1246" t="s">
        <v>1491</v>
      </c>
      <c r="J148" s="1246" t="s">
        <v>1455</v>
      </c>
      <c r="K148" s="1284" t="str">
        <f t="shared" si="2"/>
        <v>32</v>
      </c>
      <c r="L148" s="1246" t="s">
        <v>1522</v>
      </c>
      <c r="M148" s="1250">
        <v>3</v>
      </c>
      <c r="N148" s="1251">
        <v>241</v>
      </c>
      <c r="O148" s="1252">
        <v>241</v>
      </c>
    </row>
    <row r="149" spans="1:15">
      <c r="A149" s="1246" t="s">
        <v>1490</v>
      </c>
      <c r="B149" s="1246" t="s">
        <v>428</v>
      </c>
      <c r="C149" s="1247">
        <v>0.3</v>
      </c>
      <c r="E149" s="1246" t="s">
        <v>370</v>
      </c>
      <c r="F149" s="1248">
        <v>1</v>
      </c>
      <c r="G149" s="1248">
        <v>1</v>
      </c>
      <c r="H149" s="1249">
        <v>1</v>
      </c>
      <c r="I149" s="1246" t="s">
        <v>1491</v>
      </c>
      <c r="J149" s="1246" t="s">
        <v>1455</v>
      </c>
      <c r="K149" s="1284" t="str">
        <f t="shared" si="2"/>
        <v>32</v>
      </c>
      <c r="L149" s="1246" t="s">
        <v>1522</v>
      </c>
      <c r="M149" s="1250">
        <v>3</v>
      </c>
      <c r="N149" s="1251">
        <v>71</v>
      </c>
      <c r="O149" s="1252">
        <v>71</v>
      </c>
    </row>
    <row r="150" spans="1:15">
      <c r="A150" s="1246" t="s">
        <v>1490</v>
      </c>
      <c r="B150" s="1246" t="s">
        <v>428</v>
      </c>
      <c r="C150" s="1247">
        <v>0.3</v>
      </c>
      <c r="E150" s="1246" t="s">
        <v>370</v>
      </c>
      <c r="F150" s="1248">
        <v>1</v>
      </c>
      <c r="G150" s="1248">
        <v>1</v>
      </c>
      <c r="H150" s="1249">
        <v>1</v>
      </c>
      <c r="I150" s="1246" t="s">
        <v>1491</v>
      </c>
      <c r="J150" s="1246" t="s">
        <v>1454</v>
      </c>
      <c r="K150" s="1284" t="str">
        <f t="shared" si="2"/>
        <v>31</v>
      </c>
      <c r="L150" s="1246" t="s">
        <v>1523</v>
      </c>
      <c r="M150" s="1250">
        <v>3</v>
      </c>
      <c r="N150" s="1251">
        <v>306</v>
      </c>
      <c r="O150" s="1252">
        <v>306</v>
      </c>
    </row>
    <row r="151" spans="1:15">
      <c r="A151" s="1246" t="s">
        <v>1490</v>
      </c>
      <c r="B151" s="1246" t="s">
        <v>428</v>
      </c>
      <c r="C151" s="1247">
        <v>0.3</v>
      </c>
      <c r="F151" s="1248">
        <v>1</v>
      </c>
      <c r="G151" s="1248">
        <v>1</v>
      </c>
      <c r="H151" s="1249">
        <v>1</v>
      </c>
      <c r="I151" s="1246" t="s">
        <v>1491</v>
      </c>
      <c r="J151" s="1246" t="s">
        <v>1454</v>
      </c>
      <c r="K151" s="1284" t="str">
        <f t="shared" si="2"/>
        <v>31</v>
      </c>
      <c r="L151" s="1246" t="s">
        <v>1523</v>
      </c>
      <c r="M151" s="1250">
        <v>3</v>
      </c>
      <c r="N151" s="1251">
        <v>1811</v>
      </c>
      <c r="O151" s="1252">
        <v>1811</v>
      </c>
    </row>
    <row r="152" spans="1:15">
      <c r="A152" s="1246" t="s">
        <v>1490</v>
      </c>
      <c r="B152" s="1246" t="s">
        <v>428</v>
      </c>
      <c r="C152" s="1247">
        <v>0.3</v>
      </c>
      <c r="F152" s="1248">
        <v>1</v>
      </c>
      <c r="G152" s="1248">
        <v>1</v>
      </c>
      <c r="H152" s="1249">
        <v>1</v>
      </c>
      <c r="I152" s="1246" t="s">
        <v>1491</v>
      </c>
      <c r="J152" s="1246" t="s">
        <v>1458</v>
      </c>
      <c r="K152" s="1284" t="str">
        <f t="shared" si="2"/>
        <v>36</v>
      </c>
      <c r="L152" s="1246" t="s">
        <v>1524</v>
      </c>
      <c r="M152" s="1250">
        <v>3</v>
      </c>
      <c r="N152" s="1251">
        <v>128</v>
      </c>
      <c r="O152" s="1252">
        <v>128</v>
      </c>
    </row>
    <row r="153" spans="1:15">
      <c r="A153" s="1246" t="s">
        <v>1490</v>
      </c>
      <c r="B153" s="1246" t="s">
        <v>428</v>
      </c>
      <c r="C153" s="1247">
        <v>0.3</v>
      </c>
      <c r="E153" s="1246" t="s">
        <v>370</v>
      </c>
      <c r="F153" s="1248">
        <v>1</v>
      </c>
      <c r="G153" s="1248">
        <v>1</v>
      </c>
      <c r="H153" s="1249">
        <v>1</v>
      </c>
      <c r="I153" s="1246" t="s">
        <v>1491</v>
      </c>
      <c r="J153" s="1246" t="s">
        <v>1458</v>
      </c>
      <c r="K153" s="1284" t="str">
        <f t="shared" si="2"/>
        <v>36</v>
      </c>
      <c r="L153" s="1246" t="s">
        <v>1524</v>
      </c>
      <c r="M153" s="1250">
        <v>3</v>
      </c>
      <c r="N153" s="1251">
        <v>25</v>
      </c>
      <c r="O153" s="1252">
        <v>25</v>
      </c>
    </row>
    <row r="154" spans="1:15">
      <c r="A154" s="1246" t="s">
        <v>1490</v>
      </c>
      <c r="B154" s="1246" t="s">
        <v>428</v>
      </c>
      <c r="C154" s="1247">
        <v>0.3</v>
      </c>
      <c r="F154" s="1248">
        <v>1</v>
      </c>
      <c r="G154" s="1248">
        <v>1</v>
      </c>
      <c r="H154" s="1249">
        <v>1</v>
      </c>
      <c r="I154" s="1246" t="s">
        <v>1491</v>
      </c>
      <c r="J154" s="1246" t="s">
        <v>1399</v>
      </c>
      <c r="K154" s="1284" t="str">
        <f t="shared" si="2"/>
        <v>30</v>
      </c>
      <c r="L154" s="1246" t="s">
        <v>1525</v>
      </c>
      <c r="M154" s="1250">
        <v>3</v>
      </c>
      <c r="N154" s="1251">
        <v>118</v>
      </c>
      <c r="O154" s="1252">
        <v>118</v>
      </c>
    </row>
    <row r="155" spans="1:15">
      <c r="A155" s="1246" t="s">
        <v>1490</v>
      </c>
      <c r="B155" s="1246" t="s">
        <v>428</v>
      </c>
      <c r="C155" s="1247">
        <v>0.3</v>
      </c>
      <c r="E155" s="1246" t="s">
        <v>370</v>
      </c>
      <c r="F155" s="1248">
        <v>1</v>
      </c>
      <c r="G155" s="1248">
        <v>1</v>
      </c>
      <c r="H155" s="1249">
        <v>1</v>
      </c>
      <c r="I155" s="1246" t="s">
        <v>1491</v>
      </c>
      <c r="J155" s="1246" t="s">
        <v>1399</v>
      </c>
      <c r="K155" s="1284" t="str">
        <f t="shared" si="2"/>
        <v>30</v>
      </c>
      <c r="L155" s="1246" t="s">
        <v>1525</v>
      </c>
      <c r="M155" s="1250">
        <v>3</v>
      </c>
      <c r="N155" s="1251">
        <v>19</v>
      </c>
      <c r="O155" s="1252">
        <v>19</v>
      </c>
    </row>
    <row r="156" spans="1:15">
      <c r="A156" s="1246" t="s">
        <v>1490</v>
      </c>
      <c r="B156" s="1246" t="s">
        <v>428</v>
      </c>
      <c r="C156" s="1247">
        <v>0.3</v>
      </c>
      <c r="E156" s="1246" t="s">
        <v>370</v>
      </c>
      <c r="F156" s="1248">
        <v>1</v>
      </c>
      <c r="G156" s="1248">
        <v>1</v>
      </c>
      <c r="H156" s="1249">
        <v>1</v>
      </c>
      <c r="I156" s="1246" t="s">
        <v>1491</v>
      </c>
      <c r="J156" s="1246" t="s">
        <v>1399</v>
      </c>
      <c r="K156" s="1284" t="str">
        <f t="shared" si="2"/>
        <v>30</v>
      </c>
      <c r="L156" s="1246" t="s">
        <v>1526</v>
      </c>
      <c r="M156" s="1250">
        <v>3</v>
      </c>
      <c r="N156" s="1251">
        <v>10</v>
      </c>
      <c r="O156" s="1252">
        <v>10</v>
      </c>
    </row>
    <row r="157" spans="1:15">
      <c r="A157" s="1246" t="s">
        <v>1490</v>
      </c>
      <c r="B157" s="1246" t="s">
        <v>428</v>
      </c>
      <c r="C157" s="1247">
        <v>0.3</v>
      </c>
      <c r="F157" s="1248">
        <v>1</v>
      </c>
      <c r="G157" s="1248">
        <v>1</v>
      </c>
      <c r="H157" s="1249">
        <v>1</v>
      </c>
      <c r="I157" s="1246" t="s">
        <v>1491</v>
      </c>
      <c r="J157" s="1246" t="s">
        <v>1399</v>
      </c>
      <c r="K157" s="1284" t="str">
        <f t="shared" si="2"/>
        <v>30</v>
      </c>
      <c r="L157" s="1246" t="s">
        <v>1526</v>
      </c>
      <c r="M157" s="1250">
        <v>3</v>
      </c>
      <c r="N157" s="1251">
        <v>50</v>
      </c>
      <c r="O157" s="1252">
        <v>50</v>
      </c>
    </row>
    <row r="158" spans="1:15">
      <c r="A158" s="1246" t="s">
        <v>1490</v>
      </c>
      <c r="B158" s="1246" t="s">
        <v>428</v>
      </c>
      <c r="C158" s="1247">
        <v>0.3</v>
      </c>
      <c r="F158" s="1248">
        <v>1</v>
      </c>
      <c r="G158" s="1248">
        <v>1</v>
      </c>
      <c r="H158" s="1249">
        <v>1</v>
      </c>
      <c r="I158" s="1246" t="s">
        <v>1491</v>
      </c>
      <c r="J158" s="1246" t="s">
        <v>1457</v>
      </c>
      <c r="K158" s="1284" t="str">
        <f t="shared" si="2"/>
        <v>35</v>
      </c>
      <c r="L158" s="1246" t="s">
        <v>1527</v>
      </c>
      <c r="M158" s="1250">
        <v>3</v>
      </c>
      <c r="N158" s="1251">
        <v>790</v>
      </c>
      <c r="O158" s="1252">
        <v>790</v>
      </c>
    </row>
    <row r="159" spans="1:15">
      <c r="A159" s="1246" t="s">
        <v>1490</v>
      </c>
      <c r="B159" s="1246" t="s">
        <v>428</v>
      </c>
      <c r="C159" s="1247">
        <v>0.3</v>
      </c>
      <c r="F159" s="1248">
        <v>1</v>
      </c>
      <c r="G159" s="1248">
        <v>1</v>
      </c>
      <c r="H159" s="1249">
        <v>1</v>
      </c>
      <c r="I159" s="1246" t="s">
        <v>1491</v>
      </c>
      <c r="J159" s="1246" t="s">
        <v>1459</v>
      </c>
      <c r="K159" s="1284" t="str">
        <f t="shared" si="2"/>
        <v>3A</v>
      </c>
      <c r="L159" s="1246" t="s">
        <v>1492</v>
      </c>
      <c r="M159" s="1250">
        <v>3</v>
      </c>
      <c r="N159" s="1251">
        <v>295</v>
      </c>
      <c r="O159" s="1252">
        <v>295</v>
      </c>
    </row>
    <row r="160" spans="1:15">
      <c r="A160" s="1246" t="s">
        <v>1490</v>
      </c>
      <c r="B160" s="1246" t="s">
        <v>428</v>
      </c>
      <c r="C160" s="1247">
        <v>0.3</v>
      </c>
      <c r="F160" s="1248">
        <v>1</v>
      </c>
      <c r="G160" s="1248">
        <v>1</v>
      </c>
      <c r="H160" s="1249">
        <v>1</v>
      </c>
      <c r="I160" s="1246" t="s">
        <v>1491</v>
      </c>
      <c r="J160" s="1246" t="s">
        <v>1460</v>
      </c>
      <c r="K160" s="1284" t="str">
        <f t="shared" si="2"/>
        <v>30</v>
      </c>
      <c r="L160" s="1246" t="s">
        <v>1492</v>
      </c>
      <c r="M160" s="1250">
        <v>3</v>
      </c>
      <c r="N160" s="1251">
        <v>1</v>
      </c>
      <c r="O160" s="1252">
        <v>1</v>
      </c>
    </row>
    <row r="161" spans="1:15">
      <c r="A161" s="1246" t="s">
        <v>1490</v>
      </c>
      <c r="B161" s="1246" t="s">
        <v>428</v>
      </c>
      <c r="C161" s="1247">
        <v>0.3</v>
      </c>
      <c r="F161" s="1248">
        <v>1</v>
      </c>
      <c r="G161" s="1248">
        <v>1</v>
      </c>
      <c r="H161" s="1249">
        <v>1</v>
      </c>
      <c r="I161" s="1246" t="s">
        <v>1491</v>
      </c>
      <c r="J161" s="1246" t="s">
        <v>1399</v>
      </c>
      <c r="K161" s="1284" t="str">
        <f t="shared" si="2"/>
        <v>30</v>
      </c>
      <c r="L161" s="1246" t="s">
        <v>1528</v>
      </c>
      <c r="M161" s="1250">
        <v>3</v>
      </c>
      <c r="N161" s="1251">
        <v>551</v>
      </c>
      <c r="O161" s="1252">
        <v>551</v>
      </c>
    </row>
    <row r="162" spans="1:15">
      <c r="A162" s="1246" t="s">
        <v>1490</v>
      </c>
      <c r="B162" s="1246" t="s">
        <v>428</v>
      </c>
      <c r="C162" s="1247">
        <v>0.3</v>
      </c>
      <c r="F162" s="1248">
        <v>1</v>
      </c>
      <c r="G162" s="1248">
        <v>1</v>
      </c>
      <c r="H162" s="1249">
        <v>1</v>
      </c>
      <c r="I162" s="1246" t="s">
        <v>1491</v>
      </c>
      <c r="J162" s="1246" t="s">
        <v>1454</v>
      </c>
      <c r="K162" s="1284" t="str">
        <f t="shared" si="2"/>
        <v>31</v>
      </c>
      <c r="L162" s="1246" t="s">
        <v>1528</v>
      </c>
      <c r="M162" s="1250">
        <v>3</v>
      </c>
      <c r="N162" s="1251">
        <v>1</v>
      </c>
      <c r="O162" s="1252">
        <v>1</v>
      </c>
    </row>
    <row r="163" spans="1:15">
      <c r="A163" s="1246" t="s">
        <v>1490</v>
      </c>
      <c r="B163" s="1246" t="s">
        <v>428</v>
      </c>
      <c r="C163" s="1247">
        <v>0.3</v>
      </c>
      <c r="E163" s="1246" t="s">
        <v>370</v>
      </c>
      <c r="F163" s="1248">
        <v>1</v>
      </c>
      <c r="G163" s="1248">
        <v>1</v>
      </c>
      <c r="H163" s="1249">
        <v>1</v>
      </c>
      <c r="I163" s="1246" t="s">
        <v>1491</v>
      </c>
      <c r="J163" s="1246" t="s">
        <v>1399</v>
      </c>
      <c r="K163" s="1284" t="str">
        <f t="shared" si="2"/>
        <v>30</v>
      </c>
      <c r="L163" s="1246" t="s">
        <v>1528</v>
      </c>
      <c r="M163" s="1250">
        <v>3</v>
      </c>
      <c r="N163" s="1251">
        <v>145</v>
      </c>
      <c r="O163" s="1252">
        <v>145</v>
      </c>
    </row>
    <row r="164" spans="1:15">
      <c r="A164" s="1246" t="s">
        <v>1493</v>
      </c>
      <c r="B164" s="1246" t="s">
        <v>428</v>
      </c>
      <c r="C164" s="1247">
        <v>0.3</v>
      </c>
      <c r="E164" s="1246" t="s">
        <v>370</v>
      </c>
      <c r="F164" s="1248">
        <v>1</v>
      </c>
      <c r="G164" s="1248">
        <v>1</v>
      </c>
      <c r="H164" s="1249">
        <v>1</v>
      </c>
      <c r="I164" s="1246" t="s">
        <v>1491</v>
      </c>
      <c r="J164" s="1246" t="s">
        <v>1437</v>
      </c>
      <c r="K164" s="1284" t="str">
        <f t="shared" si="2"/>
        <v>12</v>
      </c>
      <c r="L164" s="1246" t="s">
        <v>1529</v>
      </c>
      <c r="M164" s="1250">
        <v>9</v>
      </c>
      <c r="N164" s="1251">
        <v>1</v>
      </c>
      <c r="O164" s="1252">
        <v>1</v>
      </c>
    </row>
    <row r="165" spans="1:15">
      <c r="A165" s="1246" t="s">
        <v>1493</v>
      </c>
      <c r="B165" s="1246" t="s">
        <v>428</v>
      </c>
      <c r="C165" s="1247">
        <v>0.3</v>
      </c>
      <c r="E165" s="1246" t="s">
        <v>370</v>
      </c>
      <c r="F165" s="1248">
        <v>1</v>
      </c>
      <c r="G165" s="1248">
        <v>1</v>
      </c>
      <c r="H165" s="1249">
        <v>1</v>
      </c>
      <c r="I165" s="1246" t="s">
        <v>1491</v>
      </c>
      <c r="J165" s="1246" t="s">
        <v>1436</v>
      </c>
      <c r="K165" s="1284" t="str">
        <f t="shared" si="2"/>
        <v>11</v>
      </c>
      <c r="L165" s="1246" t="s">
        <v>1495</v>
      </c>
      <c r="M165" s="1250">
        <v>9</v>
      </c>
      <c r="N165" s="1251">
        <v>47</v>
      </c>
      <c r="O165" s="1252">
        <v>47</v>
      </c>
    </row>
    <row r="166" spans="1:15">
      <c r="A166" s="1246" t="s">
        <v>1493</v>
      </c>
      <c r="B166" s="1246" t="s">
        <v>428</v>
      </c>
      <c r="C166" s="1247">
        <v>0.3</v>
      </c>
      <c r="E166" s="1246" t="s">
        <v>1535</v>
      </c>
      <c r="F166" s="1248">
        <v>1</v>
      </c>
      <c r="G166" s="1248">
        <v>1</v>
      </c>
      <c r="H166" s="1249">
        <v>1</v>
      </c>
      <c r="I166" s="1246" t="s">
        <v>1491</v>
      </c>
      <c r="J166" s="1246" t="s">
        <v>1436</v>
      </c>
      <c r="K166" s="1284" t="str">
        <f t="shared" si="2"/>
        <v>11</v>
      </c>
      <c r="L166" s="1246" t="s">
        <v>1495</v>
      </c>
      <c r="M166" s="1250">
        <v>9</v>
      </c>
      <c r="N166" s="1251">
        <v>1</v>
      </c>
      <c r="O166" s="1252">
        <v>1</v>
      </c>
    </row>
    <row r="167" spans="1:15">
      <c r="A167" s="1246" t="s">
        <v>1493</v>
      </c>
      <c r="B167" s="1246" t="s">
        <v>428</v>
      </c>
      <c r="C167" s="1247">
        <v>0.3</v>
      </c>
      <c r="E167" s="1246" t="s">
        <v>370</v>
      </c>
      <c r="F167" s="1248">
        <v>1</v>
      </c>
      <c r="G167" s="1248">
        <v>1</v>
      </c>
      <c r="H167" s="1249">
        <v>1</v>
      </c>
      <c r="I167" s="1246" t="s">
        <v>1491</v>
      </c>
      <c r="J167" s="1246" t="s">
        <v>1397</v>
      </c>
      <c r="K167" s="1284" t="str">
        <f t="shared" si="2"/>
        <v>10</v>
      </c>
      <c r="L167" s="1246" t="s">
        <v>1536</v>
      </c>
      <c r="M167" s="1250">
        <v>9</v>
      </c>
      <c r="N167" s="1251">
        <v>1</v>
      </c>
      <c r="O167" s="1252">
        <v>1</v>
      </c>
    </row>
    <row r="168" spans="1:15">
      <c r="A168" s="1246" t="s">
        <v>1493</v>
      </c>
      <c r="B168" s="1246" t="s">
        <v>428</v>
      </c>
      <c r="C168" s="1247">
        <v>0.3</v>
      </c>
      <c r="E168" s="1246" t="s">
        <v>370</v>
      </c>
      <c r="F168" s="1248">
        <v>1</v>
      </c>
      <c r="G168" s="1248">
        <v>1</v>
      </c>
      <c r="H168" s="1249">
        <v>1</v>
      </c>
      <c r="I168" s="1246" t="s">
        <v>1491</v>
      </c>
      <c r="J168" s="1246" t="s">
        <v>1439</v>
      </c>
      <c r="K168" s="1284" t="str">
        <f t="shared" si="2"/>
        <v>15</v>
      </c>
      <c r="L168" s="1246" t="s">
        <v>1530</v>
      </c>
      <c r="M168" s="1250">
        <v>9</v>
      </c>
      <c r="N168" s="1251">
        <v>2</v>
      </c>
      <c r="O168" s="1252">
        <v>2</v>
      </c>
    </row>
    <row r="169" spans="1:15">
      <c r="A169" s="1246" t="s">
        <v>1493</v>
      </c>
      <c r="B169" s="1246" t="s">
        <v>428</v>
      </c>
      <c r="C169" s="1247">
        <v>0.3</v>
      </c>
      <c r="E169" s="1246" t="s">
        <v>370</v>
      </c>
      <c r="F169" s="1248">
        <v>1</v>
      </c>
      <c r="G169" s="1248">
        <v>1</v>
      </c>
      <c r="H169" s="1249">
        <v>1</v>
      </c>
      <c r="I169" s="1246" t="s">
        <v>1491</v>
      </c>
      <c r="J169" s="1246" t="s">
        <v>1441</v>
      </c>
      <c r="K169" s="1284" t="str">
        <f t="shared" si="2"/>
        <v>1A</v>
      </c>
      <c r="L169" s="1246" t="s">
        <v>1531</v>
      </c>
      <c r="M169" s="1250">
        <v>9</v>
      </c>
      <c r="N169" s="1251">
        <v>1</v>
      </c>
      <c r="O169" s="1252">
        <v>1</v>
      </c>
    </row>
    <row r="170" spans="1:15">
      <c r="A170" s="1246" t="s">
        <v>1493</v>
      </c>
      <c r="B170" s="1246" t="s">
        <v>428</v>
      </c>
      <c r="C170" s="1247">
        <v>0.3</v>
      </c>
      <c r="E170" s="1246" t="s">
        <v>370</v>
      </c>
      <c r="F170" s="1248">
        <v>1</v>
      </c>
      <c r="G170" s="1248">
        <v>1</v>
      </c>
      <c r="H170" s="1249">
        <v>1</v>
      </c>
      <c r="I170" s="1246" t="s">
        <v>1491</v>
      </c>
      <c r="J170" s="1246" t="s">
        <v>1397</v>
      </c>
      <c r="K170" s="1284" t="str">
        <f t="shared" si="2"/>
        <v>10</v>
      </c>
      <c r="L170" s="1246" t="s">
        <v>1532</v>
      </c>
      <c r="M170" s="1250">
        <v>9</v>
      </c>
      <c r="N170" s="1251">
        <v>3</v>
      </c>
      <c r="O170" s="1252">
        <v>3</v>
      </c>
    </row>
    <row r="171" spans="1:15">
      <c r="A171" s="1246" t="s">
        <v>683</v>
      </c>
      <c r="B171" s="1246" t="s">
        <v>428</v>
      </c>
      <c r="C171" s="1247">
        <v>0.3</v>
      </c>
      <c r="E171" s="1246" t="s">
        <v>370</v>
      </c>
      <c r="F171" s="1248">
        <v>1</v>
      </c>
      <c r="G171" s="1248">
        <v>1</v>
      </c>
      <c r="H171" s="1249">
        <v>1</v>
      </c>
      <c r="I171" s="1246" t="s">
        <v>1491</v>
      </c>
      <c r="J171" s="1246" t="s">
        <v>1397</v>
      </c>
      <c r="K171" s="1284" t="str">
        <f t="shared" si="2"/>
        <v>10</v>
      </c>
      <c r="L171" s="1246" t="s">
        <v>1532</v>
      </c>
      <c r="M171" s="1250">
        <v>9</v>
      </c>
      <c r="N171" s="1251">
        <v>1</v>
      </c>
      <c r="O171" s="1252">
        <v>1</v>
      </c>
    </row>
    <row r="172" spans="1:15">
      <c r="A172" s="1246" t="s">
        <v>1493</v>
      </c>
      <c r="B172" s="1246" t="s">
        <v>428</v>
      </c>
      <c r="C172" s="1247">
        <v>0.3</v>
      </c>
      <c r="E172" s="1246" t="s">
        <v>370</v>
      </c>
      <c r="F172" s="1248">
        <v>1</v>
      </c>
      <c r="G172" s="1248">
        <v>1</v>
      </c>
      <c r="H172" s="1249">
        <v>1</v>
      </c>
      <c r="I172" s="1246" t="s">
        <v>1491</v>
      </c>
      <c r="J172" s="1246" t="s">
        <v>1438</v>
      </c>
      <c r="K172" s="1284" t="str">
        <f t="shared" si="2"/>
        <v>13</v>
      </c>
      <c r="L172" s="1246" t="s">
        <v>1533</v>
      </c>
      <c r="M172" s="1250">
        <v>9</v>
      </c>
      <c r="N172" s="1251">
        <v>2</v>
      </c>
      <c r="O172" s="1252">
        <v>2</v>
      </c>
    </row>
    <row r="173" spans="1:15">
      <c r="A173" s="1246" t="s">
        <v>1493</v>
      </c>
      <c r="B173" s="1246" t="s">
        <v>428</v>
      </c>
      <c r="C173" s="1247">
        <v>0.3</v>
      </c>
      <c r="E173" s="1246" t="s">
        <v>376</v>
      </c>
      <c r="F173" s="1248">
        <v>1</v>
      </c>
      <c r="G173" s="1248">
        <v>1</v>
      </c>
      <c r="H173" s="1249">
        <v>1</v>
      </c>
      <c r="I173" s="1246" t="s">
        <v>1491</v>
      </c>
      <c r="J173" s="1246" t="s">
        <v>1436</v>
      </c>
      <c r="K173" s="1284" t="str">
        <f t="shared" si="2"/>
        <v>11</v>
      </c>
      <c r="L173" s="1246" t="s">
        <v>1496</v>
      </c>
      <c r="M173" s="1250">
        <v>9</v>
      </c>
      <c r="N173" s="1251">
        <v>2</v>
      </c>
      <c r="O173" s="1252">
        <v>2</v>
      </c>
    </row>
    <row r="174" spans="1:15">
      <c r="A174" s="1246" t="s">
        <v>1490</v>
      </c>
      <c r="B174" s="1246" t="s">
        <v>428</v>
      </c>
      <c r="C174" s="1247">
        <v>0.3</v>
      </c>
      <c r="F174" s="1248">
        <v>2</v>
      </c>
      <c r="G174" s="1248">
        <v>1</v>
      </c>
      <c r="H174" s="1249">
        <v>1</v>
      </c>
      <c r="I174" s="1246" t="s">
        <v>1491</v>
      </c>
      <c r="J174" s="1246" t="s">
        <v>1456</v>
      </c>
      <c r="K174" s="1284" t="str">
        <f t="shared" si="2"/>
        <v>33</v>
      </c>
      <c r="L174" s="1246" t="s">
        <v>1519</v>
      </c>
      <c r="M174" s="1250">
        <v>2</v>
      </c>
      <c r="N174" s="1251">
        <v>2</v>
      </c>
      <c r="O174" s="1252">
        <v>1</v>
      </c>
    </row>
    <row r="175" spans="1:15">
      <c r="A175" s="1246" t="s">
        <v>1490</v>
      </c>
      <c r="B175" s="1246" t="s">
        <v>428</v>
      </c>
      <c r="C175" s="1247">
        <v>0.3</v>
      </c>
      <c r="F175" s="1248">
        <v>2</v>
      </c>
      <c r="G175" s="1248">
        <v>2</v>
      </c>
      <c r="H175" s="1249">
        <v>1</v>
      </c>
      <c r="I175" s="1246" t="s">
        <v>1491</v>
      </c>
      <c r="J175" s="1246" t="s">
        <v>1460</v>
      </c>
      <c r="K175" s="1284" t="str">
        <f t="shared" si="2"/>
        <v>30</v>
      </c>
      <c r="L175" s="1246" t="s">
        <v>1497</v>
      </c>
      <c r="M175" s="1250">
        <v>1</v>
      </c>
      <c r="N175" s="1251">
        <v>4</v>
      </c>
      <c r="O175" s="1252">
        <v>2</v>
      </c>
    </row>
    <row r="176" spans="1:15">
      <c r="A176" s="1246" t="s">
        <v>1490</v>
      </c>
      <c r="B176" s="1246" t="s">
        <v>428</v>
      </c>
      <c r="C176" s="1247">
        <v>0.3</v>
      </c>
      <c r="F176" s="1248">
        <v>2</v>
      </c>
      <c r="G176" s="1248">
        <v>2</v>
      </c>
      <c r="H176" s="1249">
        <v>1</v>
      </c>
      <c r="I176" s="1246" t="s">
        <v>1491</v>
      </c>
      <c r="J176" s="1246" t="s">
        <v>1461</v>
      </c>
      <c r="K176" s="1284" t="str">
        <f t="shared" si="2"/>
        <v>3C</v>
      </c>
      <c r="L176" s="1246" t="s">
        <v>1502</v>
      </c>
      <c r="M176" s="1250">
        <v>1</v>
      </c>
      <c r="N176" s="1251">
        <v>2</v>
      </c>
      <c r="O176" s="1252">
        <v>1</v>
      </c>
    </row>
    <row r="177" spans="1:15">
      <c r="A177" s="1246" t="s">
        <v>1493</v>
      </c>
      <c r="B177" s="1246" t="s">
        <v>428</v>
      </c>
      <c r="C177" s="1247">
        <v>0.3</v>
      </c>
      <c r="E177" s="1246" t="s">
        <v>370</v>
      </c>
      <c r="F177" s="1248">
        <v>2</v>
      </c>
      <c r="G177" s="1248">
        <v>2</v>
      </c>
      <c r="H177" s="1249">
        <v>1</v>
      </c>
      <c r="I177" s="1246" t="s">
        <v>1491</v>
      </c>
      <c r="J177" s="1246" t="s">
        <v>1443</v>
      </c>
      <c r="K177" s="1284" t="str">
        <f t="shared" si="2"/>
        <v>1C</v>
      </c>
      <c r="L177" s="1246" t="s">
        <v>1502</v>
      </c>
      <c r="M177" s="1250">
        <v>4</v>
      </c>
      <c r="N177" s="1251">
        <v>2</v>
      </c>
      <c r="O177" s="1252">
        <v>1</v>
      </c>
    </row>
    <row r="178" spans="1:15">
      <c r="A178" s="1246" t="s">
        <v>1490</v>
      </c>
      <c r="B178" s="1246" t="s">
        <v>428</v>
      </c>
      <c r="C178" s="1247">
        <v>0.3</v>
      </c>
      <c r="F178" s="1248">
        <v>2</v>
      </c>
      <c r="G178" s="1248">
        <v>2</v>
      </c>
      <c r="H178" s="1249">
        <v>1</v>
      </c>
      <c r="I178" s="1246" t="s">
        <v>1491</v>
      </c>
      <c r="J178" s="1246" t="s">
        <v>1455</v>
      </c>
      <c r="K178" s="1284" t="str">
        <f t="shared" si="2"/>
        <v>32</v>
      </c>
      <c r="L178" s="1246" t="s">
        <v>1505</v>
      </c>
      <c r="M178" s="1250">
        <v>1</v>
      </c>
      <c r="N178" s="1251">
        <v>2</v>
      </c>
      <c r="O178" s="1252">
        <v>1</v>
      </c>
    </row>
    <row r="179" spans="1:15">
      <c r="A179" s="1246" t="s">
        <v>1490</v>
      </c>
      <c r="B179" s="1246" t="s">
        <v>428</v>
      </c>
      <c r="C179" s="1247">
        <v>0.3</v>
      </c>
      <c r="F179" s="1248">
        <v>2</v>
      </c>
      <c r="G179" s="1248">
        <v>2</v>
      </c>
      <c r="H179" s="1249">
        <v>1</v>
      </c>
      <c r="I179" s="1246" t="s">
        <v>1491</v>
      </c>
      <c r="J179" s="1246" t="s">
        <v>1454</v>
      </c>
      <c r="K179" s="1284" t="str">
        <f t="shared" si="2"/>
        <v>31</v>
      </c>
      <c r="L179" s="1246" t="s">
        <v>1506</v>
      </c>
      <c r="M179" s="1250">
        <v>1</v>
      </c>
      <c r="N179" s="1251">
        <v>12</v>
      </c>
      <c r="O179" s="1252">
        <v>6</v>
      </c>
    </row>
    <row r="180" spans="1:15">
      <c r="A180" s="1246" t="s">
        <v>1490</v>
      </c>
      <c r="B180" s="1246" t="s">
        <v>428</v>
      </c>
      <c r="C180" s="1247">
        <v>0.3</v>
      </c>
      <c r="F180" s="1248">
        <v>2</v>
      </c>
      <c r="G180" s="1248">
        <v>2</v>
      </c>
      <c r="H180" s="1249">
        <v>1</v>
      </c>
      <c r="I180" s="1246" t="s">
        <v>1491</v>
      </c>
      <c r="J180" s="1246" t="s">
        <v>1457</v>
      </c>
      <c r="K180" s="1284" t="str">
        <f t="shared" si="2"/>
        <v>35</v>
      </c>
      <c r="L180" s="1246" t="s">
        <v>1501</v>
      </c>
      <c r="M180" s="1250">
        <v>1</v>
      </c>
      <c r="N180" s="1251">
        <v>4</v>
      </c>
      <c r="O180" s="1252">
        <v>2</v>
      </c>
    </row>
    <row r="181" spans="1:15">
      <c r="A181" s="1246" t="s">
        <v>1490</v>
      </c>
      <c r="B181" s="1246" t="s">
        <v>428</v>
      </c>
      <c r="C181" s="1247">
        <v>0.3</v>
      </c>
      <c r="F181" s="1248">
        <v>2</v>
      </c>
      <c r="G181" s="1248">
        <v>2</v>
      </c>
      <c r="H181" s="1249">
        <v>1</v>
      </c>
      <c r="I181" s="1246" t="s">
        <v>1491</v>
      </c>
      <c r="J181" s="1246" t="s">
        <v>1399</v>
      </c>
      <c r="K181" s="1284" t="str">
        <f t="shared" si="2"/>
        <v>30</v>
      </c>
      <c r="L181" s="1246" t="s">
        <v>1510</v>
      </c>
      <c r="M181" s="1250">
        <v>1</v>
      </c>
      <c r="N181" s="1251">
        <v>4</v>
      </c>
      <c r="O181" s="1252">
        <v>2</v>
      </c>
    </row>
    <row r="182" spans="1:15">
      <c r="A182" s="1246" t="s">
        <v>1490</v>
      </c>
      <c r="B182" s="1246" t="s">
        <v>428</v>
      </c>
      <c r="C182" s="1247">
        <v>0.3</v>
      </c>
      <c r="E182" s="1246" t="s">
        <v>370</v>
      </c>
      <c r="F182" s="1248">
        <v>2</v>
      </c>
      <c r="G182" s="1248">
        <v>2</v>
      </c>
      <c r="H182" s="1249">
        <v>1</v>
      </c>
      <c r="I182" s="1246" t="s">
        <v>1491</v>
      </c>
      <c r="J182" s="1246" t="s">
        <v>1399</v>
      </c>
      <c r="K182" s="1284" t="str">
        <f t="shared" si="2"/>
        <v>30</v>
      </c>
      <c r="L182" s="1246" t="s">
        <v>1510</v>
      </c>
      <c r="M182" s="1250">
        <v>1</v>
      </c>
      <c r="N182" s="1251">
        <v>2</v>
      </c>
      <c r="O182" s="1252">
        <v>1</v>
      </c>
    </row>
    <row r="183" spans="1:15">
      <c r="A183" s="1246" t="s">
        <v>1490</v>
      </c>
      <c r="B183" s="1246" t="s">
        <v>428</v>
      </c>
      <c r="C183" s="1247">
        <v>0.3</v>
      </c>
      <c r="F183" s="1248">
        <v>2</v>
      </c>
      <c r="G183" s="1248">
        <v>2</v>
      </c>
      <c r="H183" s="1249">
        <v>1</v>
      </c>
      <c r="I183" s="1246" t="s">
        <v>1491</v>
      </c>
      <c r="J183" s="1246" t="s">
        <v>1455</v>
      </c>
      <c r="K183" s="1284" t="str">
        <f t="shared" si="2"/>
        <v>32</v>
      </c>
      <c r="L183" s="1246" t="s">
        <v>1513</v>
      </c>
      <c r="M183" s="1250">
        <v>2</v>
      </c>
      <c r="N183" s="1251">
        <v>2</v>
      </c>
      <c r="O183" s="1252">
        <v>1</v>
      </c>
    </row>
    <row r="184" spans="1:15">
      <c r="A184" s="1246" t="s">
        <v>1490</v>
      </c>
      <c r="B184" s="1246" t="s">
        <v>428</v>
      </c>
      <c r="C184" s="1247">
        <v>0.3</v>
      </c>
      <c r="F184" s="1248">
        <v>2</v>
      </c>
      <c r="G184" s="1248">
        <v>2</v>
      </c>
      <c r="H184" s="1249">
        <v>1</v>
      </c>
      <c r="I184" s="1246" t="s">
        <v>1491</v>
      </c>
      <c r="J184" s="1246" t="s">
        <v>1454</v>
      </c>
      <c r="K184" s="1284" t="str">
        <f t="shared" si="2"/>
        <v>31</v>
      </c>
      <c r="L184" s="1246" t="s">
        <v>1500</v>
      </c>
      <c r="M184" s="1250">
        <v>2</v>
      </c>
      <c r="N184" s="1251">
        <v>2</v>
      </c>
      <c r="O184" s="1252">
        <v>1</v>
      </c>
    </row>
    <row r="185" spans="1:15">
      <c r="A185" s="1246" t="s">
        <v>1490</v>
      </c>
      <c r="B185" s="1246" t="s">
        <v>428</v>
      </c>
      <c r="C185" s="1247">
        <v>0.3</v>
      </c>
      <c r="E185" s="1246" t="s">
        <v>370</v>
      </c>
      <c r="F185" s="1248">
        <v>2</v>
      </c>
      <c r="G185" s="1248">
        <v>2</v>
      </c>
      <c r="H185" s="1249">
        <v>1</v>
      </c>
      <c r="I185" s="1246" t="s">
        <v>1491</v>
      </c>
      <c r="J185" s="1246" t="s">
        <v>1454</v>
      </c>
      <c r="K185" s="1284" t="str">
        <f t="shared" si="2"/>
        <v>31</v>
      </c>
      <c r="L185" s="1246" t="s">
        <v>1500</v>
      </c>
      <c r="M185" s="1250">
        <v>2</v>
      </c>
      <c r="N185" s="1251">
        <v>2</v>
      </c>
      <c r="O185" s="1252">
        <v>1</v>
      </c>
    </row>
    <row r="186" spans="1:15">
      <c r="A186" s="1246" t="s">
        <v>1490</v>
      </c>
      <c r="B186" s="1246" t="s">
        <v>428</v>
      </c>
      <c r="C186" s="1247">
        <v>0.3</v>
      </c>
      <c r="F186" s="1248">
        <v>2</v>
      </c>
      <c r="G186" s="1248">
        <v>2</v>
      </c>
      <c r="H186" s="1249">
        <v>1</v>
      </c>
      <c r="I186" s="1246" t="s">
        <v>1491</v>
      </c>
      <c r="J186" s="1246" t="s">
        <v>1399</v>
      </c>
      <c r="K186" s="1284" t="str">
        <f t="shared" si="2"/>
        <v>30</v>
      </c>
      <c r="L186" s="1246" t="s">
        <v>1515</v>
      </c>
      <c r="M186" s="1250">
        <v>2</v>
      </c>
      <c r="N186" s="1251">
        <v>2</v>
      </c>
      <c r="O186" s="1252">
        <v>1</v>
      </c>
    </row>
    <row r="187" spans="1:15">
      <c r="A187" s="1246" t="s">
        <v>1490</v>
      </c>
      <c r="B187" s="1246" t="s">
        <v>428</v>
      </c>
      <c r="C187" s="1247">
        <v>0.3</v>
      </c>
      <c r="F187" s="1248">
        <v>2</v>
      </c>
      <c r="G187" s="1248">
        <v>2</v>
      </c>
      <c r="H187" s="1249">
        <v>1</v>
      </c>
      <c r="I187" s="1246" t="s">
        <v>1491</v>
      </c>
      <c r="J187" s="1246" t="s">
        <v>1457</v>
      </c>
      <c r="K187" s="1284" t="str">
        <f t="shared" si="2"/>
        <v>35</v>
      </c>
      <c r="L187" s="1246" t="s">
        <v>1517</v>
      </c>
      <c r="M187" s="1250">
        <v>2</v>
      </c>
      <c r="N187" s="1251">
        <v>2</v>
      </c>
      <c r="O187" s="1252">
        <v>1</v>
      </c>
    </row>
    <row r="188" spans="1:15">
      <c r="A188" s="1246" t="s">
        <v>1490</v>
      </c>
      <c r="B188" s="1246" t="s">
        <v>428</v>
      </c>
      <c r="C188" s="1247">
        <v>0.3</v>
      </c>
      <c r="E188" s="1246" t="s">
        <v>370</v>
      </c>
      <c r="F188" s="1248">
        <v>2</v>
      </c>
      <c r="G188" s="1248">
        <v>2</v>
      </c>
      <c r="H188" s="1249">
        <v>1</v>
      </c>
      <c r="I188" s="1246" t="s">
        <v>1491</v>
      </c>
      <c r="J188" s="1246" t="s">
        <v>1456</v>
      </c>
      <c r="K188" s="1284" t="str">
        <f t="shared" si="2"/>
        <v>33</v>
      </c>
      <c r="L188" s="1246" t="s">
        <v>1519</v>
      </c>
      <c r="M188" s="1250">
        <v>2</v>
      </c>
      <c r="N188" s="1251">
        <v>6</v>
      </c>
      <c r="O188" s="1252">
        <v>3</v>
      </c>
    </row>
    <row r="189" spans="1:15">
      <c r="A189" s="1246" t="s">
        <v>1490</v>
      </c>
      <c r="B189" s="1246" t="s">
        <v>428</v>
      </c>
      <c r="C189" s="1247">
        <v>0.3</v>
      </c>
      <c r="F189" s="1248">
        <v>2</v>
      </c>
      <c r="G189" s="1248">
        <v>2</v>
      </c>
      <c r="H189" s="1249">
        <v>1</v>
      </c>
      <c r="I189" s="1246" t="s">
        <v>1491</v>
      </c>
      <c r="J189" s="1246" t="s">
        <v>1456</v>
      </c>
      <c r="K189" s="1284" t="str">
        <f t="shared" si="2"/>
        <v>33</v>
      </c>
      <c r="L189" s="1246" t="s">
        <v>1519</v>
      </c>
      <c r="M189" s="1250">
        <v>2</v>
      </c>
      <c r="N189" s="1251">
        <v>10</v>
      </c>
      <c r="O189" s="1252">
        <v>5</v>
      </c>
    </row>
    <row r="190" spans="1:15">
      <c r="A190" s="1246" t="s">
        <v>1490</v>
      </c>
      <c r="B190" s="1246" t="s">
        <v>428</v>
      </c>
      <c r="C190" s="1247">
        <v>0.3</v>
      </c>
      <c r="F190" s="1248">
        <v>2</v>
      </c>
      <c r="G190" s="1248">
        <v>2</v>
      </c>
      <c r="H190" s="1249">
        <v>1</v>
      </c>
      <c r="I190" s="1246" t="s">
        <v>1491</v>
      </c>
      <c r="J190" s="1246" t="s">
        <v>1399</v>
      </c>
      <c r="K190" s="1284" t="str">
        <f t="shared" si="2"/>
        <v>30</v>
      </c>
      <c r="L190" s="1246" t="s">
        <v>1520</v>
      </c>
      <c r="M190" s="1250">
        <v>3</v>
      </c>
      <c r="N190" s="1251">
        <v>2</v>
      </c>
      <c r="O190" s="1252">
        <v>1</v>
      </c>
    </row>
    <row r="191" spans="1:15">
      <c r="A191" s="1246" t="s">
        <v>1490</v>
      </c>
      <c r="B191" s="1246" t="s">
        <v>428</v>
      </c>
      <c r="C191" s="1247">
        <v>0.3</v>
      </c>
      <c r="F191" s="1248">
        <v>2</v>
      </c>
      <c r="G191" s="1248">
        <v>2</v>
      </c>
      <c r="H191" s="1249">
        <v>1</v>
      </c>
      <c r="I191" s="1246" t="s">
        <v>1491</v>
      </c>
      <c r="J191" s="1246" t="s">
        <v>1454</v>
      </c>
      <c r="K191" s="1284" t="str">
        <f t="shared" si="2"/>
        <v>31</v>
      </c>
      <c r="L191" s="1246" t="s">
        <v>1523</v>
      </c>
      <c r="M191" s="1250">
        <v>3</v>
      </c>
      <c r="N191" s="1251">
        <v>6</v>
      </c>
      <c r="O191" s="1252">
        <v>3</v>
      </c>
    </row>
    <row r="192" spans="1:15">
      <c r="A192" s="1246" t="s">
        <v>1490</v>
      </c>
      <c r="B192" s="1246" t="s">
        <v>428</v>
      </c>
      <c r="C192" s="1247">
        <v>0.3</v>
      </c>
      <c r="F192" s="1248">
        <v>2</v>
      </c>
      <c r="G192" s="1248">
        <v>2</v>
      </c>
      <c r="H192" s="1249">
        <v>1</v>
      </c>
      <c r="I192" s="1246" t="s">
        <v>1491</v>
      </c>
      <c r="J192" s="1246" t="s">
        <v>1457</v>
      </c>
      <c r="K192" s="1284" t="str">
        <f t="shared" si="2"/>
        <v>35</v>
      </c>
      <c r="L192" s="1246" t="s">
        <v>1527</v>
      </c>
      <c r="M192" s="1250">
        <v>3</v>
      </c>
      <c r="N192" s="1251">
        <v>2</v>
      </c>
      <c r="O192" s="1252">
        <v>1</v>
      </c>
    </row>
    <row r="193" spans="1:15">
      <c r="A193" s="1246" t="s">
        <v>1490</v>
      </c>
      <c r="B193" s="1246" t="s">
        <v>428</v>
      </c>
      <c r="C193" s="1247">
        <v>0.3</v>
      </c>
      <c r="F193" s="1248">
        <v>2</v>
      </c>
      <c r="G193" s="1248">
        <v>2</v>
      </c>
      <c r="H193" s="1249">
        <v>1</v>
      </c>
      <c r="I193" s="1246" t="s">
        <v>1491</v>
      </c>
      <c r="J193" s="1246" t="s">
        <v>1459</v>
      </c>
      <c r="K193" s="1284" t="str">
        <f t="shared" si="2"/>
        <v>3A</v>
      </c>
      <c r="L193" s="1246" t="s">
        <v>1492</v>
      </c>
      <c r="M193" s="1250">
        <v>3</v>
      </c>
      <c r="N193" s="1251">
        <v>2</v>
      </c>
      <c r="O193" s="1252">
        <v>1</v>
      </c>
    </row>
    <row r="194" spans="1:15">
      <c r="A194" s="1246" t="s">
        <v>1490</v>
      </c>
      <c r="B194" s="1246" t="s">
        <v>428</v>
      </c>
      <c r="C194" s="1247">
        <v>0.3</v>
      </c>
      <c r="F194" s="1248">
        <v>2</v>
      </c>
      <c r="G194" s="1248">
        <v>2</v>
      </c>
      <c r="H194" s="1249">
        <v>1</v>
      </c>
      <c r="I194" s="1246" t="s">
        <v>1491</v>
      </c>
      <c r="J194" s="1246" t="s">
        <v>1399</v>
      </c>
      <c r="K194" s="1284" t="str">
        <f t="shared" ref="K194:K257" si="3">IF(J194="1B","10", IF(J194="2B","20",IF(J194="3B","30",IF(J194="7B",70,J194))))</f>
        <v>30</v>
      </c>
      <c r="L194" s="1246" t="s">
        <v>1528</v>
      </c>
      <c r="M194" s="1250">
        <v>3</v>
      </c>
      <c r="N194" s="1251">
        <v>10</v>
      </c>
      <c r="O194" s="1252">
        <v>5</v>
      </c>
    </row>
    <row r="195" spans="1:15">
      <c r="A195" s="1246" t="s">
        <v>1493</v>
      </c>
      <c r="B195" s="1246" t="s">
        <v>428</v>
      </c>
      <c r="C195" s="1247">
        <v>0.3</v>
      </c>
      <c r="E195" s="1246" t="s">
        <v>370</v>
      </c>
      <c r="F195" s="1248">
        <v>2</v>
      </c>
      <c r="G195" s="1248">
        <v>2</v>
      </c>
      <c r="H195" s="1249">
        <v>1</v>
      </c>
      <c r="I195" s="1246" t="s">
        <v>1491</v>
      </c>
      <c r="J195" s="1246" t="s">
        <v>1437</v>
      </c>
      <c r="K195" s="1284" t="str">
        <f t="shared" si="3"/>
        <v>12</v>
      </c>
      <c r="L195" s="1246" t="s">
        <v>1529</v>
      </c>
      <c r="M195" s="1250">
        <v>9</v>
      </c>
      <c r="N195" s="1251">
        <v>4</v>
      </c>
      <c r="O195" s="1252">
        <v>2</v>
      </c>
    </row>
    <row r="196" spans="1:15">
      <c r="A196" s="1246" t="s">
        <v>1493</v>
      </c>
      <c r="B196" s="1246" t="s">
        <v>428</v>
      </c>
      <c r="C196" s="1247">
        <v>0.3</v>
      </c>
      <c r="E196" s="1246" t="s">
        <v>370</v>
      </c>
      <c r="F196" s="1248">
        <v>2</v>
      </c>
      <c r="G196" s="1248">
        <v>2</v>
      </c>
      <c r="H196" s="1249">
        <v>1</v>
      </c>
      <c r="I196" s="1246" t="s">
        <v>1491</v>
      </c>
      <c r="J196" s="1246" t="s">
        <v>1436</v>
      </c>
      <c r="K196" s="1284" t="str">
        <f t="shared" si="3"/>
        <v>11</v>
      </c>
      <c r="L196" s="1246" t="s">
        <v>1495</v>
      </c>
      <c r="M196" s="1250">
        <v>9</v>
      </c>
      <c r="N196" s="1251">
        <v>4</v>
      </c>
      <c r="O196" s="1252">
        <v>2</v>
      </c>
    </row>
    <row r="197" spans="1:15">
      <c r="A197" s="1246" t="s">
        <v>1493</v>
      </c>
      <c r="B197" s="1246" t="s">
        <v>428</v>
      </c>
      <c r="C197" s="1247">
        <v>0.3</v>
      </c>
      <c r="E197" s="1246" t="s">
        <v>370</v>
      </c>
      <c r="F197" s="1248">
        <v>2</v>
      </c>
      <c r="G197" s="1248">
        <v>2</v>
      </c>
      <c r="H197" s="1249">
        <v>1</v>
      </c>
      <c r="I197" s="1246" t="s">
        <v>1491</v>
      </c>
      <c r="J197" s="1246" t="s">
        <v>1397</v>
      </c>
      <c r="K197" s="1284" t="str">
        <f t="shared" si="3"/>
        <v>10</v>
      </c>
      <c r="L197" s="1246" t="s">
        <v>1532</v>
      </c>
      <c r="M197" s="1250">
        <v>9</v>
      </c>
      <c r="N197" s="1251">
        <v>2</v>
      </c>
      <c r="O197" s="1252">
        <v>1</v>
      </c>
    </row>
    <row r="198" spans="1:15">
      <c r="A198" s="1246" t="s">
        <v>1490</v>
      </c>
      <c r="B198" s="1246" t="s">
        <v>428</v>
      </c>
      <c r="C198" s="1247">
        <v>0.3</v>
      </c>
      <c r="F198" s="1248">
        <v>3</v>
      </c>
      <c r="G198" s="1248">
        <v>3</v>
      </c>
      <c r="H198" s="1249">
        <v>1</v>
      </c>
      <c r="I198" s="1246" t="s">
        <v>1491</v>
      </c>
      <c r="J198" s="1246" t="s">
        <v>1454</v>
      </c>
      <c r="K198" s="1284" t="str">
        <f t="shared" si="3"/>
        <v>31</v>
      </c>
      <c r="L198" s="1246" t="s">
        <v>1506</v>
      </c>
      <c r="M198" s="1250">
        <v>1</v>
      </c>
      <c r="N198" s="1251">
        <v>3</v>
      </c>
      <c r="O198" s="1252">
        <v>1</v>
      </c>
    </row>
    <row r="199" spans="1:15">
      <c r="A199" s="1246" t="s">
        <v>1493</v>
      </c>
      <c r="B199" s="1246" t="s">
        <v>428</v>
      </c>
      <c r="C199" s="1247">
        <v>0.3</v>
      </c>
      <c r="E199" s="1246" t="s">
        <v>370</v>
      </c>
      <c r="F199" s="1248">
        <v>3</v>
      </c>
      <c r="G199" s="1248">
        <v>3</v>
      </c>
      <c r="H199" s="1249">
        <v>1</v>
      </c>
      <c r="I199" s="1246" t="s">
        <v>1491</v>
      </c>
      <c r="J199" s="1246" t="s">
        <v>1436</v>
      </c>
      <c r="K199" s="1284" t="str">
        <f t="shared" si="3"/>
        <v>11</v>
      </c>
      <c r="L199" s="1246" t="s">
        <v>1495</v>
      </c>
      <c r="M199" s="1250">
        <v>9</v>
      </c>
      <c r="N199" s="1251">
        <v>3</v>
      </c>
      <c r="O199" s="1252">
        <v>1</v>
      </c>
    </row>
    <row r="200" spans="1:15">
      <c r="A200" s="1246" t="s">
        <v>1493</v>
      </c>
      <c r="B200" s="1246" t="s">
        <v>428</v>
      </c>
      <c r="C200" s="1247">
        <v>0.3</v>
      </c>
      <c r="E200" s="1246" t="s">
        <v>370</v>
      </c>
      <c r="F200" s="1248">
        <v>4</v>
      </c>
      <c r="G200" s="1248">
        <v>4</v>
      </c>
      <c r="H200" s="1249">
        <v>1</v>
      </c>
      <c r="I200" s="1246" t="s">
        <v>1491</v>
      </c>
      <c r="J200" s="1246" t="s">
        <v>1436</v>
      </c>
      <c r="K200" s="1284" t="str">
        <f t="shared" si="3"/>
        <v>11</v>
      </c>
      <c r="L200" s="1246" t="s">
        <v>1495</v>
      </c>
      <c r="M200" s="1250">
        <v>9</v>
      </c>
      <c r="N200" s="1251">
        <v>4</v>
      </c>
      <c r="O200" s="1252">
        <v>1</v>
      </c>
    </row>
    <row r="201" spans="1:15">
      <c r="A201" s="1246" t="s">
        <v>1493</v>
      </c>
      <c r="B201" s="1246" t="s">
        <v>428</v>
      </c>
      <c r="C201" s="1247">
        <v>0.3</v>
      </c>
      <c r="E201" s="1246" t="s">
        <v>376</v>
      </c>
      <c r="F201" s="1248">
        <v>6</v>
      </c>
      <c r="G201" s="1248">
        <v>6</v>
      </c>
      <c r="H201" s="1249">
        <v>1</v>
      </c>
      <c r="I201" s="1246" t="s">
        <v>1491</v>
      </c>
      <c r="J201" s="1246" t="s">
        <v>1436</v>
      </c>
      <c r="K201" s="1284" t="str">
        <f t="shared" si="3"/>
        <v>11</v>
      </c>
      <c r="L201" s="1246" t="s">
        <v>1496</v>
      </c>
      <c r="M201" s="1250">
        <v>9</v>
      </c>
      <c r="N201" s="1251">
        <v>6</v>
      </c>
      <c r="O201" s="1252">
        <v>1</v>
      </c>
    </row>
    <row r="202" spans="1:15">
      <c r="A202" s="1246" t="s">
        <v>1493</v>
      </c>
      <c r="B202" s="1246" t="s">
        <v>428</v>
      </c>
      <c r="C202" s="1247">
        <v>0.3</v>
      </c>
      <c r="E202" s="1246" t="s">
        <v>376</v>
      </c>
      <c r="F202" s="1248">
        <v>8</v>
      </c>
      <c r="G202" s="1248">
        <v>8</v>
      </c>
      <c r="H202" s="1249">
        <v>1</v>
      </c>
      <c r="I202" s="1246" t="s">
        <v>1491</v>
      </c>
      <c r="J202" s="1246" t="s">
        <v>1436</v>
      </c>
      <c r="K202" s="1284" t="str">
        <f t="shared" si="3"/>
        <v>11</v>
      </c>
      <c r="L202" s="1246" t="s">
        <v>1496</v>
      </c>
      <c r="M202" s="1250">
        <v>9</v>
      </c>
      <c r="N202" s="1251">
        <v>16</v>
      </c>
      <c r="O202" s="1252">
        <v>2</v>
      </c>
    </row>
    <row r="203" spans="1:15">
      <c r="A203" s="1246" t="s">
        <v>1493</v>
      </c>
      <c r="B203" s="1246" t="s">
        <v>428</v>
      </c>
      <c r="C203" s="1247">
        <v>0.3</v>
      </c>
      <c r="E203" s="1246" t="s">
        <v>376</v>
      </c>
      <c r="F203" s="1248">
        <v>10</v>
      </c>
      <c r="G203" s="1248">
        <v>10</v>
      </c>
      <c r="H203" s="1249">
        <v>1</v>
      </c>
      <c r="I203" s="1246" t="s">
        <v>1491</v>
      </c>
      <c r="J203" s="1246" t="s">
        <v>1436</v>
      </c>
      <c r="K203" s="1284" t="str">
        <f t="shared" si="3"/>
        <v>11</v>
      </c>
      <c r="L203" s="1246" t="s">
        <v>1496</v>
      </c>
      <c r="M203" s="1250">
        <v>9</v>
      </c>
      <c r="N203" s="1251">
        <v>10</v>
      </c>
      <c r="O203" s="1252">
        <v>1</v>
      </c>
    </row>
    <row r="204" spans="1:15">
      <c r="A204" s="1246" t="s">
        <v>1493</v>
      </c>
      <c r="B204" s="1246" t="s">
        <v>428</v>
      </c>
      <c r="C204" s="1247">
        <v>0.3</v>
      </c>
      <c r="E204" s="1246" t="s">
        <v>376</v>
      </c>
      <c r="F204" s="1248">
        <v>13</v>
      </c>
      <c r="G204" s="1248">
        <v>13</v>
      </c>
      <c r="H204" s="1249">
        <v>1</v>
      </c>
      <c r="I204" s="1246" t="s">
        <v>1491</v>
      </c>
      <c r="J204" s="1246" t="s">
        <v>1436</v>
      </c>
      <c r="K204" s="1284" t="str">
        <f t="shared" si="3"/>
        <v>11</v>
      </c>
      <c r="L204" s="1246" t="s">
        <v>1496</v>
      </c>
      <c r="M204" s="1250">
        <v>9</v>
      </c>
      <c r="N204" s="1251">
        <v>13</v>
      </c>
      <c r="O204" s="1252">
        <v>1</v>
      </c>
    </row>
    <row r="205" spans="1:15">
      <c r="A205" s="1246" t="s">
        <v>1493</v>
      </c>
      <c r="B205" s="1246" t="s">
        <v>428</v>
      </c>
      <c r="C205" s="1247">
        <v>0.3</v>
      </c>
      <c r="E205" s="1246" t="s">
        <v>376</v>
      </c>
      <c r="F205" s="1248">
        <v>32</v>
      </c>
      <c r="G205" s="1248">
        <v>32</v>
      </c>
      <c r="H205" s="1249">
        <v>1</v>
      </c>
      <c r="I205" s="1246" t="s">
        <v>1491</v>
      </c>
      <c r="J205" s="1246" t="s">
        <v>1436</v>
      </c>
      <c r="K205" s="1284" t="str">
        <f t="shared" si="3"/>
        <v>11</v>
      </c>
      <c r="L205" s="1246" t="s">
        <v>1496</v>
      </c>
      <c r="M205" s="1250">
        <v>9</v>
      </c>
      <c r="N205" s="1251">
        <v>32</v>
      </c>
      <c r="O205" s="1252">
        <v>1</v>
      </c>
    </row>
    <row r="206" spans="1:15">
      <c r="A206" s="1246" t="s">
        <v>1493</v>
      </c>
      <c r="B206" s="1246" t="s">
        <v>428</v>
      </c>
      <c r="C206" s="1247">
        <v>0.3</v>
      </c>
      <c r="E206" s="1246" t="s">
        <v>376</v>
      </c>
      <c r="F206" s="1248">
        <v>46</v>
      </c>
      <c r="G206" s="1248">
        <v>46</v>
      </c>
      <c r="H206" s="1249">
        <v>1</v>
      </c>
      <c r="I206" s="1246" t="s">
        <v>1491</v>
      </c>
      <c r="J206" s="1246" t="s">
        <v>1436</v>
      </c>
      <c r="K206" s="1284" t="str">
        <f t="shared" si="3"/>
        <v>11</v>
      </c>
      <c r="L206" s="1246" t="s">
        <v>1496</v>
      </c>
      <c r="M206" s="1250">
        <v>9</v>
      </c>
      <c r="N206" s="1251">
        <v>46</v>
      </c>
      <c r="O206" s="1252">
        <v>1</v>
      </c>
    </row>
    <row r="207" spans="1:15">
      <c r="A207" s="1246" t="s">
        <v>1490</v>
      </c>
      <c r="B207" s="1246" t="s">
        <v>428</v>
      </c>
      <c r="C207" s="1247">
        <v>0.32</v>
      </c>
      <c r="F207" s="1248">
        <v>1</v>
      </c>
      <c r="G207" s="1248">
        <v>1</v>
      </c>
      <c r="H207" s="1249">
        <v>1</v>
      </c>
      <c r="I207" s="1246" t="s">
        <v>1491</v>
      </c>
      <c r="J207" s="1246" t="s">
        <v>1454</v>
      </c>
      <c r="K207" s="1284" t="str">
        <f t="shared" si="3"/>
        <v>31</v>
      </c>
      <c r="L207" s="1246" t="s">
        <v>1506</v>
      </c>
      <c r="M207" s="1250">
        <v>1</v>
      </c>
      <c r="N207" s="1251">
        <v>1</v>
      </c>
      <c r="O207" s="1252">
        <v>1</v>
      </c>
    </row>
    <row r="208" spans="1:15">
      <c r="A208" s="1246" t="s">
        <v>1490</v>
      </c>
      <c r="B208" s="1246" t="s">
        <v>428</v>
      </c>
      <c r="C208" s="1247">
        <v>0.32</v>
      </c>
      <c r="F208" s="1248">
        <v>1</v>
      </c>
      <c r="G208" s="1248">
        <v>1</v>
      </c>
      <c r="H208" s="1249">
        <v>1</v>
      </c>
      <c r="I208" s="1246" t="s">
        <v>1491</v>
      </c>
      <c r="J208" s="1246" t="s">
        <v>1454</v>
      </c>
      <c r="K208" s="1284" t="str">
        <f t="shared" si="3"/>
        <v>31</v>
      </c>
      <c r="L208" s="1246" t="s">
        <v>1500</v>
      </c>
      <c r="M208" s="1250">
        <v>2</v>
      </c>
      <c r="N208" s="1251">
        <v>1</v>
      </c>
      <c r="O208" s="1252">
        <v>1</v>
      </c>
    </row>
    <row r="209" spans="1:15">
      <c r="A209" s="1246" t="s">
        <v>1493</v>
      </c>
      <c r="B209" s="1246" t="s">
        <v>428</v>
      </c>
      <c r="C209" s="1247">
        <v>0.32</v>
      </c>
      <c r="E209" s="1246" t="s">
        <v>370</v>
      </c>
      <c r="F209" s="1248">
        <v>1</v>
      </c>
      <c r="G209" s="1248">
        <v>1</v>
      </c>
      <c r="H209" s="1249">
        <v>1</v>
      </c>
      <c r="I209" s="1246" t="s">
        <v>1491</v>
      </c>
      <c r="J209" s="1246" t="s">
        <v>1436</v>
      </c>
      <c r="K209" s="1284" t="str">
        <f t="shared" si="3"/>
        <v>11</v>
      </c>
      <c r="L209" s="1246" t="s">
        <v>1495</v>
      </c>
      <c r="M209" s="1250">
        <v>9</v>
      </c>
      <c r="N209" s="1251">
        <v>2</v>
      </c>
      <c r="O209" s="1252">
        <v>2</v>
      </c>
    </row>
    <row r="210" spans="1:15">
      <c r="A210" s="1246" t="s">
        <v>683</v>
      </c>
      <c r="B210" s="1246" t="s">
        <v>428</v>
      </c>
      <c r="C210" s="1247">
        <v>0.45</v>
      </c>
      <c r="E210" s="1246" t="s">
        <v>370</v>
      </c>
      <c r="F210" s="1248">
        <v>1</v>
      </c>
      <c r="G210" s="1248">
        <v>1</v>
      </c>
      <c r="H210" s="1249">
        <v>1</v>
      </c>
      <c r="I210" s="1246" t="s">
        <v>1491</v>
      </c>
      <c r="J210" s="1246" t="s">
        <v>1439</v>
      </c>
      <c r="K210" s="1284" t="str">
        <f t="shared" si="3"/>
        <v>15</v>
      </c>
      <c r="M210" s="1250">
        <v>0</v>
      </c>
      <c r="N210" s="1251">
        <v>1</v>
      </c>
      <c r="O210" s="1252">
        <v>1</v>
      </c>
    </row>
    <row r="211" spans="1:15">
      <c r="A211" s="1246" t="s">
        <v>1490</v>
      </c>
      <c r="B211" s="1246" t="s">
        <v>428</v>
      </c>
      <c r="C211" s="1247">
        <v>0.45</v>
      </c>
      <c r="F211" s="1248">
        <v>1</v>
      </c>
      <c r="G211" s="1248">
        <v>1</v>
      </c>
      <c r="H211" s="1249">
        <v>1</v>
      </c>
      <c r="I211" s="1246" t="s">
        <v>1491</v>
      </c>
      <c r="J211" s="1246" t="s">
        <v>1460</v>
      </c>
      <c r="K211" s="1284" t="str">
        <f t="shared" si="3"/>
        <v>30</v>
      </c>
      <c r="L211" s="1246" t="s">
        <v>1497</v>
      </c>
      <c r="M211" s="1250">
        <v>1</v>
      </c>
      <c r="N211" s="1251">
        <v>27</v>
      </c>
      <c r="O211" s="1252">
        <v>27</v>
      </c>
    </row>
    <row r="212" spans="1:15">
      <c r="A212" s="1246" t="s">
        <v>1490</v>
      </c>
      <c r="B212" s="1246" t="s">
        <v>428</v>
      </c>
      <c r="C212" s="1247">
        <v>0.45</v>
      </c>
      <c r="F212" s="1248">
        <v>1</v>
      </c>
      <c r="G212" s="1248">
        <v>1</v>
      </c>
      <c r="H212" s="1249">
        <v>1</v>
      </c>
      <c r="I212" s="1246" t="s">
        <v>1491</v>
      </c>
      <c r="J212" s="1246" t="s">
        <v>1461</v>
      </c>
      <c r="K212" s="1284" t="str">
        <f t="shared" si="3"/>
        <v>3C</v>
      </c>
      <c r="L212" s="1246" t="s">
        <v>1502</v>
      </c>
      <c r="M212" s="1250">
        <v>1</v>
      </c>
      <c r="N212" s="1251">
        <v>27</v>
      </c>
      <c r="O212" s="1252">
        <v>27</v>
      </c>
    </row>
    <row r="213" spans="1:15">
      <c r="A213" s="1246" t="s">
        <v>1490</v>
      </c>
      <c r="B213" s="1246" t="s">
        <v>428</v>
      </c>
      <c r="C213" s="1247">
        <v>0.45</v>
      </c>
      <c r="E213" s="1246" t="s">
        <v>370</v>
      </c>
      <c r="F213" s="1248">
        <v>1</v>
      </c>
      <c r="G213" s="1248">
        <v>1</v>
      </c>
      <c r="H213" s="1249">
        <v>1</v>
      </c>
      <c r="I213" s="1246" t="s">
        <v>1491</v>
      </c>
      <c r="J213" s="1246" t="s">
        <v>1461</v>
      </c>
      <c r="K213" s="1284" t="str">
        <f t="shared" si="3"/>
        <v>3C</v>
      </c>
      <c r="L213" s="1246" t="s">
        <v>1502</v>
      </c>
      <c r="M213" s="1250">
        <v>1</v>
      </c>
      <c r="N213" s="1251">
        <v>7</v>
      </c>
      <c r="O213" s="1252">
        <v>7</v>
      </c>
    </row>
    <row r="214" spans="1:15">
      <c r="A214" s="1246" t="s">
        <v>1490</v>
      </c>
      <c r="B214" s="1246" t="s">
        <v>428</v>
      </c>
      <c r="C214" s="1247">
        <v>0.45</v>
      </c>
      <c r="F214" s="1248">
        <v>1</v>
      </c>
      <c r="G214" s="1248">
        <v>1</v>
      </c>
      <c r="H214" s="1249">
        <v>1</v>
      </c>
      <c r="I214" s="1246" t="s">
        <v>1491</v>
      </c>
      <c r="J214" s="1246" t="s">
        <v>1461</v>
      </c>
      <c r="K214" s="1284" t="str">
        <f t="shared" si="3"/>
        <v>3C</v>
      </c>
      <c r="L214" s="1246" t="s">
        <v>1502</v>
      </c>
      <c r="M214" s="1250">
        <v>3</v>
      </c>
      <c r="N214" s="1251">
        <v>50</v>
      </c>
      <c r="O214" s="1252">
        <v>50</v>
      </c>
    </row>
    <row r="215" spans="1:15">
      <c r="A215" s="1246" t="s">
        <v>1493</v>
      </c>
      <c r="B215" s="1246" t="s">
        <v>428</v>
      </c>
      <c r="C215" s="1247">
        <v>0.45</v>
      </c>
      <c r="E215" s="1246" t="s">
        <v>370</v>
      </c>
      <c r="F215" s="1248">
        <v>1</v>
      </c>
      <c r="G215" s="1248">
        <v>1</v>
      </c>
      <c r="H215" s="1249">
        <v>1</v>
      </c>
      <c r="I215" s="1246" t="s">
        <v>1491</v>
      </c>
      <c r="J215" s="1246" t="s">
        <v>1443</v>
      </c>
      <c r="K215" s="1284" t="str">
        <f t="shared" si="3"/>
        <v>1C</v>
      </c>
      <c r="L215" s="1246" t="s">
        <v>1502</v>
      </c>
      <c r="M215" s="1250">
        <v>4</v>
      </c>
      <c r="N215" s="1251">
        <v>24</v>
      </c>
      <c r="O215" s="1252">
        <v>24</v>
      </c>
    </row>
    <row r="216" spans="1:15">
      <c r="A216" s="1246" t="s">
        <v>1493</v>
      </c>
      <c r="B216" s="1246" t="s">
        <v>428</v>
      </c>
      <c r="C216" s="1247">
        <v>0.45</v>
      </c>
      <c r="E216" s="1246" t="s">
        <v>1535</v>
      </c>
      <c r="F216" s="1248">
        <v>1</v>
      </c>
      <c r="G216" s="1248">
        <v>1</v>
      </c>
      <c r="H216" s="1249">
        <v>1</v>
      </c>
      <c r="I216" s="1246" t="s">
        <v>1491</v>
      </c>
      <c r="J216" s="1246" t="s">
        <v>1443</v>
      </c>
      <c r="K216" s="1284" t="str">
        <f t="shared" si="3"/>
        <v>1C</v>
      </c>
      <c r="L216" s="1246" t="s">
        <v>1502</v>
      </c>
      <c r="M216" s="1250">
        <v>4</v>
      </c>
      <c r="N216" s="1251">
        <v>1</v>
      </c>
      <c r="O216" s="1252">
        <v>1</v>
      </c>
    </row>
    <row r="217" spans="1:15">
      <c r="A217" s="1246" t="s">
        <v>1490</v>
      </c>
      <c r="B217" s="1246" t="s">
        <v>428</v>
      </c>
      <c r="C217" s="1247">
        <v>0.45</v>
      </c>
      <c r="F217" s="1248">
        <v>1</v>
      </c>
      <c r="G217" s="1248">
        <v>1</v>
      </c>
      <c r="H217" s="1249">
        <v>1</v>
      </c>
      <c r="I217" s="1246" t="s">
        <v>1491</v>
      </c>
      <c r="J217" s="1246" t="s">
        <v>1460</v>
      </c>
      <c r="K217" s="1284" t="str">
        <f t="shared" si="3"/>
        <v>30</v>
      </c>
      <c r="L217" s="1246" t="s">
        <v>1498</v>
      </c>
      <c r="M217" s="1250">
        <v>2</v>
      </c>
      <c r="N217" s="1251">
        <v>29</v>
      </c>
      <c r="O217" s="1252">
        <v>29</v>
      </c>
    </row>
    <row r="218" spans="1:15">
      <c r="A218" s="1246" t="s">
        <v>1493</v>
      </c>
      <c r="B218" s="1246" t="s">
        <v>428</v>
      </c>
      <c r="C218" s="1247">
        <v>0.45</v>
      </c>
      <c r="E218" s="1246" t="s">
        <v>370</v>
      </c>
      <c r="F218" s="1248">
        <v>1</v>
      </c>
      <c r="G218" s="1248">
        <v>1</v>
      </c>
      <c r="H218" s="1249">
        <v>1</v>
      </c>
      <c r="I218" s="1246" t="s">
        <v>1491</v>
      </c>
      <c r="J218" s="1246" t="s">
        <v>1442</v>
      </c>
      <c r="K218" s="1284" t="str">
        <f t="shared" si="3"/>
        <v>10</v>
      </c>
      <c r="L218" s="1246" t="s">
        <v>1534</v>
      </c>
      <c r="M218" s="1250">
        <v>4</v>
      </c>
      <c r="N218" s="1251">
        <v>2</v>
      </c>
      <c r="O218" s="1252">
        <v>2</v>
      </c>
    </row>
    <row r="219" spans="1:15">
      <c r="A219" s="1246" t="s">
        <v>1490</v>
      </c>
      <c r="B219" s="1246" t="s">
        <v>428</v>
      </c>
      <c r="C219" s="1247">
        <v>0.45</v>
      </c>
      <c r="F219" s="1248">
        <v>1</v>
      </c>
      <c r="G219" s="1248">
        <v>1</v>
      </c>
      <c r="H219" s="1249">
        <v>1</v>
      </c>
      <c r="I219" s="1246" t="s">
        <v>1491</v>
      </c>
      <c r="J219" s="1246" t="s">
        <v>1460</v>
      </c>
      <c r="K219" s="1284" t="str">
        <f t="shared" si="3"/>
        <v>30</v>
      </c>
      <c r="L219" s="1246" t="s">
        <v>1499</v>
      </c>
      <c r="M219" s="1250">
        <v>5</v>
      </c>
      <c r="N219" s="1251">
        <v>29</v>
      </c>
      <c r="O219" s="1252">
        <v>29</v>
      </c>
    </row>
    <row r="220" spans="1:15">
      <c r="A220" s="1246" t="s">
        <v>1490</v>
      </c>
      <c r="B220" s="1246" t="s">
        <v>428</v>
      </c>
      <c r="C220" s="1247">
        <v>0.45</v>
      </c>
      <c r="F220" s="1248">
        <v>1</v>
      </c>
      <c r="G220" s="1248">
        <v>1</v>
      </c>
      <c r="H220" s="1249">
        <v>1</v>
      </c>
      <c r="I220" s="1246" t="s">
        <v>1491</v>
      </c>
      <c r="J220" s="1246" t="s">
        <v>1399</v>
      </c>
      <c r="K220" s="1284" t="str">
        <f t="shared" si="3"/>
        <v>30</v>
      </c>
      <c r="L220" s="1246" t="s">
        <v>1503</v>
      </c>
      <c r="M220" s="1250">
        <v>1</v>
      </c>
      <c r="N220" s="1251">
        <v>12</v>
      </c>
      <c r="O220" s="1252">
        <v>12</v>
      </c>
    </row>
    <row r="221" spans="1:15">
      <c r="A221" s="1246" t="s">
        <v>1490</v>
      </c>
      <c r="B221" s="1246" t="s">
        <v>428</v>
      </c>
      <c r="C221" s="1247">
        <v>0.45</v>
      </c>
      <c r="E221" s="1246" t="s">
        <v>370</v>
      </c>
      <c r="F221" s="1248">
        <v>1</v>
      </c>
      <c r="G221" s="1248">
        <v>1</v>
      </c>
      <c r="H221" s="1249">
        <v>1</v>
      </c>
      <c r="I221" s="1246" t="s">
        <v>1491</v>
      </c>
      <c r="J221" s="1246" t="s">
        <v>1399</v>
      </c>
      <c r="K221" s="1284" t="str">
        <f t="shared" si="3"/>
        <v>30</v>
      </c>
      <c r="L221" s="1246" t="s">
        <v>1503</v>
      </c>
      <c r="M221" s="1250">
        <v>1</v>
      </c>
      <c r="N221" s="1251">
        <v>4</v>
      </c>
      <c r="O221" s="1252">
        <v>4</v>
      </c>
    </row>
    <row r="222" spans="1:15">
      <c r="A222" s="1246" t="s">
        <v>1490</v>
      </c>
      <c r="B222" s="1246" t="s">
        <v>428</v>
      </c>
      <c r="C222" s="1247">
        <v>0.45</v>
      </c>
      <c r="F222" s="1248">
        <v>1</v>
      </c>
      <c r="G222" s="1248">
        <v>1</v>
      </c>
      <c r="H222" s="1249">
        <v>1</v>
      </c>
      <c r="I222" s="1246" t="s">
        <v>1491</v>
      </c>
      <c r="J222" s="1246" t="s">
        <v>1399</v>
      </c>
      <c r="K222" s="1284" t="str">
        <f t="shared" si="3"/>
        <v>30</v>
      </c>
      <c r="L222" s="1246" t="s">
        <v>1504</v>
      </c>
      <c r="M222" s="1250">
        <v>1</v>
      </c>
      <c r="N222" s="1251">
        <v>9</v>
      </c>
      <c r="O222" s="1252">
        <v>9</v>
      </c>
    </row>
    <row r="223" spans="1:15">
      <c r="A223" s="1246" t="s">
        <v>1490</v>
      </c>
      <c r="B223" s="1246" t="s">
        <v>428</v>
      </c>
      <c r="C223" s="1247">
        <v>0.45</v>
      </c>
      <c r="F223" s="1248">
        <v>1</v>
      </c>
      <c r="G223" s="1248">
        <v>1</v>
      </c>
      <c r="H223" s="1249">
        <v>1</v>
      </c>
      <c r="I223" s="1246" t="s">
        <v>1491</v>
      </c>
      <c r="J223" s="1246" t="s">
        <v>1455</v>
      </c>
      <c r="K223" s="1284" t="str">
        <f t="shared" si="3"/>
        <v>32</v>
      </c>
      <c r="L223" s="1246" t="s">
        <v>1505</v>
      </c>
      <c r="M223" s="1250">
        <v>1</v>
      </c>
      <c r="N223" s="1251">
        <v>46</v>
      </c>
      <c r="O223" s="1252">
        <v>46</v>
      </c>
    </row>
    <row r="224" spans="1:15">
      <c r="A224" s="1246" t="s">
        <v>1490</v>
      </c>
      <c r="B224" s="1246" t="s">
        <v>428</v>
      </c>
      <c r="C224" s="1247">
        <v>0.45</v>
      </c>
      <c r="E224" s="1246" t="s">
        <v>370</v>
      </c>
      <c r="F224" s="1248">
        <v>1</v>
      </c>
      <c r="G224" s="1248">
        <v>1</v>
      </c>
      <c r="H224" s="1249">
        <v>1</v>
      </c>
      <c r="I224" s="1246" t="s">
        <v>1491</v>
      </c>
      <c r="J224" s="1246" t="s">
        <v>1455</v>
      </c>
      <c r="K224" s="1284" t="str">
        <f t="shared" si="3"/>
        <v>32</v>
      </c>
      <c r="L224" s="1246" t="s">
        <v>1505</v>
      </c>
      <c r="M224" s="1250">
        <v>1</v>
      </c>
      <c r="N224" s="1251">
        <v>28</v>
      </c>
      <c r="O224" s="1252">
        <v>28</v>
      </c>
    </row>
    <row r="225" spans="1:15">
      <c r="A225" s="1246" t="s">
        <v>1490</v>
      </c>
      <c r="B225" s="1246" t="s">
        <v>428</v>
      </c>
      <c r="C225" s="1247">
        <v>0.45</v>
      </c>
      <c r="E225" s="1246" t="s">
        <v>370</v>
      </c>
      <c r="F225" s="1248">
        <v>1</v>
      </c>
      <c r="G225" s="1248">
        <v>1</v>
      </c>
      <c r="H225" s="1249">
        <v>1</v>
      </c>
      <c r="I225" s="1246" t="s">
        <v>1491</v>
      </c>
      <c r="J225" s="1246" t="s">
        <v>1454</v>
      </c>
      <c r="K225" s="1284" t="str">
        <f t="shared" si="3"/>
        <v>31</v>
      </c>
      <c r="L225" s="1246" t="s">
        <v>1506</v>
      </c>
      <c r="M225" s="1250">
        <v>1</v>
      </c>
      <c r="N225" s="1251">
        <v>164</v>
      </c>
      <c r="O225" s="1252">
        <v>164</v>
      </c>
    </row>
    <row r="226" spans="1:15">
      <c r="A226" s="1246" t="s">
        <v>1490</v>
      </c>
      <c r="B226" s="1246" t="s">
        <v>428</v>
      </c>
      <c r="C226" s="1247">
        <v>0.45</v>
      </c>
      <c r="F226" s="1248">
        <v>1</v>
      </c>
      <c r="G226" s="1248">
        <v>1</v>
      </c>
      <c r="H226" s="1249">
        <v>1</v>
      </c>
      <c r="I226" s="1246" t="s">
        <v>1491</v>
      </c>
      <c r="J226" s="1246" t="s">
        <v>1454</v>
      </c>
      <c r="K226" s="1284" t="str">
        <f t="shared" si="3"/>
        <v>31</v>
      </c>
      <c r="L226" s="1246" t="s">
        <v>1506</v>
      </c>
      <c r="M226" s="1250">
        <v>1</v>
      </c>
      <c r="N226" s="1251">
        <v>646</v>
      </c>
      <c r="O226" s="1252">
        <v>646</v>
      </c>
    </row>
    <row r="227" spans="1:15">
      <c r="A227" s="1246" t="s">
        <v>1490</v>
      </c>
      <c r="B227" s="1246" t="s">
        <v>428</v>
      </c>
      <c r="C227" s="1247">
        <v>0.45</v>
      </c>
      <c r="F227" s="1248">
        <v>1</v>
      </c>
      <c r="G227" s="1248">
        <v>1</v>
      </c>
      <c r="H227" s="1249">
        <v>1</v>
      </c>
      <c r="I227" s="1246" t="s">
        <v>1491</v>
      </c>
      <c r="J227" s="1246" t="s">
        <v>1458</v>
      </c>
      <c r="K227" s="1284" t="str">
        <f t="shared" si="3"/>
        <v>36</v>
      </c>
      <c r="L227" s="1246" t="s">
        <v>1507</v>
      </c>
      <c r="M227" s="1250">
        <v>1</v>
      </c>
      <c r="N227" s="1251">
        <v>45</v>
      </c>
      <c r="O227" s="1252">
        <v>45</v>
      </c>
    </row>
    <row r="228" spans="1:15">
      <c r="A228" s="1246" t="s">
        <v>1490</v>
      </c>
      <c r="B228" s="1246" t="s">
        <v>428</v>
      </c>
      <c r="C228" s="1247">
        <v>0.45</v>
      </c>
      <c r="E228" s="1246" t="s">
        <v>370</v>
      </c>
      <c r="F228" s="1248">
        <v>1</v>
      </c>
      <c r="G228" s="1248">
        <v>1</v>
      </c>
      <c r="H228" s="1249">
        <v>1</v>
      </c>
      <c r="I228" s="1246" t="s">
        <v>1491</v>
      </c>
      <c r="J228" s="1246" t="s">
        <v>1458</v>
      </c>
      <c r="K228" s="1284" t="str">
        <f t="shared" si="3"/>
        <v>36</v>
      </c>
      <c r="L228" s="1246" t="s">
        <v>1507</v>
      </c>
      <c r="M228" s="1250">
        <v>1</v>
      </c>
      <c r="N228" s="1251">
        <v>30</v>
      </c>
      <c r="O228" s="1252">
        <v>30</v>
      </c>
    </row>
    <row r="229" spans="1:15">
      <c r="A229" s="1246" t="s">
        <v>1490</v>
      </c>
      <c r="B229" s="1246" t="s">
        <v>428</v>
      </c>
      <c r="C229" s="1247">
        <v>0.45</v>
      </c>
      <c r="F229" s="1248">
        <v>1</v>
      </c>
      <c r="G229" s="1248">
        <v>1</v>
      </c>
      <c r="H229" s="1249">
        <v>1</v>
      </c>
      <c r="I229" s="1246" t="s">
        <v>1491</v>
      </c>
      <c r="J229" s="1246" t="s">
        <v>1399</v>
      </c>
      <c r="K229" s="1284" t="str">
        <f t="shared" si="3"/>
        <v>30</v>
      </c>
      <c r="L229" s="1246" t="s">
        <v>1508</v>
      </c>
      <c r="M229" s="1250">
        <v>1</v>
      </c>
      <c r="N229" s="1251">
        <v>71</v>
      </c>
      <c r="O229" s="1252">
        <v>71</v>
      </c>
    </row>
    <row r="230" spans="1:15">
      <c r="A230" s="1246" t="s">
        <v>1490</v>
      </c>
      <c r="B230" s="1246" t="s">
        <v>428</v>
      </c>
      <c r="C230" s="1247">
        <v>0.45</v>
      </c>
      <c r="E230" s="1246" t="s">
        <v>370</v>
      </c>
      <c r="F230" s="1248">
        <v>1</v>
      </c>
      <c r="G230" s="1248">
        <v>1</v>
      </c>
      <c r="H230" s="1249">
        <v>1</v>
      </c>
      <c r="I230" s="1246" t="s">
        <v>1491</v>
      </c>
      <c r="J230" s="1246" t="s">
        <v>1399</v>
      </c>
      <c r="K230" s="1284" t="str">
        <f t="shared" si="3"/>
        <v>30</v>
      </c>
      <c r="L230" s="1246" t="s">
        <v>1508</v>
      </c>
      <c r="M230" s="1250">
        <v>1</v>
      </c>
      <c r="N230" s="1251">
        <v>27</v>
      </c>
      <c r="O230" s="1252">
        <v>27</v>
      </c>
    </row>
    <row r="231" spans="1:15">
      <c r="A231" s="1246" t="s">
        <v>1490</v>
      </c>
      <c r="B231" s="1246" t="s">
        <v>428</v>
      </c>
      <c r="C231" s="1247">
        <v>0.45</v>
      </c>
      <c r="F231" s="1248">
        <v>1</v>
      </c>
      <c r="G231" s="1248">
        <v>1</v>
      </c>
      <c r="H231" s="1249">
        <v>1</v>
      </c>
      <c r="I231" s="1246" t="s">
        <v>1491</v>
      </c>
      <c r="J231" s="1246" t="s">
        <v>1399</v>
      </c>
      <c r="K231" s="1284" t="str">
        <f t="shared" si="3"/>
        <v>30</v>
      </c>
      <c r="L231" s="1246" t="s">
        <v>1509</v>
      </c>
      <c r="M231" s="1250">
        <v>1</v>
      </c>
      <c r="N231" s="1251">
        <v>32</v>
      </c>
      <c r="O231" s="1252">
        <v>32</v>
      </c>
    </row>
    <row r="232" spans="1:15">
      <c r="A232" s="1246" t="s">
        <v>1490</v>
      </c>
      <c r="B232" s="1246" t="s">
        <v>428</v>
      </c>
      <c r="C232" s="1247">
        <v>0.45</v>
      </c>
      <c r="E232" s="1246" t="s">
        <v>370</v>
      </c>
      <c r="F232" s="1248">
        <v>1</v>
      </c>
      <c r="G232" s="1248">
        <v>1</v>
      </c>
      <c r="H232" s="1249">
        <v>1</v>
      </c>
      <c r="I232" s="1246" t="s">
        <v>1491</v>
      </c>
      <c r="J232" s="1246" t="s">
        <v>1399</v>
      </c>
      <c r="K232" s="1284" t="str">
        <f t="shared" si="3"/>
        <v>30</v>
      </c>
      <c r="L232" s="1246" t="s">
        <v>1509</v>
      </c>
      <c r="M232" s="1250">
        <v>1</v>
      </c>
      <c r="N232" s="1251">
        <v>6</v>
      </c>
      <c r="O232" s="1252">
        <v>6</v>
      </c>
    </row>
    <row r="233" spans="1:15">
      <c r="A233" s="1246" t="s">
        <v>1490</v>
      </c>
      <c r="B233" s="1246" t="s">
        <v>428</v>
      </c>
      <c r="C233" s="1247">
        <v>0.45</v>
      </c>
      <c r="F233" s="1248">
        <v>1</v>
      </c>
      <c r="G233" s="1248">
        <v>1</v>
      </c>
      <c r="H233" s="1249">
        <v>1</v>
      </c>
      <c r="I233" s="1246" t="s">
        <v>1491</v>
      </c>
      <c r="J233" s="1246" t="s">
        <v>1457</v>
      </c>
      <c r="K233" s="1284" t="str">
        <f t="shared" si="3"/>
        <v>35</v>
      </c>
      <c r="L233" s="1246" t="s">
        <v>1501</v>
      </c>
      <c r="M233" s="1250">
        <v>1</v>
      </c>
      <c r="N233" s="1251">
        <v>162</v>
      </c>
      <c r="O233" s="1252">
        <v>162</v>
      </c>
    </row>
    <row r="234" spans="1:15">
      <c r="A234" s="1246" t="s">
        <v>1490</v>
      </c>
      <c r="B234" s="1246" t="s">
        <v>428</v>
      </c>
      <c r="C234" s="1247">
        <v>0.45</v>
      </c>
      <c r="F234" s="1248">
        <v>1</v>
      </c>
      <c r="G234" s="1248">
        <v>1</v>
      </c>
      <c r="H234" s="1249">
        <v>1</v>
      </c>
      <c r="I234" s="1246" t="s">
        <v>1491</v>
      </c>
      <c r="J234" s="1246" t="s">
        <v>1399</v>
      </c>
      <c r="K234" s="1284" t="str">
        <f t="shared" si="3"/>
        <v>30</v>
      </c>
      <c r="L234" s="1246" t="s">
        <v>1510</v>
      </c>
      <c r="M234" s="1250">
        <v>1</v>
      </c>
      <c r="N234" s="1251">
        <v>116</v>
      </c>
      <c r="O234" s="1252">
        <v>116</v>
      </c>
    </row>
    <row r="235" spans="1:15">
      <c r="A235" s="1246" t="s">
        <v>1490</v>
      </c>
      <c r="B235" s="1246" t="s">
        <v>428</v>
      </c>
      <c r="C235" s="1247">
        <v>0.45</v>
      </c>
      <c r="E235" s="1246" t="s">
        <v>370</v>
      </c>
      <c r="F235" s="1248">
        <v>1</v>
      </c>
      <c r="G235" s="1248">
        <v>1</v>
      </c>
      <c r="H235" s="1249">
        <v>1</v>
      </c>
      <c r="I235" s="1246" t="s">
        <v>1491</v>
      </c>
      <c r="J235" s="1246" t="s">
        <v>1399</v>
      </c>
      <c r="K235" s="1284" t="str">
        <f t="shared" si="3"/>
        <v>30</v>
      </c>
      <c r="L235" s="1246" t="s">
        <v>1510</v>
      </c>
      <c r="M235" s="1250">
        <v>1</v>
      </c>
      <c r="N235" s="1251">
        <v>58</v>
      </c>
      <c r="O235" s="1252">
        <v>58</v>
      </c>
    </row>
    <row r="236" spans="1:15">
      <c r="A236" s="1246" t="s">
        <v>1490</v>
      </c>
      <c r="B236" s="1246" t="s">
        <v>428</v>
      </c>
      <c r="C236" s="1247">
        <v>0.45</v>
      </c>
      <c r="F236" s="1248">
        <v>1</v>
      </c>
      <c r="G236" s="1248">
        <v>1</v>
      </c>
      <c r="H236" s="1249">
        <v>1</v>
      </c>
      <c r="I236" s="1246" t="s">
        <v>1491</v>
      </c>
      <c r="J236" s="1246" t="s">
        <v>1399</v>
      </c>
      <c r="K236" s="1284" t="str">
        <f t="shared" si="3"/>
        <v>30</v>
      </c>
      <c r="L236" s="1246" t="s">
        <v>1511</v>
      </c>
      <c r="M236" s="1250">
        <v>2</v>
      </c>
      <c r="N236" s="1251">
        <v>15</v>
      </c>
      <c r="O236" s="1252">
        <v>15</v>
      </c>
    </row>
    <row r="237" spans="1:15">
      <c r="A237" s="1246" t="s">
        <v>1490</v>
      </c>
      <c r="B237" s="1246" t="s">
        <v>428</v>
      </c>
      <c r="C237" s="1247">
        <v>0.45</v>
      </c>
      <c r="E237" s="1246" t="s">
        <v>370</v>
      </c>
      <c r="F237" s="1248">
        <v>1</v>
      </c>
      <c r="G237" s="1248">
        <v>1</v>
      </c>
      <c r="H237" s="1249">
        <v>1</v>
      </c>
      <c r="I237" s="1246" t="s">
        <v>1491</v>
      </c>
      <c r="J237" s="1246" t="s">
        <v>1399</v>
      </c>
      <c r="K237" s="1284" t="str">
        <f t="shared" si="3"/>
        <v>30</v>
      </c>
      <c r="L237" s="1246" t="s">
        <v>1511</v>
      </c>
      <c r="M237" s="1250">
        <v>2</v>
      </c>
      <c r="N237" s="1251">
        <v>7</v>
      </c>
      <c r="O237" s="1252">
        <v>7</v>
      </c>
    </row>
    <row r="238" spans="1:15">
      <c r="A238" s="1246" t="s">
        <v>1490</v>
      </c>
      <c r="B238" s="1246" t="s">
        <v>428</v>
      </c>
      <c r="C238" s="1247">
        <v>0.45</v>
      </c>
      <c r="E238" s="1246" t="s">
        <v>370</v>
      </c>
      <c r="F238" s="1248">
        <v>1</v>
      </c>
      <c r="G238" s="1248">
        <v>1</v>
      </c>
      <c r="H238" s="1249">
        <v>1</v>
      </c>
      <c r="I238" s="1246" t="s">
        <v>1491</v>
      </c>
      <c r="J238" s="1246" t="s">
        <v>1399</v>
      </c>
      <c r="K238" s="1284" t="str">
        <f t="shared" si="3"/>
        <v>30</v>
      </c>
      <c r="L238" s="1246" t="s">
        <v>1512</v>
      </c>
      <c r="M238" s="1250">
        <v>2</v>
      </c>
      <c r="N238" s="1251">
        <v>2</v>
      </c>
      <c r="O238" s="1252">
        <v>2</v>
      </c>
    </row>
    <row r="239" spans="1:15">
      <c r="A239" s="1246" t="s">
        <v>1490</v>
      </c>
      <c r="B239" s="1246" t="s">
        <v>428</v>
      </c>
      <c r="C239" s="1247">
        <v>0.45</v>
      </c>
      <c r="F239" s="1248">
        <v>1</v>
      </c>
      <c r="G239" s="1248">
        <v>1</v>
      </c>
      <c r="H239" s="1249">
        <v>1</v>
      </c>
      <c r="I239" s="1246" t="s">
        <v>1491</v>
      </c>
      <c r="J239" s="1246" t="s">
        <v>1399</v>
      </c>
      <c r="K239" s="1284" t="str">
        <f t="shared" si="3"/>
        <v>30</v>
      </c>
      <c r="L239" s="1246" t="s">
        <v>1512</v>
      </c>
      <c r="M239" s="1250">
        <v>2</v>
      </c>
      <c r="N239" s="1251">
        <v>5</v>
      </c>
      <c r="O239" s="1252">
        <v>5</v>
      </c>
    </row>
    <row r="240" spans="1:15">
      <c r="A240" s="1246" t="s">
        <v>1490</v>
      </c>
      <c r="B240" s="1246" t="s">
        <v>428</v>
      </c>
      <c r="C240" s="1247">
        <v>0.45</v>
      </c>
      <c r="F240" s="1248">
        <v>1</v>
      </c>
      <c r="G240" s="1248">
        <v>1</v>
      </c>
      <c r="H240" s="1249">
        <v>1</v>
      </c>
      <c r="I240" s="1246" t="s">
        <v>1491</v>
      </c>
      <c r="J240" s="1246" t="s">
        <v>1455</v>
      </c>
      <c r="K240" s="1284" t="str">
        <f t="shared" si="3"/>
        <v>32</v>
      </c>
      <c r="L240" s="1246" t="s">
        <v>1513</v>
      </c>
      <c r="M240" s="1250">
        <v>2</v>
      </c>
      <c r="N240" s="1251">
        <v>54</v>
      </c>
      <c r="O240" s="1252">
        <v>54</v>
      </c>
    </row>
    <row r="241" spans="1:15">
      <c r="A241" s="1246" t="s">
        <v>1490</v>
      </c>
      <c r="B241" s="1246" t="s">
        <v>428</v>
      </c>
      <c r="C241" s="1247">
        <v>0.45</v>
      </c>
      <c r="E241" s="1246" t="s">
        <v>370</v>
      </c>
      <c r="F241" s="1248">
        <v>1</v>
      </c>
      <c r="G241" s="1248">
        <v>1</v>
      </c>
      <c r="H241" s="1249">
        <v>1</v>
      </c>
      <c r="I241" s="1246" t="s">
        <v>1491</v>
      </c>
      <c r="J241" s="1246" t="s">
        <v>1455</v>
      </c>
      <c r="K241" s="1284" t="str">
        <f t="shared" si="3"/>
        <v>32</v>
      </c>
      <c r="L241" s="1246" t="s">
        <v>1513</v>
      </c>
      <c r="M241" s="1250">
        <v>2</v>
      </c>
      <c r="N241" s="1251">
        <v>25</v>
      </c>
      <c r="O241" s="1252">
        <v>25</v>
      </c>
    </row>
    <row r="242" spans="1:15">
      <c r="A242" s="1246" t="s">
        <v>1490</v>
      </c>
      <c r="B242" s="1246" t="s">
        <v>428</v>
      </c>
      <c r="C242" s="1247">
        <v>0.45</v>
      </c>
      <c r="F242" s="1248">
        <v>1</v>
      </c>
      <c r="G242" s="1248">
        <v>1</v>
      </c>
      <c r="H242" s="1249">
        <v>1</v>
      </c>
      <c r="I242" s="1246" t="s">
        <v>1491</v>
      </c>
      <c r="J242" s="1246" t="s">
        <v>1454</v>
      </c>
      <c r="K242" s="1284" t="str">
        <f t="shared" si="3"/>
        <v>31</v>
      </c>
      <c r="L242" s="1246" t="s">
        <v>1500</v>
      </c>
      <c r="M242" s="1250">
        <v>2</v>
      </c>
      <c r="N242" s="1251">
        <v>655</v>
      </c>
      <c r="O242" s="1252">
        <v>655</v>
      </c>
    </row>
    <row r="243" spans="1:15">
      <c r="A243" s="1246" t="s">
        <v>1490</v>
      </c>
      <c r="B243" s="1246" t="s">
        <v>428</v>
      </c>
      <c r="C243" s="1247">
        <v>0.45</v>
      </c>
      <c r="E243" s="1246" t="s">
        <v>370</v>
      </c>
      <c r="F243" s="1248">
        <v>1</v>
      </c>
      <c r="G243" s="1248">
        <v>1</v>
      </c>
      <c r="H243" s="1249">
        <v>1</v>
      </c>
      <c r="I243" s="1246" t="s">
        <v>1491</v>
      </c>
      <c r="J243" s="1246" t="s">
        <v>1454</v>
      </c>
      <c r="K243" s="1284" t="str">
        <f t="shared" si="3"/>
        <v>31</v>
      </c>
      <c r="L243" s="1246" t="s">
        <v>1500</v>
      </c>
      <c r="M243" s="1250">
        <v>2</v>
      </c>
      <c r="N243" s="1251">
        <v>130</v>
      </c>
      <c r="O243" s="1252">
        <v>130</v>
      </c>
    </row>
    <row r="244" spans="1:15">
      <c r="A244" s="1246" t="s">
        <v>1490</v>
      </c>
      <c r="B244" s="1246" t="s">
        <v>428</v>
      </c>
      <c r="C244" s="1247">
        <v>0.45</v>
      </c>
      <c r="E244" s="1246" t="s">
        <v>370</v>
      </c>
      <c r="F244" s="1248">
        <v>1</v>
      </c>
      <c r="G244" s="1248">
        <v>1</v>
      </c>
      <c r="H244" s="1249">
        <v>1</v>
      </c>
      <c r="I244" s="1246" t="s">
        <v>1491</v>
      </c>
      <c r="J244" s="1246" t="s">
        <v>1458</v>
      </c>
      <c r="K244" s="1284" t="str">
        <f t="shared" si="3"/>
        <v>36</v>
      </c>
      <c r="L244" s="1246" t="s">
        <v>1514</v>
      </c>
      <c r="M244" s="1250">
        <v>2</v>
      </c>
      <c r="N244" s="1251">
        <v>36</v>
      </c>
      <c r="O244" s="1252">
        <v>36</v>
      </c>
    </row>
    <row r="245" spans="1:15">
      <c r="A245" s="1246" t="s">
        <v>1490</v>
      </c>
      <c r="B245" s="1246" t="s">
        <v>428</v>
      </c>
      <c r="C245" s="1247">
        <v>0.45</v>
      </c>
      <c r="F245" s="1248">
        <v>1</v>
      </c>
      <c r="G245" s="1248">
        <v>1</v>
      </c>
      <c r="H245" s="1249">
        <v>1</v>
      </c>
      <c r="I245" s="1246" t="s">
        <v>1491</v>
      </c>
      <c r="J245" s="1246" t="s">
        <v>1458</v>
      </c>
      <c r="K245" s="1284" t="str">
        <f t="shared" si="3"/>
        <v>36</v>
      </c>
      <c r="L245" s="1246" t="s">
        <v>1514</v>
      </c>
      <c r="M245" s="1250">
        <v>2</v>
      </c>
      <c r="N245" s="1251">
        <v>60</v>
      </c>
      <c r="O245" s="1252">
        <v>60</v>
      </c>
    </row>
    <row r="246" spans="1:15">
      <c r="A246" s="1246" t="s">
        <v>1490</v>
      </c>
      <c r="B246" s="1246" t="s">
        <v>428</v>
      </c>
      <c r="C246" s="1247">
        <v>0.45</v>
      </c>
      <c r="F246" s="1248">
        <v>1</v>
      </c>
      <c r="G246" s="1248">
        <v>1</v>
      </c>
      <c r="H246" s="1249">
        <v>1</v>
      </c>
      <c r="I246" s="1246" t="s">
        <v>1491</v>
      </c>
      <c r="J246" s="1246" t="s">
        <v>1399</v>
      </c>
      <c r="K246" s="1284" t="str">
        <f t="shared" si="3"/>
        <v>30</v>
      </c>
      <c r="L246" s="1246" t="s">
        <v>1515</v>
      </c>
      <c r="M246" s="1250">
        <v>2</v>
      </c>
      <c r="N246" s="1251">
        <v>61</v>
      </c>
      <c r="O246" s="1252">
        <v>61</v>
      </c>
    </row>
    <row r="247" spans="1:15">
      <c r="A247" s="1246" t="s">
        <v>1490</v>
      </c>
      <c r="B247" s="1246" t="s">
        <v>428</v>
      </c>
      <c r="C247" s="1247">
        <v>0.45</v>
      </c>
      <c r="E247" s="1246" t="s">
        <v>370</v>
      </c>
      <c r="F247" s="1248">
        <v>1</v>
      </c>
      <c r="G247" s="1248">
        <v>1</v>
      </c>
      <c r="H247" s="1249">
        <v>1</v>
      </c>
      <c r="I247" s="1246" t="s">
        <v>1491</v>
      </c>
      <c r="J247" s="1246" t="s">
        <v>1399</v>
      </c>
      <c r="K247" s="1284" t="str">
        <f t="shared" si="3"/>
        <v>30</v>
      </c>
      <c r="L247" s="1246" t="s">
        <v>1515</v>
      </c>
      <c r="M247" s="1250">
        <v>2</v>
      </c>
      <c r="N247" s="1251">
        <v>34</v>
      </c>
      <c r="O247" s="1252">
        <v>34</v>
      </c>
    </row>
    <row r="248" spans="1:15">
      <c r="A248" s="1246" t="s">
        <v>1490</v>
      </c>
      <c r="B248" s="1246" t="s">
        <v>428</v>
      </c>
      <c r="C248" s="1247">
        <v>0.45</v>
      </c>
      <c r="F248" s="1248">
        <v>1</v>
      </c>
      <c r="G248" s="1248">
        <v>1</v>
      </c>
      <c r="H248" s="1249">
        <v>1</v>
      </c>
      <c r="I248" s="1246" t="s">
        <v>1491</v>
      </c>
      <c r="J248" s="1246" t="s">
        <v>1399</v>
      </c>
      <c r="K248" s="1284" t="str">
        <f t="shared" si="3"/>
        <v>30</v>
      </c>
      <c r="L248" s="1246" t="s">
        <v>1516</v>
      </c>
      <c r="M248" s="1250">
        <v>2</v>
      </c>
      <c r="N248" s="1251">
        <v>24</v>
      </c>
      <c r="O248" s="1252">
        <v>24</v>
      </c>
    </row>
    <row r="249" spans="1:15">
      <c r="A249" s="1246" t="s">
        <v>1490</v>
      </c>
      <c r="B249" s="1246" t="s">
        <v>428</v>
      </c>
      <c r="C249" s="1247">
        <v>0.45</v>
      </c>
      <c r="E249" s="1246" t="s">
        <v>370</v>
      </c>
      <c r="F249" s="1248">
        <v>1</v>
      </c>
      <c r="G249" s="1248">
        <v>1</v>
      </c>
      <c r="H249" s="1249">
        <v>1</v>
      </c>
      <c r="I249" s="1246" t="s">
        <v>1491</v>
      </c>
      <c r="J249" s="1246" t="s">
        <v>1399</v>
      </c>
      <c r="K249" s="1284" t="str">
        <f t="shared" si="3"/>
        <v>30</v>
      </c>
      <c r="L249" s="1246" t="s">
        <v>1516</v>
      </c>
      <c r="M249" s="1250">
        <v>2</v>
      </c>
      <c r="N249" s="1251">
        <v>7</v>
      </c>
      <c r="O249" s="1252">
        <v>7</v>
      </c>
    </row>
    <row r="250" spans="1:15">
      <c r="A250" s="1246" t="s">
        <v>1490</v>
      </c>
      <c r="B250" s="1246" t="s">
        <v>428</v>
      </c>
      <c r="C250" s="1247">
        <v>0.45</v>
      </c>
      <c r="F250" s="1248">
        <v>1</v>
      </c>
      <c r="G250" s="1248">
        <v>1</v>
      </c>
      <c r="H250" s="1249">
        <v>1</v>
      </c>
      <c r="I250" s="1246" t="s">
        <v>1491</v>
      </c>
      <c r="J250" s="1246" t="s">
        <v>1457</v>
      </c>
      <c r="K250" s="1284" t="str">
        <f t="shared" si="3"/>
        <v>35</v>
      </c>
      <c r="L250" s="1246" t="s">
        <v>1517</v>
      </c>
      <c r="M250" s="1250">
        <v>2</v>
      </c>
      <c r="N250" s="1251">
        <v>190</v>
      </c>
      <c r="O250" s="1252">
        <v>190</v>
      </c>
    </row>
    <row r="251" spans="1:15">
      <c r="A251" s="1246" t="s">
        <v>1490</v>
      </c>
      <c r="B251" s="1246" t="s">
        <v>428</v>
      </c>
      <c r="C251" s="1247">
        <v>0.45</v>
      </c>
      <c r="E251" s="1246" t="s">
        <v>370</v>
      </c>
      <c r="F251" s="1248">
        <v>1</v>
      </c>
      <c r="G251" s="1248">
        <v>1</v>
      </c>
      <c r="H251" s="1249">
        <v>1</v>
      </c>
      <c r="I251" s="1246" t="s">
        <v>1491</v>
      </c>
      <c r="J251" s="1246" t="s">
        <v>1399</v>
      </c>
      <c r="K251" s="1284" t="str">
        <f t="shared" si="3"/>
        <v>30</v>
      </c>
      <c r="L251" s="1246" t="s">
        <v>1518</v>
      </c>
      <c r="M251" s="1250">
        <v>2</v>
      </c>
      <c r="N251" s="1251">
        <v>49</v>
      </c>
      <c r="O251" s="1252">
        <v>49</v>
      </c>
    </row>
    <row r="252" spans="1:15">
      <c r="A252" s="1246" t="s">
        <v>1490</v>
      </c>
      <c r="B252" s="1246" t="s">
        <v>428</v>
      </c>
      <c r="C252" s="1247">
        <v>0.45</v>
      </c>
      <c r="F252" s="1248">
        <v>1</v>
      </c>
      <c r="G252" s="1248">
        <v>1</v>
      </c>
      <c r="H252" s="1249">
        <v>1</v>
      </c>
      <c r="I252" s="1246" t="s">
        <v>1491</v>
      </c>
      <c r="J252" s="1246" t="s">
        <v>1399</v>
      </c>
      <c r="K252" s="1284" t="str">
        <f t="shared" si="3"/>
        <v>30</v>
      </c>
      <c r="L252" s="1246" t="s">
        <v>1518</v>
      </c>
      <c r="M252" s="1250">
        <v>2</v>
      </c>
      <c r="N252" s="1251">
        <v>111</v>
      </c>
      <c r="O252" s="1252">
        <v>111</v>
      </c>
    </row>
    <row r="253" spans="1:15">
      <c r="A253" s="1246" t="s">
        <v>1490</v>
      </c>
      <c r="B253" s="1246" t="s">
        <v>428</v>
      </c>
      <c r="C253" s="1247">
        <v>0.45</v>
      </c>
      <c r="E253" s="1246" t="s">
        <v>370</v>
      </c>
      <c r="F253" s="1248">
        <v>1</v>
      </c>
      <c r="G253" s="1248">
        <v>1</v>
      </c>
      <c r="H253" s="1249">
        <v>1</v>
      </c>
      <c r="I253" s="1246" t="s">
        <v>1491</v>
      </c>
      <c r="J253" s="1246" t="s">
        <v>1456</v>
      </c>
      <c r="K253" s="1284" t="str">
        <f t="shared" si="3"/>
        <v>33</v>
      </c>
      <c r="L253" s="1246" t="s">
        <v>1519</v>
      </c>
      <c r="M253" s="1250">
        <v>2</v>
      </c>
      <c r="N253" s="1251">
        <v>263</v>
      </c>
      <c r="O253" s="1252">
        <v>263</v>
      </c>
    </row>
    <row r="254" spans="1:15">
      <c r="A254" s="1246" t="s">
        <v>1490</v>
      </c>
      <c r="B254" s="1246" t="s">
        <v>428</v>
      </c>
      <c r="C254" s="1247">
        <v>0.45</v>
      </c>
      <c r="F254" s="1248">
        <v>1</v>
      </c>
      <c r="G254" s="1248">
        <v>1</v>
      </c>
      <c r="H254" s="1249">
        <v>1</v>
      </c>
      <c r="I254" s="1246" t="s">
        <v>1491</v>
      </c>
      <c r="J254" s="1246" t="s">
        <v>1456</v>
      </c>
      <c r="K254" s="1284" t="str">
        <f t="shared" si="3"/>
        <v>33</v>
      </c>
      <c r="L254" s="1246" t="s">
        <v>1519</v>
      </c>
      <c r="M254" s="1250">
        <v>2</v>
      </c>
      <c r="N254" s="1251">
        <v>637</v>
      </c>
      <c r="O254" s="1252">
        <v>637</v>
      </c>
    </row>
    <row r="255" spans="1:15">
      <c r="A255" s="1246" t="s">
        <v>1490</v>
      </c>
      <c r="B255" s="1246" t="s">
        <v>428</v>
      </c>
      <c r="C255" s="1247">
        <v>0.45</v>
      </c>
      <c r="E255" s="1246" t="s">
        <v>370</v>
      </c>
      <c r="F255" s="1248">
        <v>1</v>
      </c>
      <c r="G255" s="1248">
        <v>1</v>
      </c>
      <c r="H255" s="1249">
        <v>1</v>
      </c>
      <c r="I255" s="1246" t="s">
        <v>1491</v>
      </c>
      <c r="J255" s="1246" t="s">
        <v>1399</v>
      </c>
      <c r="K255" s="1284" t="str">
        <f t="shared" si="3"/>
        <v>30</v>
      </c>
      <c r="L255" s="1246" t="s">
        <v>1520</v>
      </c>
      <c r="M255" s="1250">
        <v>3</v>
      </c>
      <c r="N255" s="1251">
        <v>5</v>
      </c>
      <c r="O255" s="1252">
        <v>5</v>
      </c>
    </row>
    <row r="256" spans="1:15">
      <c r="A256" s="1246" t="s">
        <v>1490</v>
      </c>
      <c r="B256" s="1246" t="s">
        <v>428</v>
      </c>
      <c r="C256" s="1247">
        <v>0.45</v>
      </c>
      <c r="F256" s="1248">
        <v>1</v>
      </c>
      <c r="G256" s="1248">
        <v>1</v>
      </c>
      <c r="H256" s="1249">
        <v>1</v>
      </c>
      <c r="I256" s="1246" t="s">
        <v>1491</v>
      </c>
      <c r="J256" s="1246" t="s">
        <v>1399</v>
      </c>
      <c r="K256" s="1284" t="str">
        <f t="shared" si="3"/>
        <v>30</v>
      </c>
      <c r="L256" s="1246" t="s">
        <v>1520</v>
      </c>
      <c r="M256" s="1250">
        <v>3</v>
      </c>
      <c r="N256" s="1251">
        <v>15</v>
      </c>
      <c r="O256" s="1252">
        <v>15</v>
      </c>
    </row>
    <row r="257" spans="1:15">
      <c r="A257" s="1246" t="s">
        <v>1490</v>
      </c>
      <c r="B257" s="1246" t="s">
        <v>428</v>
      </c>
      <c r="C257" s="1247">
        <v>0.45</v>
      </c>
      <c r="F257" s="1248">
        <v>1</v>
      </c>
      <c r="G257" s="1248">
        <v>1</v>
      </c>
      <c r="H257" s="1249">
        <v>1</v>
      </c>
      <c r="I257" s="1246" t="s">
        <v>1491</v>
      </c>
      <c r="J257" s="1246" t="s">
        <v>1399</v>
      </c>
      <c r="K257" s="1284" t="str">
        <f t="shared" si="3"/>
        <v>30</v>
      </c>
      <c r="L257" s="1246" t="s">
        <v>1521</v>
      </c>
      <c r="M257" s="1250">
        <v>3</v>
      </c>
      <c r="N257" s="1251">
        <v>1</v>
      </c>
      <c r="O257" s="1252">
        <v>1</v>
      </c>
    </row>
    <row r="258" spans="1:15">
      <c r="A258" s="1246" t="s">
        <v>1490</v>
      </c>
      <c r="B258" s="1246" t="s">
        <v>428</v>
      </c>
      <c r="C258" s="1247">
        <v>0.45</v>
      </c>
      <c r="F258" s="1248">
        <v>1</v>
      </c>
      <c r="G258" s="1248">
        <v>1</v>
      </c>
      <c r="H258" s="1249">
        <v>1</v>
      </c>
      <c r="I258" s="1246" t="s">
        <v>1491</v>
      </c>
      <c r="J258" s="1246" t="s">
        <v>1455</v>
      </c>
      <c r="K258" s="1284" t="str">
        <f t="shared" ref="K258:K321" si="4">IF(J258="1B","10", IF(J258="2B","20",IF(J258="3B","30",IF(J258="7B",70,J258))))</f>
        <v>32</v>
      </c>
      <c r="L258" s="1246" t="s">
        <v>1522</v>
      </c>
      <c r="M258" s="1250">
        <v>3</v>
      </c>
      <c r="N258" s="1251">
        <v>51</v>
      </c>
      <c r="O258" s="1252">
        <v>51</v>
      </c>
    </row>
    <row r="259" spans="1:15">
      <c r="A259" s="1246" t="s">
        <v>1490</v>
      </c>
      <c r="B259" s="1246" t="s">
        <v>428</v>
      </c>
      <c r="C259" s="1247">
        <v>0.45</v>
      </c>
      <c r="E259" s="1246" t="s">
        <v>370</v>
      </c>
      <c r="F259" s="1248">
        <v>1</v>
      </c>
      <c r="G259" s="1248">
        <v>1</v>
      </c>
      <c r="H259" s="1249">
        <v>1</v>
      </c>
      <c r="I259" s="1246" t="s">
        <v>1491</v>
      </c>
      <c r="J259" s="1246" t="s">
        <v>1455</v>
      </c>
      <c r="K259" s="1284" t="str">
        <f t="shared" si="4"/>
        <v>32</v>
      </c>
      <c r="L259" s="1246" t="s">
        <v>1522</v>
      </c>
      <c r="M259" s="1250">
        <v>3</v>
      </c>
      <c r="N259" s="1251">
        <v>35</v>
      </c>
      <c r="O259" s="1252">
        <v>35</v>
      </c>
    </row>
    <row r="260" spans="1:15">
      <c r="A260" s="1246" t="s">
        <v>1490</v>
      </c>
      <c r="B260" s="1246" t="s">
        <v>428</v>
      </c>
      <c r="C260" s="1247">
        <v>0.45</v>
      </c>
      <c r="E260" s="1246" t="s">
        <v>370</v>
      </c>
      <c r="F260" s="1248">
        <v>1</v>
      </c>
      <c r="G260" s="1248">
        <v>1</v>
      </c>
      <c r="H260" s="1249">
        <v>1</v>
      </c>
      <c r="I260" s="1246" t="s">
        <v>1491</v>
      </c>
      <c r="J260" s="1246" t="s">
        <v>1454</v>
      </c>
      <c r="K260" s="1284" t="str">
        <f t="shared" si="4"/>
        <v>31</v>
      </c>
      <c r="L260" s="1246" t="s">
        <v>1523</v>
      </c>
      <c r="M260" s="1250">
        <v>3</v>
      </c>
      <c r="N260" s="1251">
        <v>140</v>
      </c>
      <c r="O260" s="1252">
        <v>140</v>
      </c>
    </row>
    <row r="261" spans="1:15">
      <c r="A261" s="1246" t="s">
        <v>1490</v>
      </c>
      <c r="B261" s="1246" t="s">
        <v>428</v>
      </c>
      <c r="C261" s="1247">
        <v>0.45</v>
      </c>
      <c r="F261" s="1248">
        <v>1</v>
      </c>
      <c r="G261" s="1248">
        <v>1</v>
      </c>
      <c r="H261" s="1249">
        <v>1</v>
      </c>
      <c r="I261" s="1246" t="s">
        <v>1491</v>
      </c>
      <c r="J261" s="1246" t="s">
        <v>1454</v>
      </c>
      <c r="K261" s="1284" t="str">
        <f t="shared" si="4"/>
        <v>31</v>
      </c>
      <c r="L261" s="1246" t="s">
        <v>1523</v>
      </c>
      <c r="M261" s="1250">
        <v>3</v>
      </c>
      <c r="N261" s="1251">
        <v>651</v>
      </c>
      <c r="O261" s="1252">
        <v>651</v>
      </c>
    </row>
    <row r="262" spans="1:15">
      <c r="A262" s="1246" t="s">
        <v>1490</v>
      </c>
      <c r="B262" s="1246" t="s">
        <v>428</v>
      </c>
      <c r="C262" s="1247">
        <v>0.45</v>
      </c>
      <c r="F262" s="1248">
        <v>1</v>
      </c>
      <c r="G262" s="1248">
        <v>1</v>
      </c>
      <c r="H262" s="1249">
        <v>1</v>
      </c>
      <c r="I262" s="1246" t="s">
        <v>1491</v>
      </c>
      <c r="J262" s="1246" t="s">
        <v>1458</v>
      </c>
      <c r="K262" s="1284" t="str">
        <f t="shared" si="4"/>
        <v>36</v>
      </c>
      <c r="L262" s="1246" t="s">
        <v>1524</v>
      </c>
      <c r="M262" s="1250">
        <v>3</v>
      </c>
      <c r="N262" s="1251">
        <v>54</v>
      </c>
      <c r="O262" s="1252">
        <v>54</v>
      </c>
    </row>
    <row r="263" spans="1:15">
      <c r="A263" s="1246" t="s">
        <v>1490</v>
      </c>
      <c r="B263" s="1246" t="s">
        <v>428</v>
      </c>
      <c r="C263" s="1247">
        <v>0.45</v>
      </c>
      <c r="E263" s="1246" t="s">
        <v>370</v>
      </c>
      <c r="F263" s="1248">
        <v>1</v>
      </c>
      <c r="G263" s="1248">
        <v>1</v>
      </c>
      <c r="H263" s="1249">
        <v>1</v>
      </c>
      <c r="I263" s="1246" t="s">
        <v>1491</v>
      </c>
      <c r="J263" s="1246" t="s">
        <v>1458</v>
      </c>
      <c r="K263" s="1284" t="str">
        <f t="shared" si="4"/>
        <v>36</v>
      </c>
      <c r="L263" s="1246" t="s">
        <v>1524</v>
      </c>
      <c r="M263" s="1250">
        <v>3</v>
      </c>
      <c r="N263" s="1251">
        <v>23</v>
      </c>
      <c r="O263" s="1252">
        <v>23</v>
      </c>
    </row>
    <row r="264" spans="1:15">
      <c r="A264" s="1246" t="s">
        <v>1490</v>
      </c>
      <c r="B264" s="1246" t="s">
        <v>428</v>
      </c>
      <c r="C264" s="1247">
        <v>0.45</v>
      </c>
      <c r="E264" s="1246" t="s">
        <v>370</v>
      </c>
      <c r="F264" s="1248">
        <v>1</v>
      </c>
      <c r="G264" s="1248">
        <v>1</v>
      </c>
      <c r="H264" s="1249">
        <v>1</v>
      </c>
      <c r="I264" s="1246" t="s">
        <v>1491</v>
      </c>
      <c r="J264" s="1246" t="s">
        <v>1399</v>
      </c>
      <c r="K264" s="1284" t="str">
        <f t="shared" si="4"/>
        <v>30</v>
      </c>
      <c r="L264" s="1246" t="s">
        <v>1525</v>
      </c>
      <c r="M264" s="1250">
        <v>3</v>
      </c>
      <c r="N264" s="1251">
        <v>19</v>
      </c>
      <c r="O264" s="1252">
        <v>19</v>
      </c>
    </row>
    <row r="265" spans="1:15">
      <c r="A265" s="1246" t="s">
        <v>1490</v>
      </c>
      <c r="B265" s="1246" t="s">
        <v>428</v>
      </c>
      <c r="C265" s="1247">
        <v>0.45</v>
      </c>
      <c r="F265" s="1248">
        <v>1</v>
      </c>
      <c r="G265" s="1248">
        <v>1</v>
      </c>
      <c r="H265" s="1249">
        <v>1</v>
      </c>
      <c r="I265" s="1246" t="s">
        <v>1491</v>
      </c>
      <c r="J265" s="1246" t="s">
        <v>1399</v>
      </c>
      <c r="K265" s="1284" t="str">
        <f t="shared" si="4"/>
        <v>30</v>
      </c>
      <c r="L265" s="1246" t="s">
        <v>1525</v>
      </c>
      <c r="M265" s="1250">
        <v>3</v>
      </c>
      <c r="N265" s="1251">
        <v>79</v>
      </c>
      <c r="O265" s="1252">
        <v>79</v>
      </c>
    </row>
    <row r="266" spans="1:15">
      <c r="A266" s="1246" t="s">
        <v>1490</v>
      </c>
      <c r="B266" s="1246" t="s">
        <v>428</v>
      </c>
      <c r="C266" s="1247">
        <v>0.45</v>
      </c>
      <c r="F266" s="1248">
        <v>1</v>
      </c>
      <c r="G266" s="1248">
        <v>1</v>
      </c>
      <c r="H266" s="1249">
        <v>1</v>
      </c>
      <c r="I266" s="1246" t="s">
        <v>1491</v>
      </c>
      <c r="J266" s="1246" t="s">
        <v>1399</v>
      </c>
      <c r="K266" s="1284" t="str">
        <f t="shared" si="4"/>
        <v>30</v>
      </c>
      <c r="L266" s="1246" t="s">
        <v>1526</v>
      </c>
      <c r="M266" s="1250">
        <v>3</v>
      </c>
      <c r="N266" s="1251">
        <v>23</v>
      </c>
      <c r="O266" s="1252">
        <v>23</v>
      </c>
    </row>
    <row r="267" spans="1:15">
      <c r="A267" s="1246" t="s">
        <v>1490</v>
      </c>
      <c r="B267" s="1246" t="s">
        <v>428</v>
      </c>
      <c r="C267" s="1247">
        <v>0.45</v>
      </c>
      <c r="E267" s="1246" t="s">
        <v>370</v>
      </c>
      <c r="F267" s="1248">
        <v>1</v>
      </c>
      <c r="G267" s="1248">
        <v>1</v>
      </c>
      <c r="H267" s="1249">
        <v>1</v>
      </c>
      <c r="I267" s="1246" t="s">
        <v>1491</v>
      </c>
      <c r="J267" s="1246" t="s">
        <v>1399</v>
      </c>
      <c r="K267" s="1284" t="str">
        <f t="shared" si="4"/>
        <v>30</v>
      </c>
      <c r="L267" s="1246" t="s">
        <v>1526</v>
      </c>
      <c r="M267" s="1250">
        <v>3</v>
      </c>
      <c r="N267" s="1251">
        <v>6</v>
      </c>
      <c r="O267" s="1252">
        <v>6</v>
      </c>
    </row>
    <row r="268" spans="1:15">
      <c r="A268" s="1246" t="s">
        <v>1490</v>
      </c>
      <c r="B268" s="1246" t="s">
        <v>428</v>
      </c>
      <c r="C268" s="1247">
        <v>0.45</v>
      </c>
      <c r="F268" s="1248">
        <v>1</v>
      </c>
      <c r="G268" s="1248">
        <v>1</v>
      </c>
      <c r="H268" s="1249">
        <v>1</v>
      </c>
      <c r="I268" s="1246" t="s">
        <v>1491</v>
      </c>
      <c r="J268" s="1246" t="s">
        <v>1454</v>
      </c>
      <c r="K268" s="1284" t="str">
        <f t="shared" si="4"/>
        <v>31</v>
      </c>
      <c r="L268" s="1246" t="s">
        <v>1527</v>
      </c>
      <c r="M268" s="1250">
        <v>3</v>
      </c>
      <c r="N268" s="1251">
        <v>1</v>
      </c>
      <c r="O268" s="1252">
        <v>1</v>
      </c>
    </row>
    <row r="269" spans="1:15">
      <c r="A269" s="1246" t="s">
        <v>1490</v>
      </c>
      <c r="B269" s="1246" t="s">
        <v>428</v>
      </c>
      <c r="C269" s="1247">
        <v>0.45</v>
      </c>
      <c r="F269" s="1248">
        <v>1</v>
      </c>
      <c r="G269" s="1248">
        <v>1</v>
      </c>
      <c r="H269" s="1249">
        <v>1</v>
      </c>
      <c r="I269" s="1246" t="s">
        <v>1491</v>
      </c>
      <c r="J269" s="1246" t="s">
        <v>1457</v>
      </c>
      <c r="K269" s="1284" t="str">
        <f t="shared" si="4"/>
        <v>35</v>
      </c>
      <c r="L269" s="1246" t="s">
        <v>1527</v>
      </c>
      <c r="M269" s="1250">
        <v>3</v>
      </c>
      <c r="N269" s="1251">
        <v>159</v>
      </c>
      <c r="O269" s="1252">
        <v>159</v>
      </c>
    </row>
    <row r="270" spans="1:15">
      <c r="A270" s="1246" t="s">
        <v>1490</v>
      </c>
      <c r="B270" s="1246" t="s">
        <v>428</v>
      </c>
      <c r="C270" s="1247">
        <v>0.45</v>
      </c>
      <c r="F270" s="1248">
        <v>1</v>
      </c>
      <c r="G270" s="1248">
        <v>1</v>
      </c>
      <c r="H270" s="1249">
        <v>1</v>
      </c>
      <c r="I270" s="1246" t="s">
        <v>1491</v>
      </c>
      <c r="J270" s="1246" t="s">
        <v>1459</v>
      </c>
      <c r="K270" s="1284" t="str">
        <f t="shared" si="4"/>
        <v>3A</v>
      </c>
      <c r="L270" s="1246" t="s">
        <v>1492</v>
      </c>
      <c r="M270" s="1250">
        <v>3</v>
      </c>
      <c r="N270" s="1251">
        <v>50</v>
      </c>
      <c r="O270" s="1252">
        <v>50</v>
      </c>
    </row>
    <row r="271" spans="1:15">
      <c r="A271" s="1246" t="s">
        <v>1490</v>
      </c>
      <c r="B271" s="1246" t="s">
        <v>428</v>
      </c>
      <c r="C271" s="1247">
        <v>0.45</v>
      </c>
      <c r="F271" s="1248">
        <v>1</v>
      </c>
      <c r="G271" s="1248">
        <v>1</v>
      </c>
      <c r="H271" s="1249">
        <v>1</v>
      </c>
      <c r="I271" s="1246" t="s">
        <v>1491</v>
      </c>
      <c r="J271" s="1246" t="s">
        <v>1399</v>
      </c>
      <c r="K271" s="1284" t="str">
        <f t="shared" si="4"/>
        <v>30</v>
      </c>
      <c r="L271" s="1246" t="s">
        <v>1528</v>
      </c>
      <c r="M271" s="1250">
        <v>3</v>
      </c>
      <c r="N271" s="1251">
        <v>148</v>
      </c>
      <c r="O271" s="1252">
        <v>148</v>
      </c>
    </row>
    <row r="272" spans="1:15">
      <c r="A272" s="1246" t="s">
        <v>1490</v>
      </c>
      <c r="B272" s="1246" t="s">
        <v>428</v>
      </c>
      <c r="C272" s="1247">
        <v>0.45</v>
      </c>
      <c r="E272" s="1246" t="s">
        <v>370</v>
      </c>
      <c r="F272" s="1248">
        <v>1</v>
      </c>
      <c r="G272" s="1248">
        <v>1</v>
      </c>
      <c r="H272" s="1249">
        <v>1</v>
      </c>
      <c r="I272" s="1246" t="s">
        <v>1491</v>
      </c>
      <c r="J272" s="1246" t="s">
        <v>1399</v>
      </c>
      <c r="K272" s="1284" t="str">
        <f t="shared" si="4"/>
        <v>30</v>
      </c>
      <c r="L272" s="1246" t="s">
        <v>1528</v>
      </c>
      <c r="M272" s="1250">
        <v>3</v>
      </c>
      <c r="N272" s="1251">
        <v>97</v>
      </c>
      <c r="O272" s="1252">
        <v>97</v>
      </c>
    </row>
    <row r="273" spans="1:15">
      <c r="A273" s="1246" t="s">
        <v>1493</v>
      </c>
      <c r="B273" s="1246" t="s">
        <v>428</v>
      </c>
      <c r="C273" s="1247">
        <v>0.45</v>
      </c>
      <c r="E273" s="1246" t="s">
        <v>370</v>
      </c>
      <c r="F273" s="1248">
        <v>1</v>
      </c>
      <c r="G273" s="1248">
        <v>1</v>
      </c>
      <c r="H273" s="1249">
        <v>1</v>
      </c>
      <c r="I273" s="1246" t="s">
        <v>1491</v>
      </c>
      <c r="J273" s="1246" t="s">
        <v>1397</v>
      </c>
      <c r="K273" s="1284" t="str">
        <f t="shared" si="4"/>
        <v>10</v>
      </c>
      <c r="L273" s="1246" t="s">
        <v>1537</v>
      </c>
      <c r="M273" s="1250">
        <v>9</v>
      </c>
      <c r="N273" s="1251">
        <v>2</v>
      </c>
      <c r="O273" s="1252">
        <v>2</v>
      </c>
    </row>
    <row r="274" spans="1:15">
      <c r="A274" s="1246" t="s">
        <v>1493</v>
      </c>
      <c r="B274" s="1246" t="s">
        <v>428</v>
      </c>
      <c r="C274" s="1247">
        <v>0.45</v>
      </c>
      <c r="E274" s="1246" t="s">
        <v>370</v>
      </c>
      <c r="F274" s="1248">
        <v>1</v>
      </c>
      <c r="G274" s="1248">
        <v>1</v>
      </c>
      <c r="H274" s="1249">
        <v>1</v>
      </c>
      <c r="I274" s="1246" t="s">
        <v>1491</v>
      </c>
      <c r="J274" s="1246" t="s">
        <v>1437</v>
      </c>
      <c r="K274" s="1284" t="str">
        <f t="shared" si="4"/>
        <v>12</v>
      </c>
      <c r="L274" s="1246" t="s">
        <v>1529</v>
      </c>
      <c r="M274" s="1250">
        <v>9</v>
      </c>
      <c r="N274" s="1251">
        <v>10</v>
      </c>
      <c r="O274" s="1252">
        <v>10</v>
      </c>
    </row>
    <row r="275" spans="1:15">
      <c r="A275" s="1246" t="s">
        <v>1493</v>
      </c>
      <c r="B275" s="1246" t="s">
        <v>428</v>
      </c>
      <c r="C275" s="1247">
        <v>0.45</v>
      </c>
      <c r="E275" s="1246" t="s">
        <v>370</v>
      </c>
      <c r="F275" s="1248">
        <v>1</v>
      </c>
      <c r="G275" s="1248">
        <v>1</v>
      </c>
      <c r="H275" s="1249">
        <v>1</v>
      </c>
      <c r="I275" s="1246" t="s">
        <v>1491</v>
      </c>
      <c r="J275" s="1246" t="s">
        <v>1436</v>
      </c>
      <c r="K275" s="1284" t="str">
        <f t="shared" si="4"/>
        <v>11</v>
      </c>
      <c r="L275" s="1246" t="s">
        <v>1495</v>
      </c>
      <c r="M275" s="1250">
        <v>9</v>
      </c>
      <c r="N275" s="1251">
        <v>126</v>
      </c>
      <c r="O275" s="1252">
        <v>126</v>
      </c>
    </row>
    <row r="276" spans="1:15">
      <c r="A276" s="1246" t="s">
        <v>1493</v>
      </c>
      <c r="B276" s="1246" t="s">
        <v>428</v>
      </c>
      <c r="C276" s="1247">
        <v>0.45</v>
      </c>
      <c r="E276" s="1246" t="s">
        <v>370</v>
      </c>
      <c r="F276" s="1248">
        <v>1</v>
      </c>
      <c r="G276" s="1248">
        <v>1</v>
      </c>
      <c r="H276" s="1249">
        <v>1</v>
      </c>
      <c r="I276" s="1246" t="s">
        <v>1491</v>
      </c>
      <c r="J276" s="1246" t="s">
        <v>1397</v>
      </c>
      <c r="K276" s="1284" t="str">
        <f t="shared" si="4"/>
        <v>10</v>
      </c>
      <c r="L276" s="1246" t="s">
        <v>1536</v>
      </c>
      <c r="M276" s="1250">
        <v>9</v>
      </c>
      <c r="N276" s="1251">
        <v>1</v>
      </c>
      <c r="O276" s="1252">
        <v>1</v>
      </c>
    </row>
    <row r="277" spans="1:15">
      <c r="A277" s="1246" t="s">
        <v>1493</v>
      </c>
      <c r="B277" s="1246" t="s">
        <v>428</v>
      </c>
      <c r="C277" s="1247">
        <v>0.45</v>
      </c>
      <c r="E277" s="1246" t="s">
        <v>370</v>
      </c>
      <c r="F277" s="1248">
        <v>1</v>
      </c>
      <c r="G277" s="1248">
        <v>1</v>
      </c>
      <c r="H277" s="1249">
        <v>1</v>
      </c>
      <c r="I277" s="1246" t="s">
        <v>1491</v>
      </c>
      <c r="J277" s="1246" t="s">
        <v>1439</v>
      </c>
      <c r="K277" s="1284" t="str">
        <f t="shared" si="4"/>
        <v>15</v>
      </c>
      <c r="L277" s="1246" t="s">
        <v>1530</v>
      </c>
      <c r="M277" s="1250">
        <v>9</v>
      </c>
      <c r="N277" s="1251">
        <v>1</v>
      </c>
      <c r="O277" s="1252">
        <v>1</v>
      </c>
    </row>
    <row r="278" spans="1:15">
      <c r="A278" s="1246" t="s">
        <v>1493</v>
      </c>
      <c r="B278" s="1246" t="s">
        <v>428</v>
      </c>
      <c r="C278" s="1247">
        <v>0.45</v>
      </c>
      <c r="E278" s="1246" t="s">
        <v>370</v>
      </c>
      <c r="F278" s="1248">
        <v>1</v>
      </c>
      <c r="G278" s="1248">
        <v>1</v>
      </c>
      <c r="H278" s="1249">
        <v>1</v>
      </c>
      <c r="I278" s="1246" t="s">
        <v>1491</v>
      </c>
      <c r="J278" s="1246" t="s">
        <v>1397</v>
      </c>
      <c r="K278" s="1284" t="str">
        <f t="shared" si="4"/>
        <v>10</v>
      </c>
      <c r="L278" s="1246" t="s">
        <v>1532</v>
      </c>
      <c r="M278" s="1250">
        <v>9</v>
      </c>
      <c r="N278" s="1251">
        <v>24</v>
      </c>
      <c r="O278" s="1252">
        <v>24</v>
      </c>
    </row>
    <row r="279" spans="1:15">
      <c r="A279" s="1246" t="s">
        <v>1493</v>
      </c>
      <c r="B279" s="1246" t="s">
        <v>428</v>
      </c>
      <c r="C279" s="1247">
        <v>0.45</v>
      </c>
      <c r="E279" s="1246" t="s">
        <v>376</v>
      </c>
      <c r="F279" s="1248">
        <v>1</v>
      </c>
      <c r="G279" s="1248">
        <v>1</v>
      </c>
      <c r="H279" s="1249">
        <v>1</v>
      </c>
      <c r="I279" s="1246" t="s">
        <v>1491</v>
      </c>
      <c r="J279" s="1246" t="s">
        <v>1397</v>
      </c>
      <c r="K279" s="1284" t="str">
        <f t="shared" si="4"/>
        <v>10</v>
      </c>
      <c r="L279" s="1246" t="s">
        <v>1532</v>
      </c>
      <c r="M279" s="1250">
        <v>9</v>
      </c>
      <c r="N279" s="1251">
        <v>2</v>
      </c>
      <c r="O279" s="1252">
        <v>2</v>
      </c>
    </row>
    <row r="280" spans="1:15">
      <c r="A280" s="1246" t="s">
        <v>1493</v>
      </c>
      <c r="B280" s="1246" t="s">
        <v>428</v>
      </c>
      <c r="C280" s="1247">
        <v>0.45</v>
      </c>
      <c r="E280" s="1246" t="s">
        <v>370</v>
      </c>
      <c r="F280" s="1248">
        <v>1</v>
      </c>
      <c r="G280" s="1248">
        <v>1</v>
      </c>
      <c r="H280" s="1249">
        <v>1</v>
      </c>
      <c r="I280" s="1246" t="s">
        <v>1491</v>
      </c>
      <c r="J280" s="1246" t="s">
        <v>1438</v>
      </c>
      <c r="K280" s="1284" t="str">
        <f t="shared" si="4"/>
        <v>13</v>
      </c>
      <c r="L280" s="1246" t="s">
        <v>1533</v>
      </c>
      <c r="M280" s="1250">
        <v>9</v>
      </c>
      <c r="N280" s="1251">
        <v>9</v>
      </c>
      <c r="O280" s="1252">
        <v>9</v>
      </c>
    </row>
    <row r="281" spans="1:15">
      <c r="A281" s="1246" t="s">
        <v>1493</v>
      </c>
      <c r="B281" s="1246" t="s">
        <v>428</v>
      </c>
      <c r="C281" s="1247">
        <v>0.45</v>
      </c>
      <c r="E281" s="1246" t="s">
        <v>376</v>
      </c>
      <c r="F281" s="1248">
        <v>1</v>
      </c>
      <c r="G281" s="1248">
        <v>1</v>
      </c>
      <c r="H281" s="1249">
        <v>1</v>
      </c>
      <c r="I281" s="1246" t="s">
        <v>1491</v>
      </c>
      <c r="J281" s="1246" t="s">
        <v>1438</v>
      </c>
      <c r="K281" s="1284" t="str">
        <f t="shared" si="4"/>
        <v>13</v>
      </c>
      <c r="L281" s="1246" t="s">
        <v>1533</v>
      </c>
      <c r="M281" s="1250">
        <v>9</v>
      </c>
      <c r="N281" s="1251">
        <v>2</v>
      </c>
      <c r="O281" s="1252">
        <v>2</v>
      </c>
    </row>
    <row r="282" spans="1:15">
      <c r="A282" s="1246" t="s">
        <v>1493</v>
      </c>
      <c r="B282" s="1246" t="s">
        <v>428</v>
      </c>
      <c r="C282" s="1247">
        <v>0.45</v>
      </c>
      <c r="E282" s="1246" t="s">
        <v>376</v>
      </c>
      <c r="F282" s="1248">
        <v>1</v>
      </c>
      <c r="G282" s="1248">
        <v>1</v>
      </c>
      <c r="H282" s="1249">
        <v>1</v>
      </c>
      <c r="I282" s="1246" t="s">
        <v>1491</v>
      </c>
      <c r="J282" s="1246" t="s">
        <v>1436</v>
      </c>
      <c r="K282" s="1284" t="str">
        <f t="shared" si="4"/>
        <v>11</v>
      </c>
      <c r="L282" s="1246" t="s">
        <v>1496</v>
      </c>
      <c r="M282" s="1250">
        <v>9</v>
      </c>
      <c r="N282" s="1251">
        <v>4</v>
      </c>
      <c r="O282" s="1252">
        <v>4</v>
      </c>
    </row>
    <row r="283" spans="1:15">
      <c r="A283" s="1246" t="s">
        <v>1493</v>
      </c>
      <c r="B283" s="1246" t="s">
        <v>428</v>
      </c>
      <c r="C283" s="1247">
        <v>0.45</v>
      </c>
      <c r="E283" s="1246" t="s">
        <v>370</v>
      </c>
      <c r="F283" s="1248">
        <v>1</v>
      </c>
      <c r="G283" s="1248">
        <v>5</v>
      </c>
      <c r="H283" s="1249">
        <v>1</v>
      </c>
      <c r="I283" s="1246" t="s">
        <v>1491</v>
      </c>
      <c r="J283" s="1246" t="s">
        <v>1436</v>
      </c>
      <c r="K283" s="1284" t="str">
        <f t="shared" si="4"/>
        <v>11</v>
      </c>
      <c r="L283" s="1246" t="s">
        <v>1495</v>
      </c>
      <c r="M283" s="1250">
        <v>9</v>
      </c>
      <c r="N283" s="1251">
        <v>1</v>
      </c>
      <c r="O283" s="1252">
        <v>1</v>
      </c>
    </row>
    <row r="284" spans="1:15">
      <c r="A284" s="1246" t="s">
        <v>1493</v>
      </c>
      <c r="B284" s="1246" t="s">
        <v>428</v>
      </c>
      <c r="C284" s="1247">
        <v>0.45</v>
      </c>
      <c r="E284" s="1246" t="s">
        <v>370</v>
      </c>
      <c r="F284" s="1248">
        <v>2</v>
      </c>
      <c r="G284" s="1248">
        <v>1</v>
      </c>
      <c r="H284" s="1249">
        <v>1</v>
      </c>
      <c r="I284" s="1246" t="s">
        <v>1491</v>
      </c>
      <c r="J284" s="1246" t="s">
        <v>1436</v>
      </c>
      <c r="K284" s="1284" t="str">
        <f t="shared" si="4"/>
        <v>11</v>
      </c>
      <c r="L284" s="1246" t="s">
        <v>1495</v>
      </c>
      <c r="M284" s="1250">
        <v>9</v>
      </c>
      <c r="N284" s="1251">
        <v>2</v>
      </c>
      <c r="O284" s="1252">
        <v>1</v>
      </c>
    </row>
    <row r="285" spans="1:15">
      <c r="A285" s="1246" t="s">
        <v>1490</v>
      </c>
      <c r="B285" s="1246" t="s">
        <v>428</v>
      </c>
      <c r="C285" s="1247">
        <v>0.45</v>
      </c>
      <c r="F285" s="1248">
        <v>2</v>
      </c>
      <c r="G285" s="1248">
        <v>2</v>
      </c>
      <c r="H285" s="1249">
        <v>1</v>
      </c>
      <c r="I285" s="1246" t="s">
        <v>1491</v>
      </c>
      <c r="J285" s="1246" t="s">
        <v>1461</v>
      </c>
      <c r="K285" s="1284" t="str">
        <f t="shared" si="4"/>
        <v>3C</v>
      </c>
      <c r="L285" s="1246" t="s">
        <v>1502</v>
      </c>
      <c r="M285" s="1250">
        <v>1</v>
      </c>
      <c r="N285" s="1251">
        <v>2</v>
      </c>
      <c r="O285" s="1252">
        <v>1</v>
      </c>
    </row>
    <row r="286" spans="1:15">
      <c r="A286" s="1246" t="s">
        <v>1490</v>
      </c>
      <c r="B286" s="1246" t="s">
        <v>428</v>
      </c>
      <c r="C286" s="1247">
        <v>0.45</v>
      </c>
      <c r="F286" s="1248">
        <v>2</v>
      </c>
      <c r="G286" s="1248">
        <v>2</v>
      </c>
      <c r="H286" s="1249">
        <v>1</v>
      </c>
      <c r="I286" s="1246" t="s">
        <v>1491</v>
      </c>
      <c r="J286" s="1246" t="s">
        <v>1461</v>
      </c>
      <c r="K286" s="1284" t="str">
        <f t="shared" si="4"/>
        <v>3C</v>
      </c>
      <c r="L286" s="1246" t="s">
        <v>1502</v>
      </c>
      <c r="M286" s="1250">
        <v>3</v>
      </c>
      <c r="N286" s="1251">
        <v>2</v>
      </c>
      <c r="O286" s="1252">
        <v>1</v>
      </c>
    </row>
    <row r="287" spans="1:15">
      <c r="A287" s="1246" t="s">
        <v>1493</v>
      </c>
      <c r="B287" s="1246" t="s">
        <v>428</v>
      </c>
      <c r="C287" s="1247">
        <v>0.45</v>
      </c>
      <c r="E287" s="1246" t="s">
        <v>370</v>
      </c>
      <c r="F287" s="1248">
        <v>2</v>
      </c>
      <c r="G287" s="1248">
        <v>2</v>
      </c>
      <c r="H287" s="1249">
        <v>1</v>
      </c>
      <c r="I287" s="1246" t="s">
        <v>1491</v>
      </c>
      <c r="J287" s="1246" t="s">
        <v>1443</v>
      </c>
      <c r="K287" s="1284" t="str">
        <f t="shared" si="4"/>
        <v>1C</v>
      </c>
      <c r="L287" s="1246" t="s">
        <v>1502</v>
      </c>
      <c r="M287" s="1250">
        <v>4</v>
      </c>
      <c r="N287" s="1251">
        <v>10</v>
      </c>
      <c r="O287" s="1252">
        <v>5</v>
      </c>
    </row>
    <row r="288" spans="1:15">
      <c r="A288" s="1246" t="s">
        <v>1490</v>
      </c>
      <c r="B288" s="1246" t="s">
        <v>428</v>
      </c>
      <c r="C288" s="1247">
        <v>0.45</v>
      </c>
      <c r="F288" s="1248">
        <v>2</v>
      </c>
      <c r="G288" s="1248">
        <v>2</v>
      </c>
      <c r="H288" s="1249">
        <v>1</v>
      </c>
      <c r="I288" s="1246" t="s">
        <v>1491</v>
      </c>
      <c r="J288" s="1246" t="s">
        <v>1399</v>
      </c>
      <c r="K288" s="1284" t="str">
        <f t="shared" si="4"/>
        <v>30</v>
      </c>
      <c r="L288" s="1246" t="s">
        <v>1503</v>
      </c>
      <c r="M288" s="1250">
        <v>1</v>
      </c>
      <c r="N288" s="1251">
        <v>2</v>
      </c>
      <c r="O288" s="1252">
        <v>1</v>
      </c>
    </row>
    <row r="289" spans="1:15">
      <c r="A289" s="1246" t="s">
        <v>1490</v>
      </c>
      <c r="B289" s="1246" t="s">
        <v>428</v>
      </c>
      <c r="C289" s="1247">
        <v>0.45</v>
      </c>
      <c r="F289" s="1248">
        <v>2</v>
      </c>
      <c r="G289" s="1248">
        <v>2</v>
      </c>
      <c r="H289" s="1249">
        <v>1</v>
      </c>
      <c r="I289" s="1246" t="s">
        <v>1491</v>
      </c>
      <c r="J289" s="1246" t="s">
        <v>1455</v>
      </c>
      <c r="K289" s="1284" t="str">
        <f t="shared" si="4"/>
        <v>32</v>
      </c>
      <c r="L289" s="1246" t="s">
        <v>1505</v>
      </c>
      <c r="M289" s="1250">
        <v>1</v>
      </c>
      <c r="N289" s="1251">
        <v>2</v>
      </c>
      <c r="O289" s="1252">
        <v>1</v>
      </c>
    </row>
    <row r="290" spans="1:15">
      <c r="A290" s="1246" t="s">
        <v>1490</v>
      </c>
      <c r="B290" s="1246" t="s">
        <v>428</v>
      </c>
      <c r="C290" s="1247">
        <v>0.45</v>
      </c>
      <c r="F290" s="1248">
        <v>2</v>
      </c>
      <c r="G290" s="1248">
        <v>2</v>
      </c>
      <c r="H290" s="1249">
        <v>1</v>
      </c>
      <c r="I290" s="1246" t="s">
        <v>1491</v>
      </c>
      <c r="J290" s="1246" t="s">
        <v>1454</v>
      </c>
      <c r="K290" s="1284" t="str">
        <f t="shared" si="4"/>
        <v>31</v>
      </c>
      <c r="L290" s="1246" t="s">
        <v>1506</v>
      </c>
      <c r="M290" s="1250">
        <v>1</v>
      </c>
      <c r="N290" s="1251">
        <v>22</v>
      </c>
      <c r="O290" s="1252">
        <v>11</v>
      </c>
    </row>
    <row r="291" spans="1:15">
      <c r="A291" s="1246" t="s">
        <v>1490</v>
      </c>
      <c r="B291" s="1246" t="s">
        <v>428</v>
      </c>
      <c r="C291" s="1247">
        <v>0.45</v>
      </c>
      <c r="E291" s="1246" t="s">
        <v>370</v>
      </c>
      <c r="F291" s="1248">
        <v>2</v>
      </c>
      <c r="G291" s="1248">
        <v>2</v>
      </c>
      <c r="H291" s="1249">
        <v>1</v>
      </c>
      <c r="I291" s="1246" t="s">
        <v>1491</v>
      </c>
      <c r="J291" s="1246" t="s">
        <v>1454</v>
      </c>
      <c r="K291" s="1284" t="str">
        <f t="shared" si="4"/>
        <v>31</v>
      </c>
      <c r="L291" s="1246" t="s">
        <v>1506</v>
      </c>
      <c r="M291" s="1250">
        <v>1</v>
      </c>
      <c r="N291" s="1251">
        <v>8</v>
      </c>
      <c r="O291" s="1252">
        <v>4</v>
      </c>
    </row>
    <row r="292" spans="1:15">
      <c r="A292" s="1246" t="s">
        <v>1490</v>
      </c>
      <c r="B292" s="1246" t="s">
        <v>428</v>
      </c>
      <c r="C292" s="1247">
        <v>0.45</v>
      </c>
      <c r="E292" s="1246" t="s">
        <v>370</v>
      </c>
      <c r="F292" s="1248">
        <v>2</v>
      </c>
      <c r="G292" s="1248">
        <v>2</v>
      </c>
      <c r="H292" s="1249">
        <v>1</v>
      </c>
      <c r="I292" s="1246" t="s">
        <v>1491</v>
      </c>
      <c r="J292" s="1246" t="s">
        <v>1458</v>
      </c>
      <c r="K292" s="1284" t="str">
        <f t="shared" si="4"/>
        <v>36</v>
      </c>
      <c r="L292" s="1246" t="s">
        <v>1507</v>
      </c>
      <c r="M292" s="1250">
        <v>1</v>
      </c>
      <c r="N292" s="1251">
        <v>2</v>
      </c>
      <c r="O292" s="1252">
        <v>1</v>
      </c>
    </row>
    <row r="293" spans="1:15">
      <c r="A293" s="1246" t="s">
        <v>1490</v>
      </c>
      <c r="B293" s="1246" t="s">
        <v>428</v>
      </c>
      <c r="C293" s="1247">
        <v>0.45</v>
      </c>
      <c r="F293" s="1248">
        <v>2</v>
      </c>
      <c r="G293" s="1248">
        <v>2</v>
      </c>
      <c r="H293" s="1249">
        <v>1</v>
      </c>
      <c r="I293" s="1246" t="s">
        <v>1491</v>
      </c>
      <c r="J293" s="1246" t="s">
        <v>1458</v>
      </c>
      <c r="K293" s="1284" t="str">
        <f t="shared" si="4"/>
        <v>36</v>
      </c>
      <c r="L293" s="1246" t="s">
        <v>1507</v>
      </c>
      <c r="M293" s="1250">
        <v>1</v>
      </c>
      <c r="N293" s="1251">
        <v>6</v>
      </c>
      <c r="O293" s="1252">
        <v>3</v>
      </c>
    </row>
    <row r="294" spans="1:15">
      <c r="A294" s="1246" t="s">
        <v>1490</v>
      </c>
      <c r="B294" s="1246" t="s">
        <v>428</v>
      </c>
      <c r="C294" s="1247">
        <v>0.45</v>
      </c>
      <c r="F294" s="1248">
        <v>2</v>
      </c>
      <c r="G294" s="1248">
        <v>2</v>
      </c>
      <c r="H294" s="1249">
        <v>1</v>
      </c>
      <c r="I294" s="1246" t="s">
        <v>1491</v>
      </c>
      <c r="J294" s="1246" t="s">
        <v>1399</v>
      </c>
      <c r="K294" s="1284" t="str">
        <f t="shared" si="4"/>
        <v>30</v>
      </c>
      <c r="L294" s="1246" t="s">
        <v>1508</v>
      </c>
      <c r="M294" s="1250">
        <v>1</v>
      </c>
      <c r="N294" s="1251">
        <v>2</v>
      </c>
      <c r="O294" s="1252">
        <v>1</v>
      </c>
    </row>
    <row r="295" spans="1:15">
      <c r="A295" s="1246" t="s">
        <v>1490</v>
      </c>
      <c r="B295" s="1246" t="s">
        <v>428</v>
      </c>
      <c r="C295" s="1247">
        <v>0.45</v>
      </c>
      <c r="F295" s="1248">
        <v>2</v>
      </c>
      <c r="G295" s="1248">
        <v>2</v>
      </c>
      <c r="H295" s="1249">
        <v>1</v>
      </c>
      <c r="I295" s="1246" t="s">
        <v>1491</v>
      </c>
      <c r="J295" s="1246" t="s">
        <v>1457</v>
      </c>
      <c r="K295" s="1284" t="str">
        <f t="shared" si="4"/>
        <v>35</v>
      </c>
      <c r="L295" s="1246" t="s">
        <v>1501</v>
      </c>
      <c r="M295" s="1250">
        <v>1</v>
      </c>
      <c r="N295" s="1251">
        <v>2</v>
      </c>
      <c r="O295" s="1252">
        <v>1</v>
      </c>
    </row>
    <row r="296" spans="1:15">
      <c r="A296" s="1246" t="s">
        <v>1490</v>
      </c>
      <c r="B296" s="1246" t="s">
        <v>428</v>
      </c>
      <c r="C296" s="1247">
        <v>0.45</v>
      </c>
      <c r="F296" s="1248">
        <v>2</v>
      </c>
      <c r="G296" s="1248">
        <v>2</v>
      </c>
      <c r="H296" s="1249">
        <v>1</v>
      </c>
      <c r="I296" s="1246" t="s">
        <v>1491</v>
      </c>
      <c r="J296" s="1246" t="s">
        <v>1399</v>
      </c>
      <c r="K296" s="1284" t="str">
        <f t="shared" si="4"/>
        <v>30</v>
      </c>
      <c r="L296" s="1246" t="s">
        <v>1510</v>
      </c>
      <c r="M296" s="1250">
        <v>1</v>
      </c>
      <c r="N296" s="1251">
        <v>8</v>
      </c>
      <c r="O296" s="1252">
        <v>4</v>
      </c>
    </row>
    <row r="297" spans="1:15">
      <c r="A297" s="1246" t="s">
        <v>1490</v>
      </c>
      <c r="B297" s="1246" t="s">
        <v>428</v>
      </c>
      <c r="C297" s="1247">
        <v>0.45</v>
      </c>
      <c r="F297" s="1248">
        <v>2</v>
      </c>
      <c r="G297" s="1248">
        <v>2</v>
      </c>
      <c r="H297" s="1249">
        <v>1</v>
      </c>
      <c r="I297" s="1246" t="s">
        <v>1491</v>
      </c>
      <c r="J297" s="1246" t="s">
        <v>1399</v>
      </c>
      <c r="K297" s="1284" t="str">
        <f t="shared" si="4"/>
        <v>30</v>
      </c>
      <c r="L297" s="1246" t="s">
        <v>1511</v>
      </c>
      <c r="M297" s="1250">
        <v>2</v>
      </c>
      <c r="N297" s="1251">
        <v>6</v>
      </c>
      <c r="O297" s="1252">
        <v>3</v>
      </c>
    </row>
    <row r="298" spans="1:15">
      <c r="A298" s="1246" t="s">
        <v>1490</v>
      </c>
      <c r="B298" s="1246" t="s">
        <v>428</v>
      </c>
      <c r="C298" s="1247">
        <v>0.45</v>
      </c>
      <c r="F298" s="1248">
        <v>2</v>
      </c>
      <c r="G298" s="1248">
        <v>2</v>
      </c>
      <c r="H298" s="1249">
        <v>1</v>
      </c>
      <c r="I298" s="1246" t="s">
        <v>1491</v>
      </c>
      <c r="J298" s="1246" t="s">
        <v>1454</v>
      </c>
      <c r="K298" s="1284" t="str">
        <f t="shared" si="4"/>
        <v>31</v>
      </c>
      <c r="L298" s="1246" t="s">
        <v>1500</v>
      </c>
      <c r="M298" s="1250">
        <v>2</v>
      </c>
      <c r="N298" s="1251">
        <v>26</v>
      </c>
      <c r="O298" s="1252">
        <v>13</v>
      </c>
    </row>
    <row r="299" spans="1:15">
      <c r="A299" s="1246" t="s">
        <v>1490</v>
      </c>
      <c r="B299" s="1246" t="s">
        <v>428</v>
      </c>
      <c r="C299" s="1247">
        <v>0.45</v>
      </c>
      <c r="F299" s="1248">
        <v>2</v>
      </c>
      <c r="G299" s="1248">
        <v>2</v>
      </c>
      <c r="H299" s="1249">
        <v>1</v>
      </c>
      <c r="I299" s="1246" t="s">
        <v>1491</v>
      </c>
      <c r="J299" s="1246" t="s">
        <v>1458</v>
      </c>
      <c r="K299" s="1284" t="str">
        <f t="shared" si="4"/>
        <v>36</v>
      </c>
      <c r="L299" s="1246" t="s">
        <v>1514</v>
      </c>
      <c r="M299" s="1250">
        <v>2</v>
      </c>
      <c r="N299" s="1251">
        <v>8</v>
      </c>
      <c r="O299" s="1252">
        <v>4</v>
      </c>
    </row>
    <row r="300" spans="1:15">
      <c r="A300" s="1246" t="s">
        <v>1490</v>
      </c>
      <c r="B300" s="1246" t="s">
        <v>428</v>
      </c>
      <c r="C300" s="1247">
        <v>0.45</v>
      </c>
      <c r="F300" s="1248">
        <v>2</v>
      </c>
      <c r="G300" s="1248">
        <v>2</v>
      </c>
      <c r="H300" s="1249">
        <v>1</v>
      </c>
      <c r="I300" s="1246" t="s">
        <v>1491</v>
      </c>
      <c r="J300" s="1246" t="s">
        <v>1399</v>
      </c>
      <c r="K300" s="1284" t="str">
        <f t="shared" si="4"/>
        <v>30</v>
      </c>
      <c r="L300" s="1246" t="s">
        <v>1515</v>
      </c>
      <c r="M300" s="1250">
        <v>2</v>
      </c>
      <c r="N300" s="1251">
        <v>8</v>
      </c>
      <c r="O300" s="1252">
        <v>4</v>
      </c>
    </row>
    <row r="301" spans="1:15">
      <c r="A301" s="1246" t="s">
        <v>1490</v>
      </c>
      <c r="B301" s="1246" t="s">
        <v>428</v>
      </c>
      <c r="C301" s="1247">
        <v>0.45</v>
      </c>
      <c r="E301" s="1246" t="s">
        <v>370</v>
      </c>
      <c r="F301" s="1248">
        <v>2</v>
      </c>
      <c r="G301" s="1248">
        <v>2</v>
      </c>
      <c r="H301" s="1249">
        <v>1</v>
      </c>
      <c r="I301" s="1246" t="s">
        <v>1491</v>
      </c>
      <c r="J301" s="1246" t="s">
        <v>1399</v>
      </c>
      <c r="K301" s="1284" t="str">
        <f t="shared" si="4"/>
        <v>30</v>
      </c>
      <c r="L301" s="1246" t="s">
        <v>1515</v>
      </c>
      <c r="M301" s="1250">
        <v>2</v>
      </c>
      <c r="N301" s="1251">
        <v>2</v>
      </c>
      <c r="O301" s="1252">
        <v>1</v>
      </c>
    </row>
    <row r="302" spans="1:15">
      <c r="A302" s="1246" t="s">
        <v>1490</v>
      </c>
      <c r="B302" s="1246" t="s">
        <v>428</v>
      </c>
      <c r="C302" s="1247">
        <v>0.45</v>
      </c>
      <c r="F302" s="1248">
        <v>2</v>
      </c>
      <c r="G302" s="1248">
        <v>2</v>
      </c>
      <c r="H302" s="1249">
        <v>1</v>
      </c>
      <c r="I302" s="1246" t="s">
        <v>1491</v>
      </c>
      <c r="J302" s="1246" t="s">
        <v>1457</v>
      </c>
      <c r="K302" s="1284" t="str">
        <f t="shared" si="4"/>
        <v>35</v>
      </c>
      <c r="L302" s="1246" t="s">
        <v>1517</v>
      </c>
      <c r="M302" s="1250">
        <v>2</v>
      </c>
      <c r="N302" s="1251">
        <v>4</v>
      </c>
      <c r="O302" s="1252">
        <v>2</v>
      </c>
    </row>
    <row r="303" spans="1:15">
      <c r="A303" s="1246" t="s">
        <v>1490</v>
      </c>
      <c r="B303" s="1246" t="s">
        <v>428</v>
      </c>
      <c r="C303" s="1247">
        <v>0.45</v>
      </c>
      <c r="F303" s="1248">
        <v>2</v>
      </c>
      <c r="G303" s="1248">
        <v>2</v>
      </c>
      <c r="H303" s="1249">
        <v>1</v>
      </c>
      <c r="I303" s="1246" t="s">
        <v>1491</v>
      </c>
      <c r="J303" s="1246" t="s">
        <v>1399</v>
      </c>
      <c r="K303" s="1284" t="str">
        <f t="shared" si="4"/>
        <v>30</v>
      </c>
      <c r="L303" s="1246" t="s">
        <v>1518</v>
      </c>
      <c r="M303" s="1250">
        <v>2</v>
      </c>
      <c r="N303" s="1251">
        <v>12</v>
      </c>
      <c r="O303" s="1252">
        <v>6</v>
      </c>
    </row>
    <row r="304" spans="1:15">
      <c r="A304" s="1246" t="s">
        <v>1490</v>
      </c>
      <c r="B304" s="1246" t="s">
        <v>428</v>
      </c>
      <c r="C304" s="1247">
        <v>0.45</v>
      </c>
      <c r="E304" s="1246" t="s">
        <v>370</v>
      </c>
      <c r="F304" s="1248">
        <v>2</v>
      </c>
      <c r="G304" s="1248">
        <v>2</v>
      </c>
      <c r="H304" s="1249">
        <v>1</v>
      </c>
      <c r="I304" s="1246" t="s">
        <v>1491</v>
      </c>
      <c r="J304" s="1246" t="s">
        <v>1456</v>
      </c>
      <c r="K304" s="1284" t="str">
        <f t="shared" si="4"/>
        <v>33</v>
      </c>
      <c r="L304" s="1246" t="s">
        <v>1519</v>
      </c>
      <c r="M304" s="1250">
        <v>2</v>
      </c>
      <c r="N304" s="1251">
        <v>6</v>
      </c>
      <c r="O304" s="1252">
        <v>3</v>
      </c>
    </row>
    <row r="305" spans="1:15">
      <c r="A305" s="1246" t="s">
        <v>1490</v>
      </c>
      <c r="B305" s="1246" t="s">
        <v>428</v>
      </c>
      <c r="C305" s="1247">
        <v>0.45</v>
      </c>
      <c r="F305" s="1248">
        <v>2</v>
      </c>
      <c r="G305" s="1248">
        <v>2</v>
      </c>
      <c r="H305" s="1249">
        <v>1</v>
      </c>
      <c r="I305" s="1246" t="s">
        <v>1491</v>
      </c>
      <c r="J305" s="1246" t="s">
        <v>1456</v>
      </c>
      <c r="K305" s="1284" t="str">
        <f t="shared" si="4"/>
        <v>33</v>
      </c>
      <c r="L305" s="1246" t="s">
        <v>1519</v>
      </c>
      <c r="M305" s="1250">
        <v>2</v>
      </c>
      <c r="N305" s="1251">
        <v>40</v>
      </c>
      <c r="O305" s="1252">
        <v>20</v>
      </c>
    </row>
    <row r="306" spans="1:15">
      <c r="A306" s="1246" t="s">
        <v>1490</v>
      </c>
      <c r="B306" s="1246" t="s">
        <v>428</v>
      </c>
      <c r="C306" s="1247">
        <v>0.45</v>
      </c>
      <c r="E306" s="1246" t="s">
        <v>370</v>
      </c>
      <c r="F306" s="1248">
        <v>2</v>
      </c>
      <c r="G306" s="1248">
        <v>2</v>
      </c>
      <c r="H306" s="1249">
        <v>1</v>
      </c>
      <c r="I306" s="1246" t="s">
        <v>1491</v>
      </c>
      <c r="J306" s="1246" t="s">
        <v>1399</v>
      </c>
      <c r="K306" s="1284" t="str">
        <f t="shared" si="4"/>
        <v>30</v>
      </c>
      <c r="L306" s="1246" t="s">
        <v>1520</v>
      </c>
      <c r="M306" s="1250">
        <v>3</v>
      </c>
      <c r="N306" s="1251">
        <v>4</v>
      </c>
      <c r="O306" s="1252">
        <v>2</v>
      </c>
    </row>
    <row r="307" spans="1:15">
      <c r="A307" s="1246" t="s">
        <v>1490</v>
      </c>
      <c r="B307" s="1246" t="s">
        <v>428</v>
      </c>
      <c r="C307" s="1247">
        <v>0.45</v>
      </c>
      <c r="E307" s="1246" t="s">
        <v>370</v>
      </c>
      <c r="F307" s="1248">
        <v>2</v>
      </c>
      <c r="G307" s="1248">
        <v>2</v>
      </c>
      <c r="H307" s="1249">
        <v>1</v>
      </c>
      <c r="I307" s="1246" t="s">
        <v>1491</v>
      </c>
      <c r="J307" s="1246" t="s">
        <v>1454</v>
      </c>
      <c r="K307" s="1284" t="str">
        <f t="shared" si="4"/>
        <v>31</v>
      </c>
      <c r="L307" s="1246" t="s">
        <v>1523</v>
      </c>
      <c r="M307" s="1250">
        <v>3</v>
      </c>
      <c r="N307" s="1251">
        <v>2</v>
      </c>
      <c r="O307" s="1252">
        <v>1</v>
      </c>
    </row>
    <row r="308" spans="1:15">
      <c r="A308" s="1246" t="s">
        <v>1490</v>
      </c>
      <c r="B308" s="1246" t="s">
        <v>428</v>
      </c>
      <c r="C308" s="1247">
        <v>0.45</v>
      </c>
      <c r="F308" s="1248">
        <v>2</v>
      </c>
      <c r="G308" s="1248">
        <v>2</v>
      </c>
      <c r="H308" s="1249">
        <v>1</v>
      </c>
      <c r="I308" s="1246" t="s">
        <v>1491</v>
      </c>
      <c r="J308" s="1246" t="s">
        <v>1454</v>
      </c>
      <c r="K308" s="1284" t="str">
        <f t="shared" si="4"/>
        <v>31</v>
      </c>
      <c r="L308" s="1246" t="s">
        <v>1523</v>
      </c>
      <c r="M308" s="1250">
        <v>3</v>
      </c>
      <c r="N308" s="1251">
        <v>38</v>
      </c>
      <c r="O308" s="1252">
        <v>19</v>
      </c>
    </row>
    <row r="309" spans="1:15">
      <c r="A309" s="1246" t="s">
        <v>1490</v>
      </c>
      <c r="B309" s="1246" t="s">
        <v>428</v>
      </c>
      <c r="C309" s="1247">
        <v>0.45</v>
      </c>
      <c r="F309" s="1248">
        <v>2</v>
      </c>
      <c r="G309" s="1248">
        <v>2</v>
      </c>
      <c r="H309" s="1249">
        <v>1</v>
      </c>
      <c r="I309" s="1246" t="s">
        <v>1491</v>
      </c>
      <c r="J309" s="1246" t="s">
        <v>1458</v>
      </c>
      <c r="K309" s="1284" t="str">
        <f t="shared" si="4"/>
        <v>36</v>
      </c>
      <c r="L309" s="1246" t="s">
        <v>1524</v>
      </c>
      <c r="M309" s="1250">
        <v>3</v>
      </c>
      <c r="N309" s="1251">
        <v>2</v>
      </c>
      <c r="O309" s="1252">
        <v>1</v>
      </c>
    </row>
    <row r="310" spans="1:15">
      <c r="A310" s="1246" t="s">
        <v>1490</v>
      </c>
      <c r="B310" s="1246" t="s">
        <v>428</v>
      </c>
      <c r="C310" s="1247">
        <v>0.45</v>
      </c>
      <c r="F310" s="1248">
        <v>2</v>
      </c>
      <c r="G310" s="1248">
        <v>2</v>
      </c>
      <c r="H310" s="1249">
        <v>1</v>
      </c>
      <c r="I310" s="1246" t="s">
        <v>1491</v>
      </c>
      <c r="J310" s="1246" t="s">
        <v>1399</v>
      </c>
      <c r="K310" s="1284" t="str">
        <f t="shared" si="4"/>
        <v>30</v>
      </c>
      <c r="L310" s="1246" t="s">
        <v>1525</v>
      </c>
      <c r="M310" s="1250">
        <v>3</v>
      </c>
      <c r="N310" s="1251">
        <v>8</v>
      </c>
      <c r="O310" s="1252">
        <v>4</v>
      </c>
    </row>
    <row r="311" spans="1:15">
      <c r="A311" s="1246" t="s">
        <v>1490</v>
      </c>
      <c r="B311" s="1246" t="s">
        <v>428</v>
      </c>
      <c r="C311" s="1247">
        <v>0.45</v>
      </c>
      <c r="E311" s="1246" t="s">
        <v>370</v>
      </c>
      <c r="F311" s="1248">
        <v>2</v>
      </c>
      <c r="G311" s="1248">
        <v>2</v>
      </c>
      <c r="H311" s="1249">
        <v>1</v>
      </c>
      <c r="I311" s="1246" t="s">
        <v>1491</v>
      </c>
      <c r="J311" s="1246" t="s">
        <v>1399</v>
      </c>
      <c r="K311" s="1284" t="str">
        <f t="shared" si="4"/>
        <v>30</v>
      </c>
      <c r="L311" s="1246" t="s">
        <v>1525</v>
      </c>
      <c r="M311" s="1250">
        <v>3</v>
      </c>
      <c r="N311" s="1251">
        <v>4</v>
      </c>
      <c r="O311" s="1252">
        <v>2</v>
      </c>
    </row>
    <row r="312" spans="1:15">
      <c r="A312" s="1246" t="s">
        <v>1490</v>
      </c>
      <c r="B312" s="1246" t="s">
        <v>428</v>
      </c>
      <c r="C312" s="1247">
        <v>0.45</v>
      </c>
      <c r="F312" s="1248">
        <v>2</v>
      </c>
      <c r="G312" s="1248">
        <v>2</v>
      </c>
      <c r="H312" s="1249">
        <v>1</v>
      </c>
      <c r="I312" s="1246" t="s">
        <v>1491</v>
      </c>
      <c r="J312" s="1246" t="s">
        <v>1457</v>
      </c>
      <c r="K312" s="1284" t="str">
        <f t="shared" si="4"/>
        <v>35</v>
      </c>
      <c r="L312" s="1246" t="s">
        <v>1527</v>
      </c>
      <c r="M312" s="1250">
        <v>3</v>
      </c>
      <c r="N312" s="1251">
        <v>4</v>
      </c>
      <c r="O312" s="1252">
        <v>2</v>
      </c>
    </row>
    <row r="313" spans="1:15">
      <c r="A313" s="1246" t="s">
        <v>1490</v>
      </c>
      <c r="B313" s="1246" t="s">
        <v>428</v>
      </c>
      <c r="C313" s="1247">
        <v>0.45</v>
      </c>
      <c r="F313" s="1248">
        <v>2</v>
      </c>
      <c r="G313" s="1248">
        <v>2</v>
      </c>
      <c r="H313" s="1249">
        <v>1</v>
      </c>
      <c r="I313" s="1246" t="s">
        <v>1491</v>
      </c>
      <c r="J313" s="1246" t="s">
        <v>1399</v>
      </c>
      <c r="K313" s="1284" t="str">
        <f t="shared" si="4"/>
        <v>30</v>
      </c>
      <c r="L313" s="1246" t="s">
        <v>1528</v>
      </c>
      <c r="M313" s="1250">
        <v>3</v>
      </c>
      <c r="N313" s="1251">
        <v>6</v>
      </c>
      <c r="O313" s="1252">
        <v>3</v>
      </c>
    </row>
    <row r="314" spans="1:15">
      <c r="A314" s="1246" t="s">
        <v>1490</v>
      </c>
      <c r="B314" s="1246" t="s">
        <v>428</v>
      </c>
      <c r="C314" s="1247">
        <v>0.45</v>
      </c>
      <c r="E314" s="1246" t="s">
        <v>370</v>
      </c>
      <c r="F314" s="1248">
        <v>2</v>
      </c>
      <c r="G314" s="1248">
        <v>2</v>
      </c>
      <c r="H314" s="1249">
        <v>1</v>
      </c>
      <c r="I314" s="1246" t="s">
        <v>1491</v>
      </c>
      <c r="J314" s="1246" t="s">
        <v>1399</v>
      </c>
      <c r="K314" s="1284" t="str">
        <f t="shared" si="4"/>
        <v>30</v>
      </c>
      <c r="L314" s="1246" t="s">
        <v>1528</v>
      </c>
      <c r="M314" s="1250">
        <v>3</v>
      </c>
      <c r="N314" s="1251">
        <v>2</v>
      </c>
      <c r="O314" s="1252">
        <v>1</v>
      </c>
    </row>
    <row r="315" spans="1:15">
      <c r="A315" s="1246" t="s">
        <v>1493</v>
      </c>
      <c r="B315" s="1246" t="s">
        <v>428</v>
      </c>
      <c r="C315" s="1247">
        <v>0.45</v>
      </c>
      <c r="E315" s="1246" t="s">
        <v>370</v>
      </c>
      <c r="F315" s="1248">
        <v>2</v>
      </c>
      <c r="G315" s="1248">
        <v>2</v>
      </c>
      <c r="H315" s="1249">
        <v>1</v>
      </c>
      <c r="I315" s="1246" t="s">
        <v>1491</v>
      </c>
      <c r="J315" s="1246" t="s">
        <v>1437</v>
      </c>
      <c r="K315" s="1284" t="str">
        <f t="shared" si="4"/>
        <v>12</v>
      </c>
      <c r="L315" s="1246" t="s">
        <v>1529</v>
      </c>
      <c r="M315" s="1250">
        <v>9</v>
      </c>
      <c r="N315" s="1251">
        <v>12</v>
      </c>
      <c r="O315" s="1252">
        <v>6</v>
      </c>
    </row>
    <row r="316" spans="1:15">
      <c r="A316" s="1246" t="s">
        <v>1493</v>
      </c>
      <c r="B316" s="1246" t="s">
        <v>428</v>
      </c>
      <c r="C316" s="1247">
        <v>0.45</v>
      </c>
      <c r="E316" s="1246" t="s">
        <v>370</v>
      </c>
      <c r="F316" s="1248">
        <v>2</v>
      </c>
      <c r="G316" s="1248">
        <v>2</v>
      </c>
      <c r="H316" s="1249">
        <v>1</v>
      </c>
      <c r="I316" s="1246" t="s">
        <v>1491</v>
      </c>
      <c r="J316" s="1246" t="s">
        <v>1436</v>
      </c>
      <c r="K316" s="1284" t="str">
        <f t="shared" si="4"/>
        <v>11</v>
      </c>
      <c r="L316" s="1246" t="s">
        <v>1495</v>
      </c>
      <c r="M316" s="1250">
        <v>9</v>
      </c>
      <c r="N316" s="1251">
        <v>112</v>
      </c>
      <c r="O316" s="1252">
        <v>56</v>
      </c>
    </row>
    <row r="317" spans="1:15">
      <c r="A317" s="1246" t="s">
        <v>1493</v>
      </c>
      <c r="B317" s="1246" t="s">
        <v>428</v>
      </c>
      <c r="C317" s="1247">
        <v>0.45</v>
      </c>
      <c r="E317" s="1246" t="s">
        <v>370</v>
      </c>
      <c r="F317" s="1248">
        <v>2</v>
      </c>
      <c r="G317" s="1248">
        <v>2</v>
      </c>
      <c r="H317" s="1249">
        <v>1</v>
      </c>
      <c r="I317" s="1246" t="s">
        <v>1491</v>
      </c>
      <c r="J317" s="1246" t="s">
        <v>1440</v>
      </c>
      <c r="K317" s="1284" t="str">
        <f t="shared" si="4"/>
        <v>16</v>
      </c>
      <c r="L317" s="1246" t="s">
        <v>1538</v>
      </c>
      <c r="M317" s="1250">
        <v>9</v>
      </c>
      <c r="N317" s="1251">
        <v>2</v>
      </c>
      <c r="O317" s="1252">
        <v>1</v>
      </c>
    </row>
    <row r="318" spans="1:15">
      <c r="A318" s="1246" t="s">
        <v>1493</v>
      </c>
      <c r="B318" s="1246" t="s">
        <v>428</v>
      </c>
      <c r="C318" s="1247">
        <v>0.45</v>
      </c>
      <c r="E318" s="1246" t="s">
        <v>370</v>
      </c>
      <c r="F318" s="1248">
        <v>2</v>
      </c>
      <c r="G318" s="1248">
        <v>2</v>
      </c>
      <c r="H318" s="1249">
        <v>1</v>
      </c>
      <c r="I318" s="1246" t="s">
        <v>1491</v>
      </c>
      <c r="J318" s="1246" t="s">
        <v>1439</v>
      </c>
      <c r="K318" s="1284" t="str">
        <f t="shared" si="4"/>
        <v>15</v>
      </c>
      <c r="L318" s="1246" t="s">
        <v>1530</v>
      </c>
      <c r="M318" s="1250">
        <v>9</v>
      </c>
      <c r="N318" s="1251">
        <v>4</v>
      </c>
      <c r="O318" s="1252">
        <v>2</v>
      </c>
    </row>
    <row r="319" spans="1:15">
      <c r="A319" s="1246" t="s">
        <v>1493</v>
      </c>
      <c r="B319" s="1246" t="s">
        <v>428</v>
      </c>
      <c r="C319" s="1247">
        <v>0.45</v>
      </c>
      <c r="E319" s="1246" t="s">
        <v>370</v>
      </c>
      <c r="F319" s="1248">
        <v>2</v>
      </c>
      <c r="G319" s="1248">
        <v>2</v>
      </c>
      <c r="H319" s="1249">
        <v>1</v>
      </c>
      <c r="I319" s="1246" t="s">
        <v>1491</v>
      </c>
      <c r="J319" s="1246" t="s">
        <v>1397</v>
      </c>
      <c r="K319" s="1284" t="str">
        <f t="shared" si="4"/>
        <v>10</v>
      </c>
      <c r="L319" s="1246" t="s">
        <v>1532</v>
      </c>
      <c r="M319" s="1250">
        <v>9</v>
      </c>
      <c r="N319" s="1251">
        <v>14</v>
      </c>
      <c r="O319" s="1252">
        <v>7</v>
      </c>
    </row>
    <row r="320" spans="1:15">
      <c r="A320" s="1246" t="s">
        <v>1493</v>
      </c>
      <c r="B320" s="1246" t="s">
        <v>428</v>
      </c>
      <c r="C320" s="1247">
        <v>0.45</v>
      </c>
      <c r="E320" s="1246" t="s">
        <v>376</v>
      </c>
      <c r="F320" s="1248">
        <v>2</v>
      </c>
      <c r="G320" s="1248">
        <v>2</v>
      </c>
      <c r="H320" s="1249">
        <v>1</v>
      </c>
      <c r="I320" s="1246" t="s">
        <v>1491</v>
      </c>
      <c r="J320" s="1246" t="s">
        <v>1397</v>
      </c>
      <c r="K320" s="1284" t="str">
        <f t="shared" si="4"/>
        <v>10</v>
      </c>
      <c r="L320" s="1246" t="s">
        <v>1532</v>
      </c>
      <c r="M320" s="1250">
        <v>9</v>
      </c>
      <c r="N320" s="1251">
        <v>4</v>
      </c>
      <c r="O320" s="1252">
        <v>2</v>
      </c>
    </row>
    <row r="321" spans="1:15">
      <c r="A321" s="1246" t="s">
        <v>1493</v>
      </c>
      <c r="B321" s="1246" t="s">
        <v>428</v>
      </c>
      <c r="C321" s="1247">
        <v>0.45</v>
      </c>
      <c r="E321" s="1246" t="s">
        <v>370</v>
      </c>
      <c r="F321" s="1248">
        <v>2</v>
      </c>
      <c r="G321" s="1248">
        <v>2</v>
      </c>
      <c r="H321" s="1249">
        <v>1</v>
      </c>
      <c r="I321" s="1246" t="s">
        <v>1491</v>
      </c>
      <c r="J321" s="1246" t="s">
        <v>1438</v>
      </c>
      <c r="K321" s="1284" t="str">
        <f t="shared" si="4"/>
        <v>13</v>
      </c>
      <c r="L321" s="1246" t="s">
        <v>1533</v>
      </c>
      <c r="M321" s="1250">
        <v>9</v>
      </c>
      <c r="N321" s="1251">
        <v>10</v>
      </c>
      <c r="O321" s="1252">
        <v>5</v>
      </c>
    </row>
    <row r="322" spans="1:15">
      <c r="A322" s="1246" t="s">
        <v>1493</v>
      </c>
      <c r="B322" s="1246" t="s">
        <v>428</v>
      </c>
      <c r="C322" s="1247">
        <v>0.45</v>
      </c>
      <c r="E322" s="1246" t="s">
        <v>376</v>
      </c>
      <c r="F322" s="1248">
        <v>2</v>
      </c>
      <c r="G322" s="1248">
        <v>2</v>
      </c>
      <c r="H322" s="1249">
        <v>1</v>
      </c>
      <c r="I322" s="1246" t="s">
        <v>1491</v>
      </c>
      <c r="J322" s="1246" t="s">
        <v>1438</v>
      </c>
      <c r="K322" s="1284" t="str">
        <f t="shared" ref="K322:K385" si="5">IF(J322="1B","10", IF(J322="2B","20",IF(J322="3B","30",IF(J322="7B",70,J322))))</f>
        <v>13</v>
      </c>
      <c r="L322" s="1246" t="s">
        <v>1533</v>
      </c>
      <c r="M322" s="1250">
        <v>9</v>
      </c>
      <c r="N322" s="1251">
        <v>4</v>
      </c>
      <c r="O322" s="1252">
        <v>2</v>
      </c>
    </row>
    <row r="323" spans="1:15">
      <c r="A323" s="1246" t="s">
        <v>1493</v>
      </c>
      <c r="B323" s="1246" t="s">
        <v>428</v>
      </c>
      <c r="C323" s="1247">
        <v>0.45</v>
      </c>
      <c r="E323" s="1246" t="s">
        <v>376</v>
      </c>
      <c r="F323" s="1248">
        <v>2</v>
      </c>
      <c r="G323" s="1248">
        <v>2</v>
      </c>
      <c r="H323" s="1249">
        <v>1</v>
      </c>
      <c r="I323" s="1246" t="s">
        <v>1491</v>
      </c>
      <c r="J323" s="1246" t="s">
        <v>1436</v>
      </c>
      <c r="K323" s="1284" t="str">
        <f t="shared" si="5"/>
        <v>11</v>
      </c>
      <c r="L323" s="1246" t="s">
        <v>1496</v>
      </c>
      <c r="M323" s="1250">
        <v>9</v>
      </c>
      <c r="N323" s="1251">
        <v>28</v>
      </c>
      <c r="O323" s="1252">
        <v>14</v>
      </c>
    </row>
    <row r="324" spans="1:15">
      <c r="A324" s="1246" t="s">
        <v>1490</v>
      </c>
      <c r="B324" s="1246" t="s">
        <v>428</v>
      </c>
      <c r="C324" s="1247">
        <v>0.45</v>
      </c>
      <c r="F324" s="1248">
        <v>2</v>
      </c>
      <c r="G324" s="1248">
        <v>4</v>
      </c>
      <c r="H324" s="1249">
        <v>1</v>
      </c>
      <c r="I324" s="1246" t="s">
        <v>1491</v>
      </c>
      <c r="J324" s="1246" t="s">
        <v>1454</v>
      </c>
      <c r="K324" s="1284" t="str">
        <f t="shared" si="5"/>
        <v>31</v>
      </c>
      <c r="L324" s="1246" t="s">
        <v>1523</v>
      </c>
      <c r="M324" s="1250">
        <v>3</v>
      </c>
      <c r="N324" s="1251">
        <v>2</v>
      </c>
      <c r="O324" s="1252">
        <v>1</v>
      </c>
    </row>
    <row r="325" spans="1:15">
      <c r="A325" s="1246" t="s">
        <v>1493</v>
      </c>
      <c r="B325" s="1246" t="s">
        <v>428</v>
      </c>
      <c r="C325" s="1247">
        <v>0.45</v>
      </c>
      <c r="E325" s="1246" t="s">
        <v>370</v>
      </c>
      <c r="F325" s="1248">
        <v>3</v>
      </c>
      <c r="G325" s="1248">
        <v>3</v>
      </c>
      <c r="H325" s="1249">
        <v>1</v>
      </c>
      <c r="I325" s="1246" t="s">
        <v>1491</v>
      </c>
      <c r="J325" s="1246" t="s">
        <v>1443</v>
      </c>
      <c r="K325" s="1284" t="str">
        <f t="shared" si="5"/>
        <v>1C</v>
      </c>
      <c r="L325" s="1246" t="s">
        <v>1502</v>
      </c>
      <c r="M325" s="1250">
        <v>4</v>
      </c>
      <c r="N325" s="1251">
        <v>3</v>
      </c>
      <c r="O325" s="1252">
        <v>1</v>
      </c>
    </row>
    <row r="326" spans="1:15">
      <c r="A326" s="1246" t="s">
        <v>1490</v>
      </c>
      <c r="B326" s="1246" t="s">
        <v>428</v>
      </c>
      <c r="C326" s="1247">
        <v>0.45</v>
      </c>
      <c r="F326" s="1248">
        <v>3</v>
      </c>
      <c r="G326" s="1248">
        <v>3</v>
      </c>
      <c r="H326" s="1249">
        <v>1</v>
      </c>
      <c r="I326" s="1246" t="s">
        <v>1491</v>
      </c>
      <c r="J326" s="1246" t="s">
        <v>1454</v>
      </c>
      <c r="K326" s="1284" t="str">
        <f t="shared" si="5"/>
        <v>31</v>
      </c>
      <c r="L326" s="1246" t="s">
        <v>1506</v>
      </c>
      <c r="M326" s="1250">
        <v>1</v>
      </c>
      <c r="N326" s="1251">
        <v>3</v>
      </c>
      <c r="O326" s="1252">
        <v>1</v>
      </c>
    </row>
    <row r="327" spans="1:15">
      <c r="A327" s="1246" t="s">
        <v>1490</v>
      </c>
      <c r="B327" s="1246" t="s">
        <v>428</v>
      </c>
      <c r="C327" s="1247">
        <v>0.45</v>
      </c>
      <c r="E327" s="1246" t="s">
        <v>370</v>
      </c>
      <c r="F327" s="1248">
        <v>3</v>
      </c>
      <c r="G327" s="1248">
        <v>3</v>
      </c>
      <c r="H327" s="1249">
        <v>1</v>
      </c>
      <c r="I327" s="1246" t="s">
        <v>1491</v>
      </c>
      <c r="J327" s="1246" t="s">
        <v>1399</v>
      </c>
      <c r="K327" s="1284" t="str">
        <f t="shared" si="5"/>
        <v>30</v>
      </c>
      <c r="L327" s="1246" t="s">
        <v>1508</v>
      </c>
      <c r="M327" s="1250">
        <v>1</v>
      </c>
      <c r="N327" s="1251">
        <v>3</v>
      </c>
      <c r="O327" s="1252">
        <v>1</v>
      </c>
    </row>
    <row r="328" spans="1:15">
      <c r="A328" s="1246" t="s">
        <v>1490</v>
      </c>
      <c r="B328" s="1246" t="s">
        <v>428</v>
      </c>
      <c r="C328" s="1247">
        <v>0.45</v>
      </c>
      <c r="E328" s="1246" t="s">
        <v>370</v>
      </c>
      <c r="F328" s="1248">
        <v>3</v>
      </c>
      <c r="G328" s="1248">
        <v>3</v>
      </c>
      <c r="H328" s="1249">
        <v>1</v>
      </c>
      <c r="I328" s="1246" t="s">
        <v>1491</v>
      </c>
      <c r="J328" s="1246" t="s">
        <v>1399</v>
      </c>
      <c r="K328" s="1284" t="str">
        <f t="shared" si="5"/>
        <v>30</v>
      </c>
      <c r="L328" s="1246" t="s">
        <v>1511</v>
      </c>
      <c r="M328" s="1250">
        <v>2</v>
      </c>
      <c r="N328" s="1251">
        <v>3</v>
      </c>
      <c r="O328" s="1252">
        <v>1</v>
      </c>
    </row>
    <row r="329" spans="1:15">
      <c r="A329" s="1246" t="s">
        <v>1490</v>
      </c>
      <c r="B329" s="1246" t="s">
        <v>428</v>
      </c>
      <c r="C329" s="1247">
        <v>0.45</v>
      </c>
      <c r="E329" s="1246" t="s">
        <v>370</v>
      </c>
      <c r="F329" s="1248">
        <v>3</v>
      </c>
      <c r="G329" s="1248">
        <v>3</v>
      </c>
      <c r="H329" s="1249">
        <v>1</v>
      </c>
      <c r="I329" s="1246" t="s">
        <v>1491</v>
      </c>
      <c r="J329" s="1246" t="s">
        <v>1399</v>
      </c>
      <c r="K329" s="1284" t="str">
        <f t="shared" si="5"/>
        <v>30</v>
      </c>
      <c r="L329" s="1246" t="s">
        <v>1518</v>
      </c>
      <c r="M329" s="1250">
        <v>2</v>
      </c>
      <c r="N329" s="1251">
        <v>3</v>
      </c>
      <c r="O329" s="1252">
        <v>1</v>
      </c>
    </row>
    <row r="330" spans="1:15">
      <c r="A330" s="1246" t="s">
        <v>1490</v>
      </c>
      <c r="B330" s="1246" t="s">
        <v>428</v>
      </c>
      <c r="C330" s="1247">
        <v>0.45</v>
      </c>
      <c r="F330" s="1248">
        <v>3</v>
      </c>
      <c r="G330" s="1248">
        <v>3</v>
      </c>
      <c r="H330" s="1249">
        <v>1</v>
      </c>
      <c r="I330" s="1246" t="s">
        <v>1491</v>
      </c>
      <c r="J330" s="1246" t="s">
        <v>1456</v>
      </c>
      <c r="K330" s="1284" t="str">
        <f t="shared" si="5"/>
        <v>33</v>
      </c>
      <c r="L330" s="1246" t="s">
        <v>1519</v>
      </c>
      <c r="M330" s="1250">
        <v>2</v>
      </c>
      <c r="N330" s="1251">
        <v>6</v>
      </c>
      <c r="O330" s="1252">
        <v>2</v>
      </c>
    </row>
    <row r="331" spans="1:15">
      <c r="A331" s="1246" t="s">
        <v>1490</v>
      </c>
      <c r="B331" s="1246" t="s">
        <v>428</v>
      </c>
      <c r="C331" s="1247">
        <v>0.45</v>
      </c>
      <c r="F331" s="1248">
        <v>3</v>
      </c>
      <c r="G331" s="1248">
        <v>3</v>
      </c>
      <c r="H331" s="1249">
        <v>1</v>
      </c>
      <c r="I331" s="1246" t="s">
        <v>1491</v>
      </c>
      <c r="J331" s="1246" t="s">
        <v>1399</v>
      </c>
      <c r="K331" s="1284" t="str">
        <f t="shared" si="5"/>
        <v>30</v>
      </c>
      <c r="L331" s="1246" t="s">
        <v>1520</v>
      </c>
      <c r="M331" s="1250">
        <v>3</v>
      </c>
      <c r="N331" s="1251">
        <v>3</v>
      </c>
      <c r="O331" s="1252">
        <v>1</v>
      </c>
    </row>
    <row r="332" spans="1:15">
      <c r="A332" s="1246" t="s">
        <v>1490</v>
      </c>
      <c r="B332" s="1246" t="s">
        <v>428</v>
      </c>
      <c r="C332" s="1247">
        <v>0.45</v>
      </c>
      <c r="F332" s="1248">
        <v>3</v>
      </c>
      <c r="G332" s="1248">
        <v>3</v>
      </c>
      <c r="H332" s="1249">
        <v>1</v>
      </c>
      <c r="I332" s="1246" t="s">
        <v>1491</v>
      </c>
      <c r="J332" s="1246" t="s">
        <v>1454</v>
      </c>
      <c r="K332" s="1284" t="str">
        <f t="shared" si="5"/>
        <v>31</v>
      </c>
      <c r="L332" s="1246" t="s">
        <v>1523</v>
      </c>
      <c r="M332" s="1250">
        <v>3</v>
      </c>
      <c r="N332" s="1251">
        <v>3</v>
      </c>
      <c r="O332" s="1252">
        <v>1</v>
      </c>
    </row>
    <row r="333" spans="1:15">
      <c r="A333" s="1246" t="s">
        <v>1490</v>
      </c>
      <c r="B333" s="1246" t="s">
        <v>428</v>
      </c>
      <c r="C333" s="1247">
        <v>0.45</v>
      </c>
      <c r="F333" s="1248">
        <v>3</v>
      </c>
      <c r="G333" s="1248">
        <v>3</v>
      </c>
      <c r="H333" s="1249">
        <v>1</v>
      </c>
      <c r="I333" s="1246" t="s">
        <v>1491</v>
      </c>
      <c r="J333" s="1246" t="s">
        <v>1399</v>
      </c>
      <c r="K333" s="1284" t="str">
        <f t="shared" si="5"/>
        <v>30</v>
      </c>
      <c r="L333" s="1246" t="s">
        <v>1525</v>
      </c>
      <c r="M333" s="1250">
        <v>3</v>
      </c>
      <c r="N333" s="1251">
        <v>3</v>
      </c>
      <c r="O333" s="1252">
        <v>1</v>
      </c>
    </row>
    <row r="334" spans="1:15">
      <c r="A334" s="1246" t="s">
        <v>1490</v>
      </c>
      <c r="B334" s="1246" t="s">
        <v>428</v>
      </c>
      <c r="C334" s="1247">
        <v>0.45</v>
      </c>
      <c r="F334" s="1248">
        <v>3</v>
      </c>
      <c r="G334" s="1248">
        <v>3</v>
      </c>
      <c r="H334" s="1249">
        <v>1</v>
      </c>
      <c r="I334" s="1246" t="s">
        <v>1491</v>
      </c>
      <c r="J334" s="1246" t="s">
        <v>1399</v>
      </c>
      <c r="K334" s="1284" t="str">
        <f t="shared" si="5"/>
        <v>30</v>
      </c>
      <c r="L334" s="1246" t="s">
        <v>1528</v>
      </c>
      <c r="M334" s="1250">
        <v>3</v>
      </c>
      <c r="N334" s="1251">
        <v>3</v>
      </c>
      <c r="O334" s="1252">
        <v>1</v>
      </c>
    </row>
    <row r="335" spans="1:15">
      <c r="A335" s="1246" t="s">
        <v>1493</v>
      </c>
      <c r="B335" s="1246" t="s">
        <v>428</v>
      </c>
      <c r="C335" s="1247">
        <v>0.45</v>
      </c>
      <c r="E335" s="1246" t="s">
        <v>370</v>
      </c>
      <c r="F335" s="1248">
        <v>3</v>
      </c>
      <c r="G335" s="1248">
        <v>3</v>
      </c>
      <c r="H335" s="1249">
        <v>1</v>
      </c>
      <c r="I335" s="1246" t="s">
        <v>1491</v>
      </c>
      <c r="J335" s="1246" t="s">
        <v>1437</v>
      </c>
      <c r="K335" s="1284" t="str">
        <f t="shared" si="5"/>
        <v>12</v>
      </c>
      <c r="L335" s="1246" t="s">
        <v>1529</v>
      </c>
      <c r="M335" s="1250">
        <v>9</v>
      </c>
      <c r="N335" s="1251">
        <v>3</v>
      </c>
      <c r="O335" s="1252">
        <v>1</v>
      </c>
    </row>
    <row r="336" spans="1:15">
      <c r="A336" s="1246" t="s">
        <v>1493</v>
      </c>
      <c r="B336" s="1246" t="s">
        <v>428</v>
      </c>
      <c r="C336" s="1247">
        <v>0.45</v>
      </c>
      <c r="E336" s="1246" t="s">
        <v>370</v>
      </c>
      <c r="F336" s="1248">
        <v>3</v>
      </c>
      <c r="G336" s="1248">
        <v>3</v>
      </c>
      <c r="H336" s="1249">
        <v>1</v>
      </c>
      <c r="I336" s="1246" t="s">
        <v>1491</v>
      </c>
      <c r="J336" s="1246" t="s">
        <v>1436</v>
      </c>
      <c r="K336" s="1284" t="str">
        <f t="shared" si="5"/>
        <v>11</v>
      </c>
      <c r="L336" s="1246" t="s">
        <v>1495</v>
      </c>
      <c r="M336" s="1250">
        <v>9</v>
      </c>
      <c r="N336" s="1251">
        <v>51</v>
      </c>
      <c r="O336" s="1252">
        <v>17</v>
      </c>
    </row>
    <row r="337" spans="1:15">
      <c r="A337" s="1246" t="s">
        <v>1493</v>
      </c>
      <c r="B337" s="1246" t="s">
        <v>428</v>
      </c>
      <c r="C337" s="1247">
        <v>0.45</v>
      </c>
      <c r="E337" s="1246" t="s">
        <v>370</v>
      </c>
      <c r="F337" s="1248">
        <v>3</v>
      </c>
      <c r="G337" s="1248">
        <v>3</v>
      </c>
      <c r="H337" s="1249">
        <v>1</v>
      </c>
      <c r="I337" s="1246" t="s">
        <v>1491</v>
      </c>
      <c r="J337" s="1246" t="s">
        <v>1440</v>
      </c>
      <c r="K337" s="1284" t="str">
        <f t="shared" si="5"/>
        <v>16</v>
      </c>
      <c r="L337" s="1246" t="s">
        <v>1538</v>
      </c>
      <c r="M337" s="1250">
        <v>9</v>
      </c>
      <c r="N337" s="1251">
        <v>3</v>
      </c>
      <c r="O337" s="1252">
        <v>1</v>
      </c>
    </row>
    <row r="338" spans="1:15">
      <c r="A338" s="1246" t="s">
        <v>1493</v>
      </c>
      <c r="B338" s="1246" t="s">
        <v>428</v>
      </c>
      <c r="C338" s="1247">
        <v>0.45</v>
      </c>
      <c r="E338" s="1246" t="s">
        <v>370</v>
      </c>
      <c r="F338" s="1248">
        <v>3</v>
      </c>
      <c r="G338" s="1248">
        <v>3</v>
      </c>
      <c r="H338" s="1249">
        <v>1</v>
      </c>
      <c r="I338" s="1246" t="s">
        <v>1491</v>
      </c>
      <c r="J338" s="1246" t="s">
        <v>1397</v>
      </c>
      <c r="K338" s="1284" t="str">
        <f t="shared" si="5"/>
        <v>10</v>
      </c>
      <c r="L338" s="1246" t="s">
        <v>1536</v>
      </c>
      <c r="M338" s="1250">
        <v>9</v>
      </c>
      <c r="N338" s="1251">
        <v>3</v>
      </c>
      <c r="O338" s="1252">
        <v>1</v>
      </c>
    </row>
    <row r="339" spans="1:15">
      <c r="A339" s="1246" t="s">
        <v>1493</v>
      </c>
      <c r="B339" s="1246" t="s">
        <v>428</v>
      </c>
      <c r="C339" s="1247">
        <v>0.45</v>
      </c>
      <c r="E339" s="1246" t="s">
        <v>370</v>
      </c>
      <c r="F339" s="1248">
        <v>3</v>
      </c>
      <c r="G339" s="1248">
        <v>3</v>
      </c>
      <c r="H339" s="1249">
        <v>1</v>
      </c>
      <c r="I339" s="1246" t="s">
        <v>1491</v>
      </c>
      <c r="J339" s="1246" t="s">
        <v>1397</v>
      </c>
      <c r="K339" s="1284" t="str">
        <f t="shared" si="5"/>
        <v>10</v>
      </c>
      <c r="L339" s="1246" t="s">
        <v>1532</v>
      </c>
      <c r="M339" s="1250">
        <v>9</v>
      </c>
      <c r="N339" s="1251">
        <v>6</v>
      </c>
      <c r="O339" s="1252">
        <v>2</v>
      </c>
    </row>
    <row r="340" spans="1:15">
      <c r="A340" s="1246" t="s">
        <v>1493</v>
      </c>
      <c r="B340" s="1246" t="s">
        <v>428</v>
      </c>
      <c r="C340" s="1247">
        <v>0.45</v>
      </c>
      <c r="E340" s="1246" t="s">
        <v>376</v>
      </c>
      <c r="F340" s="1248">
        <v>3</v>
      </c>
      <c r="G340" s="1248">
        <v>3</v>
      </c>
      <c r="H340" s="1249">
        <v>1</v>
      </c>
      <c r="I340" s="1246" t="s">
        <v>1491</v>
      </c>
      <c r="J340" s="1246" t="s">
        <v>1397</v>
      </c>
      <c r="K340" s="1284" t="str">
        <f t="shared" si="5"/>
        <v>10</v>
      </c>
      <c r="L340" s="1246" t="s">
        <v>1532</v>
      </c>
      <c r="M340" s="1250">
        <v>9</v>
      </c>
      <c r="N340" s="1251">
        <v>3</v>
      </c>
      <c r="O340" s="1252">
        <v>1</v>
      </c>
    </row>
    <row r="341" spans="1:15">
      <c r="A341" s="1246" t="s">
        <v>1493</v>
      </c>
      <c r="B341" s="1246" t="s">
        <v>428</v>
      </c>
      <c r="C341" s="1247">
        <v>0.45</v>
      </c>
      <c r="E341" s="1246" t="s">
        <v>376</v>
      </c>
      <c r="F341" s="1248">
        <v>3</v>
      </c>
      <c r="G341" s="1248">
        <v>3</v>
      </c>
      <c r="H341" s="1249">
        <v>1</v>
      </c>
      <c r="I341" s="1246" t="s">
        <v>1491</v>
      </c>
      <c r="J341" s="1246" t="s">
        <v>1438</v>
      </c>
      <c r="K341" s="1284" t="str">
        <f t="shared" si="5"/>
        <v>13</v>
      </c>
      <c r="L341" s="1246" t="s">
        <v>1533</v>
      </c>
      <c r="M341" s="1250">
        <v>9</v>
      </c>
      <c r="N341" s="1251">
        <v>6</v>
      </c>
      <c r="O341" s="1252">
        <v>2</v>
      </c>
    </row>
    <row r="342" spans="1:15">
      <c r="A342" s="1246" t="s">
        <v>1493</v>
      </c>
      <c r="B342" s="1246" t="s">
        <v>428</v>
      </c>
      <c r="C342" s="1247">
        <v>0.45</v>
      </c>
      <c r="E342" s="1246" t="s">
        <v>376</v>
      </c>
      <c r="F342" s="1248">
        <v>3</v>
      </c>
      <c r="G342" s="1248">
        <v>3</v>
      </c>
      <c r="H342" s="1249">
        <v>1</v>
      </c>
      <c r="I342" s="1246" t="s">
        <v>1491</v>
      </c>
      <c r="J342" s="1246" t="s">
        <v>1436</v>
      </c>
      <c r="K342" s="1284" t="str">
        <f t="shared" si="5"/>
        <v>11</v>
      </c>
      <c r="L342" s="1246" t="s">
        <v>1496</v>
      </c>
      <c r="M342" s="1250">
        <v>9</v>
      </c>
      <c r="N342" s="1251">
        <v>24</v>
      </c>
      <c r="O342" s="1252">
        <v>8</v>
      </c>
    </row>
    <row r="343" spans="1:15">
      <c r="A343" s="1246" t="s">
        <v>1493</v>
      </c>
      <c r="B343" s="1246" t="s">
        <v>428</v>
      </c>
      <c r="C343" s="1247">
        <v>0.45</v>
      </c>
      <c r="E343" s="1246" t="s">
        <v>376</v>
      </c>
      <c r="F343" s="1248">
        <v>3</v>
      </c>
      <c r="G343" s="1248">
        <v>4</v>
      </c>
      <c r="H343" s="1249">
        <v>1</v>
      </c>
      <c r="I343" s="1246" t="s">
        <v>1491</v>
      </c>
      <c r="J343" s="1246" t="s">
        <v>1436</v>
      </c>
      <c r="K343" s="1284" t="str">
        <f t="shared" si="5"/>
        <v>11</v>
      </c>
      <c r="L343" s="1246" t="s">
        <v>1496</v>
      </c>
      <c r="M343" s="1250">
        <v>9</v>
      </c>
      <c r="N343" s="1251">
        <v>3</v>
      </c>
      <c r="O343" s="1252">
        <v>1</v>
      </c>
    </row>
    <row r="344" spans="1:15">
      <c r="A344" s="1246" t="s">
        <v>1493</v>
      </c>
      <c r="B344" s="1246" t="s">
        <v>428</v>
      </c>
      <c r="C344" s="1247">
        <v>0.45</v>
      </c>
      <c r="E344" s="1246" t="s">
        <v>370</v>
      </c>
      <c r="F344" s="1248">
        <v>3</v>
      </c>
      <c r="G344" s="1248">
        <v>6</v>
      </c>
      <c r="H344" s="1249">
        <v>1</v>
      </c>
      <c r="I344" s="1246" t="s">
        <v>1491</v>
      </c>
      <c r="J344" s="1246" t="s">
        <v>1436</v>
      </c>
      <c r="K344" s="1284" t="str">
        <f t="shared" si="5"/>
        <v>11</v>
      </c>
      <c r="L344" s="1246" t="s">
        <v>1495</v>
      </c>
      <c r="M344" s="1250">
        <v>9</v>
      </c>
      <c r="N344" s="1251">
        <v>3</v>
      </c>
      <c r="O344" s="1252">
        <v>1</v>
      </c>
    </row>
    <row r="345" spans="1:15">
      <c r="A345" s="1246" t="s">
        <v>1493</v>
      </c>
      <c r="B345" s="1246" t="s">
        <v>428</v>
      </c>
      <c r="C345" s="1247">
        <v>0.45</v>
      </c>
      <c r="E345" s="1246" t="s">
        <v>376</v>
      </c>
      <c r="F345" s="1248">
        <v>3</v>
      </c>
      <c r="G345" s="1248">
        <v>6</v>
      </c>
      <c r="H345" s="1249">
        <v>1</v>
      </c>
      <c r="I345" s="1246" t="s">
        <v>1491</v>
      </c>
      <c r="J345" s="1246" t="s">
        <v>1436</v>
      </c>
      <c r="K345" s="1284" t="str">
        <f t="shared" si="5"/>
        <v>11</v>
      </c>
      <c r="L345" s="1246" t="s">
        <v>1496</v>
      </c>
      <c r="M345" s="1250">
        <v>9</v>
      </c>
      <c r="N345" s="1251">
        <v>3</v>
      </c>
      <c r="O345" s="1252">
        <v>1</v>
      </c>
    </row>
    <row r="346" spans="1:15">
      <c r="A346" s="1246" t="s">
        <v>1493</v>
      </c>
      <c r="B346" s="1246" t="s">
        <v>428</v>
      </c>
      <c r="C346" s="1247">
        <v>0.45</v>
      </c>
      <c r="E346" s="1246" t="s">
        <v>370</v>
      </c>
      <c r="F346" s="1248">
        <v>4</v>
      </c>
      <c r="G346" s="1248">
        <v>4</v>
      </c>
      <c r="H346" s="1249">
        <v>1</v>
      </c>
      <c r="I346" s="1246" t="s">
        <v>1491</v>
      </c>
      <c r="J346" s="1246" t="s">
        <v>1443</v>
      </c>
      <c r="K346" s="1284" t="str">
        <f t="shared" si="5"/>
        <v>1C</v>
      </c>
      <c r="L346" s="1246" t="s">
        <v>1502</v>
      </c>
      <c r="M346" s="1250">
        <v>4</v>
      </c>
      <c r="N346" s="1251">
        <v>4</v>
      </c>
      <c r="O346" s="1252">
        <v>1</v>
      </c>
    </row>
    <row r="347" spans="1:15">
      <c r="A347" s="1246" t="s">
        <v>1490</v>
      </c>
      <c r="B347" s="1246" t="s">
        <v>428</v>
      </c>
      <c r="C347" s="1247">
        <v>0.45</v>
      </c>
      <c r="F347" s="1248">
        <v>4</v>
      </c>
      <c r="G347" s="1248">
        <v>4</v>
      </c>
      <c r="H347" s="1249">
        <v>1</v>
      </c>
      <c r="I347" s="1246" t="s">
        <v>1491</v>
      </c>
      <c r="J347" s="1246" t="s">
        <v>1399</v>
      </c>
      <c r="K347" s="1284" t="str">
        <f t="shared" si="5"/>
        <v>30</v>
      </c>
      <c r="L347" s="1246" t="s">
        <v>1503</v>
      </c>
      <c r="M347" s="1250">
        <v>1</v>
      </c>
      <c r="N347" s="1251">
        <v>4</v>
      </c>
      <c r="O347" s="1252">
        <v>1</v>
      </c>
    </row>
    <row r="348" spans="1:15">
      <c r="A348" s="1246" t="s">
        <v>1493</v>
      </c>
      <c r="B348" s="1246" t="s">
        <v>428</v>
      </c>
      <c r="C348" s="1247">
        <v>0.45</v>
      </c>
      <c r="E348" s="1246" t="s">
        <v>376</v>
      </c>
      <c r="F348" s="1248">
        <v>4</v>
      </c>
      <c r="G348" s="1248">
        <v>4</v>
      </c>
      <c r="H348" s="1249">
        <v>1</v>
      </c>
      <c r="I348" s="1246" t="s">
        <v>1491</v>
      </c>
      <c r="J348" s="1246" t="s">
        <v>1397</v>
      </c>
      <c r="K348" s="1284" t="str">
        <f t="shared" si="5"/>
        <v>10</v>
      </c>
      <c r="L348" s="1246" t="s">
        <v>1532</v>
      </c>
      <c r="M348" s="1250">
        <v>9</v>
      </c>
      <c r="N348" s="1251">
        <v>4</v>
      </c>
      <c r="O348" s="1252">
        <v>1</v>
      </c>
    </row>
    <row r="349" spans="1:15">
      <c r="A349" s="1246" t="s">
        <v>1493</v>
      </c>
      <c r="B349" s="1246" t="s">
        <v>428</v>
      </c>
      <c r="C349" s="1247">
        <v>0.45</v>
      </c>
      <c r="E349" s="1246" t="s">
        <v>376</v>
      </c>
      <c r="F349" s="1248">
        <v>4</v>
      </c>
      <c r="G349" s="1248">
        <v>4</v>
      </c>
      <c r="H349" s="1249">
        <v>1</v>
      </c>
      <c r="I349" s="1246" t="s">
        <v>1491</v>
      </c>
      <c r="J349" s="1246" t="s">
        <v>1438</v>
      </c>
      <c r="K349" s="1284" t="str">
        <f t="shared" si="5"/>
        <v>13</v>
      </c>
      <c r="L349" s="1246" t="s">
        <v>1533</v>
      </c>
      <c r="M349" s="1250">
        <v>9</v>
      </c>
      <c r="N349" s="1251">
        <v>12</v>
      </c>
      <c r="O349" s="1252">
        <v>3</v>
      </c>
    </row>
    <row r="350" spans="1:15">
      <c r="A350" s="1246" t="s">
        <v>1493</v>
      </c>
      <c r="B350" s="1246" t="s">
        <v>428</v>
      </c>
      <c r="C350" s="1247">
        <v>0.45</v>
      </c>
      <c r="E350" s="1246" t="s">
        <v>376</v>
      </c>
      <c r="F350" s="1248">
        <v>4</v>
      </c>
      <c r="G350" s="1248">
        <v>4</v>
      </c>
      <c r="H350" s="1249">
        <v>1</v>
      </c>
      <c r="I350" s="1246" t="s">
        <v>1491</v>
      </c>
      <c r="J350" s="1246" t="s">
        <v>1436</v>
      </c>
      <c r="K350" s="1284" t="str">
        <f t="shared" si="5"/>
        <v>11</v>
      </c>
      <c r="L350" s="1246" t="s">
        <v>1496</v>
      </c>
      <c r="M350" s="1250">
        <v>9</v>
      </c>
      <c r="N350" s="1251">
        <v>4</v>
      </c>
      <c r="O350" s="1252">
        <v>1</v>
      </c>
    </row>
    <row r="351" spans="1:15">
      <c r="A351" s="1246" t="s">
        <v>1493</v>
      </c>
      <c r="B351" s="1246" t="s">
        <v>428</v>
      </c>
      <c r="C351" s="1247">
        <v>0.45</v>
      </c>
      <c r="E351" s="1246" t="s">
        <v>370</v>
      </c>
      <c r="F351" s="1248">
        <v>5</v>
      </c>
      <c r="G351" s="1248">
        <v>5</v>
      </c>
      <c r="H351" s="1249">
        <v>1</v>
      </c>
      <c r="I351" s="1246" t="s">
        <v>1491</v>
      </c>
      <c r="J351" s="1246" t="s">
        <v>1438</v>
      </c>
      <c r="K351" s="1284" t="str">
        <f t="shared" si="5"/>
        <v>13</v>
      </c>
      <c r="L351" s="1246" t="s">
        <v>1533</v>
      </c>
      <c r="M351" s="1250">
        <v>9</v>
      </c>
      <c r="N351" s="1251">
        <v>5</v>
      </c>
      <c r="O351" s="1252">
        <v>1</v>
      </c>
    </row>
    <row r="352" spans="1:15">
      <c r="A352" s="1246" t="s">
        <v>1493</v>
      </c>
      <c r="B352" s="1246" t="s">
        <v>428</v>
      </c>
      <c r="C352" s="1247">
        <v>0.45</v>
      </c>
      <c r="E352" s="1246" t="s">
        <v>376</v>
      </c>
      <c r="F352" s="1248">
        <v>5</v>
      </c>
      <c r="G352" s="1248">
        <v>5</v>
      </c>
      <c r="H352" s="1249">
        <v>1</v>
      </c>
      <c r="I352" s="1246" t="s">
        <v>1491</v>
      </c>
      <c r="J352" s="1246" t="s">
        <v>1438</v>
      </c>
      <c r="K352" s="1284" t="str">
        <f t="shared" si="5"/>
        <v>13</v>
      </c>
      <c r="L352" s="1246" t="s">
        <v>1533</v>
      </c>
      <c r="M352" s="1250">
        <v>9</v>
      </c>
      <c r="N352" s="1251">
        <v>5</v>
      </c>
      <c r="O352" s="1252">
        <v>1</v>
      </c>
    </row>
    <row r="353" spans="1:15">
      <c r="A353" s="1246" t="s">
        <v>1493</v>
      </c>
      <c r="B353" s="1246" t="s">
        <v>428</v>
      </c>
      <c r="C353" s="1247">
        <v>0.45</v>
      </c>
      <c r="E353" s="1246" t="s">
        <v>376</v>
      </c>
      <c r="F353" s="1248">
        <v>5</v>
      </c>
      <c r="G353" s="1248">
        <v>5</v>
      </c>
      <c r="H353" s="1249">
        <v>1</v>
      </c>
      <c r="I353" s="1246" t="s">
        <v>1491</v>
      </c>
      <c r="J353" s="1246" t="s">
        <v>1436</v>
      </c>
      <c r="K353" s="1284" t="str">
        <f t="shared" si="5"/>
        <v>11</v>
      </c>
      <c r="L353" s="1246" t="s">
        <v>1496</v>
      </c>
      <c r="M353" s="1250">
        <v>9</v>
      </c>
      <c r="N353" s="1251">
        <v>5</v>
      </c>
      <c r="O353" s="1252">
        <v>1</v>
      </c>
    </row>
    <row r="354" spans="1:15">
      <c r="A354" s="1246" t="s">
        <v>1493</v>
      </c>
      <c r="B354" s="1246" t="s">
        <v>428</v>
      </c>
      <c r="C354" s="1247">
        <v>0.45</v>
      </c>
      <c r="E354" s="1246" t="s">
        <v>370</v>
      </c>
      <c r="F354" s="1248">
        <v>6</v>
      </c>
      <c r="G354" s="1248">
        <v>6</v>
      </c>
      <c r="H354" s="1249">
        <v>1</v>
      </c>
      <c r="I354" s="1246" t="s">
        <v>1491</v>
      </c>
      <c r="J354" s="1246" t="s">
        <v>1436</v>
      </c>
      <c r="K354" s="1284" t="str">
        <f t="shared" si="5"/>
        <v>11</v>
      </c>
      <c r="L354" s="1246" t="s">
        <v>1495</v>
      </c>
      <c r="M354" s="1250">
        <v>9</v>
      </c>
      <c r="N354" s="1251">
        <v>6</v>
      </c>
      <c r="O354" s="1252">
        <v>1</v>
      </c>
    </row>
    <row r="355" spans="1:15">
      <c r="A355" s="1246" t="s">
        <v>1493</v>
      </c>
      <c r="B355" s="1246" t="s">
        <v>428</v>
      </c>
      <c r="C355" s="1247">
        <v>0.45</v>
      </c>
      <c r="E355" s="1246" t="s">
        <v>376</v>
      </c>
      <c r="F355" s="1248">
        <v>6</v>
      </c>
      <c r="G355" s="1248">
        <v>6</v>
      </c>
      <c r="H355" s="1249">
        <v>1</v>
      </c>
      <c r="I355" s="1246" t="s">
        <v>1491</v>
      </c>
      <c r="J355" s="1246" t="s">
        <v>1436</v>
      </c>
      <c r="K355" s="1284" t="str">
        <f t="shared" si="5"/>
        <v>11</v>
      </c>
      <c r="L355" s="1246" t="s">
        <v>1496</v>
      </c>
      <c r="M355" s="1250">
        <v>9</v>
      </c>
      <c r="N355" s="1251">
        <v>12</v>
      </c>
      <c r="O355" s="1252">
        <v>2</v>
      </c>
    </row>
    <row r="356" spans="1:15">
      <c r="A356" s="1246" t="s">
        <v>1493</v>
      </c>
      <c r="B356" s="1246" t="s">
        <v>428</v>
      </c>
      <c r="C356" s="1247">
        <v>0.45</v>
      </c>
      <c r="E356" s="1246" t="s">
        <v>376</v>
      </c>
      <c r="F356" s="1248">
        <v>6</v>
      </c>
      <c r="G356" s="1248">
        <v>12</v>
      </c>
      <c r="H356" s="1249">
        <v>1</v>
      </c>
      <c r="I356" s="1246" t="s">
        <v>1491</v>
      </c>
      <c r="J356" s="1246" t="s">
        <v>1436</v>
      </c>
      <c r="K356" s="1284" t="str">
        <f t="shared" si="5"/>
        <v>11</v>
      </c>
      <c r="L356" s="1246" t="s">
        <v>1496</v>
      </c>
      <c r="M356" s="1250">
        <v>9</v>
      </c>
      <c r="N356" s="1251">
        <v>6</v>
      </c>
      <c r="O356" s="1252">
        <v>1</v>
      </c>
    </row>
    <row r="357" spans="1:15">
      <c r="A357" s="1246" t="s">
        <v>1493</v>
      </c>
      <c r="B357" s="1246" t="s">
        <v>428</v>
      </c>
      <c r="C357" s="1247">
        <v>0.45</v>
      </c>
      <c r="E357" s="1246" t="s">
        <v>370</v>
      </c>
      <c r="F357" s="1248">
        <v>7</v>
      </c>
      <c r="G357" s="1248">
        <v>7</v>
      </c>
      <c r="H357" s="1249">
        <v>1</v>
      </c>
      <c r="I357" s="1246" t="s">
        <v>1491</v>
      </c>
      <c r="J357" s="1246" t="s">
        <v>1436</v>
      </c>
      <c r="K357" s="1284" t="str">
        <f t="shared" si="5"/>
        <v>11</v>
      </c>
      <c r="L357" s="1246" t="s">
        <v>1495</v>
      </c>
      <c r="M357" s="1250">
        <v>9</v>
      </c>
      <c r="N357" s="1251">
        <v>14</v>
      </c>
      <c r="O357" s="1252">
        <v>2</v>
      </c>
    </row>
    <row r="358" spans="1:15">
      <c r="A358" s="1246" t="s">
        <v>1493</v>
      </c>
      <c r="B358" s="1246" t="s">
        <v>428</v>
      </c>
      <c r="C358" s="1247">
        <v>0.45</v>
      </c>
      <c r="E358" s="1246" t="s">
        <v>376</v>
      </c>
      <c r="F358" s="1248">
        <v>7</v>
      </c>
      <c r="G358" s="1248">
        <v>7</v>
      </c>
      <c r="H358" s="1249">
        <v>1</v>
      </c>
      <c r="I358" s="1246" t="s">
        <v>1491</v>
      </c>
      <c r="J358" s="1246" t="s">
        <v>1438</v>
      </c>
      <c r="K358" s="1284" t="str">
        <f t="shared" si="5"/>
        <v>13</v>
      </c>
      <c r="L358" s="1246" t="s">
        <v>1533</v>
      </c>
      <c r="M358" s="1250">
        <v>9</v>
      </c>
      <c r="N358" s="1251">
        <v>7</v>
      </c>
      <c r="O358" s="1252">
        <v>1</v>
      </c>
    </row>
    <row r="359" spans="1:15">
      <c r="A359" s="1246" t="s">
        <v>1493</v>
      </c>
      <c r="B359" s="1246" t="s">
        <v>428</v>
      </c>
      <c r="C359" s="1247">
        <v>0.45</v>
      </c>
      <c r="E359" s="1246" t="s">
        <v>376</v>
      </c>
      <c r="F359" s="1248">
        <v>7</v>
      </c>
      <c r="G359" s="1248">
        <v>7</v>
      </c>
      <c r="H359" s="1249">
        <v>1</v>
      </c>
      <c r="I359" s="1246" t="s">
        <v>1491</v>
      </c>
      <c r="J359" s="1246" t="s">
        <v>1436</v>
      </c>
      <c r="K359" s="1284" t="str">
        <f t="shared" si="5"/>
        <v>11</v>
      </c>
      <c r="L359" s="1246" t="s">
        <v>1496</v>
      </c>
      <c r="M359" s="1250">
        <v>9</v>
      </c>
      <c r="N359" s="1251">
        <v>7</v>
      </c>
      <c r="O359" s="1252">
        <v>1</v>
      </c>
    </row>
    <row r="360" spans="1:15">
      <c r="A360" s="1246" t="s">
        <v>1493</v>
      </c>
      <c r="B360" s="1246" t="s">
        <v>428</v>
      </c>
      <c r="C360" s="1247">
        <v>0.45</v>
      </c>
      <c r="E360" s="1246" t="s">
        <v>370</v>
      </c>
      <c r="F360" s="1248">
        <v>8</v>
      </c>
      <c r="G360" s="1248">
        <v>8</v>
      </c>
      <c r="H360" s="1249">
        <v>1</v>
      </c>
      <c r="I360" s="1246" t="s">
        <v>1491</v>
      </c>
      <c r="J360" s="1246" t="s">
        <v>1436</v>
      </c>
      <c r="K360" s="1284" t="str">
        <f t="shared" si="5"/>
        <v>11</v>
      </c>
      <c r="L360" s="1246" t="s">
        <v>1495</v>
      </c>
      <c r="M360" s="1250">
        <v>9</v>
      </c>
      <c r="N360" s="1251">
        <v>8</v>
      </c>
      <c r="O360" s="1252">
        <v>1</v>
      </c>
    </row>
    <row r="361" spans="1:15">
      <c r="A361" s="1246" t="s">
        <v>1493</v>
      </c>
      <c r="B361" s="1246" t="s">
        <v>428</v>
      </c>
      <c r="C361" s="1247">
        <v>0.45</v>
      </c>
      <c r="E361" s="1246" t="s">
        <v>370</v>
      </c>
      <c r="F361" s="1248">
        <v>9</v>
      </c>
      <c r="G361" s="1248">
        <v>9</v>
      </c>
      <c r="H361" s="1249">
        <v>1</v>
      </c>
      <c r="I361" s="1246" t="s">
        <v>1491</v>
      </c>
      <c r="J361" s="1246" t="s">
        <v>1438</v>
      </c>
      <c r="K361" s="1284" t="str">
        <f t="shared" si="5"/>
        <v>13</v>
      </c>
      <c r="L361" s="1246" t="s">
        <v>1533</v>
      </c>
      <c r="M361" s="1250">
        <v>9</v>
      </c>
      <c r="N361" s="1251">
        <v>9</v>
      </c>
      <c r="O361" s="1252">
        <v>1</v>
      </c>
    </row>
    <row r="362" spans="1:15">
      <c r="A362" s="1246" t="s">
        <v>1493</v>
      </c>
      <c r="B362" s="1246" t="s">
        <v>428</v>
      </c>
      <c r="C362" s="1247">
        <v>0.45</v>
      </c>
      <c r="E362" s="1246" t="s">
        <v>376</v>
      </c>
      <c r="F362" s="1248">
        <v>9</v>
      </c>
      <c r="G362" s="1248">
        <v>9</v>
      </c>
      <c r="H362" s="1249">
        <v>1</v>
      </c>
      <c r="I362" s="1246" t="s">
        <v>1491</v>
      </c>
      <c r="J362" s="1246" t="s">
        <v>1438</v>
      </c>
      <c r="K362" s="1284" t="str">
        <f t="shared" si="5"/>
        <v>13</v>
      </c>
      <c r="L362" s="1246" t="s">
        <v>1533</v>
      </c>
      <c r="M362" s="1250">
        <v>9</v>
      </c>
      <c r="N362" s="1251">
        <v>9</v>
      </c>
      <c r="O362" s="1252">
        <v>1</v>
      </c>
    </row>
    <row r="363" spans="1:15">
      <c r="A363" s="1246" t="s">
        <v>1493</v>
      </c>
      <c r="B363" s="1246" t="s">
        <v>428</v>
      </c>
      <c r="C363" s="1247">
        <v>0.45</v>
      </c>
      <c r="E363" s="1246" t="s">
        <v>376</v>
      </c>
      <c r="F363" s="1248">
        <v>9</v>
      </c>
      <c r="G363" s="1248">
        <v>9</v>
      </c>
      <c r="H363" s="1249">
        <v>1</v>
      </c>
      <c r="I363" s="1246" t="s">
        <v>1491</v>
      </c>
      <c r="J363" s="1246" t="s">
        <v>1436</v>
      </c>
      <c r="K363" s="1284" t="str">
        <f t="shared" si="5"/>
        <v>11</v>
      </c>
      <c r="L363" s="1246" t="s">
        <v>1496</v>
      </c>
      <c r="M363" s="1250">
        <v>9</v>
      </c>
      <c r="N363" s="1251">
        <v>9</v>
      </c>
      <c r="O363" s="1252">
        <v>1</v>
      </c>
    </row>
    <row r="364" spans="1:15">
      <c r="A364" s="1246" t="s">
        <v>1493</v>
      </c>
      <c r="B364" s="1246" t="s">
        <v>428</v>
      </c>
      <c r="C364" s="1247">
        <v>0.45</v>
      </c>
      <c r="E364" s="1246" t="s">
        <v>376</v>
      </c>
      <c r="F364" s="1248">
        <v>12</v>
      </c>
      <c r="G364" s="1248">
        <v>12</v>
      </c>
      <c r="H364" s="1249">
        <v>1</v>
      </c>
      <c r="I364" s="1246" t="s">
        <v>1491</v>
      </c>
      <c r="J364" s="1246" t="s">
        <v>1437</v>
      </c>
      <c r="K364" s="1284" t="str">
        <f t="shared" si="5"/>
        <v>12</v>
      </c>
      <c r="L364" s="1246" t="s">
        <v>1529</v>
      </c>
      <c r="M364" s="1250">
        <v>9</v>
      </c>
      <c r="N364" s="1251">
        <v>12</v>
      </c>
      <c r="O364" s="1252">
        <v>1</v>
      </c>
    </row>
    <row r="365" spans="1:15">
      <c r="A365" s="1246" t="s">
        <v>1493</v>
      </c>
      <c r="B365" s="1246" t="s">
        <v>428</v>
      </c>
      <c r="C365" s="1247">
        <v>0.45</v>
      </c>
      <c r="E365" s="1246" t="s">
        <v>376</v>
      </c>
      <c r="F365" s="1248">
        <v>12</v>
      </c>
      <c r="G365" s="1248">
        <v>12</v>
      </c>
      <c r="H365" s="1249">
        <v>1</v>
      </c>
      <c r="I365" s="1246" t="s">
        <v>1491</v>
      </c>
      <c r="J365" s="1246" t="s">
        <v>1438</v>
      </c>
      <c r="K365" s="1284" t="str">
        <f t="shared" si="5"/>
        <v>13</v>
      </c>
      <c r="L365" s="1246" t="s">
        <v>1533</v>
      </c>
      <c r="M365" s="1250">
        <v>9</v>
      </c>
      <c r="N365" s="1251">
        <v>12</v>
      </c>
      <c r="O365" s="1252">
        <v>1</v>
      </c>
    </row>
    <row r="366" spans="1:15">
      <c r="A366" s="1246" t="s">
        <v>1493</v>
      </c>
      <c r="B366" s="1246" t="s">
        <v>428</v>
      </c>
      <c r="C366" s="1247">
        <v>0.45</v>
      </c>
      <c r="E366" s="1246" t="s">
        <v>376</v>
      </c>
      <c r="F366" s="1248">
        <v>12</v>
      </c>
      <c r="G366" s="1248">
        <v>12</v>
      </c>
      <c r="H366" s="1249">
        <v>1</v>
      </c>
      <c r="I366" s="1246" t="s">
        <v>1491</v>
      </c>
      <c r="J366" s="1246" t="s">
        <v>1436</v>
      </c>
      <c r="K366" s="1284" t="str">
        <f t="shared" si="5"/>
        <v>11</v>
      </c>
      <c r="L366" s="1246" t="s">
        <v>1496</v>
      </c>
      <c r="M366" s="1250">
        <v>9</v>
      </c>
      <c r="N366" s="1251">
        <v>12</v>
      </c>
      <c r="O366" s="1252">
        <v>1</v>
      </c>
    </row>
    <row r="367" spans="1:15">
      <c r="A367" s="1246" t="s">
        <v>1493</v>
      </c>
      <c r="B367" s="1246" t="s">
        <v>428</v>
      </c>
      <c r="C367" s="1247">
        <v>0.45</v>
      </c>
      <c r="E367" s="1246" t="s">
        <v>376</v>
      </c>
      <c r="F367" s="1248">
        <v>13</v>
      </c>
      <c r="G367" s="1248">
        <v>13</v>
      </c>
      <c r="H367" s="1249">
        <v>1</v>
      </c>
      <c r="I367" s="1246" t="s">
        <v>1491</v>
      </c>
      <c r="J367" s="1246" t="s">
        <v>1438</v>
      </c>
      <c r="K367" s="1284" t="str">
        <f t="shared" si="5"/>
        <v>13</v>
      </c>
      <c r="L367" s="1246" t="s">
        <v>1533</v>
      </c>
      <c r="M367" s="1250">
        <v>9</v>
      </c>
      <c r="N367" s="1251">
        <v>13</v>
      </c>
      <c r="O367" s="1252">
        <v>1</v>
      </c>
    </row>
    <row r="368" spans="1:15">
      <c r="A368" s="1246" t="s">
        <v>1493</v>
      </c>
      <c r="B368" s="1246" t="s">
        <v>428</v>
      </c>
      <c r="C368" s="1247">
        <v>0.45</v>
      </c>
      <c r="E368" s="1246" t="s">
        <v>376</v>
      </c>
      <c r="F368" s="1248">
        <v>14</v>
      </c>
      <c r="G368" s="1248">
        <v>14</v>
      </c>
      <c r="H368" s="1249">
        <v>1</v>
      </c>
      <c r="I368" s="1246" t="s">
        <v>1491</v>
      </c>
      <c r="J368" s="1246" t="s">
        <v>1436</v>
      </c>
      <c r="K368" s="1284" t="str">
        <f t="shared" si="5"/>
        <v>11</v>
      </c>
      <c r="L368" s="1246" t="s">
        <v>1496</v>
      </c>
      <c r="M368" s="1250">
        <v>9</v>
      </c>
      <c r="N368" s="1251">
        <v>14</v>
      </c>
      <c r="O368" s="1252">
        <v>1</v>
      </c>
    </row>
    <row r="369" spans="1:15">
      <c r="A369" s="1246" t="s">
        <v>1493</v>
      </c>
      <c r="B369" s="1246" t="s">
        <v>428</v>
      </c>
      <c r="C369" s="1247">
        <v>0.45</v>
      </c>
      <c r="E369" s="1246" t="s">
        <v>370</v>
      </c>
      <c r="F369" s="1248">
        <v>16</v>
      </c>
      <c r="G369" s="1248">
        <v>32</v>
      </c>
      <c r="H369" s="1249">
        <v>1</v>
      </c>
      <c r="I369" s="1246" t="s">
        <v>1491</v>
      </c>
      <c r="J369" s="1246" t="s">
        <v>1436</v>
      </c>
      <c r="K369" s="1284" t="str">
        <f t="shared" si="5"/>
        <v>11</v>
      </c>
      <c r="L369" s="1246" t="s">
        <v>1495</v>
      </c>
      <c r="M369" s="1250">
        <v>9</v>
      </c>
      <c r="N369" s="1251">
        <v>16</v>
      </c>
      <c r="O369" s="1252">
        <v>1</v>
      </c>
    </row>
    <row r="370" spans="1:15">
      <c r="A370" s="1246" t="s">
        <v>1493</v>
      </c>
      <c r="B370" s="1246" t="s">
        <v>428</v>
      </c>
      <c r="C370" s="1247">
        <v>0.45</v>
      </c>
      <c r="E370" s="1246" t="s">
        <v>376</v>
      </c>
      <c r="F370" s="1248">
        <v>18</v>
      </c>
      <c r="G370" s="1248">
        <v>18</v>
      </c>
      <c r="H370" s="1249">
        <v>1</v>
      </c>
      <c r="I370" s="1246" t="s">
        <v>1491</v>
      </c>
      <c r="J370" s="1246" t="s">
        <v>1397</v>
      </c>
      <c r="K370" s="1284" t="str">
        <f t="shared" si="5"/>
        <v>10</v>
      </c>
      <c r="L370" s="1246" t="s">
        <v>1532</v>
      </c>
      <c r="M370" s="1250">
        <v>9</v>
      </c>
      <c r="N370" s="1251">
        <v>18</v>
      </c>
      <c r="O370" s="1252">
        <v>1</v>
      </c>
    </row>
    <row r="371" spans="1:15">
      <c r="A371" s="1246" t="s">
        <v>1493</v>
      </c>
      <c r="B371" s="1246" t="s">
        <v>428</v>
      </c>
      <c r="C371" s="1247">
        <v>0.45</v>
      </c>
      <c r="E371" s="1246" t="s">
        <v>376</v>
      </c>
      <c r="F371" s="1248">
        <v>42</v>
      </c>
      <c r="G371" s="1248">
        <v>42</v>
      </c>
      <c r="H371" s="1249">
        <v>1</v>
      </c>
      <c r="I371" s="1246" t="s">
        <v>1491</v>
      </c>
      <c r="J371" s="1246" t="s">
        <v>1436</v>
      </c>
      <c r="K371" s="1284" t="str">
        <f t="shared" si="5"/>
        <v>11</v>
      </c>
      <c r="L371" s="1246" t="s">
        <v>1496</v>
      </c>
      <c r="M371" s="1250">
        <v>9</v>
      </c>
      <c r="N371" s="1251">
        <v>42</v>
      </c>
      <c r="O371" s="1252">
        <v>1</v>
      </c>
    </row>
    <row r="372" spans="1:15">
      <c r="A372" s="1246" t="s">
        <v>1490</v>
      </c>
      <c r="B372" s="1246" t="s">
        <v>429</v>
      </c>
      <c r="C372" s="1247">
        <v>0.05</v>
      </c>
      <c r="F372" s="1248">
        <v>1</v>
      </c>
      <c r="G372" s="1248">
        <v>1</v>
      </c>
      <c r="H372" s="1249">
        <v>1</v>
      </c>
      <c r="I372" s="1246" t="s">
        <v>1491</v>
      </c>
      <c r="J372" s="1246" t="s">
        <v>1454</v>
      </c>
      <c r="K372" s="1284" t="str">
        <f t="shared" si="5"/>
        <v>31</v>
      </c>
      <c r="L372" s="1246" t="s">
        <v>1500</v>
      </c>
      <c r="M372" s="1250">
        <v>2</v>
      </c>
      <c r="N372" s="1251">
        <v>2</v>
      </c>
      <c r="O372" s="1252">
        <v>2</v>
      </c>
    </row>
    <row r="373" spans="1:15">
      <c r="A373" s="1246" t="s">
        <v>1490</v>
      </c>
      <c r="B373" s="1246" t="s">
        <v>429</v>
      </c>
      <c r="C373" s="1247">
        <v>0.1</v>
      </c>
      <c r="F373" s="1248">
        <v>1</v>
      </c>
      <c r="G373" s="1248">
        <v>1</v>
      </c>
      <c r="H373" s="1249">
        <v>1</v>
      </c>
      <c r="I373" s="1246" t="s">
        <v>1491</v>
      </c>
      <c r="J373" s="1246" t="s">
        <v>1460</v>
      </c>
      <c r="K373" s="1284" t="str">
        <f t="shared" si="5"/>
        <v>30</v>
      </c>
      <c r="L373" s="1246" t="s">
        <v>1497</v>
      </c>
      <c r="M373" s="1250">
        <v>1</v>
      </c>
      <c r="N373" s="1251">
        <v>92</v>
      </c>
      <c r="O373" s="1252">
        <v>92</v>
      </c>
    </row>
    <row r="374" spans="1:15">
      <c r="A374" s="1246" t="s">
        <v>1490</v>
      </c>
      <c r="B374" s="1246" t="s">
        <v>429</v>
      </c>
      <c r="C374" s="1247">
        <v>0.1</v>
      </c>
      <c r="E374" s="1246" t="s">
        <v>370</v>
      </c>
      <c r="F374" s="1248">
        <v>1</v>
      </c>
      <c r="G374" s="1248">
        <v>1</v>
      </c>
      <c r="H374" s="1249">
        <v>1</v>
      </c>
      <c r="I374" s="1246" t="s">
        <v>1491</v>
      </c>
      <c r="J374" s="1246" t="s">
        <v>1460</v>
      </c>
      <c r="K374" s="1284" t="str">
        <f t="shared" si="5"/>
        <v>30</v>
      </c>
      <c r="L374" s="1246" t="s">
        <v>1497</v>
      </c>
      <c r="M374" s="1250">
        <v>1</v>
      </c>
      <c r="N374" s="1251">
        <v>11</v>
      </c>
      <c r="O374" s="1252">
        <v>11</v>
      </c>
    </row>
    <row r="375" spans="1:15">
      <c r="A375" s="1246" t="s">
        <v>1490</v>
      </c>
      <c r="B375" s="1246" t="s">
        <v>429</v>
      </c>
      <c r="C375" s="1247">
        <v>0.1</v>
      </c>
      <c r="F375" s="1248">
        <v>1</v>
      </c>
      <c r="G375" s="1248">
        <v>1</v>
      </c>
      <c r="H375" s="1249">
        <v>1</v>
      </c>
      <c r="I375" s="1246" t="s">
        <v>1491</v>
      </c>
      <c r="J375" s="1246" t="s">
        <v>1461</v>
      </c>
      <c r="K375" s="1284" t="str">
        <f t="shared" si="5"/>
        <v>3C</v>
      </c>
      <c r="L375" s="1246" t="s">
        <v>1502</v>
      </c>
      <c r="M375" s="1250">
        <v>1</v>
      </c>
      <c r="N375" s="1251">
        <v>68</v>
      </c>
      <c r="O375" s="1252">
        <v>68</v>
      </c>
    </row>
    <row r="376" spans="1:15">
      <c r="A376" s="1246" t="s">
        <v>1490</v>
      </c>
      <c r="B376" s="1246" t="s">
        <v>429</v>
      </c>
      <c r="C376" s="1247">
        <v>0.1</v>
      </c>
      <c r="F376" s="1248">
        <v>1</v>
      </c>
      <c r="G376" s="1248">
        <v>1</v>
      </c>
      <c r="H376" s="1249">
        <v>1</v>
      </c>
      <c r="I376" s="1246" t="s">
        <v>1491</v>
      </c>
      <c r="J376" s="1246" t="s">
        <v>1461</v>
      </c>
      <c r="K376" s="1284" t="str">
        <f t="shared" si="5"/>
        <v>3C</v>
      </c>
      <c r="L376" s="1246" t="s">
        <v>1502</v>
      </c>
      <c r="M376" s="1250">
        <v>3</v>
      </c>
      <c r="N376" s="1251">
        <v>112</v>
      </c>
      <c r="O376" s="1252">
        <v>112</v>
      </c>
    </row>
    <row r="377" spans="1:15">
      <c r="A377" s="1246" t="s">
        <v>1493</v>
      </c>
      <c r="B377" s="1246" t="s">
        <v>429</v>
      </c>
      <c r="C377" s="1247">
        <v>0.1</v>
      </c>
      <c r="E377" s="1246" t="s">
        <v>370</v>
      </c>
      <c r="F377" s="1248">
        <v>1</v>
      </c>
      <c r="G377" s="1248">
        <v>1</v>
      </c>
      <c r="H377" s="1249">
        <v>1</v>
      </c>
      <c r="I377" s="1246" t="s">
        <v>1491</v>
      </c>
      <c r="J377" s="1246" t="s">
        <v>1443</v>
      </c>
      <c r="K377" s="1284" t="str">
        <f t="shared" si="5"/>
        <v>1C</v>
      </c>
      <c r="L377" s="1246" t="s">
        <v>1502</v>
      </c>
      <c r="M377" s="1250">
        <v>4</v>
      </c>
      <c r="N377" s="1251">
        <v>2</v>
      </c>
      <c r="O377" s="1252">
        <v>2</v>
      </c>
    </row>
    <row r="378" spans="1:15">
      <c r="A378" s="1246" t="s">
        <v>1490</v>
      </c>
      <c r="B378" s="1246" t="s">
        <v>429</v>
      </c>
      <c r="C378" s="1247">
        <v>0.1</v>
      </c>
      <c r="E378" s="1246" t="s">
        <v>370</v>
      </c>
      <c r="F378" s="1248">
        <v>1</v>
      </c>
      <c r="G378" s="1248">
        <v>1</v>
      </c>
      <c r="H378" s="1249">
        <v>1</v>
      </c>
      <c r="I378" s="1246" t="s">
        <v>1491</v>
      </c>
      <c r="J378" s="1246" t="s">
        <v>1460</v>
      </c>
      <c r="K378" s="1284" t="str">
        <f t="shared" si="5"/>
        <v>30</v>
      </c>
      <c r="L378" s="1246" t="s">
        <v>1498</v>
      </c>
      <c r="M378" s="1250">
        <v>2</v>
      </c>
      <c r="N378" s="1251">
        <v>7</v>
      </c>
      <c r="O378" s="1252">
        <v>7</v>
      </c>
    </row>
    <row r="379" spans="1:15">
      <c r="A379" s="1246" t="s">
        <v>1490</v>
      </c>
      <c r="B379" s="1246" t="s">
        <v>429</v>
      </c>
      <c r="C379" s="1247">
        <v>0.1</v>
      </c>
      <c r="F379" s="1248">
        <v>1</v>
      </c>
      <c r="G379" s="1248">
        <v>1</v>
      </c>
      <c r="H379" s="1249">
        <v>1</v>
      </c>
      <c r="I379" s="1246" t="s">
        <v>1491</v>
      </c>
      <c r="J379" s="1246" t="s">
        <v>1460</v>
      </c>
      <c r="K379" s="1284" t="str">
        <f t="shared" si="5"/>
        <v>30</v>
      </c>
      <c r="L379" s="1246" t="s">
        <v>1498</v>
      </c>
      <c r="M379" s="1250">
        <v>2</v>
      </c>
      <c r="N379" s="1251">
        <v>96</v>
      </c>
      <c r="O379" s="1252">
        <v>96</v>
      </c>
    </row>
    <row r="380" spans="1:15">
      <c r="A380" s="1246" t="s">
        <v>1490</v>
      </c>
      <c r="B380" s="1246" t="s">
        <v>429</v>
      </c>
      <c r="C380" s="1247">
        <v>0.1</v>
      </c>
      <c r="F380" s="1248">
        <v>1</v>
      </c>
      <c r="G380" s="1248">
        <v>1</v>
      </c>
      <c r="H380" s="1249">
        <v>1</v>
      </c>
      <c r="I380" s="1246" t="s">
        <v>1491</v>
      </c>
      <c r="J380" s="1246" t="s">
        <v>1460</v>
      </c>
      <c r="K380" s="1284" t="str">
        <f t="shared" si="5"/>
        <v>30</v>
      </c>
      <c r="L380" s="1246" t="s">
        <v>1499</v>
      </c>
      <c r="M380" s="1250">
        <v>5</v>
      </c>
      <c r="N380" s="1251">
        <v>104</v>
      </c>
      <c r="O380" s="1252">
        <v>104</v>
      </c>
    </row>
    <row r="381" spans="1:15">
      <c r="A381" s="1246" t="s">
        <v>1490</v>
      </c>
      <c r="B381" s="1246" t="s">
        <v>429</v>
      </c>
      <c r="C381" s="1247">
        <v>0.1</v>
      </c>
      <c r="E381" s="1246" t="s">
        <v>370</v>
      </c>
      <c r="F381" s="1248">
        <v>1</v>
      </c>
      <c r="G381" s="1248">
        <v>1</v>
      </c>
      <c r="H381" s="1249">
        <v>1</v>
      </c>
      <c r="I381" s="1246" t="s">
        <v>1491</v>
      </c>
      <c r="J381" s="1246" t="s">
        <v>1460</v>
      </c>
      <c r="K381" s="1284" t="str">
        <f t="shared" si="5"/>
        <v>30</v>
      </c>
      <c r="L381" s="1246" t="s">
        <v>1499</v>
      </c>
      <c r="M381" s="1250">
        <v>5</v>
      </c>
      <c r="N381" s="1251">
        <v>13</v>
      </c>
      <c r="O381" s="1252">
        <v>13</v>
      </c>
    </row>
    <row r="382" spans="1:15">
      <c r="A382" s="1246" t="s">
        <v>1490</v>
      </c>
      <c r="B382" s="1246" t="s">
        <v>429</v>
      </c>
      <c r="C382" s="1247">
        <v>0.1</v>
      </c>
      <c r="F382" s="1248">
        <v>1</v>
      </c>
      <c r="G382" s="1248">
        <v>1</v>
      </c>
      <c r="H382" s="1249">
        <v>1</v>
      </c>
      <c r="I382" s="1246" t="s">
        <v>1491</v>
      </c>
      <c r="J382" s="1246" t="s">
        <v>1399</v>
      </c>
      <c r="K382" s="1284" t="str">
        <f t="shared" si="5"/>
        <v>30</v>
      </c>
      <c r="L382" s="1246" t="s">
        <v>1504</v>
      </c>
      <c r="M382" s="1250">
        <v>1</v>
      </c>
      <c r="N382" s="1251">
        <v>1</v>
      </c>
      <c r="O382" s="1252">
        <v>1</v>
      </c>
    </row>
    <row r="383" spans="1:15">
      <c r="A383" s="1246" t="s">
        <v>1490</v>
      </c>
      <c r="B383" s="1246" t="s">
        <v>429</v>
      </c>
      <c r="C383" s="1247">
        <v>0.1</v>
      </c>
      <c r="F383" s="1248">
        <v>1</v>
      </c>
      <c r="G383" s="1248">
        <v>1</v>
      </c>
      <c r="H383" s="1249">
        <v>1</v>
      </c>
      <c r="I383" s="1246" t="s">
        <v>1491</v>
      </c>
      <c r="J383" s="1246" t="s">
        <v>1399</v>
      </c>
      <c r="K383" s="1284" t="str">
        <f t="shared" si="5"/>
        <v>30</v>
      </c>
      <c r="L383" s="1246" t="s">
        <v>1505</v>
      </c>
      <c r="M383" s="1250">
        <v>1</v>
      </c>
      <c r="N383" s="1251">
        <v>1</v>
      </c>
      <c r="O383" s="1252">
        <v>1</v>
      </c>
    </row>
    <row r="384" spans="1:15">
      <c r="A384" s="1246" t="s">
        <v>1490</v>
      </c>
      <c r="B384" s="1246" t="s">
        <v>429</v>
      </c>
      <c r="C384" s="1247">
        <v>0.1</v>
      </c>
      <c r="F384" s="1248">
        <v>1</v>
      </c>
      <c r="G384" s="1248">
        <v>1</v>
      </c>
      <c r="H384" s="1249">
        <v>1</v>
      </c>
      <c r="I384" s="1246" t="s">
        <v>1491</v>
      </c>
      <c r="J384" s="1246" t="s">
        <v>1455</v>
      </c>
      <c r="K384" s="1284" t="str">
        <f t="shared" si="5"/>
        <v>32</v>
      </c>
      <c r="L384" s="1246" t="s">
        <v>1505</v>
      </c>
      <c r="M384" s="1250">
        <v>1</v>
      </c>
      <c r="N384" s="1251">
        <v>221</v>
      </c>
      <c r="O384" s="1252">
        <v>221</v>
      </c>
    </row>
    <row r="385" spans="1:15">
      <c r="A385" s="1246" t="s">
        <v>1490</v>
      </c>
      <c r="B385" s="1246" t="s">
        <v>429</v>
      </c>
      <c r="C385" s="1247">
        <v>0.1</v>
      </c>
      <c r="E385" s="1246" t="s">
        <v>370</v>
      </c>
      <c r="F385" s="1248">
        <v>1</v>
      </c>
      <c r="G385" s="1248">
        <v>1</v>
      </c>
      <c r="H385" s="1249">
        <v>1</v>
      </c>
      <c r="I385" s="1246" t="s">
        <v>1491</v>
      </c>
      <c r="J385" s="1246" t="s">
        <v>1455</v>
      </c>
      <c r="K385" s="1284" t="str">
        <f t="shared" si="5"/>
        <v>32</v>
      </c>
      <c r="L385" s="1246" t="s">
        <v>1505</v>
      </c>
      <c r="M385" s="1250">
        <v>1</v>
      </c>
      <c r="N385" s="1251">
        <v>27</v>
      </c>
      <c r="O385" s="1252">
        <v>27</v>
      </c>
    </row>
    <row r="386" spans="1:15">
      <c r="A386" s="1246" t="s">
        <v>1490</v>
      </c>
      <c r="B386" s="1246" t="s">
        <v>429</v>
      </c>
      <c r="C386" s="1247">
        <v>0.1</v>
      </c>
      <c r="E386" s="1246" t="s">
        <v>370</v>
      </c>
      <c r="F386" s="1248">
        <v>1</v>
      </c>
      <c r="G386" s="1248">
        <v>1</v>
      </c>
      <c r="H386" s="1249">
        <v>1</v>
      </c>
      <c r="I386" s="1246" t="s">
        <v>1491</v>
      </c>
      <c r="J386" s="1246" t="s">
        <v>1454</v>
      </c>
      <c r="K386" s="1284" t="str">
        <f t="shared" ref="K386:K449" si="6">IF(J386="1B","10", IF(J386="2B","20",IF(J386="3B","30",IF(J386="7B",70,J386))))</f>
        <v>31</v>
      </c>
      <c r="L386" s="1246" t="s">
        <v>1506</v>
      </c>
      <c r="M386" s="1250">
        <v>1</v>
      </c>
      <c r="N386" s="1251">
        <v>472</v>
      </c>
      <c r="O386" s="1252">
        <v>472</v>
      </c>
    </row>
    <row r="387" spans="1:15">
      <c r="A387" s="1246" t="s">
        <v>1490</v>
      </c>
      <c r="B387" s="1246" t="s">
        <v>429</v>
      </c>
      <c r="C387" s="1247">
        <v>0.1</v>
      </c>
      <c r="F387" s="1248">
        <v>1</v>
      </c>
      <c r="G387" s="1248">
        <v>1</v>
      </c>
      <c r="H387" s="1249">
        <v>1</v>
      </c>
      <c r="I387" s="1246" t="s">
        <v>1491</v>
      </c>
      <c r="J387" s="1246" t="s">
        <v>1454</v>
      </c>
      <c r="K387" s="1284" t="str">
        <f t="shared" si="6"/>
        <v>31</v>
      </c>
      <c r="L387" s="1246" t="s">
        <v>1506</v>
      </c>
      <c r="M387" s="1250">
        <v>1</v>
      </c>
      <c r="N387" s="1251">
        <v>1961</v>
      </c>
      <c r="O387" s="1252">
        <v>1961</v>
      </c>
    </row>
    <row r="388" spans="1:15">
      <c r="A388" s="1246" t="s">
        <v>1490</v>
      </c>
      <c r="B388" s="1246" t="s">
        <v>429</v>
      </c>
      <c r="C388" s="1247">
        <v>0.1</v>
      </c>
      <c r="F388" s="1248">
        <v>1</v>
      </c>
      <c r="G388" s="1248">
        <v>1</v>
      </c>
      <c r="H388" s="1249">
        <v>1</v>
      </c>
      <c r="I388" s="1246" t="s">
        <v>1491</v>
      </c>
      <c r="J388" s="1246" t="s">
        <v>1458</v>
      </c>
      <c r="K388" s="1284" t="str">
        <f t="shared" si="6"/>
        <v>36</v>
      </c>
      <c r="L388" s="1246" t="s">
        <v>1507</v>
      </c>
      <c r="M388" s="1250">
        <v>1</v>
      </c>
      <c r="N388" s="1251">
        <v>14</v>
      </c>
      <c r="O388" s="1252">
        <v>14</v>
      </c>
    </row>
    <row r="389" spans="1:15">
      <c r="A389" s="1246" t="s">
        <v>1490</v>
      </c>
      <c r="B389" s="1246" t="s">
        <v>429</v>
      </c>
      <c r="C389" s="1247">
        <v>0.1</v>
      </c>
      <c r="E389" s="1246" t="s">
        <v>370</v>
      </c>
      <c r="F389" s="1248">
        <v>1</v>
      </c>
      <c r="G389" s="1248">
        <v>1</v>
      </c>
      <c r="H389" s="1249">
        <v>1</v>
      </c>
      <c r="I389" s="1246" t="s">
        <v>1491</v>
      </c>
      <c r="J389" s="1246" t="s">
        <v>1458</v>
      </c>
      <c r="K389" s="1284" t="str">
        <f t="shared" si="6"/>
        <v>36</v>
      </c>
      <c r="L389" s="1246" t="s">
        <v>1507</v>
      </c>
      <c r="M389" s="1250">
        <v>1</v>
      </c>
      <c r="N389" s="1251">
        <v>1</v>
      </c>
      <c r="O389" s="1252">
        <v>1</v>
      </c>
    </row>
    <row r="390" spans="1:15">
      <c r="A390" s="1246" t="s">
        <v>1490</v>
      </c>
      <c r="B390" s="1246" t="s">
        <v>429</v>
      </c>
      <c r="C390" s="1247">
        <v>0.1</v>
      </c>
      <c r="F390" s="1248">
        <v>1</v>
      </c>
      <c r="G390" s="1248">
        <v>1</v>
      </c>
      <c r="H390" s="1249">
        <v>1</v>
      </c>
      <c r="I390" s="1246" t="s">
        <v>1491</v>
      </c>
      <c r="J390" s="1246" t="s">
        <v>1399</v>
      </c>
      <c r="K390" s="1284" t="str">
        <f t="shared" si="6"/>
        <v>30</v>
      </c>
      <c r="L390" s="1246" t="s">
        <v>1508</v>
      </c>
      <c r="M390" s="1250">
        <v>1</v>
      </c>
      <c r="N390" s="1251">
        <v>8</v>
      </c>
      <c r="O390" s="1252">
        <v>8</v>
      </c>
    </row>
    <row r="391" spans="1:15">
      <c r="A391" s="1246" t="s">
        <v>1490</v>
      </c>
      <c r="B391" s="1246" t="s">
        <v>429</v>
      </c>
      <c r="C391" s="1247">
        <v>0.1</v>
      </c>
      <c r="F391" s="1248">
        <v>1</v>
      </c>
      <c r="G391" s="1248">
        <v>1</v>
      </c>
      <c r="H391" s="1249">
        <v>1</v>
      </c>
      <c r="I391" s="1246" t="s">
        <v>1491</v>
      </c>
      <c r="J391" s="1246" t="s">
        <v>1399</v>
      </c>
      <c r="K391" s="1284" t="str">
        <f t="shared" si="6"/>
        <v>30</v>
      </c>
      <c r="L391" s="1246" t="s">
        <v>1509</v>
      </c>
      <c r="M391" s="1250">
        <v>1</v>
      </c>
      <c r="N391" s="1251">
        <v>1</v>
      </c>
      <c r="O391" s="1252">
        <v>1</v>
      </c>
    </row>
    <row r="392" spans="1:15">
      <c r="A392" s="1246" t="s">
        <v>1490</v>
      </c>
      <c r="B392" s="1246" t="s">
        <v>429</v>
      </c>
      <c r="C392" s="1247">
        <v>0.1</v>
      </c>
      <c r="E392" s="1246" t="s">
        <v>370</v>
      </c>
      <c r="F392" s="1248">
        <v>1</v>
      </c>
      <c r="G392" s="1248">
        <v>1</v>
      </c>
      <c r="H392" s="1249">
        <v>1</v>
      </c>
      <c r="I392" s="1246" t="s">
        <v>1491</v>
      </c>
      <c r="J392" s="1246" t="s">
        <v>1457</v>
      </c>
      <c r="K392" s="1284" t="str">
        <f t="shared" si="6"/>
        <v>35</v>
      </c>
      <c r="L392" s="1246" t="s">
        <v>1501</v>
      </c>
      <c r="M392" s="1250">
        <v>1</v>
      </c>
      <c r="N392" s="1251">
        <v>20</v>
      </c>
      <c r="O392" s="1252">
        <v>20</v>
      </c>
    </row>
    <row r="393" spans="1:15">
      <c r="A393" s="1246" t="s">
        <v>1490</v>
      </c>
      <c r="B393" s="1246" t="s">
        <v>429</v>
      </c>
      <c r="C393" s="1247">
        <v>0.1</v>
      </c>
      <c r="F393" s="1248">
        <v>1</v>
      </c>
      <c r="G393" s="1248">
        <v>1</v>
      </c>
      <c r="H393" s="1249">
        <v>1</v>
      </c>
      <c r="I393" s="1246" t="s">
        <v>1491</v>
      </c>
      <c r="J393" s="1246" t="s">
        <v>1457</v>
      </c>
      <c r="K393" s="1284" t="str">
        <f t="shared" si="6"/>
        <v>35</v>
      </c>
      <c r="L393" s="1246" t="s">
        <v>1501</v>
      </c>
      <c r="M393" s="1250">
        <v>1</v>
      </c>
      <c r="N393" s="1251">
        <v>230</v>
      </c>
      <c r="O393" s="1252">
        <v>230</v>
      </c>
    </row>
    <row r="394" spans="1:15">
      <c r="A394" s="1246" t="s">
        <v>1490</v>
      </c>
      <c r="B394" s="1246" t="s">
        <v>429</v>
      </c>
      <c r="C394" s="1247">
        <v>0.1</v>
      </c>
      <c r="F394" s="1248">
        <v>1</v>
      </c>
      <c r="G394" s="1248">
        <v>1</v>
      </c>
      <c r="H394" s="1249">
        <v>1</v>
      </c>
      <c r="I394" s="1246" t="s">
        <v>1491</v>
      </c>
      <c r="J394" s="1246" t="s">
        <v>1399</v>
      </c>
      <c r="K394" s="1284" t="str">
        <f t="shared" si="6"/>
        <v>30</v>
      </c>
      <c r="L394" s="1246" t="s">
        <v>1510</v>
      </c>
      <c r="M394" s="1250">
        <v>1</v>
      </c>
      <c r="N394" s="1251">
        <v>148</v>
      </c>
      <c r="O394" s="1252">
        <v>148</v>
      </c>
    </row>
    <row r="395" spans="1:15">
      <c r="A395" s="1246" t="s">
        <v>1490</v>
      </c>
      <c r="B395" s="1246" t="s">
        <v>429</v>
      </c>
      <c r="C395" s="1247">
        <v>0.1</v>
      </c>
      <c r="E395" s="1246" t="s">
        <v>370</v>
      </c>
      <c r="F395" s="1248">
        <v>1</v>
      </c>
      <c r="G395" s="1248">
        <v>1</v>
      </c>
      <c r="H395" s="1249">
        <v>1</v>
      </c>
      <c r="I395" s="1246" t="s">
        <v>1491</v>
      </c>
      <c r="J395" s="1246" t="s">
        <v>1399</v>
      </c>
      <c r="K395" s="1284" t="str">
        <f t="shared" si="6"/>
        <v>30</v>
      </c>
      <c r="L395" s="1246" t="s">
        <v>1510</v>
      </c>
      <c r="M395" s="1250">
        <v>1</v>
      </c>
      <c r="N395" s="1251">
        <v>6</v>
      </c>
      <c r="O395" s="1252">
        <v>6</v>
      </c>
    </row>
    <row r="396" spans="1:15">
      <c r="A396" s="1246" t="s">
        <v>1490</v>
      </c>
      <c r="B396" s="1246" t="s">
        <v>429</v>
      </c>
      <c r="C396" s="1247">
        <v>0.1</v>
      </c>
      <c r="F396" s="1248">
        <v>1</v>
      </c>
      <c r="G396" s="1248">
        <v>1</v>
      </c>
      <c r="H396" s="1249">
        <v>1</v>
      </c>
      <c r="I396" s="1246" t="s">
        <v>1491</v>
      </c>
      <c r="J396" s="1246" t="s">
        <v>1399</v>
      </c>
      <c r="K396" s="1284" t="str">
        <f t="shared" si="6"/>
        <v>30</v>
      </c>
      <c r="L396" s="1246" t="s">
        <v>1511</v>
      </c>
      <c r="M396" s="1250">
        <v>2</v>
      </c>
      <c r="N396" s="1251">
        <v>1</v>
      </c>
      <c r="O396" s="1252">
        <v>1</v>
      </c>
    </row>
    <row r="397" spans="1:15">
      <c r="A397" s="1246" t="s">
        <v>1490</v>
      </c>
      <c r="B397" s="1246" t="s">
        <v>429</v>
      </c>
      <c r="C397" s="1247">
        <v>0.1</v>
      </c>
      <c r="F397" s="1248">
        <v>1</v>
      </c>
      <c r="G397" s="1248">
        <v>1</v>
      </c>
      <c r="H397" s="1249">
        <v>1</v>
      </c>
      <c r="I397" s="1246" t="s">
        <v>1491</v>
      </c>
      <c r="J397" s="1246" t="s">
        <v>1399</v>
      </c>
      <c r="K397" s="1284" t="str">
        <f t="shared" si="6"/>
        <v>30</v>
      </c>
      <c r="L397" s="1246" t="s">
        <v>1512</v>
      </c>
      <c r="M397" s="1250">
        <v>2</v>
      </c>
      <c r="N397" s="1251">
        <v>3</v>
      </c>
      <c r="O397" s="1252">
        <v>3</v>
      </c>
    </row>
    <row r="398" spans="1:15">
      <c r="A398" s="1246" t="s">
        <v>1490</v>
      </c>
      <c r="B398" s="1246" t="s">
        <v>429</v>
      </c>
      <c r="C398" s="1247">
        <v>0.1</v>
      </c>
      <c r="E398" s="1246" t="s">
        <v>370</v>
      </c>
      <c r="F398" s="1248">
        <v>1</v>
      </c>
      <c r="G398" s="1248">
        <v>1</v>
      </c>
      <c r="H398" s="1249">
        <v>1</v>
      </c>
      <c r="I398" s="1246" t="s">
        <v>1491</v>
      </c>
      <c r="J398" s="1246" t="s">
        <v>1399</v>
      </c>
      <c r="K398" s="1284" t="str">
        <f t="shared" si="6"/>
        <v>30</v>
      </c>
      <c r="L398" s="1246" t="s">
        <v>1512</v>
      </c>
      <c r="M398" s="1250">
        <v>2</v>
      </c>
      <c r="N398" s="1251">
        <v>1</v>
      </c>
      <c r="O398" s="1252">
        <v>1</v>
      </c>
    </row>
    <row r="399" spans="1:15">
      <c r="A399" s="1246" t="s">
        <v>1490</v>
      </c>
      <c r="B399" s="1246" t="s">
        <v>429</v>
      </c>
      <c r="C399" s="1247">
        <v>0.1</v>
      </c>
      <c r="E399" s="1246" t="s">
        <v>370</v>
      </c>
      <c r="F399" s="1248">
        <v>1</v>
      </c>
      <c r="G399" s="1248">
        <v>1</v>
      </c>
      <c r="H399" s="1249">
        <v>1</v>
      </c>
      <c r="I399" s="1246" t="s">
        <v>1491</v>
      </c>
      <c r="J399" s="1246" t="s">
        <v>1455</v>
      </c>
      <c r="K399" s="1284" t="str">
        <f t="shared" si="6"/>
        <v>32</v>
      </c>
      <c r="L399" s="1246" t="s">
        <v>1513</v>
      </c>
      <c r="M399" s="1250">
        <v>2</v>
      </c>
      <c r="N399" s="1251">
        <v>13</v>
      </c>
      <c r="O399" s="1252">
        <v>13</v>
      </c>
    </row>
    <row r="400" spans="1:15">
      <c r="A400" s="1246" t="s">
        <v>1490</v>
      </c>
      <c r="B400" s="1246" t="s">
        <v>429</v>
      </c>
      <c r="C400" s="1247">
        <v>0.1</v>
      </c>
      <c r="F400" s="1248">
        <v>1</v>
      </c>
      <c r="G400" s="1248">
        <v>1</v>
      </c>
      <c r="H400" s="1249">
        <v>1</v>
      </c>
      <c r="I400" s="1246" t="s">
        <v>1491</v>
      </c>
      <c r="J400" s="1246" t="s">
        <v>1455</v>
      </c>
      <c r="K400" s="1284" t="str">
        <f t="shared" si="6"/>
        <v>32</v>
      </c>
      <c r="L400" s="1246" t="s">
        <v>1513</v>
      </c>
      <c r="M400" s="1250">
        <v>2</v>
      </c>
      <c r="N400" s="1251">
        <v>230</v>
      </c>
      <c r="O400" s="1252">
        <v>230</v>
      </c>
    </row>
    <row r="401" spans="1:15">
      <c r="A401" s="1246" t="s">
        <v>1490</v>
      </c>
      <c r="B401" s="1246" t="s">
        <v>429</v>
      </c>
      <c r="C401" s="1247">
        <v>0.1</v>
      </c>
      <c r="F401" s="1248">
        <v>1</v>
      </c>
      <c r="G401" s="1248">
        <v>1</v>
      </c>
      <c r="H401" s="1249">
        <v>1</v>
      </c>
      <c r="I401" s="1246" t="s">
        <v>1491</v>
      </c>
      <c r="J401" s="1246" t="s">
        <v>1454</v>
      </c>
      <c r="K401" s="1284" t="str">
        <f t="shared" si="6"/>
        <v>31</v>
      </c>
      <c r="L401" s="1246" t="s">
        <v>1500</v>
      </c>
      <c r="M401" s="1250">
        <v>2</v>
      </c>
      <c r="N401" s="1251">
        <v>1894</v>
      </c>
      <c r="O401" s="1252">
        <v>1894</v>
      </c>
    </row>
    <row r="402" spans="1:15">
      <c r="A402" s="1246" t="s">
        <v>1490</v>
      </c>
      <c r="B402" s="1246" t="s">
        <v>429</v>
      </c>
      <c r="C402" s="1247">
        <v>0.1</v>
      </c>
      <c r="E402" s="1246" t="s">
        <v>370</v>
      </c>
      <c r="F402" s="1248">
        <v>1</v>
      </c>
      <c r="G402" s="1248">
        <v>1</v>
      </c>
      <c r="H402" s="1249">
        <v>1</v>
      </c>
      <c r="I402" s="1246" t="s">
        <v>1491</v>
      </c>
      <c r="J402" s="1246" t="s">
        <v>1454</v>
      </c>
      <c r="K402" s="1284" t="str">
        <f t="shared" si="6"/>
        <v>31</v>
      </c>
      <c r="L402" s="1246" t="s">
        <v>1500</v>
      </c>
      <c r="M402" s="1250">
        <v>2</v>
      </c>
      <c r="N402" s="1251">
        <v>233</v>
      </c>
      <c r="O402" s="1252">
        <v>233</v>
      </c>
    </row>
    <row r="403" spans="1:15">
      <c r="A403" s="1246" t="s">
        <v>1490</v>
      </c>
      <c r="B403" s="1246" t="s">
        <v>429</v>
      </c>
      <c r="C403" s="1247">
        <v>0.1</v>
      </c>
      <c r="F403" s="1248">
        <v>1</v>
      </c>
      <c r="G403" s="1248">
        <v>1</v>
      </c>
      <c r="H403" s="1249">
        <v>1</v>
      </c>
      <c r="I403" s="1246" t="s">
        <v>1491</v>
      </c>
      <c r="J403" s="1246" t="s">
        <v>1458</v>
      </c>
      <c r="K403" s="1284" t="str">
        <f t="shared" si="6"/>
        <v>36</v>
      </c>
      <c r="L403" s="1246" t="s">
        <v>1514</v>
      </c>
      <c r="M403" s="1250">
        <v>2</v>
      </c>
      <c r="N403" s="1251">
        <v>15</v>
      </c>
      <c r="O403" s="1252">
        <v>15</v>
      </c>
    </row>
    <row r="404" spans="1:15">
      <c r="A404" s="1246" t="s">
        <v>1490</v>
      </c>
      <c r="B404" s="1246" t="s">
        <v>429</v>
      </c>
      <c r="C404" s="1247">
        <v>0.1</v>
      </c>
      <c r="E404" s="1246" t="s">
        <v>370</v>
      </c>
      <c r="F404" s="1248">
        <v>1</v>
      </c>
      <c r="G404" s="1248">
        <v>1</v>
      </c>
      <c r="H404" s="1249">
        <v>1</v>
      </c>
      <c r="I404" s="1246" t="s">
        <v>1491</v>
      </c>
      <c r="J404" s="1246" t="s">
        <v>1458</v>
      </c>
      <c r="K404" s="1284" t="str">
        <f t="shared" si="6"/>
        <v>36</v>
      </c>
      <c r="L404" s="1246" t="s">
        <v>1514</v>
      </c>
      <c r="M404" s="1250">
        <v>2</v>
      </c>
      <c r="N404" s="1251">
        <v>5</v>
      </c>
      <c r="O404" s="1252">
        <v>5</v>
      </c>
    </row>
    <row r="405" spans="1:15">
      <c r="A405" s="1246" t="s">
        <v>1490</v>
      </c>
      <c r="B405" s="1246" t="s">
        <v>429</v>
      </c>
      <c r="C405" s="1247">
        <v>0.1</v>
      </c>
      <c r="F405" s="1248">
        <v>1</v>
      </c>
      <c r="G405" s="1248">
        <v>1</v>
      </c>
      <c r="H405" s="1249">
        <v>1</v>
      </c>
      <c r="I405" s="1246" t="s">
        <v>1491</v>
      </c>
      <c r="J405" s="1246" t="s">
        <v>1399</v>
      </c>
      <c r="K405" s="1284" t="str">
        <f t="shared" si="6"/>
        <v>30</v>
      </c>
      <c r="L405" s="1246" t="s">
        <v>1515</v>
      </c>
      <c r="M405" s="1250">
        <v>2</v>
      </c>
      <c r="N405" s="1251">
        <v>17</v>
      </c>
      <c r="O405" s="1252">
        <v>17</v>
      </c>
    </row>
    <row r="406" spans="1:15">
      <c r="A406" s="1246" t="s">
        <v>1490</v>
      </c>
      <c r="B406" s="1246" t="s">
        <v>429</v>
      </c>
      <c r="C406" s="1247">
        <v>0.1</v>
      </c>
      <c r="E406" s="1246" t="s">
        <v>370</v>
      </c>
      <c r="F406" s="1248">
        <v>1</v>
      </c>
      <c r="G406" s="1248">
        <v>1</v>
      </c>
      <c r="H406" s="1249">
        <v>1</v>
      </c>
      <c r="I406" s="1246" t="s">
        <v>1491</v>
      </c>
      <c r="J406" s="1246" t="s">
        <v>1399</v>
      </c>
      <c r="K406" s="1284" t="str">
        <f t="shared" si="6"/>
        <v>30</v>
      </c>
      <c r="L406" s="1246" t="s">
        <v>1515</v>
      </c>
      <c r="M406" s="1250">
        <v>2</v>
      </c>
      <c r="N406" s="1251">
        <v>4</v>
      </c>
      <c r="O406" s="1252">
        <v>4</v>
      </c>
    </row>
    <row r="407" spans="1:15">
      <c r="A407" s="1246" t="s">
        <v>1490</v>
      </c>
      <c r="B407" s="1246" t="s">
        <v>429</v>
      </c>
      <c r="C407" s="1247">
        <v>0.1</v>
      </c>
      <c r="F407" s="1248">
        <v>1</v>
      </c>
      <c r="G407" s="1248">
        <v>1</v>
      </c>
      <c r="H407" s="1249">
        <v>1</v>
      </c>
      <c r="I407" s="1246" t="s">
        <v>1491</v>
      </c>
      <c r="J407" s="1246" t="s">
        <v>1399</v>
      </c>
      <c r="K407" s="1284" t="str">
        <f t="shared" si="6"/>
        <v>30</v>
      </c>
      <c r="L407" s="1246" t="s">
        <v>1516</v>
      </c>
      <c r="M407" s="1250">
        <v>2</v>
      </c>
      <c r="N407" s="1251">
        <v>9</v>
      </c>
      <c r="O407" s="1252">
        <v>9</v>
      </c>
    </row>
    <row r="408" spans="1:15">
      <c r="A408" s="1246" t="s">
        <v>1490</v>
      </c>
      <c r="B408" s="1246" t="s">
        <v>429</v>
      </c>
      <c r="C408" s="1247">
        <v>0.1</v>
      </c>
      <c r="E408" s="1246" t="s">
        <v>370</v>
      </c>
      <c r="F408" s="1248">
        <v>1</v>
      </c>
      <c r="G408" s="1248">
        <v>1</v>
      </c>
      <c r="H408" s="1249">
        <v>1</v>
      </c>
      <c r="I408" s="1246" t="s">
        <v>1491</v>
      </c>
      <c r="J408" s="1246" t="s">
        <v>1457</v>
      </c>
      <c r="K408" s="1284" t="str">
        <f t="shared" si="6"/>
        <v>35</v>
      </c>
      <c r="L408" s="1246" t="s">
        <v>1517</v>
      </c>
      <c r="M408" s="1250">
        <v>2</v>
      </c>
      <c r="N408" s="1251">
        <v>24</v>
      </c>
      <c r="O408" s="1252">
        <v>24</v>
      </c>
    </row>
    <row r="409" spans="1:15">
      <c r="A409" s="1246" t="s">
        <v>1490</v>
      </c>
      <c r="B409" s="1246" t="s">
        <v>429</v>
      </c>
      <c r="C409" s="1247">
        <v>0.1</v>
      </c>
      <c r="F409" s="1248">
        <v>1</v>
      </c>
      <c r="G409" s="1248">
        <v>1</v>
      </c>
      <c r="H409" s="1249">
        <v>1</v>
      </c>
      <c r="I409" s="1246" t="s">
        <v>1491</v>
      </c>
      <c r="J409" s="1246" t="s">
        <v>1457</v>
      </c>
      <c r="K409" s="1284" t="str">
        <f t="shared" si="6"/>
        <v>35</v>
      </c>
      <c r="L409" s="1246" t="s">
        <v>1517</v>
      </c>
      <c r="M409" s="1250">
        <v>2</v>
      </c>
      <c r="N409" s="1251">
        <v>201</v>
      </c>
      <c r="O409" s="1252">
        <v>201</v>
      </c>
    </row>
    <row r="410" spans="1:15">
      <c r="A410" s="1246" t="s">
        <v>1490</v>
      </c>
      <c r="B410" s="1246" t="s">
        <v>429</v>
      </c>
      <c r="C410" s="1247">
        <v>0.1</v>
      </c>
      <c r="F410" s="1248">
        <v>1</v>
      </c>
      <c r="G410" s="1248">
        <v>1</v>
      </c>
      <c r="H410" s="1249">
        <v>1</v>
      </c>
      <c r="I410" s="1246" t="s">
        <v>1491</v>
      </c>
      <c r="J410" s="1246" t="s">
        <v>1399</v>
      </c>
      <c r="K410" s="1284" t="str">
        <f t="shared" si="6"/>
        <v>30</v>
      </c>
      <c r="L410" s="1246" t="s">
        <v>1518</v>
      </c>
      <c r="M410" s="1250">
        <v>2</v>
      </c>
      <c r="N410" s="1251">
        <v>143</v>
      </c>
      <c r="O410" s="1252">
        <v>143</v>
      </c>
    </row>
    <row r="411" spans="1:15">
      <c r="A411" s="1246" t="s">
        <v>1490</v>
      </c>
      <c r="B411" s="1246" t="s">
        <v>429</v>
      </c>
      <c r="C411" s="1247">
        <v>0.1</v>
      </c>
      <c r="E411" s="1246" t="s">
        <v>370</v>
      </c>
      <c r="F411" s="1248">
        <v>1</v>
      </c>
      <c r="G411" s="1248">
        <v>1</v>
      </c>
      <c r="H411" s="1249">
        <v>1</v>
      </c>
      <c r="I411" s="1246" t="s">
        <v>1491</v>
      </c>
      <c r="J411" s="1246" t="s">
        <v>1399</v>
      </c>
      <c r="K411" s="1284" t="str">
        <f t="shared" si="6"/>
        <v>30</v>
      </c>
      <c r="L411" s="1246" t="s">
        <v>1518</v>
      </c>
      <c r="M411" s="1250">
        <v>2</v>
      </c>
      <c r="N411" s="1251">
        <v>17</v>
      </c>
      <c r="O411" s="1252">
        <v>17</v>
      </c>
    </row>
    <row r="412" spans="1:15">
      <c r="A412" s="1246" t="s">
        <v>1490</v>
      </c>
      <c r="B412" s="1246" t="s">
        <v>429</v>
      </c>
      <c r="C412" s="1247">
        <v>0.1</v>
      </c>
      <c r="F412" s="1248">
        <v>1</v>
      </c>
      <c r="G412" s="1248">
        <v>1</v>
      </c>
      <c r="H412" s="1249">
        <v>1</v>
      </c>
      <c r="I412" s="1246" t="s">
        <v>1491</v>
      </c>
      <c r="J412" s="1246" t="s">
        <v>1456</v>
      </c>
      <c r="K412" s="1284" t="str">
        <f t="shared" si="6"/>
        <v>33</v>
      </c>
      <c r="L412" s="1246" t="s">
        <v>1519</v>
      </c>
      <c r="M412" s="1250">
        <v>2</v>
      </c>
      <c r="N412" s="1251">
        <v>1074</v>
      </c>
      <c r="O412" s="1252">
        <v>1074</v>
      </c>
    </row>
    <row r="413" spans="1:15">
      <c r="A413" s="1246" t="s">
        <v>1490</v>
      </c>
      <c r="B413" s="1246" t="s">
        <v>429</v>
      </c>
      <c r="C413" s="1247">
        <v>0.1</v>
      </c>
      <c r="E413" s="1246" t="s">
        <v>370</v>
      </c>
      <c r="F413" s="1248">
        <v>1</v>
      </c>
      <c r="G413" s="1248">
        <v>1</v>
      </c>
      <c r="H413" s="1249">
        <v>1</v>
      </c>
      <c r="I413" s="1246" t="s">
        <v>1491</v>
      </c>
      <c r="J413" s="1246" t="s">
        <v>1456</v>
      </c>
      <c r="K413" s="1284" t="str">
        <f t="shared" si="6"/>
        <v>33</v>
      </c>
      <c r="L413" s="1246" t="s">
        <v>1519</v>
      </c>
      <c r="M413" s="1250">
        <v>2</v>
      </c>
      <c r="N413" s="1251">
        <v>186</v>
      </c>
      <c r="O413" s="1252">
        <v>186</v>
      </c>
    </row>
    <row r="414" spans="1:15">
      <c r="A414" s="1246" t="s">
        <v>1490</v>
      </c>
      <c r="B414" s="1246" t="s">
        <v>429</v>
      </c>
      <c r="C414" s="1247">
        <v>0.1</v>
      </c>
      <c r="F414" s="1248">
        <v>1</v>
      </c>
      <c r="G414" s="1248">
        <v>1</v>
      </c>
      <c r="H414" s="1249">
        <v>1</v>
      </c>
      <c r="I414" s="1246" t="s">
        <v>1491</v>
      </c>
      <c r="J414" s="1246" t="s">
        <v>1399</v>
      </c>
      <c r="K414" s="1284" t="str">
        <f t="shared" si="6"/>
        <v>30</v>
      </c>
      <c r="L414" s="1246" t="s">
        <v>1520</v>
      </c>
      <c r="M414" s="1250">
        <v>3</v>
      </c>
      <c r="N414" s="1251">
        <v>1</v>
      </c>
      <c r="O414" s="1252">
        <v>1</v>
      </c>
    </row>
    <row r="415" spans="1:15">
      <c r="A415" s="1246" t="s">
        <v>1490</v>
      </c>
      <c r="B415" s="1246" t="s">
        <v>429</v>
      </c>
      <c r="C415" s="1247">
        <v>0.1</v>
      </c>
      <c r="F415" s="1248">
        <v>1</v>
      </c>
      <c r="G415" s="1248">
        <v>1</v>
      </c>
      <c r="H415" s="1249">
        <v>1</v>
      </c>
      <c r="I415" s="1246" t="s">
        <v>1491</v>
      </c>
      <c r="J415" s="1246" t="s">
        <v>1399</v>
      </c>
      <c r="K415" s="1284" t="str">
        <f t="shared" si="6"/>
        <v>30</v>
      </c>
      <c r="L415" s="1246" t="s">
        <v>1521</v>
      </c>
      <c r="M415" s="1250">
        <v>3</v>
      </c>
      <c r="N415" s="1251">
        <v>3</v>
      </c>
      <c r="O415" s="1252">
        <v>3</v>
      </c>
    </row>
    <row r="416" spans="1:15">
      <c r="A416" s="1246" t="s">
        <v>1490</v>
      </c>
      <c r="B416" s="1246" t="s">
        <v>429</v>
      </c>
      <c r="C416" s="1247">
        <v>0.1</v>
      </c>
      <c r="F416" s="1248">
        <v>1</v>
      </c>
      <c r="G416" s="1248">
        <v>1</v>
      </c>
      <c r="H416" s="1249">
        <v>1</v>
      </c>
      <c r="I416" s="1246" t="s">
        <v>1491</v>
      </c>
      <c r="J416" s="1246" t="s">
        <v>1455</v>
      </c>
      <c r="K416" s="1284" t="str">
        <f t="shared" si="6"/>
        <v>32</v>
      </c>
      <c r="L416" s="1246" t="s">
        <v>1522</v>
      </c>
      <c r="M416" s="1250">
        <v>3</v>
      </c>
      <c r="N416" s="1251">
        <v>293</v>
      </c>
      <c r="O416" s="1252">
        <v>293</v>
      </c>
    </row>
    <row r="417" spans="1:15">
      <c r="A417" s="1246" t="s">
        <v>1490</v>
      </c>
      <c r="B417" s="1246" t="s">
        <v>429</v>
      </c>
      <c r="C417" s="1247">
        <v>0.1</v>
      </c>
      <c r="E417" s="1246" t="s">
        <v>370</v>
      </c>
      <c r="F417" s="1248">
        <v>1</v>
      </c>
      <c r="G417" s="1248">
        <v>1</v>
      </c>
      <c r="H417" s="1249">
        <v>1</v>
      </c>
      <c r="I417" s="1246" t="s">
        <v>1491</v>
      </c>
      <c r="J417" s="1246" t="s">
        <v>1455</v>
      </c>
      <c r="K417" s="1284" t="str">
        <f t="shared" si="6"/>
        <v>32</v>
      </c>
      <c r="L417" s="1246" t="s">
        <v>1522</v>
      </c>
      <c r="M417" s="1250">
        <v>3</v>
      </c>
      <c r="N417" s="1251">
        <v>21</v>
      </c>
      <c r="O417" s="1252">
        <v>21</v>
      </c>
    </row>
    <row r="418" spans="1:15">
      <c r="A418" s="1246" t="s">
        <v>1490</v>
      </c>
      <c r="B418" s="1246" t="s">
        <v>429</v>
      </c>
      <c r="C418" s="1247">
        <v>0.1</v>
      </c>
      <c r="E418" s="1246" t="s">
        <v>370</v>
      </c>
      <c r="F418" s="1248">
        <v>1</v>
      </c>
      <c r="G418" s="1248">
        <v>1</v>
      </c>
      <c r="H418" s="1249">
        <v>1</v>
      </c>
      <c r="I418" s="1246" t="s">
        <v>1491</v>
      </c>
      <c r="J418" s="1246" t="s">
        <v>1454</v>
      </c>
      <c r="K418" s="1284" t="str">
        <f t="shared" si="6"/>
        <v>31</v>
      </c>
      <c r="L418" s="1246" t="s">
        <v>1523</v>
      </c>
      <c r="M418" s="1250">
        <v>3</v>
      </c>
      <c r="N418" s="1251">
        <v>223</v>
      </c>
      <c r="O418" s="1252">
        <v>223</v>
      </c>
    </row>
    <row r="419" spans="1:15">
      <c r="A419" s="1246" t="s">
        <v>1490</v>
      </c>
      <c r="B419" s="1246" t="s">
        <v>429</v>
      </c>
      <c r="C419" s="1247">
        <v>0.1</v>
      </c>
      <c r="F419" s="1248">
        <v>1</v>
      </c>
      <c r="G419" s="1248">
        <v>1</v>
      </c>
      <c r="H419" s="1249">
        <v>1</v>
      </c>
      <c r="I419" s="1246" t="s">
        <v>1491</v>
      </c>
      <c r="J419" s="1246" t="s">
        <v>1454</v>
      </c>
      <c r="K419" s="1284" t="str">
        <f t="shared" si="6"/>
        <v>31</v>
      </c>
      <c r="L419" s="1246" t="s">
        <v>1523</v>
      </c>
      <c r="M419" s="1250">
        <v>3</v>
      </c>
      <c r="N419" s="1251">
        <v>1694</v>
      </c>
      <c r="O419" s="1252">
        <v>1694</v>
      </c>
    </row>
    <row r="420" spans="1:15">
      <c r="A420" s="1246" t="s">
        <v>1490</v>
      </c>
      <c r="B420" s="1246" t="s">
        <v>429</v>
      </c>
      <c r="C420" s="1247">
        <v>0.1</v>
      </c>
      <c r="F420" s="1248">
        <v>1</v>
      </c>
      <c r="G420" s="1248">
        <v>1</v>
      </c>
      <c r="H420" s="1249">
        <v>1</v>
      </c>
      <c r="I420" s="1246" t="s">
        <v>1491</v>
      </c>
      <c r="J420" s="1246" t="s">
        <v>1458</v>
      </c>
      <c r="K420" s="1284" t="str">
        <f t="shared" si="6"/>
        <v>36</v>
      </c>
      <c r="L420" s="1246" t="s">
        <v>1524</v>
      </c>
      <c r="M420" s="1250">
        <v>3</v>
      </c>
      <c r="N420" s="1251">
        <v>16</v>
      </c>
      <c r="O420" s="1252">
        <v>16</v>
      </c>
    </row>
    <row r="421" spans="1:15">
      <c r="A421" s="1246" t="s">
        <v>1490</v>
      </c>
      <c r="B421" s="1246" t="s">
        <v>429</v>
      </c>
      <c r="C421" s="1247">
        <v>0.1</v>
      </c>
      <c r="E421" s="1246" t="s">
        <v>370</v>
      </c>
      <c r="F421" s="1248">
        <v>1</v>
      </c>
      <c r="G421" s="1248">
        <v>1</v>
      </c>
      <c r="H421" s="1249">
        <v>1</v>
      </c>
      <c r="I421" s="1246" t="s">
        <v>1491</v>
      </c>
      <c r="J421" s="1246" t="s">
        <v>1458</v>
      </c>
      <c r="K421" s="1284" t="str">
        <f t="shared" si="6"/>
        <v>36</v>
      </c>
      <c r="L421" s="1246" t="s">
        <v>1524</v>
      </c>
      <c r="M421" s="1250">
        <v>3</v>
      </c>
      <c r="N421" s="1251">
        <v>2</v>
      </c>
      <c r="O421" s="1252">
        <v>2</v>
      </c>
    </row>
    <row r="422" spans="1:15">
      <c r="A422" s="1246" t="s">
        <v>1490</v>
      </c>
      <c r="B422" s="1246" t="s">
        <v>429</v>
      </c>
      <c r="C422" s="1247">
        <v>0.1</v>
      </c>
      <c r="F422" s="1248">
        <v>1</v>
      </c>
      <c r="G422" s="1248">
        <v>1</v>
      </c>
      <c r="H422" s="1249">
        <v>1</v>
      </c>
      <c r="I422" s="1246" t="s">
        <v>1491</v>
      </c>
      <c r="J422" s="1246" t="s">
        <v>1399</v>
      </c>
      <c r="K422" s="1284" t="str">
        <f t="shared" si="6"/>
        <v>30</v>
      </c>
      <c r="L422" s="1246" t="s">
        <v>1525</v>
      </c>
      <c r="M422" s="1250">
        <v>3</v>
      </c>
      <c r="N422" s="1251">
        <v>19</v>
      </c>
      <c r="O422" s="1252">
        <v>19</v>
      </c>
    </row>
    <row r="423" spans="1:15">
      <c r="A423" s="1246" t="s">
        <v>1490</v>
      </c>
      <c r="B423" s="1246" t="s">
        <v>429</v>
      </c>
      <c r="C423" s="1247">
        <v>0.1</v>
      </c>
      <c r="E423" s="1246" t="s">
        <v>370</v>
      </c>
      <c r="F423" s="1248">
        <v>1</v>
      </c>
      <c r="G423" s="1248">
        <v>1</v>
      </c>
      <c r="H423" s="1249">
        <v>1</v>
      </c>
      <c r="I423" s="1246" t="s">
        <v>1491</v>
      </c>
      <c r="J423" s="1246" t="s">
        <v>1399</v>
      </c>
      <c r="K423" s="1284" t="str">
        <f t="shared" si="6"/>
        <v>30</v>
      </c>
      <c r="L423" s="1246" t="s">
        <v>1525</v>
      </c>
      <c r="M423" s="1250">
        <v>3</v>
      </c>
      <c r="N423" s="1251">
        <v>3</v>
      </c>
      <c r="O423" s="1252">
        <v>3</v>
      </c>
    </row>
    <row r="424" spans="1:15">
      <c r="A424" s="1246" t="s">
        <v>1490</v>
      </c>
      <c r="B424" s="1246" t="s">
        <v>429</v>
      </c>
      <c r="C424" s="1247">
        <v>0.1</v>
      </c>
      <c r="F424" s="1248">
        <v>1</v>
      </c>
      <c r="G424" s="1248">
        <v>1</v>
      </c>
      <c r="H424" s="1249">
        <v>1</v>
      </c>
      <c r="I424" s="1246" t="s">
        <v>1491</v>
      </c>
      <c r="J424" s="1246" t="s">
        <v>1399</v>
      </c>
      <c r="K424" s="1284" t="str">
        <f t="shared" si="6"/>
        <v>30</v>
      </c>
      <c r="L424" s="1246" t="s">
        <v>1526</v>
      </c>
      <c r="M424" s="1250">
        <v>3</v>
      </c>
      <c r="N424" s="1251">
        <v>3</v>
      </c>
      <c r="O424" s="1252">
        <v>3</v>
      </c>
    </row>
    <row r="425" spans="1:15">
      <c r="A425" s="1246" t="s">
        <v>1490</v>
      </c>
      <c r="B425" s="1246" t="s">
        <v>429</v>
      </c>
      <c r="C425" s="1247">
        <v>0.1</v>
      </c>
      <c r="E425" s="1246" t="s">
        <v>370</v>
      </c>
      <c r="F425" s="1248">
        <v>1</v>
      </c>
      <c r="G425" s="1248">
        <v>1</v>
      </c>
      <c r="H425" s="1249">
        <v>1</v>
      </c>
      <c r="I425" s="1246" t="s">
        <v>1491</v>
      </c>
      <c r="J425" s="1246" t="s">
        <v>1457</v>
      </c>
      <c r="K425" s="1284" t="str">
        <f t="shared" si="6"/>
        <v>35</v>
      </c>
      <c r="L425" s="1246" t="s">
        <v>1527</v>
      </c>
      <c r="M425" s="1250">
        <v>3</v>
      </c>
      <c r="N425" s="1251">
        <v>20</v>
      </c>
      <c r="O425" s="1252">
        <v>20</v>
      </c>
    </row>
    <row r="426" spans="1:15">
      <c r="A426" s="1246" t="s">
        <v>1490</v>
      </c>
      <c r="B426" s="1246" t="s">
        <v>429</v>
      </c>
      <c r="C426" s="1247">
        <v>0.1</v>
      </c>
      <c r="F426" s="1248">
        <v>1</v>
      </c>
      <c r="G426" s="1248">
        <v>1</v>
      </c>
      <c r="H426" s="1249">
        <v>1</v>
      </c>
      <c r="I426" s="1246" t="s">
        <v>1491</v>
      </c>
      <c r="J426" s="1246" t="s">
        <v>1457</v>
      </c>
      <c r="K426" s="1284" t="str">
        <f t="shared" si="6"/>
        <v>35</v>
      </c>
      <c r="L426" s="1246" t="s">
        <v>1527</v>
      </c>
      <c r="M426" s="1250">
        <v>3</v>
      </c>
      <c r="N426" s="1251">
        <v>221</v>
      </c>
      <c r="O426" s="1252">
        <v>221</v>
      </c>
    </row>
    <row r="427" spans="1:15">
      <c r="A427" s="1246" t="s">
        <v>1490</v>
      </c>
      <c r="B427" s="1246" t="s">
        <v>429</v>
      </c>
      <c r="C427" s="1247">
        <v>0.1</v>
      </c>
      <c r="F427" s="1248">
        <v>1</v>
      </c>
      <c r="G427" s="1248">
        <v>1</v>
      </c>
      <c r="H427" s="1249">
        <v>1</v>
      </c>
      <c r="I427" s="1246" t="s">
        <v>1491</v>
      </c>
      <c r="J427" s="1246" t="s">
        <v>1459</v>
      </c>
      <c r="K427" s="1284" t="str">
        <f t="shared" si="6"/>
        <v>3A</v>
      </c>
      <c r="L427" s="1246" t="s">
        <v>1492</v>
      </c>
      <c r="M427" s="1250">
        <v>3</v>
      </c>
      <c r="N427" s="1251">
        <v>78</v>
      </c>
      <c r="O427" s="1252">
        <v>78</v>
      </c>
    </row>
    <row r="428" spans="1:15">
      <c r="A428" s="1246" t="s">
        <v>1490</v>
      </c>
      <c r="B428" s="1246" t="s">
        <v>429</v>
      </c>
      <c r="C428" s="1247">
        <v>0.1</v>
      </c>
      <c r="F428" s="1248">
        <v>1</v>
      </c>
      <c r="G428" s="1248">
        <v>1</v>
      </c>
      <c r="H428" s="1249">
        <v>1</v>
      </c>
      <c r="I428" s="1246" t="s">
        <v>1491</v>
      </c>
      <c r="J428" s="1246" t="s">
        <v>1399</v>
      </c>
      <c r="K428" s="1284" t="str">
        <f t="shared" si="6"/>
        <v>30</v>
      </c>
      <c r="L428" s="1246" t="s">
        <v>1528</v>
      </c>
      <c r="M428" s="1250">
        <v>3</v>
      </c>
      <c r="N428" s="1251">
        <v>171</v>
      </c>
      <c r="O428" s="1252">
        <v>171</v>
      </c>
    </row>
    <row r="429" spans="1:15">
      <c r="A429" s="1246" t="s">
        <v>1490</v>
      </c>
      <c r="B429" s="1246" t="s">
        <v>429</v>
      </c>
      <c r="C429" s="1247">
        <v>0.1</v>
      </c>
      <c r="E429" s="1246" t="s">
        <v>370</v>
      </c>
      <c r="F429" s="1248">
        <v>1</v>
      </c>
      <c r="G429" s="1248">
        <v>1</v>
      </c>
      <c r="H429" s="1249">
        <v>1</v>
      </c>
      <c r="I429" s="1246" t="s">
        <v>1491</v>
      </c>
      <c r="J429" s="1246" t="s">
        <v>1399</v>
      </c>
      <c r="K429" s="1284" t="str">
        <f t="shared" si="6"/>
        <v>30</v>
      </c>
      <c r="L429" s="1246" t="s">
        <v>1528</v>
      </c>
      <c r="M429" s="1250">
        <v>3</v>
      </c>
      <c r="N429" s="1251">
        <v>14</v>
      </c>
      <c r="O429" s="1252">
        <v>14</v>
      </c>
    </row>
    <row r="430" spans="1:15">
      <c r="A430" s="1246" t="s">
        <v>1490</v>
      </c>
      <c r="B430" s="1246" t="s">
        <v>429</v>
      </c>
      <c r="C430" s="1247">
        <v>0.1</v>
      </c>
      <c r="F430" s="1248">
        <v>2</v>
      </c>
      <c r="G430" s="1248">
        <v>2</v>
      </c>
      <c r="H430" s="1249">
        <v>1</v>
      </c>
      <c r="I430" s="1246" t="s">
        <v>1491</v>
      </c>
      <c r="J430" s="1246" t="s">
        <v>1454</v>
      </c>
      <c r="K430" s="1284" t="str">
        <f t="shared" si="6"/>
        <v>31</v>
      </c>
      <c r="L430" s="1246" t="s">
        <v>1506</v>
      </c>
      <c r="M430" s="1250">
        <v>1</v>
      </c>
      <c r="N430" s="1251">
        <v>4</v>
      </c>
      <c r="O430" s="1252">
        <v>2</v>
      </c>
    </row>
    <row r="431" spans="1:15">
      <c r="A431" s="1246" t="s">
        <v>1490</v>
      </c>
      <c r="B431" s="1246" t="s">
        <v>429</v>
      </c>
      <c r="C431" s="1247">
        <v>0.1</v>
      </c>
      <c r="F431" s="1248">
        <v>2</v>
      </c>
      <c r="G431" s="1248">
        <v>2</v>
      </c>
      <c r="H431" s="1249">
        <v>1</v>
      </c>
      <c r="I431" s="1246" t="s">
        <v>1491</v>
      </c>
      <c r="J431" s="1246" t="s">
        <v>1399</v>
      </c>
      <c r="K431" s="1284" t="str">
        <f t="shared" si="6"/>
        <v>30</v>
      </c>
      <c r="L431" s="1246" t="s">
        <v>1518</v>
      </c>
      <c r="M431" s="1250">
        <v>2</v>
      </c>
      <c r="N431" s="1251">
        <v>2</v>
      </c>
      <c r="O431" s="1252">
        <v>1</v>
      </c>
    </row>
    <row r="432" spans="1:15">
      <c r="A432" s="1246" t="s">
        <v>1490</v>
      </c>
      <c r="B432" s="1246" t="s">
        <v>429</v>
      </c>
      <c r="C432" s="1247">
        <v>0.1</v>
      </c>
      <c r="F432" s="1248">
        <v>2</v>
      </c>
      <c r="G432" s="1248">
        <v>2</v>
      </c>
      <c r="H432" s="1249">
        <v>1</v>
      </c>
      <c r="I432" s="1246" t="s">
        <v>1491</v>
      </c>
      <c r="J432" s="1246" t="s">
        <v>1456</v>
      </c>
      <c r="K432" s="1284" t="str">
        <f t="shared" si="6"/>
        <v>33</v>
      </c>
      <c r="L432" s="1246" t="s">
        <v>1519</v>
      </c>
      <c r="M432" s="1250">
        <v>2</v>
      </c>
      <c r="N432" s="1251">
        <v>2</v>
      </c>
      <c r="O432" s="1252">
        <v>1</v>
      </c>
    </row>
    <row r="433" spans="1:15">
      <c r="A433" s="1246" t="s">
        <v>1490</v>
      </c>
      <c r="B433" s="1246" t="s">
        <v>429</v>
      </c>
      <c r="C433" s="1247">
        <v>0.16</v>
      </c>
      <c r="F433" s="1248">
        <v>1</v>
      </c>
      <c r="G433" s="1248">
        <v>1</v>
      </c>
      <c r="H433" s="1249">
        <v>1</v>
      </c>
      <c r="I433" s="1246" t="s">
        <v>1491</v>
      </c>
      <c r="J433" s="1246" t="s">
        <v>1460</v>
      </c>
      <c r="K433" s="1284" t="str">
        <f t="shared" si="6"/>
        <v>30</v>
      </c>
      <c r="L433" s="1246" t="s">
        <v>1497</v>
      </c>
      <c r="M433" s="1250">
        <v>1</v>
      </c>
      <c r="N433" s="1251">
        <v>532</v>
      </c>
      <c r="O433" s="1252">
        <v>532</v>
      </c>
    </row>
    <row r="434" spans="1:15">
      <c r="A434" s="1246" t="s">
        <v>1490</v>
      </c>
      <c r="B434" s="1246" t="s">
        <v>429</v>
      </c>
      <c r="C434" s="1247">
        <v>0.16</v>
      </c>
      <c r="E434" s="1246" t="s">
        <v>370</v>
      </c>
      <c r="F434" s="1248">
        <v>1</v>
      </c>
      <c r="G434" s="1248">
        <v>1</v>
      </c>
      <c r="H434" s="1249">
        <v>1</v>
      </c>
      <c r="I434" s="1246" t="s">
        <v>1491</v>
      </c>
      <c r="J434" s="1246" t="s">
        <v>1460</v>
      </c>
      <c r="K434" s="1284" t="str">
        <f t="shared" si="6"/>
        <v>30</v>
      </c>
      <c r="L434" s="1246" t="s">
        <v>1497</v>
      </c>
      <c r="M434" s="1250">
        <v>1</v>
      </c>
      <c r="N434" s="1251">
        <v>109</v>
      </c>
      <c r="O434" s="1252">
        <v>109</v>
      </c>
    </row>
    <row r="435" spans="1:15">
      <c r="A435" s="1246" t="s">
        <v>1490</v>
      </c>
      <c r="B435" s="1246" t="s">
        <v>429</v>
      </c>
      <c r="C435" s="1247">
        <v>0.16</v>
      </c>
      <c r="F435" s="1248">
        <v>1</v>
      </c>
      <c r="G435" s="1248">
        <v>1</v>
      </c>
      <c r="H435" s="1249">
        <v>1</v>
      </c>
      <c r="I435" s="1246" t="s">
        <v>1491</v>
      </c>
      <c r="J435" s="1246" t="s">
        <v>1461</v>
      </c>
      <c r="K435" s="1284" t="str">
        <f t="shared" si="6"/>
        <v>3C</v>
      </c>
      <c r="L435" s="1246" t="s">
        <v>1502</v>
      </c>
      <c r="M435" s="1250">
        <v>1</v>
      </c>
      <c r="N435" s="1251">
        <v>238</v>
      </c>
      <c r="O435" s="1252">
        <v>238</v>
      </c>
    </row>
    <row r="436" spans="1:15">
      <c r="A436" s="1246" t="s">
        <v>1490</v>
      </c>
      <c r="B436" s="1246" t="s">
        <v>429</v>
      </c>
      <c r="C436" s="1247">
        <v>0.16</v>
      </c>
      <c r="E436" s="1246" t="s">
        <v>370</v>
      </c>
      <c r="F436" s="1248">
        <v>1</v>
      </c>
      <c r="G436" s="1248">
        <v>1</v>
      </c>
      <c r="H436" s="1249">
        <v>1</v>
      </c>
      <c r="I436" s="1246" t="s">
        <v>1491</v>
      </c>
      <c r="J436" s="1246" t="s">
        <v>1461</v>
      </c>
      <c r="K436" s="1284" t="str">
        <f t="shared" si="6"/>
        <v>3C</v>
      </c>
      <c r="L436" s="1246" t="s">
        <v>1502</v>
      </c>
      <c r="M436" s="1250">
        <v>1</v>
      </c>
      <c r="N436" s="1251">
        <v>63</v>
      </c>
      <c r="O436" s="1252">
        <v>63</v>
      </c>
    </row>
    <row r="437" spans="1:15">
      <c r="A437" s="1246" t="s">
        <v>1490</v>
      </c>
      <c r="B437" s="1246" t="s">
        <v>429</v>
      </c>
      <c r="C437" s="1247">
        <v>0.16</v>
      </c>
      <c r="F437" s="1248">
        <v>1</v>
      </c>
      <c r="G437" s="1248">
        <v>1</v>
      </c>
      <c r="H437" s="1249">
        <v>1</v>
      </c>
      <c r="I437" s="1246" t="s">
        <v>1491</v>
      </c>
      <c r="J437" s="1246" t="s">
        <v>1461</v>
      </c>
      <c r="K437" s="1284" t="str">
        <f t="shared" si="6"/>
        <v>3C</v>
      </c>
      <c r="L437" s="1246" t="s">
        <v>1502</v>
      </c>
      <c r="M437" s="1250">
        <v>3</v>
      </c>
      <c r="N437" s="1251">
        <v>93</v>
      </c>
      <c r="O437" s="1252">
        <v>93</v>
      </c>
    </row>
    <row r="438" spans="1:15">
      <c r="A438" s="1246" t="s">
        <v>1493</v>
      </c>
      <c r="B438" s="1246" t="s">
        <v>429</v>
      </c>
      <c r="C438" s="1247">
        <v>0.16</v>
      </c>
      <c r="E438" s="1246" t="s">
        <v>370</v>
      </c>
      <c r="F438" s="1248">
        <v>1</v>
      </c>
      <c r="G438" s="1248">
        <v>1</v>
      </c>
      <c r="H438" s="1249">
        <v>1</v>
      </c>
      <c r="I438" s="1246" t="s">
        <v>1491</v>
      </c>
      <c r="J438" s="1246" t="s">
        <v>1443</v>
      </c>
      <c r="K438" s="1284" t="str">
        <f t="shared" si="6"/>
        <v>1C</v>
      </c>
      <c r="L438" s="1246" t="s">
        <v>1502</v>
      </c>
      <c r="M438" s="1250">
        <v>4</v>
      </c>
      <c r="N438" s="1251">
        <v>4</v>
      </c>
      <c r="O438" s="1252">
        <v>4</v>
      </c>
    </row>
    <row r="439" spans="1:15">
      <c r="A439" s="1246" t="s">
        <v>1490</v>
      </c>
      <c r="B439" s="1246" t="s">
        <v>429</v>
      </c>
      <c r="C439" s="1247">
        <v>0.16</v>
      </c>
      <c r="E439" s="1246" t="s">
        <v>370</v>
      </c>
      <c r="F439" s="1248">
        <v>1</v>
      </c>
      <c r="G439" s="1248">
        <v>1</v>
      </c>
      <c r="H439" s="1249">
        <v>1</v>
      </c>
      <c r="I439" s="1246" t="s">
        <v>1491</v>
      </c>
      <c r="J439" s="1246" t="s">
        <v>1460</v>
      </c>
      <c r="K439" s="1284" t="str">
        <f t="shared" si="6"/>
        <v>30</v>
      </c>
      <c r="L439" s="1246" t="s">
        <v>1498</v>
      </c>
      <c r="M439" s="1250">
        <v>2</v>
      </c>
      <c r="N439" s="1251">
        <v>149</v>
      </c>
      <c r="O439" s="1252">
        <v>149</v>
      </c>
    </row>
    <row r="440" spans="1:15">
      <c r="A440" s="1246" t="s">
        <v>1490</v>
      </c>
      <c r="B440" s="1246" t="s">
        <v>429</v>
      </c>
      <c r="C440" s="1247">
        <v>0.16</v>
      </c>
      <c r="F440" s="1248">
        <v>1</v>
      </c>
      <c r="G440" s="1248">
        <v>1</v>
      </c>
      <c r="H440" s="1249">
        <v>1</v>
      </c>
      <c r="I440" s="1246" t="s">
        <v>1491</v>
      </c>
      <c r="J440" s="1246" t="s">
        <v>1460</v>
      </c>
      <c r="K440" s="1284" t="str">
        <f t="shared" si="6"/>
        <v>30</v>
      </c>
      <c r="L440" s="1246" t="s">
        <v>1498</v>
      </c>
      <c r="M440" s="1250">
        <v>2</v>
      </c>
      <c r="N440" s="1251">
        <v>508</v>
      </c>
      <c r="O440" s="1252">
        <v>508</v>
      </c>
    </row>
    <row r="441" spans="1:15">
      <c r="A441" s="1246" t="s">
        <v>1490</v>
      </c>
      <c r="B441" s="1246" t="s">
        <v>429</v>
      </c>
      <c r="C441" s="1247">
        <v>0.16</v>
      </c>
      <c r="F441" s="1248">
        <v>1</v>
      </c>
      <c r="G441" s="1248">
        <v>1</v>
      </c>
      <c r="H441" s="1249">
        <v>1</v>
      </c>
      <c r="I441" s="1246" t="s">
        <v>1491</v>
      </c>
      <c r="J441" s="1246" t="s">
        <v>1460</v>
      </c>
      <c r="K441" s="1284" t="str">
        <f t="shared" si="6"/>
        <v>30</v>
      </c>
      <c r="L441" s="1246" t="s">
        <v>1499</v>
      </c>
      <c r="M441" s="1250">
        <v>5</v>
      </c>
      <c r="N441" s="1251">
        <v>507</v>
      </c>
      <c r="O441" s="1252">
        <v>507</v>
      </c>
    </row>
    <row r="442" spans="1:15">
      <c r="A442" s="1246" t="s">
        <v>1490</v>
      </c>
      <c r="B442" s="1246" t="s">
        <v>429</v>
      </c>
      <c r="C442" s="1247">
        <v>0.16</v>
      </c>
      <c r="E442" s="1246" t="s">
        <v>370</v>
      </c>
      <c r="F442" s="1248">
        <v>1</v>
      </c>
      <c r="G442" s="1248">
        <v>1</v>
      </c>
      <c r="H442" s="1249">
        <v>1</v>
      </c>
      <c r="I442" s="1246" t="s">
        <v>1491</v>
      </c>
      <c r="J442" s="1246" t="s">
        <v>1460</v>
      </c>
      <c r="K442" s="1284" t="str">
        <f t="shared" si="6"/>
        <v>30</v>
      </c>
      <c r="L442" s="1246" t="s">
        <v>1499</v>
      </c>
      <c r="M442" s="1250">
        <v>5</v>
      </c>
      <c r="N442" s="1251">
        <v>131</v>
      </c>
      <c r="O442" s="1252">
        <v>131</v>
      </c>
    </row>
    <row r="443" spans="1:15">
      <c r="A443" s="1246" t="s">
        <v>1490</v>
      </c>
      <c r="B443" s="1246" t="s">
        <v>429</v>
      </c>
      <c r="C443" s="1247">
        <v>0.16</v>
      </c>
      <c r="F443" s="1248">
        <v>1</v>
      </c>
      <c r="G443" s="1248">
        <v>1</v>
      </c>
      <c r="H443" s="1249">
        <v>1</v>
      </c>
      <c r="I443" s="1246" t="s">
        <v>1491</v>
      </c>
      <c r="J443" s="1246" t="s">
        <v>1399</v>
      </c>
      <c r="K443" s="1284" t="str">
        <f t="shared" si="6"/>
        <v>30</v>
      </c>
      <c r="L443" s="1246" t="s">
        <v>1503</v>
      </c>
      <c r="M443" s="1250">
        <v>1</v>
      </c>
      <c r="N443" s="1251">
        <v>10</v>
      </c>
      <c r="O443" s="1252">
        <v>10</v>
      </c>
    </row>
    <row r="444" spans="1:15">
      <c r="A444" s="1246" t="s">
        <v>1490</v>
      </c>
      <c r="B444" s="1246" t="s">
        <v>429</v>
      </c>
      <c r="C444" s="1247">
        <v>0.16</v>
      </c>
      <c r="E444" s="1246" t="s">
        <v>370</v>
      </c>
      <c r="F444" s="1248">
        <v>1</v>
      </c>
      <c r="G444" s="1248">
        <v>1</v>
      </c>
      <c r="H444" s="1249">
        <v>1</v>
      </c>
      <c r="I444" s="1246" t="s">
        <v>1491</v>
      </c>
      <c r="J444" s="1246" t="s">
        <v>1399</v>
      </c>
      <c r="K444" s="1284" t="str">
        <f t="shared" si="6"/>
        <v>30</v>
      </c>
      <c r="L444" s="1246" t="s">
        <v>1503</v>
      </c>
      <c r="M444" s="1250">
        <v>1</v>
      </c>
      <c r="N444" s="1251">
        <v>3</v>
      </c>
      <c r="O444" s="1252">
        <v>3</v>
      </c>
    </row>
    <row r="445" spans="1:15">
      <c r="A445" s="1246" t="s">
        <v>1490</v>
      </c>
      <c r="B445" s="1246" t="s">
        <v>429</v>
      </c>
      <c r="C445" s="1247">
        <v>0.16</v>
      </c>
      <c r="E445" s="1246" t="s">
        <v>370</v>
      </c>
      <c r="F445" s="1248">
        <v>1</v>
      </c>
      <c r="G445" s="1248">
        <v>1</v>
      </c>
      <c r="H445" s="1249">
        <v>1</v>
      </c>
      <c r="I445" s="1246" t="s">
        <v>1491</v>
      </c>
      <c r="J445" s="1246" t="s">
        <v>1399</v>
      </c>
      <c r="K445" s="1284" t="str">
        <f t="shared" si="6"/>
        <v>30</v>
      </c>
      <c r="L445" s="1246" t="s">
        <v>1504</v>
      </c>
      <c r="M445" s="1250">
        <v>1</v>
      </c>
      <c r="N445" s="1251">
        <v>2</v>
      </c>
      <c r="O445" s="1252">
        <v>2</v>
      </c>
    </row>
    <row r="446" spans="1:15">
      <c r="A446" s="1246" t="s">
        <v>1490</v>
      </c>
      <c r="B446" s="1246" t="s">
        <v>429</v>
      </c>
      <c r="C446" s="1247">
        <v>0.16</v>
      </c>
      <c r="F446" s="1248">
        <v>1</v>
      </c>
      <c r="G446" s="1248">
        <v>1</v>
      </c>
      <c r="H446" s="1249">
        <v>1</v>
      </c>
      <c r="I446" s="1246" t="s">
        <v>1491</v>
      </c>
      <c r="J446" s="1246" t="s">
        <v>1399</v>
      </c>
      <c r="K446" s="1284" t="str">
        <f t="shared" si="6"/>
        <v>30</v>
      </c>
      <c r="L446" s="1246" t="s">
        <v>1504</v>
      </c>
      <c r="M446" s="1250">
        <v>1</v>
      </c>
      <c r="N446" s="1251">
        <v>12</v>
      </c>
      <c r="O446" s="1252">
        <v>12</v>
      </c>
    </row>
    <row r="447" spans="1:15">
      <c r="A447" s="1246" t="s">
        <v>1490</v>
      </c>
      <c r="B447" s="1246" t="s">
        <v>429</v>
      </c>
      <c r="C447" s="1247">
        <v>0.16</v>
      </c>
      <c r="F447" s="1248">
        <v>1</v>
      </c>
      <c r="G447" s="1248">
        <v>1</v>
      </c>
      <c r="H447" s="1249">
        <v>1</v>
      </c>
      <c r="I447" s="1246" t="s">
        <v>1491</v>
      </c>
      <c r="J447" s="1246" t="s">
        <v>1455</v>
      </c>
      <c r="K447" s="1284" t="str">
        <f t="shared" si="6"/>
        <v>32</v>
      </c>
      <c r="L447" s="1246" t="s">
        <v>1505</v>
      </c>
      <c r="M447" s="1250">
        <v>1</v>
      </c>
      <c r="N447" s="1251">
        <v>151</v>
      </c>
      <c r="O447" s="1252">
        <v>151</v>
      </c>
    </row>
    <row r="448" spans="1:15">
      <c r="A448" s="1246" t="s">
        <v>1490</v>
      </c>
      <c r="B448" s="1246" t="s">
        <v>429</v>
      </c>
      <c r="C448" s="1247">
        <v>0.16</v>
      </c>
      <c r="E448" s="1246" t="s">
        <v>370</v>
      </c>
      <c r="F448" s="1248">
        <v>1</v>
      </c>
      <c r="G448" s="1248">
        <v>1</v>
      </c>
      <c r="H448" s="1249">
        <v>1</v>
      </c>
      <c r="I448" s="1246" t="s">
        <v>1491</v>
      </c>
      <c r="J448" s="1246" t="s">
        <v>1455</v>
      </c>
      <c r="K448" s="1284" t="str">
        <f t="shared" si="6"/>
        <v>32</v>
      </c>
      <c r="L448" s="1246" t="s">
        <v>1505</v>
      </c>
      <c r="M448" s="1250">
        <v>1</v>
      </c>
      <c r="N448" s="1251">
        <v>113</v>
      </c>
      <c r="O448" s="1252">
        <v>113</v>
      </c>
    </row>
    <row r="449" spans="1:15">
      <c r="A449" s="1246" t="s">
        <v>1490</v>
      </c>
      <c r="B449" s="1246" t="s">
        <v>429</v>
      </c>
      <c r="C449" s="1247">
        <v>0.16</v>
      </c>
      <c r="E449" s="1246" t="s">
        <v>370</v>
      </c>
      <c r="F449" s="1248">
        <v>1</v>
      </c>
      <c r="G449" s="1248">
        <v>1</v>
      </c>
      <c r="H449" s="1249">
        <v>1</v>
      </c>
      <c r="I449" s="1246" t="s">
        <v>1491</v>
      </c>
      <c r="J449" s="1246" t="s">
        <v>1454</v>
      </c>
      <c r="K449" s="1284" t="str">
        <f t="shared" si="6"/>
        <v>31</v>
      </c>
      <c r="L449" s="1246" t="s">
        <v>1506</v>
      </c>
      <c r="M449" s="1250">
        <v>1</v>
      </c>
      <c r="N449" s="1251">
        <v>773</v>
      </c>
      <c r="O449" s="1252">
        <v>773</v>
      </c>
    </row>
    <row r="450" spans="1:15">
      <c r="A450" s="1246" t="s">
        <v>1490</v>
      </c>
      <c r="B450" s="1246" t="s">
        <v>429</v>
      </c>
      <c r="C450" s="1247">
        <v>0.16</v>
      </c>
      <c r="F450" s="1248">
        <v>1</v>
      </c>
      <c r="G450" s="1248">
        <v>1</v>
      </c>
      <c r="H450" s="1249">
        <v>1</v>
      </c>
      <c r="I450" s="1246" t="s">
        <v>1491</v>
      </c>
      <c r="J450" s="1246" t="s">
        <v>1454</v>
      </c>
      <c r="K450" s="1284" t="str">
        <f t="shared" ref="K450:K513" si="7">IF(J450="1B","10", IF(J450="2B","20",IF(J450="3B","30",IF(J450="7B",70,J450))))</f>
        <v>31</v>
      </c>
      <c r="L450" s="1246" t="s">
        <v>1506</v>
      </c>
      <c r="M450" s="1250">
        <v>1</v>
      </c>
      <c r="N450" s="1251">
        <v>446</v>
      </c>
      <c r="O450" s="1252">
        <v>446</v>
      </c>
    </row>
    <row r="451" spans="1:15">
      <c r="A451" s="1246" t="s">
        <v>1490</v>
      </c>
      <c r="B451" s="1246" t="s">
        <v>429</v>
      </c>
      <c r="C451" s="1247">
        <v>0.16</v>
      </c>
      <c r="F451" s="1248">
        <v>1</v>
      </c>
      <c r="G451" s="1248">
        <v>1</v>
      </c>
      <c r="H451" s="1249">
        <v>1</v>
      </c>
      <c r="I451" s="1246" t="s">
        <v>1491</v>
      </c>
      <c r="J451" s="1246" t="s">
        <v>1458</v>
      </c>
      <c r="K451" s="1284" t="str">
        <f t="shared" si="7"/>
        <v>36</v>
      </c>
      <c r="L451" s="1246" t="s">
        <v>1507</v>
      </c>
      <c r="M451" s="1250">
        <v>1</v>
      </c>
      <c r="N451" s="1251">
        <v>67</v>
      </c>
      <c r="O451" s="1252">
        <v>67</v>
      </c>
    </row>
    <row r="452" spans="1:15">
      <c r="A452" s="1246" t="s">
        <v>1490</v>
      </c>
      <c r="B452" s="1246" t="s">
        <v>429</v>
      </c>
      <c r="C452" s="1247">
        <v>0.16</v>
      </c>
      <c r="E452" s="1246" t="s">
        <v>370</v>
      </c>
      <c r="F452" s="1248">
        <v>1</v>
      </c>
      <c r="G452" s="1248">
        <v>1</v>
      </c>
      <c r="H452" s="1249">
        <v>1</v>
      </c>
      <c r="I452" s="1246" t="s">
        <v>1491</v>
      </c>
      <c r="J452" s="1246" t="s">
        <v>1458</v>
      </c>
      <c r="K452" s="1284" t="str">
        <f t="shared" si="7"/>
        <v>36</v>
      </c>
      <c r="L452" s="1246" t="s">
        <v>1507</v>
      </c>
      <c r="M452" s="1250">
        <v>1</v>
      </c>
      <c r="N452" s="1251">
        <v>16</v>
      </c>
      <c r="O452" s="1252">
        <v>16</v>
      </c>
    </row>
    <row r="453" spans="1:15">
      <c r="A453" s="1246" t="s">
        <v>1490</v>
      </c>
      <c r="B453" s="1246" t="s">
        <v>429</v>
      </c>
      <c r="C453" s="1247">
        <v>0.16</v>
      </c>
      <c r="E453" s="1246" t="s">
        <v>370</v>
      </c>
      <c r="F453" s="1248">
        <v>1</v>
      </c>
      <c r="G453" s="1248">
        <v>1</v>
      </c>
      <c r="H453" s="1249">
        <v>1</v>
      </c>
      <c r="I453" s="1246" t="s">
        <v>1491</v>
      </c>
      <c r="J453" s="1246" t="s">
        <v>1399</v>
      </c>
      <c r="K453" s="1284" t="str">
        <f t="shared" si="7"/>
        <v>30</v>
      </c>
      <c r="L453" s="1246" t="s">
        <v>1508</v>
      </c>
      <c r="M453" s="1250">
        <v>1</v>
      </c>
      <c r="N453" s="1251">
        <v>17</v>
      </c>
      <c r="O453" s="1252">
        <v>17</v>
      </c>
    </row>
    <row r="454" spans="1:15">
      <c r="A454" s="1246" t="s">
        <v>1490</v>
      </c>
      <c r="B454" s="1246" t="s">
        <v>429</v>
      </c>
      <c r="C454" s="1247">
        <v>0.16</v>
      </c>
      <c r="F454" s="1248">
        <v>1</v>
      </c>
      <c r="G454" s="1248">
        <v>1</v>
      </c>
      <c r="H454" s="1249">
        <v>1</v>
      </c>
      <c r="I454" s="1246" t="s">
        <v>1491</v>
      </c>
      <c r="J454" s="1246" t="s">
        <v>1399</v>
      </c>
      <c r="K454" s="1284" t="str">
        <f t="shared" si="7"/>
        <v>30</v>
      </c>
      <c r="L454" s="1246" t="s">
        <v>1508</v>
      </c>
      <c r="M454" s="1250">
        <v>1</v>
      </c>
      <c r="N454" s="1251">
        <v>53</v>
      </c>
      <c r="O454" s="1252">
        <v>53</v>
      </c>
    </row>
    <row r="455" spans="1:15">
      <c r="A455" s="1246" t="s">
        <v>1490</v>
      </c>
      <c r="B455" s="1246" t="s">
        <v>429</v>
      </c>
      <c r="C455" s="1247">
        <v>0.16</v>
      </c>
      <c r="F455" s="1248">
        <v>1</v>
      </c>
      <c r="G455" s="1248">
        <v>1</v>
      </c>
      <c r="H455" s="1249">
        <v>1</v>
      </c>
      <c r="I455" s="1246" t="s">
        <v>1491</v>
      </c>
      <c r="J455" s="1246" t="s">
        <v>1399</v>
      </c>
      <c r="K455" s="1284" t="str">
        <f t="shared" si="7"/>
        <v>30</v>
      </c>
      <c r="L455" s="1246" t="s">
        <v>1509</v>
      </c>
      <c r="M455" s="1250">
        <v>1</v>
      </c>
      <c r="N455" s="1251">
        <v>15</v>
      </c>
      <c r="O455" s="1252">
        <v>15</v>
      </c>
    </row>
    <row r="456" spans="1:15">
      <c r="A456" s="1246" t="s">
        <v>1490</v>
      </c>
      <c r="B456" s="1246" t="s">
        <v>429</v>
      </c>
      <c r="C456" s="1247">
        <v>0.16</v>
      </c>
      <c r="E456" s="1246" t="s">
        <v>370</v>
      </c>
      <c r="F456" s="1248">
        <v>1</v>
      </c>
      <c r="G456" s="1248">
        <v>1</v>
      </c>
      <c r="H456" s="1249">
        <v>1</v>
      </c>
      <c r="I456" s="1246" t="s">
        <v>1491</v>
      </c>
      <c r="J456" s="1246" t="s">
        <v>1399</v>
      </c>
      <c r="K456" s="1284" t="str">
        <f t="shared" si="7"/>
        <v>30</v>
      </c>
      <c r="L456" s="1246" t="s">
        <v>1509</v>
      </c>
      <c r="M456" s="1250">
        <v>1</v>
      </c>
      <c r="N456" s="1251">
        <v>9</v>
      </c>
      <c r="O456" s="1252">
        <v>9</v>
      </c>
    </row>
    <row r="457" spans="1:15">
      <c r="A457" s="1246" t="s">
        <v>1490</v>
      </c>
      <c r="B457" s="1246" t="s">
        <v>429</v>
      </c>
      <c r="C457" s="1247">
        <v>0.16</v>
      </c>
      <c r="F457" s="1248">
        <v>1</v>
      </c>
      <c r="G457" s="1248">
        <v>1</v>
      </c>
      <c r="H457" s="1249">
        <v>1</v>
      </c>
      <c r="I457" s="1246" t="s">
        <v>1491</v>
      </c>
      <c r="J457" s="1246" t="s">
        <v>1457</v>
      </c>
      <c r="K457" s="1284" t="str">
        <f t="shared" si="7"/>
        <v>35</v>
      </c>
      <c r="L457" s="1246" t="s">
        <v>1501</v>
      </c>
      <c r="M457" s="1250">
        <v>1</v>
      </c>
      <c r="N457" s="1251">
        <v>1248</v>
      </c>
      <c r="O457" s="1252">
        <v>1248</v>
      </c>
    </row>
    <row r="458" spans="1:15">
      <c r="A458" s="1246" t="s">
        <v>1490</v>
      </c>
      <c r="B458" s="1246" t="s">
        <v>429</v>
      </c>
      <c r="C458" s="1247">
        <v>0.16</v>
      </c>
      <c r="E458" s="1246" t="s">
        <v>370</v>
      </c>
      <c r="F458" s="1248">
        <v>1</v>
      </c>
      <c r="G458" s="1248">
        <v>1</v>
      </c>
      <c r="H458" s="1249">
        <v>1</v>
      </c>
      <c r="I458" s="1246" t="s">
        <v>1491</v>
      </c>
      <c r="J458" s="1246" t="s">
        <v>1457</v>
      </c>
      <c r="K458" s="1284" t="str">
        <f t="shared" si="7"/>
        <v>35</v>
      </c>
      <c r="L458" s="1246" t="s">
        <v>1501</v>
      </c>
      <c r="M458" s="1250">
        <v>1</v>
      </c>
      <c r="N458" s="1251">
        <v>295</v>
      </c>
      <c r="O458" s="1252">
        <v>295</v>
      </c>
    </row>
    <row r="459" spans="1:15">
      <c r="A459" s="1246" t="s">
        <v>1490</v>
      </c>
      <c r="B459" s="1246" t="s">
        <v>429</v>
      </c>
      <c r="C459" s="1247">
        <v>0.16</v>
      </c>
      <c r="F459" s="1248">
        <v>1</v>
      </c>
      <c r="G459" s="1248">
        <v>1</v>
      </c>
      <c r="H459" s="1249">
        <v>1</v>
      </c>
      <c r="I459" s="1246" t="s">
        <v>1491</v>
      </c>
      <c r="J459" s="1246" t="s">
        <v>1399</v>
      </c>
      <c r="K459" s="1284" t="str">
        <f t="shared" si="7"/>
        <v>30</v>
      </c>
      <c r="L459" s="1246" t="s">
        <v>1510</v>
      </c>
      <c r="M459" s="1250">
        <v>1</v>
      </c>
      <c r="N459" s="1251">
        <v>644</v>
      </c>
      <c r="O459" s="1252">
        <v>644</v>
      </c>
    </row>
    <row r="460" spans="1:15">
      <c r="A460" s="1246" t="s">
        <v>1490</v>
      </c>
      <c r="B460" s="1246" t="s">
        <v>429</v>
      </c>
      <c r="C460" s="1247">
        <v>0.16</v>
      </c>
      <c r="E460" s="1246" t="s">
        <v>370</v>
      </c>
      <c r="F460" s="1248">
        <v>1</v>
      </c>
      <c r="G460" s="1248">
        <v>1</v>
      </c>
      <c r="H460" s="1249">
        <v>1</v>
      </c>
      <c r="I460" s="1246" t="s">
        <v>1491</v>
      </c>
      <c r="J460" s="1246" t="s">
        <v>1399</v>
      </c>
      <c r="K460" s="1284" t="str">
        <f t="shared" si="7"/>
        <v>30</v>
      </c>
      <c r="L460" s="1246" t="s">
        <v>1510</v>
      </c>
      <c r="M460" s="1250">
        <v>1</v>
      </c>
      <c r="N460" s="1251">
        <v>163</v>
      </c>
      <c r="O460" s="1252">
        <v>163</v>
      </c>
    </row>
    <row r="461" spans="1:15">
      <c r="A461" s="1246" t="s">
        <v>1490</v>
      </c>
      <c r="B461" s="1246" t="s">
        <v>429</v>
      </c>
      <c r="C461" s="1247">
        <v>0.16</v>
      </c>
      <c r="F461" s="1248">
        <v>1</v>
      </c>
      <c r="G461" s="1248">
        <v>1</v>
      </c>
      <c r="H461" s="1249">
        <v>1</v>
      </c>
      <c r="I461" s="1246" t="s">
        <v>1491</v>
      </c>
      <c r="J461" s="1246" t="s">
        <v>1399</v>
      </c>
      <c r="K461" s="1284" t="str">
        <f t="shared" si="7"/>
        <v>30</v>
      </c>
      <c r="L461" s="1246" t="s">
        <v>1511</v>
      </c>
      <c r="M461" s="1250">
        <v>2</v>
      </c>
      <c r="N461" s="1251">
        <v>13</v>
      </c>
      <c r="O461" s="1252">
        <v>13</v>
      </c>
    </row>
    <row r="462" spans="1:15">
      <c r="A462" s="1246" t="s">
        <v>1490</v>
      </c>
      <c r="B462" s="1246" t="s">
        <v>429</v>
      </c>
      <c r="C462" s="1247">
        <v>0.16</v>
      </c>
      <c r="E462" s="1246" t="s">
        <v>370</v>
      </c>
      <c r="F462" s="1248">
        <v>1</v>
      </c>
      <c r="G462" s="1248">
        <v>1</v>
      </c>
      <c r="H462" s="1249">
        <v>1</v>
      </c>
      <c r="I462" s="1246" t="s">
        <v>1491</v>
      </c>
      <c r="J462" s="1246" t="s">
        <v>1399</v>
      </c>
      <c r="K462" s="1284" t="str">
        <f t="shared" si="7"/>
        <v>30</v>
      </c>
      <c r="L462" s="1246" t="s">
        <v>1511</v>
      </c>
      <c r="M462" s="1250">
        <v>2</v>
      </c>
      <c r="N462" s="1251">
        <v>1</v>
      </c>
      <c r="O462" s="1252">
        <v>1</v>
      </c>
    </row>
    <row r="463" spans="1:15">
      <c r="A463" s="1246" t="s">
        <v>1490</v>
      </c>
      <c r="B463" s="1246" t="s">
        <v>429</v>
      </c>
      <c r="C463" s="1247">
        <v>0.16</v>
      </c>
      <c r="E463" s="1246" t="s">
        <v>370</v>
      </c>
      <c r="F463" s="1248">
        <v>1</v>
      </c>
      <c r="G463" s="1248">
        <v>1</v>
      </c>
      <c r="H463" s="1249">
        <v>1</v>
      </c>
      <c r="I463" s="1246" t="s">
        <v>1491</v>
      </c>
      <c r="J463" s="1246" t="s">
        <v>1399</v>
      </c>
      <c r="K463" s="1284" t="str">
        <f t="shared" si="7"/>
        <v>30</v>
      </c>
      <c r="L463" s="1246" t="s">
        <v>1512</v>
      </c>
      <c r="M463" s="1250">
        <v>2</v>
      </c>
      <c r="N463" s="1251">
        <v>5</v>
      </c>
      <c r="O463" s="1252">
        <v>5</v>
      </c>
    </row>
    <row r="464" spans="1:15">
      <c r="A464" s="1246" t="s">
        <v>1490</v>
      </c>
      <c r="B464" s="1246" t="s">
        <v>429</v>
      </c>
      <c r="C464" s="1247">
        <v>0.16</v>
      </c>
      <c r="F464" s="1248">
        <v>1</v>
      </c>
      <c r="G464" s="1248">
        <v>1</v>
      </c>
      <c r="H464" s="1249">
        <v>1</v>
      </c>
      <c r="I464" s="1246" t="s">
        <v>1491</v>
      </c>
      <c r="J464" s="1246" t="s">
        <v>1399</v>
      </c>
      <c r="K464" s="1284" t="str">
        <f t="shared" si="7"/>
        <v>30</v>
      </c>
      <c r="L464" s="1246" t="s">
        <v>1512</v>
      </c>
      <c r="M464" s="1250">
        <v>2</v>
      </c>
      <c r="N464" s="1251">
        <v>5</v>
      </c>
      <c r="O464" s="1252">
        <v>5</v>
      </c>
    </row>
    <row r="465" spans="1:15">
      <c r="A465" s="1246" t="s">
        <v>1490</v>
      </c>
      <c r="B465" s="1246" t="s">
        <v>429</v>
      </c>
      <c r="C465" s="1247">
        <v>0.16</v>
      </c>
      <c r="F465" s="1248">
        <v>1</v>
      </c>
      <c r="G465" s="1248">
        <v>1</v>
      </c>
      <c r="H465" s="1249">
        <v>1</v>
      </c>
      <c r="I465" s="1246" t="s">
        <v>1491</v>
      </c>
      <c r="J465" s="1246" t="s">
        <v>1455</v>
      </c>
      <c r="K465" s="1284" t="str">
        <f t="shared" si="7"/>
        <v>32</v>
      </c>
      <c r="L465" s="1246" t="s">
        <v>1513</v>
      </c>
      <c r="M465" s="1250">
        <v>2</v>
      </c>
      <c r="N465" s="1251">
        <v>138</v>
      </c>
      <c r="O465" s="1252">
        <v>138</v>
      </c>
    </row>
    <row r="466" spans="1:15">
      <c r="A466" s="1246" t="s">
        <v>1490</v>
      </c>
      <c r="B466" s="1246" t="s">
        <v>429</v>
      </c>
      <c r="C466" s="1247">
        <v>0.16</v>
      </c>
      <c r="E466" s="1246" t="s">
        <v>370</v>
      </c>
      <c r="F466" s="1248">
        <v>1</v>
      </c>
      <c r="G466" s="1248">
        <v>1</v>
      </c>
      <c r="H466" s="1249">
        <v>1</v>
      </c>
      <c r="I466" s="1246" t="s">
        <v>1491</v>
      </c>
      <c r="J466" s="1246" t="s">
        <v>1455</v>
      </c>
      <c r="K466" s="1284" t="str">
        <f t="shared" si="7"/>
        <v>32</v>
      </c>
      <c r="L466" s="1246" t="s">
        <v>1513</v>
      </c>
      <c r="M466" s="1250">
        <v>2</v>
      </c>
      <c r="N466" s="1251">
        <v>79</v>
      </c>
      <c r="O466" s="1252">
        <v>79</v>
      </c>
    </row>
    <row r="467" spans="1:15">
      <c r="A467" s="1246" t="s">
        <v>1490</v>
      </c>
      <c r="B467" s="1246" t="s">
        <v>429</v>
      </c>
      <c r="C467" s="1247">
        <v>0.16</v>
      </c>
      <c r="E467" s="1246" t="s">
        <v>370</v>
      </c>
      <c r="F467" s="1248">
        <v>1</v>
      </c>
      <c r="G467" s="1248">
        <v>1</v>
      </c>
      <c r="H467" s="1249">
        <v>1</v>
      </c>
      <c r="I467" s="1246" t="s">
        <v>1491</v>
      </c>
      <c r="J467" s="1246" t="s">
        <v>1454</v>
      </c>
      <c r="K467" s="1284" t="str">
        <f t="shared" si="7"/>
        <v>31</v>
      </c>
      <c r="L467" s="1246" t="s">
        <v>1500</v>
      </c>
      <c r="M467" s="1250">
        <v>2</v>
      </c>
      <c r="N467" s="1251">
        <v>442</v>
      </c>
      <c r="O467" s="1252">
        <v>442</v>
      </c>
    </row>
    <row r="468" spans="1:15">
      <c r="A468" s="1246" t="s">
        <v>1490</v>
      </c>
      <c r="B468" s="1246" t="s">
        <v>429</v>
      </c>
      <c r="C468" s="1247">
        <v>0.16</v>
      </c>
      <c r="F468" s="1248">
        <v>1</v>
      </c>
      <c r="G468" s="1248">
        <v>1</v>
      </c>
      <c r="H468" s="1249">
        <v>1</v>
      </c>
      <c r="I468" s="1246" t="s">
        <v>1491</v>
      </c>
      <c r="J468" s="1246" t="s">
        <v>1454</v>
      </c>
      <c r="K468" s="1284" t="str">
        <f t="shared" si="7"/>
        <v>31</v>
      </c>
      <c r="L468" s="1246" t="s">
        <v>1500</v>
      </c>
      <c r="M468" s="1250">
        <v>2</v>
      </c>
      <c r="N468" s="1251">
        <v>508</v>
      </c>
      <c r="O468" s="1252">
        <v>508</v>
      </c>
    </row>
    <row r="469" spans="1:15">
      <c r="A469" s="1246" t="s">
        <v>1490</v>
      </c>
      <c r="B469" s="1246" t="s">
        <v>429</v>
      </c>
      <c r="C469" s="1247">
        <v>0.16</v>
      </c>
      <c r="F469" s="1248">
        <v>1</v>
      </c>
      <c r="G469" s="1248">
        <v>1</v>
      </c>
      <c r="H469" s="1249">
        <v>1</v>
      </c>
      <c r="I469" s="1246" t="s">
        <v>1491</v>
      </c>
      <c r="J469" s="1246" t="s">
        <v>1458</v>
      </c>
      <c r="K469" s="1284" t="str">
        <f t="shared" si="7"/>
        <v>36</v>
      </c>
      <c r="L469" s="1246" t="s">
        <v>1514</v>
      </c>
      <c r="M469" s="1250">
        <v>2</v>
      </c>
      <c r="N469" s="1251">
        <v>67</v>
      </c>
      <c r="O469" s="1252">
        <v>67</v>
      </c>
    </row>
    <row r="470" spans="1:15">
      <c r="A470" s="1246" t="s">
        <v>1490</v>
      </c>
      <c r="B470" s="1246" t="s">
        <v>429</v>
      </c>
      <c r="C470" s="1247">
        <v>0.16</v>
      </c>
      <c r="E470" s="1246" t="s">
        <v>370</v>
      </c>
      <c r="F470" s="1248">
        <v>1</v>
      </c>
      <c r="G470" s="1248">
        <v>1</v>
      </c>
      <c r="H470" s="1249">
        <v>1</v>
      </c>
      <c r="I470" s="1246" t="s">
        <v>1491</v>
      </c>
      <c r="J470" s="1246" t="s">
        <v>1458</v>
      </c>
      <c r="K470" s="1284" t="str">
        <f t="shared" si="7"/>
        <v>36</v>
      </c>
      <c r="L470" s="1246" t="s">
        <v>1514</v>
      </c>
      <c r="M470" s="1250">
        <v>2</v>
      </c>
      <c r="N470" s="1251">
        <v>30</v>
      </c>
      <c r="O470" s="1252">
        <v>30</v>
      </c>
    </row>
    <row r="471" spans="1:15">
      <c r="A471" s="1246" t="s">
        <v>1490</v>
      </c>
      <c r="B471" s="1246" t="s">
        <v>429</v>
      </c>
      <c r="C471" s="1247">
        <v>0.16</v>
      </c>
      <c r="E471" s="1246" t="s">
        <v>370</v>
      </c>
      <c r="F471" s="1248">
        <v>1</v>
      </c>
      <c r="G471" s="1248">
        <v>1</v>
      </c>
      <c r="H471" s="1249">
        <v>1</v>
      </c>
      <c r="I471" s="1246" t="s">
        <v>1491</v>
      </c>
      <c r="J471" s="1246" t="s">
        <v>1399</v>
      </c>
      <c r="K471" s="1284" t="str">
        <f t="shared" si="7"/>
        <v>30</v>
      </c>
      <c r="L471" s="1246" t="s">
        <v>1515</v>
      </c>
      <c r="M471" s="1250">
        <v>2</v>
      </c>
      <c r="N471" s="1251">
        <v>37</v>
      </c>
      <c r="O471" s="1252">
        <v>37</v>
      </c>
    </row>
    <row r="472" spans="1:15">
      <c r="A472" s="1246" t="s">
        <v>1490</v>
      </c>
      <c r="B472" s="1246" t="s">
        <v>429</v>
      </c>
      <c r="C472" s="1247">
        <v>0.16</v>
      </c>
      <c r="F472" s="1248">
        <v>1</v>
      </c>
      <c r="G472" s="1248">
        <v>1</v>
      </c>
      <c r="H472" s="1249">
        <v>1</v>
      </c>
      <c r="I472" s="1246" t="s">
        <v>1491</v>
      </c>
      <c r="J472" s="1246" t="s">
        <v>1399</v>
      </c>
      <c r="K472" s="1284" t="str">
        <f t="shared" si="7"/>
        <v>30</v>
      </c>
      <c r="L472" s="1246" t="s">
        <v>1515</v>
      </c>
      <c r="M472" s="1250">
        <v>2</v>
      </c>
      <c r="N472" s="1251">
        <v>62</v>
      </c>
      <c r="O472" s="1252">
        <v>62</v>
      </c>
    </row>
    <row r="473" spans="1:15">
      <c r="A473" s="1246" t="s">
        <v>1490</v>
      </c>
      <c r="B473" s="1246" t="s">
        <v>429</v>
      </c>
      <c r="C473" s="1247">
        <v>0.16</v>
      </c>
      <c r="F473" s="1248">
        <v>1</v>
      </c>
      <c r="G473" s="1248">
        <v>1</v>
      </c>
      <c r="H473" s="1249">
        <v>1</v>
      </c>
      <c r="I473" s="1246" t="s">
        <v>1491</v>
      </c>
      <c r="J473" s="1246" t="s">
        <v>1399</v>
      </c>
      <c r="K473" s="1284" t="str">
        <f t="shared" si="7"/>
        <v>30</v>
      </c>
      <c r="L473" s="1246" t="s">
        <v>1516</v>
      </c>
      <c r="M473" s="1250">
        <v>2</v>
      </c>
      <c r="N473" s="1251">
        <v>20</v>
      </c>
      <c r="O473" s="1252">
        <v>20</v>
      </c>
    </row>
    <row r="474" spans="1:15">
      <c r="A474" s="1246" t="s">
        <v>1490</v>
      </c>
      <c r="B474" s="1246" t="s">
        <v>429</v>
      </c>
      <c r="C474" s="1247">
        <v>0.16</v>
      </c>
      <c r="E474" s="1246" t="s">
        <v>370</v>
      </c>
      <c r="F474" s="1248">
        <v>1</v>
      </c>
      <c r="G474" s="1248">
        <v>1</v>
      </c>
      <c r="H474" s="1249">
        <v>1</v>
      </c>
      <c r="I474" s="1246" t="s">
        <v>1491</v>
      </c>
      <c r="J474" s="1246" t="s">
        <v>1399</v>
      </c>
      <c r="K474" s="1284" t="str">
        <f t="shared" si="7"/>
        <v>30</v>
      </c>
      <c r="L474" s="1246" t="s">
        <v>1516</v>
      </c>
      <c r="M474" s="1250">
        <v>2</v>
      </c>
      <c r="N474" s="1251">
        <v>14</v>
      </c>
      <c r="O474" s="1252">
        <v>14</v>
      </c>
    </row>
    <row r="475" spans="1:15">
      <c r="A475" s="1246" t="s">
        <v>1490</v>
      </c>
      <c r="B475" s="1246" t="s">
        <v>429</v>
      </c>
      <c r="C475" s="1247">
        <v>0.16</v>
      </c>
      <c r="F475" s="1248">
        <v>1</v>
      </c>
      <c r="G475" s="1248">
        <v>1</v>
      </c>
      <c r="H475" s="1249">
        <v>1</v>
      </c>
      <c r="I475" s="1246" t="s">
        <v>1491</v>
      </c>
      <c r="J475" s="1246" t="s">
        <v>1457</v>
      </c>
      <c r="K475" s="1284" t="str">
        <f t="shared" si="7"/>
        <v>35</v>
      </c>
      <c r="L475" s="1246" t="s">
        <v>1517</v>
      </c>
      <c r="M475" s="1250">
        <v>2</v>
      </c>
      <c r="N475" s="1251">
        <v>1147</v>
      </c>
      <c r="O475" s="1252">
        <v>1147</v>
      </c>
    </row>
    <row r="476" spans="1:15">
      <c r="A476" s="1246" t="s">
        <v>1490</v>
      </c>
      <c r="B476" s="1246" t="s">
        <v>429</v>
      </c>
      <c r="C476" s="1247">
        <v>0.16</v>
      </c>
      <c r="E476" s="1246" t="s">
        <v>370</v>
      </c>
      <c r="F476" s="1248">
        <v>1</v>
      </c>
      <c r="G476" s="1248">
        <v>1</v>
      </c>
      <c r="H476" s="1249">
        <v>1</v>
      </c>
      <c r="I476" s="1246" t="s">
        <v>1491</v>
      </c>
      <c r="J476" s="1246" t="s">
        <v>1457</v>
      </c>
      <c r="K476" s="1284" t="str">
        <f t="shared" si="7"/>
        <v>35</v>
      </c>
      <c r="L476" s="1246" t="s">
        <v>1517</v>
      </c>
      <c r="M476" s="1250">
        <v>2</v>
      </c>
      <c r="N476" s="1251">
        <v>238</v>
      </c>
      <c r="O476" s="1252">
        <v>238</v>
      </c>
    </row>
    <row r="477" spans="1:15">
      <c r="A477" s="1246" t="s">
        <v>1490</v>
      </c>
      <c r="B477" s="1246" t="s">
        <v>429</v>
      </c>
      <c r="C477" s="1247">
        <v>0.16</v>
      </c>
      <c r="F477" s="1248">
        <v>1</v>
      </c>
      <c r="G477" s="1248">
        <v>1</v>
      </c>
      <c r="H477" s="1249">
        <v>1</v>
      </c>
      <c r="I477" s="1246" t="s">
        <v>1491</v>
      </c>
      <c r="J477" s="1246" t="s">
        <v>1399</v>
      </c>
      <c r="K477" s="1284" t="str">
        <f t="shared" si="7"/>
        <v>30</v>
      </c>
      <c r="L477" s="1246" t="s">
        <v>1518</v>
      </c>
      <c r="M477" s="1250">
        <v>2</v>
      </c>
      <c r="N477" s="1251">
        <v>579</v>
      </c>
      <c r="O477" s="1252">
        <v>579</v>
      </c>
    </row>
    <row r="478" spans="1:15">
      <c r="A478" s="1246" t="s">
        <v>1490</v>
      </c>
      <c r="B478" s="1246" t="s">
        <v>429</v>
      </c>
      <c r="C478" s="1247">
        <v>0.16</v>
      </c>
      <c r="F478" s="1248">
        <v>1</v>
      </c>
      <c r="G478" s="1248">
        <v>1</v>
      </c>
      <c r="H478" s="1249">
        <v>1</v>
      </c>
      <c r="I478" s="1246" t="s">
        <v>1491</v>
      </c>
      <c r="J478" s="1246" t="s">
        <v>1454</v>
      </c>
      <c r="K478" s="1284" t="str">
        <f t="shared" si="7"/>
        <v>31</v>
      </c>
      <c r="L478" s="1246" t="s">
        <v>1518</v>
      </c>
      <c r="M478" s="1250">
        <v>2</v>
      </c>
      <c r="N478" s="1251">
        <v>1</v>
      </c>
      <c r="O478" s="1252">
        <v>1</v>
      </c>
    </row>
    <row r="479" spans="1:15">
      <c r="A479" s="1246" t="s">
        <v>1490</v>
      </c>
      <c r="B479" s="1246" t="s">
        <v>429</v>
      </c>
      <c r="C479" s="1247">
        <v>0.16</v>
      </c>
      <c r="E479" s="1246" t="s">
        <v>370</v>
      </c>
      <c r="F479" s="1248">
        <v>1</v>
      </c>
      <c r="G479" s="1248">
        <v>1</v>
      </c>
      <c r="H479" s="1249">
        <v>1</v>
      </c>
      <c r="I479" s="1246" t="s">
        <v>1491</v>
      </c>
      <c r="J479" s="1246" t="s">
        <v>1399</v>
      </c>
      <c r="K479" s="1284" t="str">
        <f t="shared" si="7"/>
        <v>30</v>
      </c>
      <c r="L479" s="1246" t="s">
        <v>1518</v>
      </c>
      <c r="M479" s="1250">
        <v>2</v>
      </c>
      <c r="N479" s="1251">
        <v>145</v>
      </c>
      <c r="O479" s="1252">
        <v>145</v>
      </c>
    </row>
    <row r="480" spans="1:15">
      <c r="A480" s="1246" t="s">
        <v>1490</v>
      </c>
      <c r="B480" s="1246" t="s">
        <v>429</v>
      </c>
      <c r="C480" s="1247">
        <v>0.16</v>
      </c>
      <c r="E480" s="1246" t="s">
        <v>370</v>
      </c>
      <c r="F480" s="1248">
        <v>1</v>
      </c>
      <c r="G480" s="1248">
        <v>1</v>
      </c>
      <c r="H480" s="1249">
        <v>1</v>
      </c>
      <c r="I480" s="1246" t="s">
        <v>1491</v>
      </c>
      <c r="J480" s="1246" t="s">
        <v>1456</v>
      </c>
      <c r="K480" s="1284" t="str">
        <f t="shared" si="7"/>
        <v>33</v>
      </c>
      <c r="L480" s="1246" t="s">
        <v>1519</v>
      </c>
      <c r="M480" s="1250">
        <v>2</v>
      </c>
      <c r="N480" s="1251">
        <v>403</v>
      </c>
      <c r="O480" s="1252">
        <v>403</v>
      </c>
    </row>
    <row r="481" spans="1:15">
      <c r="A481" s="1246" t="s">
        <v>1490</v>
      </c>
      <c r="B481" s="1246" t="s">
        <v>429</v>
      </c>
      <c r="C481" s="1247">
        <v>0.16</v>
      </c>
      <c r="F481" s="1248">
        <v>1</v>
      </c>
      <c r="G481" s="1248">
        <v>1</v>
      </c>
      <c r="H481" s="1249">
        <v>1</v>
      </c>
      <c r="I481" s="1246" t="s">
        <v>1491</v>
      </c>
      <c r="J481" s="1246" t="s">
        <v>1456</v>
      </c>
      <c r="K481" s="1284" t="str">
        <f t="shared" si="7"/>
        <v>33</v>
      </c>
      <c r="L481" s="1246" t="s">
        <v>1519</v>
      </c>
      <c r="M481" s="1250">
        <v>2</v>
      </c>
      <c r="N481" s="1251">
        <v>476</v>
      </c>
      <c r="O481" s="1252">
        <v>476</v>
      </c>
    </row>
    <row r="482" spans="1:15">
      <c r="A482" s="1246" t="s">
        <v>1490</v>
      </c>
      <c r="B482" s="1246" t="s">
        <v>429</v>
      </c>
      <c r="C482" s="1247">
        <v>0.16</v>
      </c>
      <c r="E482" s="1246" t="s">
        <v>370</v>
      </c>
      <c r="F482" s="1248">
        <v>1</v>
      </c>
      <c r="G482" s="1248">
        <v>1</v>
      </c>
      <c r="H482" s="1249">
        <v>1</v>
      </c>
      <c r="I482" s="1246" t="s">
        <v>1491</v>
      </c>
      <c r="J482" s="1246" t="s">
        <v>1399</v>
      </c>
      <c r="K482" s="1284" t="str">
        <f t="shared" si="7"/>
        <v>30</v>
      </c>
      <c r="L482" s="1246" t="s">
        <v>1520</v>
      </c>
      <c r="M482" s="1250">
        <v>3</v>
      </c>
      <c r="N482" s="1251">
        <v>1</v>
      </c>
      <c r="O482" s="1252">
        <v>1</v>
      </c>
    </row>
    <row r="483" spans="1:15">
      <c r="A483" s="1246" t="s">
        <v>1490</v>
      </c>
      <c r="B483" s="1246" t="s">
        <v>429</v>
      </c>
      <c r="C483" s="1247">
        <v>0.16</v>
      </c>
      <c r="F483" s="1248">
        <v>1</v>
      </c>
      <c r="G483" s="1248">
        <v>1</v>
      </c>
      <c r="H483" s="1249">
        <v>1</v>
      </c>
      <c r="I483" s="1246" t="s">
        <v>1491</v>
      </c>
      <c r="J483" s="1246" t="s">
        <v>1399</v>
      </c>
      <c r="K483" s="1284" t="str">
        <f t="shared" si="7"/>
        <v>30</v>
      </c>
      <c r="L483" s="1246" t="s">
        <v>1520</v>
      </c>
      <c r="M483" s="1250">
        <v>3</v>
      </c>
      <c r="N483" s="1251">
        <v>4</v>
      </c>
      <c r="O483" s="1252">
        <v>4</v>
      </c>
    </row>
    <row r="484" spans="1:15">
      <c r="A484" s="1246" t="s">
        <v>1490</v>
      </c>
      <c r="B484" s="1246" t="s">
        <v>429</v>
      </c>
      <c r="C484" s="1247">
        <v>0.16</v>
      </c>
      <c r="F484" s="1248">
        <v>1</v>
      </c>
      <c r="G484" s="1248">
        <v>1</v>
      </c>
      <c r="H484" s="1249">
        <v>1</v>
      </c>
      <c r="I484" s="1246" t="s">
        <v>1491</v>
      </c>
      <c r="J484" s="1246" t="s">
        <v>1399</v>
      </c>
      <c r="K484" s="1284" t="str">
        <f t="shared" si="7"/>
        <v>30</v>
      </c>
      <c r="L484" s="1246" t="s">
        <v>1521</v>
      </c>
      <c r="M484" s="1250">
        <v>3</v>
      </c>
      <c r="N484" s="1251">
        <v>16</v>
      </c>
      <c r="O484" s="1252">
        <v>16</v>
      </c>
    </row>
    <row r="485" spans="1:15">
      <c r="A485" s="1246" t="s">
        <v>1490</v>
      </c>
      <c r="B485" s="1246" t="s">
        <v>429</v>
      </c>
      <c r="C485" s="1247">
        <v>0.16</v>
      </c>
      <c r="E485" s="1246" t="s">
        <v>370</v>
      </c>
      <c r="F485" s="1248">
        <v>1</v>
      </c>
      <c r="G485" s="1248">
        <v>1</v>
      </c>
      <c r="H485" s="1249">
        <v>1</v>
      </c>
      <c r="I485" s="1246" t="s">
        <v>1491</v>
      </c>
      <c r="J485" s="1246" t="s">
        <v>1399</v>
      </c>
      <c r="K485" s="1284" t="str">
        <f t="shared" si="7"/>
        <v>30</v>
      </c>
      <c r="L485" s="1246" t="s">
        <v>1521</v>
      </c>
      <c r="M485" s="1250">
        <v>3</v>
      </c>
      <c r="N485" s="1251">
        <v>3</v>
      </c>
      <c r="O485" s="1252">
        <v>3</v>
      </c>
    </row>
    <row r="486" spans="1:15">
      <c r="A486" s="1246" t="s">
        <v>1490</v>
      </c>
      <c r="B486" s="1246" t="s">
        <v>429</v>
      </c>
      <c r="C486" s="1247">
        <v>0.16</v>
      </c>
      <c r="F486" s="1248">
        <v>1</v>
      </c>
      <c r="G486" s="1248">
        <v>1</v>
      </c>
      <c r="H486" s="1249">
        <v>1</v>
      </c>
      <c r="I486" s="1246" t="s">
        <v>1491</v>
      </c>
      <c r="J486" s="1246" t="s">
        <v>1455</v>
      </c>
      <c r="K486" s="1284" t="str">
        <f t="shared" si="7"/>
        <v>32</v>
      </c>
      <c r="L486" s="1246" t="s">
        <v>1522</v>
      </c>
      <c r="M486" s="1250">
        <v>3</v>
      </c>
      <c r="N486" s="1251">
        <v>215</v>
      </c>
      <c r="O486" s="1252">
        <v>215</v>
      </c>
    </row>
    <row r="487" spans="1:15">
      <c r="A487" s="1246" t="s">
        <v>1490</v>
      </c>
      <c r="B487" s="1246" t="s">
        <v>429</v>
      </c>
      <c r="C487" s="1247">
        <v>0.16</v>
      </c>
      <c r="E487" s="1246" t="s">
        <v>370</v>
      </c>
      <c r="F487" s="1248">
        <v>1</v>
      </c>
      <c r="G487" s="1248">
        <v>1</v>
      </c>
      <c r="H487" s="1249">
        <v>1</v>
      </c>
      <c r="I487" s="1246" t="s">
        <v>1491</v>
      </c>
      <c r="J487" s="1246" t="s">
        <v>1455</v>
      </c>
      <c r="K487" s="1284" t="str">
        <f t="shared" si="7"/>
        <v>32</v>
      </c>
      <c r="L487" s="1246" t="s">
        <v>1522</v>
      </c>
      <c r="M487" s="1250">
        <v>3</v>
      </c>
      <c r="N487" s="1251">
        <v>195</v>
      </c>
      <c r="O487" s="1252">
        <v>195</v>
      </c>
    </row>
    <row r="488" spans="1:15">
      <c r="A488" s="1246" t="s">
        <v>1490</v>
      </c>
      <c r="B488" s="1246" t="s">
        <v>429</v>
      </c>
      <c r="C488" s="1247">
        <v>0.16</v>
      </c>
      <c r="F488" s="1248">
        <v>1</v>
      </c>
      <c r="G488" s="1248">
        <v>1</v>
      </c>
      <c r="H488" s="1249">
        <v>1</v>
      </c>
      <c r="I488" s="1246" t="s">
        <v>1491</v>
      </c>
      <c r="J488" s="1246" t="s">
        <v>1454</v>
      </c>
      <c r="K488" s="1284" t="str">
        <f t="shared" si="7"/>
        <v>31</v>
      </c>
      <c r="L488" s="1246" t="s">
        <v>1523</v>
      </c>
      <c r="M488" s="1250">
        <v>3</v>
      </c>
      <c r="N488" s="1251">
        <v>425</v>
      </c>
      <c r="O488" s="1252">
        <v>425</v>
      </c>
    </row>
    <row r="489" spans="1:15">
      <c r="A489" s="1246" t="s">
        <v>1490</v>
      </c>
      <c r="B489" s="1246" t="s">
        <v>429</v>
      </c>
      <c r="C489" s="1247">
        <v>0.16</v>
      </c>
      <c r="F489" s="1248">
        <v>1</v>
      </c>
      <c r="G489" s="1248">
        <v>1</v>
      </c>
      <c r="H489" s="1249">
        <v>1</v>
      </c>
      <c r="I489" s="1246" t="s">
        <v>1491</v>
      </c>
      <c r="J489" s="1246" t="s">
        <v>1455</v>
      </c>
      <c r="K489" s="1284" t="str">
        <f t="shared" si="7"/>
        <v>32</v>
      </c>
      <c r="L489" s="1246" t="s">
        <v>1523</v>
      </c>
      <c r="M489" s="1250">
        <v>3</v>
      </c>
      <c r="N489" s="1251">
        <v>1</v>
      </c>
      <c r="O489" s="1252">
        <v>1</v>
      </c>
    </row>
    <row r="490" spans="1:15">
      <c r="A490" s="1246" t="s">
        <v>1490</v>
      </c>
      <c r="B490" s="1246" t="s">
        <v>429</v>
      </c>
      <c r="C490" s="1247">
        <v>0.16</v>
      </c>
      <c r="E490" s="1246" t="s">
        <v>370</v>
      </c>
      <c r="F490" s="1248">
        <v>1</v>
      </c>
      <c r="G490" s="1248">
        <v>1</v>
      </c>
      <c r="H490" s="1249">
        <v>1</v>
      </c>
      <c r="I490" s="1246" t="s">
        <v>1491</v>
      </c>
      <c r="J490" s="1246" t="s">
        <v>1454</v>
      </c>
      <c r="K490" s="1284" t="str">
        <f t="shared" si="7"/>
        <v>31</v>
      </c>
      <c r="L490" s="1246" t="s">
        <v>1523</v>
      </c>
      <c r="M490" s="1250">
        <v>3</v>
      </c>
      <c r="N490" s="1251">
        <v>534</v>
      </c>
      <c r="O490" s="1252">
        <v>534</v>
      </c>
    </row>
    <row r="491" spans="1:15">
      <c r="A491" s="1246" t="s">
        <v>1490</v>
      </c>
      <c r="B491" s="1246" t="s">
        <v>429</v>
      </c>
      <c r="C491" s="1247">
        <v>0.16</v>
      </c>
      <c r="F491" s="1248">
        <v>1</v>
      </c>
      <c r="G491" s="1248">
        <v>1</v>
      </c>
      <c r="H491" s="1249">
        <v>1</v>
      </c>
      <c r="I491" s="1246" t="s">
        <v>1491</v>
      </c>
      <c r="J491" s="1246" t="s">
        <v>1458</v>
      </c>
      <c r="K491" s="1284" t="str">
        <f t="shared" si="7"/>
        <v>36</v>
      </c>
      <c r="L491" s="1246" t="s">
        <v>1524</v>
      </c>
      <c r="M491" s="1250">
        <v>3</v>
      </c>
      <c r="N491" s="1251">
        <v>62</v>
      </c>
      <c r="O491" s="1252">
        <v>62</v>
      </c>
    </row>
    <row r="492" spans="1:15">
      <c r="A492" s="1246" t="s">
        <v>1490</v>
      </c>
      <c r="B492" s="1246" t="s">
        <v>429</v>
      </c>
      <c r="C492" s="1247">
        <v>0.16</v>
      </c>
      <c r="E492" s="1246" t="s">
        <v>370</v>
      </c>
      <c r="F492" s="1248">
        <v>1</v>
      </c>
      <c r="G492" s="1248">
        <v>1</v>
      </c>
      <c r="H492" s="1249">
        <v>1</v>
      </c>
      <c r="I492" s="1246" t="s">
        <v>1491</v>
      </c>
      <c r="J492" s="1246" t="s">
        <v>1458</v>
      </c>
      <c r="K492" s="1284" t="str">
        <f t="shared" si="7"/>
        <v>36</v>
      </c>
      <c r="L492" s="1246" t="s">
        <v>1524</v>
      </c>
      <c r="M492" s="1250">
        <v>3</v>
      </c>
      <c r="N492" s="1251">
        <v>19</v>
      </c>
      <c r="O492" s="1252">
        <v>19</v>
      </c>
    </row>
    <row r="493" spans="1:15">
      <c r="A493" s="1246" t="s">
        <v>1490</v>
      </c>
      <c r="B493" s="1246" t="s">
        <v>429</v>
      </c>
      <c r="C493" s="1247">
        <v>0.16</v>
      </c>
      <c r="E493" s="1246" t="s">
        <v>370</v>
      </c>
      <c r="F493" s="1248">
        <v>1</v>
      </c>
      <c r="G493" s="1248">
        <v>1</v>
      </c>
      <c r="H493" s="1249">
        <v>1</v>
      </c>
      <c r="I493" s="1246" t="s">
        <v>1491</v>
      </c>
      <c r="J493" s="1246" t="s">
        <v>1399</v>
      </c>
      <c r="K493" s="1284" t="str">
        <f t="shared" si="7"/>
        <v>30</v>
      </c>
      <c r="L493" s="1246" t="s">
        <v>1525</v>
      </c>
      <c r="M493" s="1250">
        <v>3</v>
      </c>
      <c r="N493" s="1251">
        <v>13</v>
      </c>
      <c r="O493" s="1252">
        <v>13</v>
      </c>
    </row>
    <row r="494" spans="1:15">
      <c r="A494" s="1246" t="s">
        <v>1490</v>
      </c>
      <c r="B494" s="1246" t="s">
        <v>429</v>
      </c>
      <c r="C494" s="1247">
        <v>0.16</v>
      </c>
      <c r="F494" s="1248">
        <v>1</v>
      </c>
      <c r="G494" s="1248">
        <v>1</v>
      </c>
      <c r="H494" s="1249">
        <v>1</v>
      </c>
      <c r="I494" s="1246" t="s">
        <v>1491</v>
      </c>
      <c r="J494" s="1246" t="s">
        <v>1399</v>
      </c>
      <c r="K494" s="1284" t="str">
        <f t="shared" si="7"/>
        <v>30</v>
      </c>
      <c r="L494" s="1246" t="s">
        <v>1525</v>
      </c>
      <c r="M494" s="1250">
        <v>3</v>
      </c>
      <c r="N494" s="1251">
        <v>56</v>
      </c>
      <c r="O494" s="1252">
        <v>56</v>
      </c>
    </row>
    <row r="495" spans="1:15">
      <c r="A495" s="1246" t="s">
        <v>1490</v>
      </c>
      <c r="B495" s="1246" t="s">
        <v>429</v>
      </c>
      <c r="C495" s="1247">
        <v>0.16</v>
      </c>
      <c r="F495" s="1248">
        <v>1</v>
      </c>
      <c r="G495" s="1248">
        <v>1</v>
      </c>
      <c r="H495" s="1249">
        <v>1</v>
      </c>
      <c r="I495" s="1246" t="s">
        <v>1491</v>
      </c>
      <c r="J495" s="1246" t="s">
        <v>1399</v>
      </c>
      <c r="K495" s="1284" t="str">
        <f t="shared" si="7"/>
        <v>30</v>
      </c>
      <c r="L495" s="1246" t="s">
        <v>1526</v>
      </c>
      <c r="M495" s="1250">
        <v>3</v>
      </c>
      <c r="N495" s="1251">
        <v>24</v>
      </c>
      <c r="O495" s="1252">
        <v>24</v>
      </c>
    </row>
    <row r="496" spans="1:15">
      <c r="A496" s="1246" t="s">
        <v>1490</v>
      </c>
      <c r="B496" s="1246" t="s">
        <v>429</v>
      </c>
      <c r="C496" s="1247">
        <v>0.16</v>
      </c>
      <c r="E496" s="1246" t="s">
        <v>370</v>
      </c>
      <c r="F496" s="1248">
        <v>1</v>
      </c>
      <c r="G496" s="1248">
        <v>1</v>
      </c>
      <c r="H496" s="1249">
        <v>1</v>
      </c>
      <c r="I496" s="1246" t="s">
        <v>1491</v>
      </c>
      <c r="J496" s="1246" t="s">
        <v>1399</v>
      </c>
      <c r="K496" s="1284" t="str">
        <f t="shared" si="7"/>
        <v>30</v>
      </c>
      <c r="L496" s="1246" t="s">
        <v>1526</v>
      </c>
      <c r="M496" s="1250">
        <v>3</v>
      </c>
      <c r="N496" s="1251">
        <v>8</v>
      </c>
      <c r="O496" s="1252">
        <v>8</v>
      </c>
    </row>
    <row r="497" spans="1:15">
      <c r="A497" s="1246" t="s">
        <v>1490</v>
      </c>
      <c r="B497" s="1246" t="s">
        <v>429</v>
      </c>
      <c r="C497" s="1247">
        <v>0.16</v>
      </c>
      <c r="F497" s="1248">
        <v>1</v>
      </c>
      <c r="G497" s="1248">
        <v>1</v>
      </c>
      <c r="H497" s="1249">
        <v>1</v>
      </c>
      <c r="I497" s="1246" t="s">
        <v>1491</v>
      </c>
      <c r="J497" s="1246" t="s">
        <v>1457</v>
      </c>
      <c r="K497" s="1284" t="str">
        <f t="shared" si="7"/>
        <v>35</v>
      </c>
      <c r="L497" s="1246" t="s">
        <v>1527</v>
      </c>
      <c r="M497" s="1250">
        <v>3</v>
      </c>
      <c r="N497" s="1251">
        <v>1193</v>
      </c>
      <c r="O497" s="1252">
        <v>1193</v>
      </c>
    </row>
    <row r="498" spans="1:15">
      <c r="A498" s="1246" t="s">
        <v>1490</v>
      </c>
      <c r="B498" s="1246" t="s">
        <v>429</v>
      </c>
      <c r="C498" s="1247">
        <v>0.16</v>
      </c>
      <c r="E498" s="1246" t="s">
        <v>370</v>
      </c>
      <c r="F498" s="1248">
        <v>1</v>
      </c>
      <c r="G498" s="1248">
        <v>1</v>
      </c>
      <c r="H498" s="1249">
        <v>1</v>
      </c>
      <c r="I498" s="1246" t="s">
        <v>1491</v>
      </c>
      <c r="J498" s="1246" t="s">
        <v>1457</v>
      </c>
      <c r="K498" s="1284" t="str">
        <f t="shared" si="7"/>
        <v>35</v>
      </c>
      <c r="L498" s="1246" t="s">
        <v>1527</v>
      </c>
      <c r="M498" s="1250">
        <v>3</v>
      </c>
      <c r="N498" s="1251">
        <v>245</v>
      </c>
      <c r="O498" s="1252">
        <v>245</v>
      </c>
    </row>
    <row r="499" spans="1:15">
      <c r="A499" s="1246" t="s">
        <v>1490</v>
      </c>
      <c r="B499" s="1246" t="s">
        <v>429</v>
      </c>
      <c r="C499" s="1247">
        <v>0.16</v>
      </c>
      <c r="F499" s="1248">
        <v>1</v>
      </c>
      <c r="G499" s="1248">
        <v>1</v>
      </c>
      <c r="H499" s="1249">
        <v>1</v>
      </c>
      <c r="I499" s="1246" t="s">
        <v>1491</v>
      </c>
      <c r="J499" s="1246" t="s">
        <v>1459</v>
      </c>
      <c r="K499" s="1284" t="str">
        <f t="shared" si="7"/>
        <v>3A</v>
      </c>
      <c r="L499" s="1246" t="s">
        <v>1492</v>
      </c>
      <c r="M499" s="1250">
        <v>3</v>
      </c>
      <c r="N499" s="1251">
        <v>15</v>
      </c>
      <c r="O499" s="1252">
        <v>15</v>
      </c>
    </row>
    <row r="500" spans="1:15">
      <c r="A500" s="1246" t="s">
        <v>1490</v>
      </c>
      <c r="B500" s="1246" t="s">
        <v>429</v>
      </c>
      <c r="C500" s="1247">
        <v>0.16</v>
      </c>
      <c r="F500" s="1248">
        <v>1</v>
      </c>
      <c r="G500" s="1248">
        <v>1</v>
      </c>
      <c r="H500" s="1249">
        <v>1</v>
      </c>
      <c r="I500" s="1246" t="s">
        <v>1491</v>
      </c>
      <c r="J500" s="1246" t="s">
        <v>1399</v>
      </c>
      <c r="K500" s="1284" t="str">
        <f t="shared" si="7"/>
        <v>30</v>
      </c>
      <c r="L500" s="1246" t="s">
        <v>1528</v>
      </c>
      <c r="M500" s="1250">
        <v>3</v>
      </c>
      <c r="N500" s="1251">
        <v>684</v>
      </c>
      <c r="O500" s="1252">
        <v>684</v>
      </c>
    </row>
    <row r="501" spans="1:15">
      <c r="A501" s="1246" t="s">
        <v>1490</v>
      </c>
      <c r="B501" s="1246" t="s">
        <v>429</v>
      </c>
      <c r="C501" s="1247">
        <v>0.16</v>
      </c>
      <c r="E501" s="1246" t="s">
        <v>370</v>
      </c>
      <c r="F501" s="1248">
        <v>1</v>
      </c>
      <c r="G501" s="1248">
        <v>1</v>
      </c>
      <c r="H501" s="1249">
        <v>1</v>
      </c>
      <c r="I501" s="1246" t="s">
        <v>1491</v>
      </c>
      <c r="J501" s="1246" t="s">
        <v>1399</v>
      </c>
      <c r="K501" s="1284" t="str">
        <f t="shared" si="7"/>
        <v>30</v>
      </c>
      <c r="L501" s="1246" t="s">
        <v>1528</v>
      </c>
      <c r="M501" s="1250">
        <v>3</v>
      </c>
      <c r="N501" s="1251">
        <v>238</v>
      </c>
      <c r="O501" s="1252">
        <v>238</v>
      </c>
    </row>
    <row r="502" spans="1:15">
      <c r="A502" s="1246" t="s">
        <v>1493</v>
      </c>
      <c r="B502" s="1246" t="s">
        <v>429</v>
      </c>
      <c r="C502" s="1247">
        <v>0.16</v>
      </c>
      <c r="E502" s="1246" t="s">
        <v>370</v>
      </c>
      <c r="F502" s="1248">
        <v>1</v>
      </c>
      <c r="G502" s="1248">
        <v>1</v>
      </c>
      <c r="H502" s="1249">
        <v>1</v>
      </c>
      <c r="I502" s="1246" t="s">
        <v>1491</v>
      </c>
      <c r="J502" s="1246" t="s">
        <v>1397</v>
      </c>
      <c r="K502" s="1284" t="str">
        <f t="shared" si="7"/>
        <v>10</v>
      </c>
      <c r="L502" s="1246" t="s">
        <v>1539</v>
      </c>
      <c r="M502" s="1250">
        <v>9</v>
      </c>
      <c r="N502" s="1251">
        <v>2</v>
      </c>
      <c r="O502" s="1252">
        <v>2</v>
      </c>
    </row>
    <row r="503" spans="1:15">
      <c r="A503" s="1246" t="s">
        <v>1493</v>
      </c>
      <c r="B503" s="1246" t="s">
        <v>429</v>
      </c>
      <c r="C503" s="1247">
        <v>0.16</v>
      </c>
      <c r="E503" s="1246" t="s">
        <v>370</v>
      </c>
      <c r="F503" s="1248">
        <v>1</v>
      </c>
      <c r="G503" s="1248">
        <v>1</v>
      </c>
      <c r="H503" s="1249">
        <v>1</v>
      </c>
      <c r="I503" s="1246" t="s">
        <v>1491</v>
      </c>
      <c r="J503" s="1246" t="s">
        <v>1437</v>
      </c>
      <c r="K503" s="1284" t="str">
        <f t="shared" si="7"/>
        <v>12</v>
      </c>
      <c r="L503" s="1246" t="s">
        <v>1529</v>
      </c>
      <c r="M503" s="1250">
        <v>9</v>
      </c>
      <c r="N503" s="1251">
        <v>2</v>
      </c>
      <c r="O503" s="1252">
        <v>2</v>
      </c>
    </row>
    <row r="504" spans="1:15">
      <c r="A504" s="1246" t="s">
        <v>1493</v>
      </c>
      <c r="B504" s="1246" t="s">
        <v>429</v>
      </c>
      <c r="C504" s="1247">
        <v>0.16</v>
      </c>
      <c r="E504" s="1246" t="s">
        <v>370</v>
      </c>
      <c r="F504" s="1248">
        <v>1</v>
      </c>
      <c r="G504" s="1248">
        <v>1</v>
      </c>
      <c r="H504" s="1249">
        <v>1</v>
      </c>
      <c r="I504" s="1246" t="s">
        <v>1491</v>
      </c>
      <c r="J504" s="1246" t="s">
        <v>1436</v>
      </c>
      <c r="K504" s="1284" t="str">
        <f t="shared" si="7"/>
        <v>11</v>
      </c>
      <c r="L504" s="1246" t="s">
        <v>1495</v>
      </c>
      <c r="M504" s="1250">
        <v>9</v>
      </c>
      <c r="N504" s="1251">
        <v>6</v>
      </c>
      <c r="O504" s="1252">
        <v>6</v>
      </c>
    </row>
    <row r="505" spans="1:15">
      <c r="A505" s="1246" t="s">
        <v>1493</v>
      </c>
      <c r="B505" s="1246" t="s">
        <v>429</v>
      </c>
      <c r="C505" s="1247">
        <v>0.16</v>
      </c>
      <c r="E505" s="1246" t="s">
        <v>370</v>
      </c>
      <c r="F505" s="1248">
        <v>1</v>
      </c>
      <c r="G505" s="1248">
        <v>1</v>
      </c>
      <c r="H505" s="1249">
        <v>1</v>
      </c>
      <c r="I505" s="1246" t="s">
        <v>1491</v>
      </c>
      <c r="J505" s="1246" t="s">
        <v>1440</v>
      </c>
      <c r="K505" s="1284" t="str">
        <f t="shared" si="7"/>
        <v>16</v>
      </c>
      <c r="L505" s="1246" t="s">
        <v>1538</v>
      </c>
      <c r="M505" s="1250">
        <v>9</v>
      </c>
      <c r="N505" s="1251">
        <v>2</v>
      </c>
      <c r="O505" s="1252">
        <v>2</v>
      </c>
    </row>
    <row r="506" spans="1:15">
      <c r="A506" s="1246" t="s">
        <v>1493</v>
      </c>
      <c r="B506" s="1246" t="s">
        <v>429</v>
      </c>
      <c r="C506" s="1247">
        <v>0.16</v>
      </c>
      <c r="E506" s="1246" t="s">
        <v>370</v>
      </c>
      <c r="F506" s="1248">
        <v>1</v>
      </c>
      <c r="G506" s="1248">
        <v>1</v>
      </c>
      <c r="H506" s="1249">
        <v>1</v>
      </c>
      <c r="I506" s="1246" t="s">
        <v>1491</v>
      </c>
      <c r="J506" s="1246" t="s">
        <v>1397</v>
      </c>
      <c r="K506" s="1284" t="str">
        <f t="shared" si="7"/>
        <v>10</v>
      </c>
      <c r="L506" s="1246" t="s">
        <v>1540</v>
      </c>
      <c r="M506" s="1250">
        <v>9</v>
      </c>
      <c r="N506" s="1251">
        <v>1</v>
      </c>
      <c r="O506" s="1252">
        <v>1</v>
      </c>
    </row>
    <row r="507" spans="1:15">
      <c r="A507" s="1246" t="s">
        <v>1493</v>
      </c>
      <c r="B507" s="1246" t="s">
        <v>429</v>
      </c>
      <c r="C507" s="1247">
        <v>0.16</v>
      </c>
      <c r="E507" s="1246" t="s">
        <v>370</v>
      </c>
      <c r="F507" s="1248">
        <v>1</v>
      </c>
      <c r="G507" s="1248">
        <v>1</v>
      </c>
      <c r="H507" s="1249">
        <v>1</v>
      </c>
      <c r="I507" s="1246" t="s">
        <v>1491</v>
      </c>
      <c r="J507" s="1246" t="s">
        <v>1439</v>
      </c>
      <c r="K507" s="1284" t="str">
        <f t="shared" si="7"/>
        <v>15</v>
      </c>
      <c r="L507" s="1246" t="s">
        <v>1530</v>
      </c>
      <c r="M507" s="1250">
        <v>9</v>
      </c>
      <c r="N507" s="1251">
        <v>1</v>
      </c>
      <c r="O507" s="1252">
        <v>1</v>
      </c>
    </row>
    <row r="508" spans="1:15">
      <c r="A508" s="1246" t="s">
        <v>1493</v>
      </c>
      <c r="B508" s="1246" t="s">
        <v>429</v>
      </c>
      <c r="C508" s="1247">
        <v>0.16</v>
      </c>
      <c r="E508" s="1246" t="s">
        <v>376</v>
      </c>
      <c r="F508" s="1248">
        <v>1</v>
      </c>
      <c r="G508" s="1248">
        <v>1</v>
      </c>
      <c r="H508" s="1249">
        <v>1</v>
      </c>
      <c r="I508" s="1246" t="s">
        <v>1491</v>
      </c>
      <c r="J508" s="1246" t="s">
        <v>1436</v>
      </c>
      <c r="K508" s="1284" t="str">
        <f t="shared" si="7"/>
        <v>11</v>
      </c>
      <c r="L508" s="1246" t="s">
        <v>1496</v>
      </c>
      <c r="M508" s="1250">
        <v>9</v>
      </c>
      <c r="N508" s="1251">
        <v>1</v>
      </c>
      <c r="O508" s="1252">
        <v>1</v>
      </c>
    </row>
    <row r="509" spans="1:15">
      <c r="A509" s="1246" t="s">
        <v>1490</v>
      </c>
      <c r="B509" s="1246" t="s">
        <v>429</v>
      </c>
      <c r="C509" s="1247">
        <v>0.16</v>
      </c>
      <c r="F509" s="1248">
        <v>1</v>
      </c>
      <c r="G509" s="1248">
        <v>1</v>
      </c>
      <c r="H509" s="1249">
        <v>4</v>
      </c>
      <c r="I509" s="1246" t="s">
        <v>1491</v>
      </c>
      <c r="J509" s="1246" t="s">
        <v>1460</v>
      </c>
      <c r="K509" s="1284" t="str">
        <f t="shared" si="7"/>
        <v>30</v>
      </c>
      <c r="L509" s="1246" t="s">
        <v>1497</v>
      </c>
      <c r="M509" s="1250">
        <v>1</v>
      </c>
      <c r="N509" s="1251">
        <v>1</v>
      </c>
      <c r="O509" s="1252">
        <v>1</v>
      </c>
    </row>
    <row r="510" spans="1:15">
      <c r="A510" s="1246" t="s">
        <v>1490</v>
      </c>
      <c r="B510" s="1246" t="s">
        <v>429</v>
      </c>
      <c r="C510" s="1247">
        <v>0.16</v>
      </c>
      <c r="F510" s="1248">
        <v>1</v>
      </c>
      <c r="G510" s="1248">
        <v>1</v>
      </c>
      <c r="H510" s="1249">
        <v>4</v>
      </c>
      <c r="I510" s="1246" t="s">
        <v>1491</v>
      </c>
      <c r="J510" s="1246" t="s">
        <v>1460</v>
      </c>
      <c r="K510" s="1284" t="str">
        <f t="shared" si="7"/>
        <v>30</v>
      </c>
      <c r="L510" s="1246" t="s">
        <v>1498</v>
      </c>
      <c r="M510" s="1250">
        <v>2</v>
      </c>
      <c r="N510" s="1251">
        <v>1</v>
      </c>
      <c r="O510" s="1252">
        <v>1</v>
      </c>
    </row>
    <row r="511" spans="1:15">
      <c r="A511" s="1246" t="s">
        <v>1490</v>
      </c>
      <c r="B511" s="1246" t="s">
        <v>429</v>
      </c>
      <c r="C511" s="1247">
        <v>0.16</v>
      </c>
      <c r="F511" s="1248">
        <v>1</v>
      </c>
      <c r="G511" s="1248">
        <v>1</v>
      </c>
      <c r="H511" s="1249">
        <v>4</v>
      </c>
      <c r="I511" s="1246" t="s">
        <v>1491</v>
      </c>
      <c r="J511" s="1246" t="s">
        <v>1455</v>
      </c>
      <c r="K511" s="1284" t="str">
        <f t="shared" si="7"/>
        <v>32</v>
      </c>
      <c r="L511" s="1246" t="s">
        <v>1505</v>
      </c>
      <c r="M511" s="1250">
        <v>1</v>
      </c>
      <c r="N511" s="1251">
        <v>4</v>
      </c>
      <c r="O511" s="1252">
        <v>4</v>
      </c>
    </row>
    <row r="512" spans="1:15">
      <c r="A512" s="1246" t="s">
        <v>1490</v>
      </c>
      <c r="B512" s="1246" t="s">
        <v>429</v>
      </c>
      <c r="C512" s="1247">
        <v>0.16</v>
      </c>
      <c r="E512" s="1246" t="s">
        <v>370</v>
      </c>
      <c r="F512" s="1248">
        <v>1</v>
      </c>
      <c r="G512" s="1248">
        <v>1</v>
      </c>
      <c r="H512" s="1249">
        <v>4</v>
      </c>
      <c r="I512" s="1246" t="s">
        <v>1491</v>
      </c>
      <c r="J512" s="1246" t="s">
        <v>1457</v>
      </c>
      <c r="K512" s="1284" t="str">
        <f t="shared" si="7"/>
        <v>35</v>
      </c>
      <c r="L512" s="1246" t="s">
        <v>1501</v>
      </c>
      <c r="M512" s="1250">
        <v>1</v>
      </c>
      <c r="N512" s="1251">
        <v>1</v>
      </c>
      <c r="O512" s="1252">
        <v>1</v>
      </c>
    </row>
    <row r="513" spans="1:15">
      <c r="A513" s="1246" t="s">
        <v>1490</v>
      </c>
      <c r="B513" s="1246" t="s">
        <v>429</v>
      </c>
      <c r="C513" s="1247">
        <v>0.16</v>
      </c>
      <c r="F513" s="1248">
        <v>1</v>
      </c>
      <c r="G513" s="1248">
        <v>1</v>
      </c>
      <c r="H513" s="1249">
        <v>4</v>
      </c>
      <c r="I513" s="1246" t="s">
        <v>1491</v>
      </c>
      <c r="J513" s="1246" t="s">
        <v>1399</v>
      </c>
      <c r="K513" s="1284" t="str">
        <f t="shared" si="7"/>
        <v>30</v>
      </c>
      <c r="L513" s="1246" t="s">
        <v>1510</v>
      </c>
      <c r="M513" s="1250">
        <v>1</v>
      </c>
      <c r="N513" s="1251">
        <v>3</v>
      </c>
      <c r="O513" s="1252">
        <v>3</v>
      </c>
    </row>
    <row r="514" spans="1:15">
      <c r="A514" s="1246" t="s">
        <v>1490</v>
      </c>
      <c r="B514" s="1246" t="s">
        <v>429</v>
      </c>
      <c r="C514" s="1247">
        <v>0.16</v>
      </c>
      <c r="F514" s="1248">
        <v>1</v>
      </c>
      <c r="G514" s="1248">
        <v>1</v>
      </c>
      <c r="H514" s="1249">
        <v>4</v>
      </c>
      <c r="I514" s="1246" t="s">
        <v>1491</v>
      </c>
      <c r="J514" s="1246" t="s">
        <v>1455</v>
      </c>
      <c r="K514" s="1284" t="str">
        <f t="shared" ref="K514:K577" si="8">IF(J514="1B","10", IF(J514="2B","20",IF(J514="3B","30",IF(J514="7B",70,J514))))</f>
        <v>32</v>
      </c>
      <c r="L514" s="1246" t="s">
        <v>1513</v>
      </c>
      <c r="M514" s="1250">
        <v>2</v>
      </c>
      <c r="N514" s="1251">
        <v>1</v>
      </c>
      <c r="O514" s="1252">
        <v>1</v>
      </c>
    </row>
    <row r="515" spans="1:15">
      <c r="A515" s="1246" t="s">
        <v>1490</v>
      </c>
      <c r="B515" s="1246" t="s">
        <v>429</v>
      </c>
      <c r="C515" s="1247">
        <v>0.16</v>
      </c>
      <c r="F515" s="1248">
        <v>1</v>
      </c>
      <c r="G515" s="1248">
        <v>1</v>
      </c>
      <c r="H515" s="1249">
        <v>4</v>
      </c>
      <c r="I515" s="1246" t="s">
        <v>1491</v>
      </c>
      <c r="J515" s="1246" t="s">
        <v>1455</v>
      </c>
      <c r="K515" s="1284" t="str">
        <f t="shared" si="8"/>
        <v>32</v>
      </c>
      <c r="L515" s="1246" t="s">
        <v>1522</v>
      </c>
      <c r="M515" s="1250">
        <v>3</v>
      </c>
      <c r="N515" s="1251">
        <v>2</v>
      </c>
      <c r="O515" s="1252">
        <v>2</v>
      </c>
    </row>
    <row r="516" spans="1:15">
      <c r="A516" s="1246" t="s">
        <v>1490</v>
      </c>
      <c r="B516" s="1246" t="s">
        <v>429</v>
      </c>
      <c r="C516" s="1247">
        <v>0.16</v>
      </c>
      <c r="F516" s="1248">
        <v>1</v>
      </c>
      <c r="G516" s="1248">
        <v>1</v>
      </c>
      <c r="H516" s="1249">
        <v>4</v>
      </c>
      <c r="I516" s="1246" t="s">
        <v>1491</v>
      </c>
      <c r="J516" s="1246" t="s">
        <v>1457</v>
      </c>
      <c r="K516" s="1284" t="str">
        <f t="shared" si="8"/>
        <v>35</v>
      </c>
      <c r="L516" s="1246" t="s">
        <v>1527</v>
      </c>
      <c r="M516" s="1250">
        <v>3</v>
      </c>
      <c r="N516" s="1251">
        <v>1</v>
      </c>
      <c r="O516" s="1252">
        <v>1</v>
      </c>
    </row>
    <row r="517" spans="1:15">
      <c r="A517" s="1246" t="s">
        <v>1490</v>
      </c>
      <c r="B517" s="1246" t="s">
        <v>429</v>
      </c>
      <c r="C517" s="1247">
        <v>0.16</v>
      </c>
      <c r="F517" s="1248">
        <v>1</v>
      </c>
      <c r="G517" s="1248">
        <v>1</v>
      </c>
      <c r="H517" s="1249">
        <v>4</v>
      </c>
      <c r="I517" s="1246" t="s">
        <v>1491</v>
      </c>
      <c r="J517" s="1246" t="s">
        <v>1399</v>
      </c>
      <c r="K517" s="1284" t="str">
        <f t="shared" si="8"/>
        <v>30</v>
      </c>
      <c r="L517" s="1246" t="s">
        <v>1528</v>
      </c>
      <c r="M517" s="1250">
        <v>3</v>
      </c>
      <c r="N517" s="1251">
        <v>1</v>
      </c>
      <c r="O517" s="1252">
        <v>1</v>
      </c>
    </row>
    <row r="518" spans="1:15">
      <c r="A518" s="1246" t="s">
        <v>1490</v>
      </c>
      <c r="B518" s="1246" t="s">
        <v>429</v>
      </c>
      <c r="C518" s="1247">
        <v>0.16</v>
      </c>
      <c r="F518" s="1248">
        <v>1</v>
      </c>
      <c r="G518" s="1248">
        <v>2</v>
      </c>
      <c r="H518" s="1249">
        <v>1</v>
      </c>
      <c r="I518" s="1246" t="s">
        <v>1491</v>
      </c>
      <c r="J518" s="1246" t="s">
        <v>1454</v>
      </c>
      <c r="K518" s="1284" t="str">
        <f t="shared" si="8"/>
        <v>31</v>
      </c>
      <c r="L518" s="1246" t="s">
        <v>1500</v>
      </c>
      <c r="M518" s="1250">
        <v>2</v>
      </c>
      <c r="N518" s="1251">
        <v>1</v>
      </c>
      <c r="O518" s="1252">
        <v>1</v>
      </c>
    </row>
    <row r="519" spans="1:15">
      <c r="A519" s="1246" t="s">
        <v>1490</v>
      </c>
      <c r="B519" s="1246" t="s">
        <v>429</v>
      </c>
      <c r="C519" s="1247">
        <v>0.16</v>
      </c>
      <c r="F519" s="1248">
        <v>1</v>
      </c>
      <c r="G519" s="1248">
        <v>2</v>
      </c>
      <c r="H519" s="1249">
        <v>1</v>
      </c>
      <c r="I519" s="1246" t="s">
        <v>1491</v>
      </c>
      <c r="J519" s="1246" t="s">
        <v>1455</v>
      </c>
      <c r="K519" s="1284" t="str">
        <f t="shared" si="8"/>
        <v>32</v>
      </c>
      <c r="L519" s="1246" t="s">
        <v>1522</v>
      </c>
      <c r="M519" s="1250">
        <v>3</v>
      </c>
      <c r="N519" s="1251">
        <v>1</v>
      </c>
      <c r="O519" s="1252">
        <v>1</v>
      </c>
    </row>
    <row r="520" spans="1:15">
      <c r="A520" s="1246" t="s">
        <v>1490</v>
      </c>
      <c r="B520" s="1246" t="s">
        <v>429</v>
      </c>
      <c r="C520" s="1247">
        <v>0.16</v>
      </c>
      <c r="E520" s="1246" t="s">
        <v>370</v>
      </c>
      <c r="F520" s="1248">
        <v>1</v>
      </c>
      <c r="G520" s="1248">
        <v>2</v>
      </c>
      <c r="H520" s="1249">
        <v>1</v>
      </c>
      <c r="I520" s="1246" t="s">
        <v>1491</v>
      </c>
      <c r="J520" s="1246" t="s">
        <v>1399</v>
      </c>
      <c r="K520" s="1284" t="str">
        <f t="shared" si="8"/>
        <v>30</v>
      </c>
      <c r="L520" s="1246" t="s">
        <v>1528</v>
      </c>
      <c r="M520" s="1250">
        <v>3</v>
      </c>
      <c r="N520" s="1251">
        <v>1</v>
      </c>
      <c r="O520" s="1252">
        <v>1</v>
      </c>
    </row>
    <row r="521" spans="1:15">
      <c r="A521" s="1246" t="s">
        <v>1490</v>
      </c>
      <c r="B521" s="1246" t="s">
        <v>429</v>
      </c>
      <c r="C521" s="1247">
        <v>0.16</v>
      </c>
      <c r="F521" s="1248">
        <v>2</v>
      </c>
      <c r="G521" s="1248">
        <v>1</v>
      </c>
      <c r="H521" s="1249">
        <v>1</v>
      </c>
      <c r="I521" s="1246" t="s">
        <v>1491</v>
      </c>
      <c r="J521" s="1246" t="s">
        <v>1460</v>
      </c>
      <c r="K521" s="1284" t="str">
        <f t="shared" si="8"/>
        <v>30</v>
      </c>
      <c r="L521" s="1246" t="s">
        <v>1497</v>
      </c>
      <c r="M521" s="1250">
        <v>1</v>
      </c>
      <c r="N521" s="1251">
        <v>2</v>
      </c>
      <c r="O521" s="1252">
        <v>1</v>
      </c>
    </row>
    <row r="522" spans="1:15">
      <c r="A522" s="1246" t="s">
        <v>1490</v>
      </c>
      <c r="B522" s="1246" t="s">
        <v>429</v>
      </c>
      <c r="C522" s="1247">
        <v>0.16</v>
      </c>
      <c r="F522" s="1248">
        <v>2</v>
      </c>
      <c r="G522" s="1248">
        <v>1</v>
      </c>
      <c r="H522" s="1249">
        <v>1</v>
      </c>
      <c r="I522" s="1246" t="s">
        <v>1491</v>
      </c>
      <c r="J522" s="1246" t="s">
        <v>1457</v>
      </c>
      <c r="K522" s="1284" t="str">
        <f t="shared" si="8"/>
        <v>35</v>
      </c>
      <c r="L522" s="1246" t="s">
        <v>1501</v>
      </c>
      <c r="M522" s="1250">
        <v>1</v>
      </c>
      <c r="N522" s="1251">
        <v>2</v>
      </c>
      <c r="O522" s="1252">
        <v>1</v>
      </c>
    </row>
    <row r="523" spans="1:15">
      <c r="A523" s="1246" t="s">
        <v>1490</v>
      </c>
      <c r="B523" s="1246" t="s">
        <v>429</v>
      </c>
      <c r="C523" s="1247">
        <v>0.16</v>
      </c>
      <c r="F523" s="1248">
        <v>2</v>
      </c>
      <c r="G523" s="1248">
        <v>1</v>
      </c>
      <c r="H523" s="1249">
        <v>1</v>
      </c>
      <c r="I523" s="1246" t="s">
        <v>1491</v>
      </c>
      <c r="J523" s="1246" t="s">
        <v>1457</v>
      </c>
      <c r="K523" s="1284" t="str">
        <f t="shared" si="8"/>
        <v>35</v>
      </c>
      <c r="L523" s="1246" t="s">
        <v>1527</v>
      </c>
      <c r="M523" s="1250">
        <v>3</v>
      </c>
      <c r="N523" s="1251">
        <v>2</v>
      </c>
      <c r="O523" s="1252">
        <v>1</v>
      </c>
    </row>
    <row r="524" spans="1:15">
      <c r="A524" s="1246" t="s">
        <v>1490</v>
      </c>
      <c r="B524" s="1246" t="s">
        <v>429</v>
      </c>
      <c r="C524" s="1247">
        <v>0.16</v>
      </c>
      <c r="F524" s="1248">
        <v>2</v>
      </c>
      <c r="G524" s="1248">
        <v>2</v>
      </c>
      <c r="H524" s="1249">
        <v>1</v>
      </c>
      <c r="I524" s="1246" t="s">
        <v>1491</v>
      </c>
      <c r="J524" s="1246" t="s">
        <v>1460</v>
      </c>
      <c r="K524" s="1284" t="str">
        <f t="shared" si="8"/>
        <v>30</v>
      </c>
      <c r="L524" s="1246" t="s">
        <v>1497</v>
      </c>
      <c r="M524" s="1250">
        <v>1</v>
      </c>
      <c r="N524" s="1251">
        <v>80</v>
      </c>
      <c r="O524" s="1252">
        <v>40</v>
      </c>
    </row>
    <row r="525" spans="1:15">
      <c r="A525" s="1246" t="s">
        <v>1490</v>
      </c>
      <c r="B525" s="1246" t="s">
        <v>429</v>
      </c>
      <c r="C525" s="1247">
        <v>0.16</v>
      </c>
      <c r="E525" s="1246" t="s">
        <v>370</v>
      </c>
      <c r="F525" s="1248">
        <v>2</v>
      </c>
      <c r="G525" s="1248">
        <v>2</v>
      </c>
      <c r="H525" s="1249">
        <v>1</v>
      </c>
      <c r="I525" s="1246" t="s">
        <v>1491</v>
      </c>
      <c r="J525" s="1246" t="s">
        <v>1460</v>
      </c>
      <c r="K525" s="1284" t="str">
        <f t="shared" si="8"/>
        <v>30</v>
      </c>
      <c r="L525" s="1246" t="s">
        <v>1497</v>
      </c>
      <c r="M525" s="1250">
        <v>1</v>
      </c>
      <c r="N525" s="1251">
        <v>18</v>
      </c>
      <c r="O525" s="1252">
        <v>9</v>
      </c>
    </row>
    <row r="526" spans="1:15">
      <c r="A526" s="1246" t="s">
        <v>1490</v>
      </c>
      <c r="B526" s="1246" t="s">
        <v>429</v>
      </c>
      <c r="C526" s="1247">
        <v>0.16</v>
      </c>
      <c r="F526" s="1248">
        <v>2</v>
      </c>
      <c r="G526" s="1248">
        <v>2</v>
      </c>
      <c r="H526" s="1249">
        <v>1</v>
      </c>
      <c r="I526" s="1246" t="s">
        <v>1491</v>
      </c>
      <c r="J526" s="1246" t="s">
        <v>1461</v>
      </c>
      <c r="K526" s="1284" t="str">
        <f t="shared" si="8"/>
        <v>3C</v>
      </c>
      <c r="L526" s="1246" t="s">
        <v>1502</v>
      </c>
      <c r="M526" s="1250">
        <v>1</v>
      </c>
      <c r="N526" s="1251">
        <v>2</v>
      </c>
      <c r="O526" s="1252">
        <v>1</v>
      </c>
    </row>
    <row r="527" spans="1:15">
      <c r="A527" s="1246" t="s">
        <v>1493</v>
      </c>
      <c r="B527" s="1246" t="s">
        <v>429</v>
      </c>
      <c r="C527" s="1247">
        <v>0.16</v>
      </c>
      <c r="E527" s="1246" t="s">
        <v>370</v>
      </c>
      <c r="F527" s="1248">
        <v>2</v>
      </c>
      <c r="G527" s="1248">
        <v>2</v>
      </c>
      <c r="H527" s="1249">
        <v>1</v>
      </c>
      <c r="I527" s="1246" t="s">
        <v>1491</v>
      </c>
      <c r="J527" s="1246" t="s">
        <v>1443</v>
      </c>
      <c r="K527" s="1284" t="str">
        <f t="shared" si="8"/>
        <v>1C</v>
      </c>
      <c r="L527" s="1246" t="s">
        <v>1502</v>
      </c>
      <c r="M527" s="1250">
        <v>4</v>
      </c>
      <c r="N527" s="1251">
        <v>6</v>
      </c>
      <c r="O527" s="1252">
        <v>3</v>
      </c>
    </row>
    <row r="528" spans="1:15">
      <c r="A528" s="1246" t="s">
        <v>1490</v>
      </c>
      <c r="B528" s="1246" t="s">
        <v>429</v>
      </c>
      <c r="C528" s="1247">
        <v>0.16</v>
      </c>
      <c r="E528" s="1246" t="s">
        <v>370</v>
      </c>
      <c r="F528" s="1248">
        <v>2</v>
      </c>
      <c r="G528" s="1248">
        <v>2</v>
      </c>
      <c r="H528" s="1249">
        <v>1</v>
      </c>
      <c r="I528" s="1246" t="s">
        <v>1491</v>
      </c>
      <c r="J528" s="1246" t="s">
        <v>1460</v>
      </c>
      <c r="K528" s="1284" t="str">
        <f t="shared" si="8"/>
        <v>30</v>
      </c>
      <c r="L528" s="1246" t="s">
        <v>1498</v>
      </c>
      <c r="M528" s="1250">
        <v>2</v>
      </c>
      <c r="N528" s="1251">
        <v>28</v>
      </c>
      <c r="O528" s="1252">
        <v>14</v>
      </c>
    </row>
    <row r="529" spans="1:15">
      <c r="A529" s="1246" t="s">
        <v>1490</v>
      </c>
      <c r="B529" s="1246" t="s">
        <v>429</v>
      </c>
      <c r="C529" s="1247">
        <v>0.16</v>
      </c>
      <c r="F529" s="1248">
        <v>2</v>
      </c>
      <c r="G529" s="1248">
        <v>2</v>
      </c>
      <c r="H529" s="1249">
        <v>1</v>
      </c>
      <c r="I529" s="1246" t="s">
        <v>1491</v>
      </c>
      <c r="J529" s="1246" t="s">
        <v>1460</v>
      </c>
      <c r="K529" s="1284" t="str">
        <f t="shared" si="8"/>
        <v>30</v>
      </c>
      <c r="L529" s="1246" t="s">
        <v>1498</v>
      </c>
      <c r="M529" s="1250">
        <v>2</v>
      </c>
      <c r="N529" s="1251">
        <v>76</v>
      </c>
      <c r="O529" s="1252">
        <v>38</v>
      </c>
    </row>
    <row r="530" spans="1:15">
      <c r="A530" s="1246" t="s">
        <v>1493</v>
      </c>
      <c r="B530" s="1246" t="s">
        <v>429</v>
      </c>
      <c r="C530" s="1247">
        <v>0.16</v>
      </c>
      <c r="E530" s="1246" t="s">
        <v>370</v>
      </c>
      <c r="F530" s="1248">
        <v>2</v>
      </c>
      <c r="G530" s="1248">
        <v>2</v>
      </c>
      <c r="H530" s="1249">
        <v>1</v>
      </c>
      <c r="I530" s="1246" t="s">
        <v>1491</v>
      </c>
      <c r="J530" s="1246" t="s">
        <v>1442</v>
      </c>
      <c r="K530" s="1284" t="str">
        <f t="shared" si="8"/>
        <v>10</v>
      </c>
      <c r="L530" s="1246" t="s">
        <v>1534</v>
      </c>
      <c r="M530" s="1250">
        <v>4</v>
      </c>
      <c r="N530" s="1251">
        <v>2</v>
      </c>
      <c r="O530" s="1252">
        <v>1</v>
      </c>
    </row>
    <row r="531" spans="1:15">
      <c r="A531" s="1246" t="s">
        <v>1490</v>
      </c>
      <c r="B531" s="1246" t="s">
        <v>429</v>
      </c>
      <c r="C531" s="1247">
        <v>0.16</v>
      </c>
      <c r="E531" s="1246" t="s">
        <v>370</v>
      </c>
      <c r="F531" s="1248">
        <v>2</v>
      </c>
      <c r="G531" s="1248">
        <v>2</v>
      </c>
      <c r="H531" s="1249">
        <v>1</v>
      </c>
      <c r="I531" s="1246" t="s">
        <v>1491</v>
      </c>
      <c r="J531" s="1246" t="s">
        <v>1460</v>
      </c>
      <c r="K531" s="1284" t="str">
        <f t="shared" si="8"/>
        <v>30</v>
      </c>
      <c r="L531" s="1246" t="s">
        <v>1499</v>
      </c>
      <c r="M531" s="1250">
        <v>5</v>
      </c>
      <c r="N531" s="1251">
        <v>26</v>
      </c>
      <c r="O531" s="1252">
        <v>13</v>
      </c>
    </row>
    <row r="532" spans="1:15">
      <c r="A532" s="1246" t="s">
        <v>1490</v>
      </c>
      <c r="B532" s="1246" t="s">
        <v>429</v>
      </c>
      <c r="C532" s="1247">
        <v>0.16</v>
      </c>
      <c r="F532" s="1248">
        <v>2</v>
      </c>
      <c r="G532" s="1248">
        <v>2</v>
      </c>
      <c r="H532" s="1249">
        <v>1</v>
      </c>
      <c r="I532" s="1246" t="s">
        <v>1491</v>
      </c>
      <c r="J532" s="1246" t="s">
        <v>1460</v>
      </c>
      <c r="K532" s="1284" t="str">
        <f t="shared" si="8"/>
        <v>30</v>
      </c>
      <c r="L532" s="1246" t="s">
        <v>1499</v>
      </c>
      <c r="M532" s="1250">
        <v>5</v>
      </c>
      <c r="N532" s="1251">
        <v>76</v>
      </c>
      <c r="O532" s="1252">
        <v>38</v>
      </c>
    </row>
    <row r="533" spans="1:15">
      <c r="A533" s="1246" t="s">
        <v>1490</v>
      </c>
      <c r="B533" s="1246" t="s">
        <v>429</v>
      </c>
      <c r="C533" s="1247">
        <v>0.16</v>
      </c>
      <c r="F533" s="1248">
        <v>2</v>
      </c>
      <c r="G533" s="1248">
        <v>2</v>
      </c>
      <c r="H533" s="1249">
        <v>1</v>
      </c>
      <c r="I533" s="1246" t="s">
        <v>1491</v>
      </c>
      <c r="J533" s="1246" t="s">
        <v>1455</v>
      </c>
      <c r="K533" s="1284" t="str">
        <f t="shared" si="8"/>
        <v>32</v>
      </c>
      <c r="L533" s="1246" t="s">
        <v>1505</v>
      </c>
      <c r="M533" s="1250">
        <v>1</v>
      </c>
      <c r="N533" s="1251">
        <v>6</v>
      </c>
      <c r="O533" s="1252">
        <v>3</v>
      </c>
    </row>
    <row r="534" spans="1:15">
      <c r="A534" s="1246" t="s">
        <v>1490</v>
      </c>
      <c r="B534" s="1246" t="s">
        <v>429</v>
      </c>
      <c r="C534" s="1247">
        <v>0.16</v>
      </c>
      <c r="E534" s="1246" t="s">
        <v>370</v>
      </c>
      <c r="F534" s="1248">
        <v>2</v>
      </c>
      <c r="G534" s="1248">
        <v>2</v>
      </c>
      <c r="H534" s="1249">
        <v>1</v>
      </c>
      <c r="I534" s="1246" t="s">
        <v>1491</v>
      </c>
      <c r="J534" s="1246" t="s">
        <v>1455</v>
      </c>
      <c r="K534" s="1284" t="str">
        <f t="shared" si="8"/>
        <v>32</v>
      </c>
      <c r="L534" s="1246" t="s">
        <v>1505</v>
      </c>
      <c r="M534" s="1250">
        <v>1</v>
      </c>
      <c r="N534" s="1251">
        <v>2</v>
      </c>
      <c r="O534" s="1252">
        <v>1</v>
      </c>
    </row>
    <row r="535" spans="1:15">
      <c r="A535" s="1246" t="s">
        <v>1490</v>
      </c>
      <c r="B535" s="1246" t="s">
        <v>429</v>
      </c>
      <c r="C535" s="1247">
        <v>0.16</v>
      </c>
      <c r="F535" s="1248">
        <v>2</v>
      </c>
      <c r="G535" s="1248">
        <v>2</v>
      </c>
      <c r="H535" s="1249">
        <v>1</v>
      </c>
      <c r="I535" s="1246" t="s">
        <v>1491</v>
      </c>
      <c r="J535" s="1246" t="s">
        <v>1454</v>
      </c>
      <c r="K535" s="1284" t="str">
        <f t="shared" si="8"/>
        <v>31</v>
      </c>
      <c r="L535" s="1246" t="s">
        <v>1506</v>
      </c>
      <c r="M535" s="1250">
        <v>1</v>
      </c>
      <c r="N535" s="1251">
        <v>34</v>
      </c>
      <c r="O535" s="1252">
        <v>17</v>
      </c>
    </row>
    <row r="536" spans="1:15">
      <c r="A536" s="1246" t="s">
        <v>1490</v>
      </c>
      <c r="B536" s="1246" t="s">
        <v>429</v>
      </c>
      <c r="C536" s="1247">
        <v>0.16</v>
      </c>
      <c r="E536" s="1246" t="s">
        <v>370</v>
      </c>
      <c r="F536" s="1248">
        <v>2</v>
      </c>
      <c r="G536" s="1248">
        <v>2</v>
      </c>
      <c r="H536" s="1249">
        <v>1</v>
      </c>
      <c r="I536" s="1246" t="s">
        <v>1491</v>
      </c>
      <c r="J536" s="1246" t="s">
        <v>1454</v>
      </c>
      <c r="K536" s="1284" t="str">
        <f t="shared" si="8"/>
        <v>31</v>
      </c>
      <c r="L536" s="1246" t="s">
        <v>1506</v>
      </c>
      <c r="M536" s="1250">
        <v>1</v>
      </c>
      <c r="N536" s="1251">
        <v>84</v>
      </c>
      <c r="O536" s="1252">
        <v>42</v>
      </c>
    </row>
    <row r="537" spans="1:15">
      <c r="A537" s="1246" t="s">
        <v>1490</v>
      </c>
      <c r="B537" s="1246" t="s">
        <v>429</v>
      </c>
      <c r="C537" s="1247">
        <v>0.16</v>
      </c>
      <c r="F537" s="1248">
        <v>2</v>
      </c>
      <c r="G537" s="1248">
        <v>2</v>
      </c>
      <c r="H537" s="1249">
        <v>1</v>
      </c>
      <c r="I537" s="1246" t="s">
        <v>1491</v>
      </c>
      <c r="J537" s="1246" t="s">
        <v>1458</v>
      </c>
      <c r="K537" s="1284" t="str">
        <f t="shared" si="8"/>
        <v>36</v>
      </c>
      <c r="L537" s="1246" t="s">
        <v>1507</v>
      </c>
      <c r="M537" s="1250">
        <v>1</v>
      </c>
      <c r="N537" s="1251">
        <v>2</v>
      </c>
      <c r="O537" s="1252">
        <v>1</v>
      </c>
    </row>
    <row r="538" spans="1:15">
      <c r="A538" s="1246" t="s">
        <v>1490</v>
      </c>
      <c r="B538" s="1246" t="s">
        <v>429</v>
      </c>
      <c r="C538" s="1247">
        <v>0.16</v>
      </c>
      <c r="F538" s="1248">
        <v>2</v>
      </c>
      <c r="G538" s="1248">
        <v>2</v>
      </c>
      <c r="H538" s="1249">
        <v>1</v>
      </c>
      <c r="I538" s="1246" t="s">
        <v>1491</v>
      </c>
      <c r="J538" s="1246" t="s">
        <v>1399</v>
      </c>
      <c r="K538" s="1284" t="str">
        <f t="shared" si="8"/>
        <v>30</v>
      </c>
      <c r="L538" s="1246" t="s">
        <v>1508</v>
      </c>
      <c r="M538" s="1250">
        <v>1</v>
      </c>
      <c r="N538" s="1251">
        <v>2</v>
      </c>
      <c r="O538" s="1252">
        <v>1</v>
      </c>
    </row>
    <row r="539" spans="1:15">
      <c r="A539" s="1246" t="s">
        <v>1490</v>
      </c>
      <c r="B539" s="1246" t="s">
        <v>429</v>
      </c>
      <c r="C539" s="1247">
        <v>0.16</v>
      </c>
      <c r="F539" s="1248">
        <v>2</v>
      </c>
      <c r="G539" s="1248">
        <v>2</v>
      </c>
      <c r="H539" s="1249">
        <v>1</v>
      </c>
      <c r="I539" s="1246" t="s">
        <v>1491</v>
      </c>
      <c r="J539" s="1246" t="s">
        <v>1457</v>
      </c>
      <c r="K539" s="1284" t="str">
        <f t="shared" si="8"/>
        <v>35</v>
      </c>
      <c r="L539" s="1246" t="s">
        <v>1501</v>
      </c>
      <c r="M539" s="1250">
        <v>1</v>
      </c>
      <c r="N539" s="1251">
        <v>174</v>
      </c>
      <c r="O539" s="1252">
        <v>87</v>
      </c>
    </row>
    <row r="540" spans="1:15">
      <c r="A540" s="1246" t="s">
        <v>1490</v>
      </c>
      <c r="B540" s="1246" t="s">
        <v>429</v>
      </c>
      <c r="C540" s="1247">
        <v>0.16</v>
      </c>
      <c r="E540" s="1246" t="s">
        <v>370</v>
      </c>
      <c r="F540" s="1248">
        <v>2</v>
      </c>
      <c r="G540" s="1248">
        <v>2</v>
      </c>
      <c r="H540" s="1249">
        <v>1</v>
      </c>
      <c r="I540" s="1246" t="s">
        <v>1491</v>
      </c>
      <c r="J540" s="1246" t="s">
        <v>1457</v>
      </c>
      <c r="K540" s="1284" t="str">
        <f t="shared" si="8"/>
        <v>35</v>
      </c>
      <c r="L540" s="1246" t="s">
        <v>1501</v>
      </c>
      <c r="M540" s="1250">
        <v>1</v>
      </c>
      <c r="N540" s="1251">
        <v>86</v>
      </c>
      <c r="O540" s="1252">
        <v>43</v>
      </c>
    </row>
    <row r="541" spans="1:15">
      <c r="A541" s="1246" t="s">
        <v>1490</v>
      </c>
      <c r="B541" s="1246" t="s">
        <v>429</v>
      </c>
      <c r="C541" s="1247">
        <v>0.16</v>
      </c>
      <c r="E541" s="1246" t="s">
        <v>370</v>
      </c>
      <c r="F541" s="1248">
        <v>2</v>
      </c>
      <c r="G541" s="1248">
        <v>2</v>
      </c>
      <c r="H541" s="1249">
        <v>1</v>
      </c>
      <c r="I541" s="1246" t="s">
        <v>1491</v>
      </c>
      <c r="J541" s="1246" t="s">
        <v>1399</v>
      </c>
      <c r="K541" s="1284" t="str">
        <f t="shared" si="8"/>
        <v>30</v>
      </c>
      <c r="L541" s="1246" t="s">
        <v>1510</v>
      </c>
      <c r="M541" s="1250">
        <v>1</v>
      </c>
      <c r="N541" s="1251">
        <v>2</v>
      </c>
      <c r="O541" s="1252">
        <v>1</v>
      </c>
    </row>
    <row r="542" spans="1:15">
      <c r="A542" s="1246" t="s">
        <v>1490</v>
      </c>
      <c r="B542" s="1246" t="s">
        <v>429</v>
      </c>
      <c r="C542" s="1247">
        <v>0.16</v>
      </c>
      <c r="F542" s="1248">
        <v>2</v>
      </c>
      <c r="G542" s="1248">
        <v>2</v>
      </c>
      <c r="H542" s="1249">
        <v>1</v>
      </c>
      <c r="I542" s="1246" t="s">
        <v>1491</v>
      </c>
      <c r="J542" s="1246" t="s">
        <v>1399</v>
      </c>
      <c r="K542" s="1284" t="str">
        <f t="shared" si="8"/>
        <v>30</v>
      </c>
      <c r="L542" s="1246" t="s">
        <v>1510</v>
      </c>
      <c r="M542" s="1250">
        <v>1</v>
      </c>
      <c r="N542" s="1251">
        <v>14</v>
      </c>
      <c r="O542" s="1252">
        <v>7</v>
      </c>
    </row>
    <row r="543" spans="1:15">
      <c r="A543" s="1246" t="s">
        <v>1490</v>
      </c>
      <c r="B543" s="1246" t="s">
        <v>429</v>
      </c>
      <c r="C543" s="1247">
        <v>0.16</v>
      </c>
      <c r="E543" s="1246" t="s">
        <v>370</v>
      </c>
      <c r="F543" s="1248">
        <v>2</v>
      </c>
      <c r="G543" s="1248">
        <v>2</v>
      </c>
      <c r="H543" s="1249">
        <v>1</v>
      </c>
      <c r="I543" s="1246" t="s">
        <v>1491</v>
      </c>
      <c r="J543" s="1246" t="s">
        <v>1399</v>
      </c>
      <c r="K543" s="1284" t="str">
        <f t="shared" si="8"/>
        <v>30</v>
      </c>
      <c r="L543" s="1246" t="s">
        <v>1511</v>
      </c>
      <c r="M543" s="1250">
        <v>2</v>
      </c>
      <c r="N543" s="1251">
        <v>2</v>
      </c>
      <c r="O543" s="1252">
        <v>1</v>
      </c>
    </row>
    <row r="544" spans="1:15">
      <c r="A544" s="1246" t="s">
        <v>1490</v>
      </c>
      <c r="B544" s="1246" t="s">
        <v>429</v>
      </c>
      <c r="C544" s="1247">
        <v>0.16</v>
      </c>
      <c r="F544" s="1248">
        <v>2</v>
      </c>
      <c r="G544" s="1248">
        <v>2</v>
      </c>
      <c r="H544" s="1249">
        <v>1</v>
      </c>
      <c r="I544" s="1246" t="s">
        <v>1491</v>
      </c>
      <c r="J544" s="1246" t="s">
        <v>1399</v>
      </c>
      <c r="K544" s="1284" t="str">
        <f t="shared" si="8"/>
        <v>30</v>
      </c>
      <c r="L544" s="1246" t="s">
        <v>1511</v>
      </c>
      <c r="M544" s="1250">
        <v>2</v>
      </c>
      <c r="N544" s="1251">
        <v>2</v>
      </c>
      <c r="O544" s="1252">
        <v>1</v>
      </c>
    </row>
    <row r="545" spans="1:15">
      <c r="A545" s="1246" t="s">
        <v>1490</v>
      </c>
      <c r="B545" s="1246" t="s">
        <v>429</v>
      </c>
      <c r="C545" s="1247">
        <v>0.16</v>
      </c>
      <c r="F545" s="1248">
        <v>2</v>
      </c>
      <c r="G545" s="1248">
        <v>2</v>
      </c>
      <c r="H545" s="1249">
        <v>1</v>
      </c>
      <c r="I545" s="1246" t="s">
        <v>1491</v>
      </c>
      <c r="J545" s="1246" t="s">
        <v>1455</v>
      </c>
      <c r="K545" s="1284" t="str">
        <f t="shared" si="8"/>
        <v>32</v>
      </c>
      <c r="L545" s="1246" t="s">
        <v>1513</v>
      </c>
      <c r="M545" s="1250">
        <v>2</v>
      </c>
      <c r="N545" s="1251">
        <v>6</v>
      </c>
      <c r="O545" s="1252">
        <v>3</v>
      </c>
    </row>
    <row r="546" spans="1:15">
      <c r="A546" s="1246" t="s">
        <v>1490</v>
      </c>
      <c r="B546" s="1246" t="s">
        <v>429</v>
      </c>
      <c r="C546" s="1247">
        <v>0.16</v>
      </c>
      <c r="E546" s="1246" t="s">
        <v>370</v>
      </c>
      <c r="F546" s="1248">
        <v>2</v>
      </c>
      <c r="G546" s="1248">
        <v>2</v>
      </c>
      <c r="H546" s="1249">
        <v>1</v>
      </c>
      <c r="I546" s="1246" t="s">
        <v>1491</v>
      </c>
      <c r="J546" s="1246" t="s">
        <v>1455</v>
      </c>
      <c r="K546" s="1284" t="str">
        <f t="shared" si="8"/>
        <v>32</v>
      </c>
      <c r="L546" s="1246" t="s">
        <v>1513</v>
      </c>
      <c r="M546" s="1250">
        <v>2</v>
      </c>
      <c r="N546" s="1251">
        <v>2</v>
      </c>
      <c r="O546" s="1252">
        <v>1</v>
      </c>
    </row>
    <row r="547" spans="1:15">
      <c r="A547" s="1246" t="s">
        <v>1490</v>
      </c>
      <c r="B547" s="1246" t="s">
        <v>429</v>
      </c>
      <c r="C547" s="1247">
        <v>0.16</v>
      </c>
      <c r="F547" s="1248">
        <v>2</v>
      </c>
      <c r="G547" s="1248">
        <v>2</v>
      </c>
      <c r="H547" s="1249">
        <v>1</v>
      </c>
      <c r="I547" s="1246" t="s">
        <v>1491</v>
      </c>
      <c r="J547" s="1246" t="s">
        <v>1454</v>
      </c>
      <c r="K547" s="1284" t="str">
        <f t="shared" si="8"/>
        <v>31</v>
      </c>
      <c r="L547" s="1246" t="s">
        <v>1500</v>
      </c>
      <c r="M547" s="1250">
        <v>2</v>
      </c>
      <c r="N547" s="1251">
        <v>38</v>
      </c>
      <c r="O547" s="1252">
        <v>19</v>
      </c>
    </row>
    <row r="548" spans="1:15">
      <c r="A548" s="1246" t="s">
        <v>1490</v>
      </c>
      <c r="B548" s="1246" t="s">
        <v>429</v>
      </c>
      <c r="C548" s="1247">
        <v>0.16</v>
      </c>
      <c r="E548" s="1246" t="s">
        <v>370</v>
      </c>
      <c r="F548" s="1248">
        <v>2</v>
      </c>
      <c r="G548" s="1248">
        <v>2</v>
      </c>
      <c r="H548" s="1249">
        <v>1</v>
      </c>
      <c r="I548" s="1246" t="s">
        <v>1491</v>
      </c>
      <c r="J548" s="1246" t="s">
        <v>1454</v>
      </c>
      <c r="K548" s="1284" t="str">
        <f t="shared" si="8"/>
        <v>31</v>
      </c>
      <c r="L548" s="1246" t="s">
        <v>1500</v>
      </c>
      <c r="M548" s="1250">
        <v>2</v>
      </c>
      <c r="N548" s="1251">
        <v>28</v>
      </c>
      <c r="O548" s="1252">
        <v>14</v>
      </c>
    </row>
    <row r="549" spans="1:15">
      <c r="A549" s="1246" t="s">
        <v>1490</v>
      </c>
      <c r="B549" s="1246" t="s">
        <v>429</v>
      </c>
      <c r="C549" s="1247">
        <v>0.16</v>
      </c>
      <c r="F549" s="1248">
        <v>2</v>
      </c>
      <c r="G549" s="1248">
        <v>2</v>
      </c>
      <c r="H549" s="1249">
        <v>1</v>
      </c>
      <c r="I549" s="1246" t="s">
        <v>1491</v>
      </c>
      <c r="J549" s="1246" t="s">
        <v>1458</v>
      </c>
      <c r="K549" s="1284" t="str">
        <f t="shared" si="8"/>
        <v>36</v>
      </c>
      <c r="L549" s="1246" t="s">
        <v>1514</v>
      </c>
      <c r="M549" s="1250">
        <v>2</v>
      </c>
      <c r="N549" s="1251">
        <v>2</v>
      </c>
      <c r="O549" s="1252">
        <v>1</v>
      </c>
    </row>
    <row r="550" spans="1:15">
      <c r="A550" s="1246" t="s">
        <v>1490</v>
      </c>
      <c r="B550" s="1246" t="s">
        <v>429</v>
      </c>
      <c r="C550" s="1247">
        <v>0.16</v>
      </c>
      <c r="F550" s="1248">
        <v>2</v>
      </c>
      <c r="G550" s="1248">
        <v>2</v>
      </c>
      <c r="H550" s="1249">
        <v>1</v>
      </c>
      <c r="I550" s="1246" t="s">
        <v>1491</v>
      </c>
      <c r="J550" s="1246" t="s">
        <v>1399</v>
      </c>
      <c r="K550" s="1284" t="str">
        <f t="shared" si="8"/>
        <v>30</v>
      </c>
      <c r="L550" s="1246" t="s">
        <v>1515</v>
      </c>
      <c r="M550" s="1250">
        <v>2</v>
      </c>
      <c r="N550" s="1251">
        <v>4</v>
      </c>
      <c r="O550" s="1252">
        <v>2</v>
      </c>
    </row>
    <row r="551" spans="1:15">
      <c r="A551" s="1246" t="s">
        <v>1490</v>
      </c>
      <c r="B551" s="1246" t="s">
        <v>429</v>
      </c>
      <c r="C551" s="1247">
        <v>0.16</v>
      </c>
      <c r="E551" s="1246" t="s">
        <v>370</v>
      </c>
      <c r="F551" s="1248">
        <v>2</v>
      </c>
      <c r="G551" s="1248">
        <v>2</v>
      </c>
      <c r="H551" s="1249">
        <v>1</v>
      </c>
      <c r="I551" s="1246" t="s">
        <v>1491</v>
      </c>
      <c r="J551" s="1246" t="s">
        <v>1399</v>
      </c>
      <c r="K551" s="1284" t="str">
        <f t="shared" si="8"/>
        <v>30</v>
      </c>
      <c r="L551" s="1246" t="s">
        <v>1515</v>
      </c>
      <c r="M551" s="1250">
        <v>2</v>
      </c>
      <c r="N551" s="1251">
        <v>6</v>
      </c>
      <c r="O551" s="1252">
        <v>3</v>
      </c>
    </row>
    <row r="552" spans="1:15">
      <c r="A552" s="1246" t="s">
        <v>1490</v>
      </c>
      <c r="B552" s="1246" t="s">
        <v>429</v>
      </c>
      <c r="C552" s="1247">
        <v>0.16</v>
      </c>
      <c r="E552" s="1246" t="s">
        <v>370</v>
      </c>
      <c r="F552" s="1248">
        <v>2</v>
      </c>
      <c r="G552" s="1248">
        <v>2</v>
      </c>
      <c r="H552" s="1249">
        <v>1</v>
      </c>
      <c r="I552" s="1246" t="s">
        <v>1491</v>
      </c>
      <c r="J552" s="1246" t="s">
        <v>1399</v>
      </c>
      <c r="K552" s="1284" t="str">
        <f t="shared" si="8"/>
        <v>30</v>
      </c>
      <c r="L552" s="1246" t="s">
        <v>1516</v>
      </c>
      <c r="M552" s="1250">
        <v>2</v>
      </c>
      <c r="N552" s="1251">
        <v>2</v>
      </c>
      <c r="O552" s="1252">
        <v>1</v>
      </c>
    </row>
    <row r="553" spans="1:15">
      <c r="A553" s="1246" t="s">
        <v>1490</v>
      </c>
      <c r="B553" s="1246" t="s">
        <v>429</v>
      </c>
      <c r="C553" s="1247">
        <v>0.16</v>
      </c>
      <c r="F553" s="1248">
        <v>2</v>
      </c>
      <c r="G553" s="1248">
        <v>2</v>
      </c>
      <c r="H553" s="1249">
        <v>1</v>
      </c>
      <c r="I553" s="1246" t="s">
        <v>1491</v>
      </c>
      <c r="J553" s="1246" t="s">
        <v>1457</v>
      </c>
      <c r="K553" s="1284" t="str">
        <f t="shared" si="8"/>
        <v>35</v>
      </c>
      <c r="L553" s="1246" t="s">
        <v>1517</v>
      </c>
      <c r="M553" s="1250">
        <v>2</v>
      </c>
      <c r="N553" s="1251">
        <v>140</v>
      </c>
      <c r="O553" s="1252">
        <v>70</v>
      </c>
    </row>
    <row r="554" spans="1:15">
      <c r="A554" s="1246" t="s">
        <v>1490</v>
      </c>
      <c r="B554" s="1246" t="s">
        <v>429</v>
      </c>
      <c r="C554" s="1247">
        <v>0.16</v>
      </c>
      <c r="E554" s="1246" t="s">
        <v>370</v>
      </c>
      <c r="F554" s="1248">
        <v>2</v>
      </c>
      <c r="G554" s="1248">
        <v>2</v>
      </c>
      <c r="H554" s="1249">
        <v>1</v>
      </c>
      <c r="I554" s="1246" t="s">
        <v>1491</v>
      </c>
      <c r="J554" s="1246" t="s">
        <v>1457</v>
      </c>
      <c r="K554" s="1284" t="str">
        <f t="shared" si="8"/>
        <v>35</v>
      </c>
      <c r="L554" s="1246" t="s">
        <v>1517</v>
      </c>
      <c r="M554" s="1250">
        <v>2</v>
      </c>
      <c r="N554" s="1251">
        <v>80</v>
      </c>
      <c r="O554" s="1252">
        <v>40</v>
      </c>
    </row>
    <row r="555" spans="1:15">
      <c r="A555" s="1246" t="s">
        <v>1490</v>
      </c>
      <c r="B555" s="1246" t="s">
        <v>429</v>
      </c>
      <c r="C555" s="1247">
        <v>0.16</v>
      </c>
      <c r="F555" s="1248">
        <v>2</v>
      </c>
      <c r="G555" s="1248">
        <v>2</v>
      </c>
      <c r="H555" s="1249">
        <v>1</v>
      </c>
      <c r="I555" s="1246" t="s">
        <v>1491</v>
      </c>
      <c r="J555" s="1246" t="s">
        <v>1399</v>
      </c>
      <c r="K555" s="1284" t="str">
        <f t="shared" si="8"/>
        <v>30</v>
      </c>
      <c r="L555" s="1246" t="s">
        <v>1518</v>
      </c>
      <c r="M555" s="1250">
        <v>2</v>
      </c>
      <c r="N555" s="1251">
        <v>12</v>
      </c>
      <c r="O555" s="1252">
        <v>6</v>
      </c>
    </row>
    <row r="556" spans="1:15">
      <c r="A556" s="1246" t="s">
        <v>1490</v>
      </c>
      <c r="B556" s="1246" t="s">
        <v>429</v>
      </c>
      <c r="C556" s="1247">
        <v>0.16</v>
      </c>
      <c r="E556" s="1246" t="s">
        <v>370</v>
      </c>
      <c r="F556" s="1248">
        <v>2</v>
      </c>
      <c r="G556" s="1248">
        <v>2</v>
      </c>
      <c r="H556" s="1249">
        <v>1</v>
      </c>
      <c r="I556" s="1246" t="s">
        <v>1491</v>
      </c>
      <c r="J556" s="1246" t="s">
        <v>1399</v>
      </c>
      <c r="K556" s="1284" t="str">
        <f t="shared" si="8"/>
        <v>30</v>
      </c>
      <c r="L556" s="1246" t="s">
        <v>1518</v>
      </c>
      <c r="M556" s="1250">
        <v>2</v>
      </c>
      <c r="N556" s="1251">
        <v>6</v>
      </c>
      <c r="O556" s="1252">
        <v>3</v>
      </c>
    </row>
    <row r="557" spans="1:15">
      <c r="A557" s="1246" t="s">
        <v>1490</v>
      </c>
      <c r="B557" s="1246" t="s">
        <v>429</v>
      </c>
      <c r="C557" s="1247">
        <v>0.16</v>
      </c>
      <c r="F557" s="1248">
        <v>2</v>
      </c>
      <c r="G557" s="1248">
        <v>2</v>
      </c>
      <c r="H557" s="1249">
        <v>1</v>
      </c>
      <c r="I557" s="1246" t="s">
        <v>1491</v>
      </c>
      <c r="J557" s="1246" t="s">
        <v>1456</v>
      </c>
      <c r="K557" s="1284" t="str">
        <f t="shared" si="8"/>
        <v>33</v>
      </c>
      <c r="L557" s="1246" t="s">
        <v>1519</v>
      </c>
      <c r="M557" s="1250">
        <v>2</v>
      </c>
      <c r="N557" s="1251">
        <v>24</v>
      </c>
      <c r="O557" s="1252">
        <v>12</v>
      </c>
    </row>
    <row r="558" spans="1:15">
      <c r="A558" s="1246" t="s">
        <v>1490</v>
      </c>
      <c r="B558" s="1246" t="s">
        <v>429</v>
      </c>
      <c r="C558" s="1247">
        <v>0.16</v>
      </c>
      <c r="E558" s="1246" t="s">
        <v>370</v>
      </c>
      <c r="F558" s="1248">
        <v>2</v>
      </c>
      <c r="G558" s="1248">
        <v>2</v>
      </c>
      <c r="H558" s="1249">
        <v>1</v>
      </c>
      <c r="I558" s="1246" t="s">
        <v>1491</v>
      </c>
      <c r="J558" s="1246" t="s">
        <v>1456</v>
      </c>
      <c r="K558" s="1284" t="str">
        <f t="shared" si="8"/>
        <v>33</v>
      </c>
      <c r="L558" s="1246" t="s">
        <v>1519</v>
      </c>
      <c r="M558" s="1250">
        <v>2</v>
      </c>
      <c r="N558" s="1251">
        <v>26</v>
      </c>
      <c r="O558" s="1252">
        <v>13</v>
      </c>
    </row>
    <row r="559" spans="1:15">
      <c r="A559" s="1246" t="s">
        <v>1490</v>
      </c>
      <c r="B559" s="1246" t="s">
        <v>429</v>
      </c>
      <c r="C559" s="1247">
        <v>0.16</v>
      </c>
      <c r="F559" s="1248">
        <v>2</v>
      </c>
      <c r="G559" s="1248">
        <v>2</v>
      </c>
      <c r="H559" s="1249">
        <v>1</v>
      </c>
      <c r="I559" s="1246" t="s">
        <v>1491</v>
      </c>
      <c r="J559" s="1246" t="s">
        <v>1455</v>
      </c>
      <c r="K559" s="1284" t="str">
        <f t="shared" si="8"/>
        <v>32</v>
      </c>
      <c r="L559" s="1246" t="s">
        <v>1522</v>
      </c>
      <c r="M559" s="1250">
        <v>3</v>
      </c>
      <c r="N559" s="1251">
        <v>8</v>
      </c>
      <c r="O559" s="1252">
        <v>4</v>
      </c>
    </row>
    <row r="560" spans="1:15">
      <c r="A560" s="1246" t="s">
        <v>1490</v>
      </c>
      <c r="B560" s="1246" t="s">
        <v>429</v>
      </c>
      <c r="C560" s="1247">
        <v>0.16</v>
      </c>
      <c r="E560" s="1246" t="s">
        <v>370</v>
      </c>
      <c r="F560" s="1248">
        <v>2</v>
      </c>
      <c r="G560" s="1248">
        <v>2</v>
      </c>
      <c r="H560" s="1249">
        <v>1</v>
      </c>
      <c r="I560" s="1246" t="s">
        <v>1491</v>
      </c>
      <c r="J560" s="1246" t="s">
        <v>1455</v>
      </c>
      <c r="K560" s="1284" t="str">
        <f t="shared" si="8"/>
        <v>32</v>
      </c>
      <c r="L560" s="1246" t="s">
        <v>1522</v>
      </c>
      <c r="M560" s="1250">
        <v>3</v>
      </c>
      <c r="N560" s="1251">
        <v>8</v>
      </c>
      <c r="O560" s="1252">
        <v>4</v>
      </c>
    </row>
    <row r="561" spans="1:15">
      <c r="A561" s="1246" t="s">
        <v>1490</v>
      </c>
      <c r="B561" s="1246" t="s">
        <v>429</v>
      </c>
      <c r="C561" s="1247">
        <v>0.16</v>
      </c>
      <c r="F561" s="1248">
        <v>2</v>
      </c>
      <c r="G561" s="1248">
        <v>2</v>
      </c>
      <c r="H561" s="1249">
        <v>1</v>
      </c>
      <c r="I561" s="1246" t="s">
        <v>1491</v>
      </c>
      <c r="J561" s="1246" t="s">
        <v>1454</v>
      </c>
      <c r="K561" s="1284" t="str">
        <f t="shared" si="8"/>
        <v>31</v>
      </c>
      <c r="L561" s="1246" t="s">
        <v>1523</v>
      </c>
      <c r="M561" s="1250">
        <v>3</v>
      </c>
      <c r="N561" s="1251">
        <v>26</v>
      </c>
      <c r="O561" s="1252">
        <v>13</v>
      </c>
    </row>
    <row r="562" spans="1:15">
      <c r="A562" s="1246" t="s">
        <v>1490</v>
      </c>
      <c r="B562" s="1246" t="s">
        <v>429</v>
      </c>
      <c r="C562" s="1247">
        <v>0.16</v>
      </c>
      <c r="E562" s="1246" t="s">
        <v>370</v>
      </c>
      <c r="F562" s="1248">
        <v>2</v>
      </c>
      <c r="G562" s="1248">
        <v>2</v>
      </c>
      <c r="H562" s="1249">
        <v>1</v>
      </c>
      <c r="I562" s="1246" t="s">
        <v>1491</v>
      </c>
      <c r="J562" s="1246" t="s">
        <v>1454</v>
      </c>
      <c r="K562" s="1284" t="str">
        <f t="shared" si="8"/>
        <v>31</v>
      </c>
      <c r="L562" s="1246" t="s">
        <v>1523</v>
      </c>
      <c r="M562" s="1250">
        <v>3</v>
      </c>
      <c r="N562" s="1251">
        <v>26</v>
      </c>
      <c r="O562" s="1252">
        <v>13</v>
      </c>
    </row>
    <row r="563" spans="1:15">
      <c r="A563" s="1246" t="s">
        <v>1490</v>
      </c>
      <c r="B563" s="1246" t="s">
        <v>429</v>
      </c>
      <c r="C563" s="1247">
        <v>0.16</v>
      </c>
      <c r="F563" s="1248">
        <v>2</v>
      </c>
      <c r="G563" s="1248">
        <v>2</v>
      </c>
      <c r="H563" s="1249">
        <v>1</v>
      </c>
      <c r="I563" s="1246" t="s">
        <v>1491</v>
      </c>
      <c r="J563" s="1246" t="s">
        <v>1458</v>
      </c>
      <c r="K563" s="1284" t="str">
        <f t="shared" si="8"/>
        <v>36</v>
      </c>
      <c r="L563" s="1246" t="s">
        <v>1524</v>
      </c>
      <c r="M563" s="1250">
        <v>3</v>
      </c>
      <c r="N563" s="1251">
        <v>4</v>
      </c>
      <c r="O563" s="1252">
        <v>2</v>
      </c>
    </row>
    <row r="564" spans="1:15">
      <c r="A564" s="1246" t="s">
        <v>1490</v>
      </c>
      <c r="B564" s="1246" t="s">
        <v>429</v>
      </c>
      <c r="C564" s="1247">
        <v>0.16</v>
      </c>
      <c r="F564" s="1248">
        <v>2</v>
      </c>
      <c r="G564" s="1248">
        <v>2</v>
      </c>
      <c r="H564" s="1249">
        <v>1</v>
      </c>
      <c r="I564" s="1246" t="s">
        <v>1491</v>
      </c>
      <c r="J564" s="1246" t="s">
        <v>1399</v>
      </c>
      <c r="K564" s="1284" t="str">
        <f t="shared" si="8"/>
        <v>30</v>
      </c>
      <c r="L564" s="1246" t="s">
        <v>1525</v>
      </c>
      <c r="M564" s="1250">
        <v>3</v>
      </c>
      <c r="N564" s="1251">
        <v>2</v>
      </c>
      <c r="O564" s="1252">
        <v>1</v>
      </c>
    </row>
    <row r="565" spans="1:15">
      <c r="A565" s="1246" t="s">
        <v>1490</v>
      </c>
      <c r="B565" s="1246" t="s">
        <v>429</v>
      </c>
      <c r="C565" s="1247">
        <v>0.16</v>
      </c>
      <c r="E565" s="1246" t="s">
        <v>370</v>
      </c>
      <c r="F565" s="1248">
        <v>2</v>
      </c>
      <c r="G565" s="1248">
        <v>2</v>
      </c>
      <c r="H565" s="1249">
        <v>1</v>
      </c>
      <c r="I565" s="1246" t="s">
        <v>1491</v>
      </c>
      <c r="J565" s="1246" t="s">
        <v>1457</v>
      </c>
      <c r="K565" s="1284" t="str">
        <f t="shared" si="8"/>
        <v>35</v>
      </c>
      <c r="L565" s="1246" t="s">
        <v>1527</v>
      </c>
      <c r="M565" s="1250">
        <v>3</v>
      </c>
      <c r="N565" s="1251">
        <v>72</v>
      </c>
      <c r="O565" s="1252">
        <v>36</v>
      </c>
    </row>
    <row r="566" spans="1:15">
      <c r="A566" s="1246" t="s">
        <v>1490</v>
      </c>
      <c r="B566" s="1246" t="s">
        <v>429</v>
      </c>
      <c r="C566" s="1247">
        <v>0.16</v>
      </c>
      <c r="F566" s="1248">
        <v>2</v>
      </c>
      <c r="G566" s="1248">
        <v>2</v>
      </c>
      <c r="H566" s="1249">
        <v>1</v>
      </c>
      <c r="I566" s="1246" t="s">
        <v>1491</v>
      </c>
      <c r="J566" s="1246" t="s">
        <v>1457</v>
      </c>
      <c r="K566" s="1284" t="str">
        <f t="shared" si="8"/>
        <v>35</v>
      </c>
      <c r="L566" s="1246" t="s">
        <v>1527</v>
      </c>
      <c r="M566" s="1250">
        <v>3</v>
      </c>
      <c r="N566" s="1251">
        <v>232</v>
      </c>
      <c r="O566" s="1252">
        <v>116</v>
      </c>
    </row>
    <row r="567" spans="1:15">
      <c r="A567" s="1246" t="s">
        <v>1490</v>
      </c>
      <c r="B567" s="1246" t="s">
        <v>429</v>
      </c>
      <c r="C567" s="1247">
        <v>0.16</v>
      </c>
      <c r="F567" s="1248">
        <v>2</v>
      </c>
      <c r="G567" s="1248">
        <v>2</v>
      </c>
      <c r="H567" s="1249">
        <v>1</v>
      </c>
      <c r="I567" s="1246" t="s">
        <v>1491</v>
      </c>
      <c r="J567" s="1246" t="s">
        <v>1459</v>
      </c>
      <c r="K567" s="1284" t="str">
        <f t="shared" si="8"/>
        <v>3A</v>
      </c>
      <c r="L567" s="1246" t="s">
        <v>1492</v>
      </c>
      <c r="M567" s="1250">
        <v>3</v>
      </c>
      <c r="N567" s="1251">
        <v>2</v>
      </c>
      <c r="O567" s="1252">
        <v>1</v>
      </c>
    </row>
    <row r="568" spans="1:15">
      <c r="A568" s="1246" t="s">
        <v>1490</v>
      </c>
      <c r="B568" s="1246" t="s">
        <v>429</v>
      </c>
      <c r="C568" s="1247">
        <v>0.16</v>
      </c>
      <c r="F568" s="1248">
        <v>2</v>
      </c>
      <c r="G568" s="1248">
        <v>2</v>
      </c>
      <c r="H568" s="1249">
        <v>1</v>
      </c>
      <c r="I568" s="1246" t="s">
        <v>1491</v>
      </c>
      <c r="J568" s="1246" t="s">
        <v>1399</v>
      </c>
      <c r="K568" s="1284" t="str">
        <f t="shared" si="8"/>
        <v>30</v>
      </c>
      <c r="L568" s="1246" t="s">
        <v>1528</v>
      </c>
      <c r="M568" s="1250">
        <v>3</v>
      </c>
      <c r="N568" s="1251">
        <v>16</v>
      </c>
      <c r="O568" s="1252">
        <v>8</v>
      </c>
    </row>
    <row r="569" spans="1:15">
      <c r="A569" s="1246" t="s">
        <v>1490</v>
      </c>
      <c r="B569" s="1246" t="s">
        <v>429</v>
      </c>
      <c r="C569" s="1247">
        <v>0.16</v>
      </c>
      <c r="E569" s="1246" t="s">
        <v>370</v>
      </c>
      <c r="F569" s="1248">
        <v>2</v>
      </c>
      <c r="G569" s="1248">
        <v>2</v>
      </c>
      <c r="H569" s="1249">
        <v>1</v>
      </c>
      <c r="I569" s="1246" t="s">
        <v>1491</v>
      </c>
      <c r="J569" s="1246" t="s">
        <v>1399</v>
      </c>
      <c r="K569" s="1284" t="str">
        <f t="shared" si="8"/>
        <v>30</v>
      </c>
      <c r="L569" s="1246" t="s">
        <v>1528</v>
      </c>
      <c r="M569" s="1250">
        <v>3</v>
      </c>
      <c r="N569" s="1251">
        <v>18</v>
      </c>
      <c r="O569" s="1252">
        <v>9</v>
      </c>
    </row>
    <row r="570" spans="1:15">
      <c r="A570" s="1246" t="s">
        <v>1493</v>
      </c>
      <c r="B570" s="1246" t="s">
        <v>429</v>
      </c>
      <c r="C570" s="1247">
        <v>0.16</v>
      </c>
      <c r="E570" s="1246" t="s">
        <v>370</v>
      </c>
      <c r="F570" s="1248">
        <v>2</v>
      </c>
      <c r="G570" s="1248">
        <v>2</v>
      </c>
      <c r="H570" s="1249">
        <v>1</v>
      </c>
      <c r="I570" s="1246" t="s">
        <v>1491</v>
      </c>
      <c r="J570" s="1246" t="s">
        <v>1397</v>
      </c>
      <c r="K570" s="1284" t="str">
        <f t="shared" si="8"/>
        <v>10</v>
      </c>
      <c r="L570" s="1246" t="s">
        <v>1532</v>
      </c>
      <c r="M570" s="1250">
        <v>9</v>
      </c>
      <c r="N570" s="1251">
        <v>2</v>
      </c>
      <c r="O570" s="1252">
        <v>1</v>
      </c>
    </row>
    <row r="571" spans="1:15">
      <c r="A571" s="1246" t="s">
        <v>1493</v>
      </c>
      <c r="B571" s="1246" t="s">
        <v>429</v>
      </c>
      <c r="C571" s="1247">
        <v>0.16</v>
      </c>
      <c r="E571" s="1246" t="s">
        <v>376</v>
      </c>
      <c r="F571" s="1248">
        <v>2</v>
      </c>
      <c r="G571" s="1248">
        <v>2</v>
      </c>
      <c r="H571" s="1249">
        <v>1</v>
      </c>
      <c r="I571" s="1246" t="s">
        <v>1491</v>
      </c>
      <c r="J571" s="1246" t="s">
        <v>1436</v>
      </c>
      <c r="K571" s="1284" t="str">
        <f t="shared" si="8"/>
        <v>11</v>
      </c>
      <c r="L571" s="1246" t="s">
        <v>1496</v>
      </c>
      <c r="M571" s="1250">
        <v>9</v>
      </c>
      <c r="N571" s="1251">
        <v>2</v>
      </c>
      <c r="O571" s="1252">
        <v>1</v>
      </c>
    </row>
    <row r="572" spans="1:15">
      <c r="A572" s="1246" t="s">
        <v>1490</v>
      </c>
      <c r="B572" s="1246" t="s">
        <v>429</v>
      </c>
      <c r="C572" s="1247">
        <v>0.16</v>
      </c>
      <c r="F572" s="1248">
        <v>2</v>
      </c>
      <c r="G572" s="1248">
        <v>3</v>
      </c>
      <c r="H572" s="1249">
        <v>1</v>
      </c>
      <c r="I572" s="1246" t="s">
        <v>1491</v>
      </c>
      <c r="J572" s="1246" t="s">
        <v>1454</v>
      </c>
      <c r="K572" s="1284" t="str">
        <f t="shared" si="8"/>
        <v>31</v>
      </c>
      <c r="L572" s="1246" t="s">
        <v>1523</v>
      </c>
      <c r="M572" s="1250">
        <v>3</v>
      </c>
      <c r="N572" s="1251">
        <v>2</v>
      </c>
      <c r="O572" s="1252">
        <v>1</v>
      </c>
    </row>
    <row r="573" spans="1:15">
      <c r="A573" s="1246" t="s">
        <v>1490</v>
      </c>
      <c r="B573" s="1246" t="s">
        <v>429</v>
      </c>
      <c r="C573" s="1247">
        <v>0.16</v>
      </c>
      <c r="F573" s="1248">
        <v>3</v>
      </c>
      <c r="G573" s="1248">
        <v>3</v>
      </c>
      <c r="H573" s="1249">
        <v>1</v>
      </c>
      <c r="I573" s="1246" t="s">
        <v>1491</v>
      </c>
      <c r="J573" s="1246" t="s">
        <v>1460</v>
      </c>
      <c r="K573" s="1284" t="str">
        <f t="shared" si="8"/>
        <v>30</v>
      </c>
      <c r="L573" s="1246" t="s">
        <v>1497</v>
      </c>
      <c r="M573" s="1250">
        <v>1</v>
      </c>
      <c r="N573" s="1251">
        <v>3</v>
      </c>
      <c r="O573" s="1252">
        <v>1</v>
      </c>
    </row>
    <row r="574" spans="1:15">
      <c r="A574" s="1246" t="s">
        <v>1493</v>
      </c>
      <c r="B574" s="1246" t="s">
        <v>429</v>
      </c>
      <c r="C574" s="1247">
        <v>0.16</v>
      </c>
      <c r="E574" s="1246" t="s">
        <v>370</v>
      </c>
      <c r="F574" s="1248">
        <v>3</v>
      </c>
      <c r="G574" s="1248">
        <v>3</v>
      </c>
      <c r="H574" s="1249">
        <v>1</v>
      </c>
      <c r="I574" s="1246" t="s">
        <v>1491</v>
      </c>
      <c r="J574" s="1246" t="s">
        <v>1443</v>
      </c>
      <c r="K574" s="1284" t="str">
        <f t="shared" si="8"/>
        <v>1C</v>
      </c>
      <c r="L574" s="1246" t="s">
        <v>1502</v>
      </c>
      <c r="M574" s="1250">
        <v>4</v>
      </c>
      <c r="N574" s="1251">
        <v>3</v>
      </c>
      <c r="O574" s="1252">
        <v>1</v>
      </c>
    </row>
    <row r="575" spans="1:15">
      <c r="A575" s="1246" t="s">
        <v>1490</v>
      </c>
      <c r="B575" s="1246" t="s">
        <v>429</v>
      </c>
      <c r="C575" s="1247">
        <v>0.16</v>
      </c>
      <c r="F575" s="1248">
        <v>3</v>
      </c>
      <c r="G575" s="1248">
        <v>3</v>
      </c>
      <c r="H575" s="1249">
        <v>1</v>
      </c>
      <c r="I575" s="1246" t="s">
        <v>1491</v>
      </c>
      <c r="J575" s="1246" t="s">
        <v>1460</v>
      </c>
      <c r="K575" s="1284" t="str">
        <f t="shared" si="8"/>
        <v>30</v>
      </c>
      <c r="L575" s="1246" t="s">
        <v>1498</v>
      </c>
      <c r="M575" s="1250">
        <v>2</v>
      </c>
      <c r="N575" s="1251">
        <v>3</v>
      </c>
      <c r="O575" s="1252">
        <v>1</v>
      </c>
    </row>
    <row r="576" spans="1:15">
      <c r="A576" s="1246" t="s">
        <v>1490</v>
      </c>
      <c r="B576" s="1246" t="s">
        <v>429</v>
      </c>
      <c r="C576" s="1247">
        <v>0.16</v>
      </c>
      <c r="F576" s="1248">
        <v>3</v>
      </c>
      <c r="G576" s="1248">
        <v>3</v>
      </c>
      <c r="H576" s="1249">
        <v>1</v>
      </c>
      <c r="I576" s="1246" t="s">
        <v>1491</v>
      </c>
      <c r="J576" s="1246" t="s">
        <v>1460</v>
      </c>
      <c r="K576" s="1284" t="str">
        <f t="shared" si="8"/>
        <v>30</v>
      </c>
      <c r="L576" s="1246" t="s">
        <v>1499</v>
      </c>
      <c r="M576" s="1250">
        <v>5</v>
      </c>
      <c r="N576" s="1251">
        <v>3</v>
      </c>
      <c r="O576" s="1252">
        <v>1</v>
      </c>
    </row>
    <row r="577" spans="1:15">
      <c r="A577" s="1246" t="s">
        <v>1490</v>
      </c>
      <c r="B577" s="1246" t="s">
        <v>429</v>
      </c>
      <c r="C577" s="1247">
        <v>0.16</v>
      </c>
      <c r="F577" s="1248">
        <v>3</v>
      </c>
      <c r="G577" s="1248">
        <v>3</v>
      </c>
      <c r="H577" s="1249">
        <v>1</v>
      </c>
      <c r="I577" s="1246" t="s">
        <v>1491</v>
      </c>
      <c r="J577" s="1246" t="s">
        <v>1457</v>
      </c>
      <c r="K577" s="1284" t="str">
        <f t="shared" si="8"/>
        <v>35</v>
      </c>
      <c r="L577" s="1246" t="s">
        <v>1501</v>
      </c>
      <c r="M577" s="1250">
        <v>1</v>
      </c>
      <c r="N577" s="1251">
        <v>6</v>
      </c>
      <c r="O577" s="1252">
        <v>2</v>
      </c>
    </row>
    <row r="578" spans="1:15">
      <c r="A578" s="1246" t="s">
        <v>1490</v>
      </c>
      <c r="B578" s="1246" t="s">
        <v>429</v>
      </c>
      <c r="C578" s="1247">
        <v>0.16</v>
      </c>
      <c r="F578" s="1248">
        <v>3</v>
      </c>
      <c r="G578" s="1248">
        <v>3</v>
      </c>
      <c r="H578" s="1249">
        <v>1</v>
      </c>
      <c r="I578" s="1246" t="s">
        <v>1491</v>
      </c>
      <c r="J578" s="1246" t="s">
        <v>1399</v>
      </c>
      <c r="K578" s="1284" t="str">
        <f t="shared" ref="K578:K641" si="9">IF(J578="1B","10", IF(J578="2B","20",IF(J578="3B","30",IF(J578="7B",70,J578))))</f>
        <v>30</v>
      </c>
      <c r="L578" s="1246" t="s">
        <v>1510</v>
      </c>
      <c r="M578" s="1250">
        <v>1</v>
      </c>
      <c r="N578" s="1251">
        <v>6</v>
      </c>
      <c r="O578" s="1252">
        <v>2</v>
      </c>
    </row>
    <row r="579" spans="1:15">
      <c r="A579" s="1246" t="s">
        <v>1490</v>
      </c>
      <c r="B579" s="1246" t="s">
        <v>429</v>
      </c>
      <c r="C579" s="1247">
        <v>0.16</v>
      </c>
      <c r="F579" s="1248">
        <v>3</v>
      </c>
      <c r="G579" s="1248">
        <v>3</v>
      </c>
      <c r="H579" s="1249">
        <v>1</v>
      </c>
      <c r="I579" s="1246" t="s">
        <v>1491</v>
      </c>
      <c r="J579" s="1246" t="s">
        <v>1454</v>
      </c>
      <c r="K579" s="1284" t="str">
        <f t="shared" si="9"/>
        <v>31</v>
      </c>
      <c r="L579" s="1246" t="s">
        <v>1500</v>
      </c>
      <c r="M579" s="1250">
        <v>2</v>
      </c>
      <c r="N579" s="1251">
        <v>9</v>
      </c>
      <c r="O579" s="1252">
        <v>3</v>
      </c>
    </row>
    <row r="580" spans="1:15">
      <c r="A580" s="1246" t="s">
        <v>1490</v>
      </c>
      <c r="B580" s="1246" t="s">
        <v>429</v>
      </c>
      <c r="C580" s="1247">
        <v>0.16</v>
      </c>
      <c r="F580" s="1248">
        <v>3</v>
      </c>
      <c r="G580" s="1248">
        <v>3</v>
      </c>
      <c r="H580" s="1249">
        <v>1</v>
      </c>
      <c r="I580" s="1246" t="s">
        <v>1491</v>
      </c>
      <c r="J580" s="1246" t="s">
        <v>1399</v>
      </c>
      <c r="K580" s="1284" t="str">
        <f t="shared" si="9"/>
        <v>30</v>
      </c>
      <c r="L580" s="1246" t="s">
        <v>1515</v>
      </c>
      <c r="M580" s="1250">
        <v>2</v>
      </c>
      <c r="N580" s="1251">
        <v>3</v>
      </c>
      <c r="O580" s="1252">
        <v>1</v>
      </c>
    </row>
    <row r="581" spans="1:15">
      <c r="A581" s="1246" t="s">
        <v>1490</v>
      </c>
      <c r="B581" s="1246" t="s">
        <v>429</v>
      </c>
      <c r="C581" s="1247">
        <v>0.16</v>
      </c>
      <c r="E581" s="1246" t="s">
        <v>370</v>
      </c>
      <c r="F581" s="1248">
        <v>3</v>
      </c>
      <c r="G581" s="1248">
        <v>3</v>
      </c>
      <c r="H581" s="1249">
        <v>1</v>
      </c>
      <c r="I581" s="1246" t="s">
        <v>1491</v>
      </c>
      <c r="J581" s="1246" t="s">
        <v>1457</v>
      </c>
      <c r="K581" s="1284" t="str">
        <f t="shared" si="9"/>
        <v>35</v>
      </c>
      <c r="L581" s="1246" t="s">
        <v>1517</v>
      </c>
      <c r="M581" s="1250">
        <v>2</v>
      </c>
      <c r="N581" s="1251">
        <v>6</v>
      </c>
      <c r="O581" s="1252">
        <v>2</v>
      </c>
    </row>
    <row r="582" spans="1:15">
      <c r="A582" s="1246" t="s">
        <v>1490</v>
      </c>
      <c r="B582" s="1246" t="s">
        <v>429</v>
      </c>
      <c r="C582" s="1247">
        <v>0.16</v>
      </c>
      <c r="F582" s="1248">
        <v>3</v>
      </c>
      <c r="G582" s="1248">
        <v>3</v>
      </c>
      <c r="H582" s="1249">
        <v>1</v>
      </c>
      <c r="I582" s="1246" t="s">
        <v>1491</v>
      </c>
      <c r="J582" s="1246" t="s">
        <v>1457</v>
      </c>
      <c r="K582" s="1284" t="str">
        <f t="shared" si="9"/>
        <v>35</v>
      </c>
      <c r="L582" s="1246" t="s">
        <v>1517</v>
      </c>
      <c r="M582" s="1250">
        <v>2</v>
      </c>
      <c r="N582" s="1251">
        <v>15</v>
      </c>
      <c r="O582" s="1252">
        <v>5</v>
      </c>
    </row>
    <row r="583" spans="1:15">
      <c r="A583" s="1246" t="s">
        <v>1490</v>
      </c>
      <c r="B583" s="1246" t="s">
        <v>429</v>
      </c>
      <c r="C583" s="1247">
        <v>0.16</v>
      </c>
      <c r="E583" s="1246" t="s">
        <v>370</v>
      </c>
      <c r="F583" s="1248">
        <v>3</v>
      </c>
      <c r="G583" s="1248">
        <v>3</v>
      </c>
      <c r="H583" s="1249">
        <v>1</v>
      </c>
      <c r="I583" s="1246" t="s">
        <v>1491</v>
      </c>
      <c r="J583" s="1246" t="s">
        <v>1456</v>
      </c>
      <c r="K583" s="1284" t="str">
        <f t="shared" si="9"/>
        <v>33</v>
      </c>
      <c r="L583" s="1246" t="s">
        <v>1519</v>
      </c>
      <c r="M583" s="1250">
        <v>2</v>
      </c>
      <c r="N583" s="1251">
        <v>3</v>
      </c>
      <c r="O583" s="1252">
        <v>1</v>
      </c>
    </row>
    <row r="584" spans="1:15">
      <c r="A584" s="1246" t="s">
        <v>1490</v>
      </c>
      <c r="B584" s="1246" t="s">
        <v>429</v>
      </c>
      <c r="C584" s="1247">
        <v>0.16</v>
      </c>
      <c r="E584" s="1246" t="s">
        <v>370</v>
      </c>
      <c r="F584" s="1248">
        <v>3</v>
      </c>
      <c r="G584" s="1248">
        <v>3</v>
      </c>
      <c r="H584" s="1249">
        <v>1</v>
      </c>
      <c r="I584" s="1246" t="s">
        <v>1491</v>
      </c>
      <c r="J584" s="1246" t="s">
        <v>1457</v>
      </c>
      <c r="K584" s="1284" t="str">
        <f t="shared" si="9"/>
        <v>35</v>
      </c>
      <c r="L584" s="1246" t="s">
        <v>1527</v>
      </c>
      <c r="M584" s="1250">
        <v>3</v>
      </c>
      <c r="N584" s="1251">
        <v>3</v>
      </c>
      <c r="O584" s="1252">
        <v>1</v>
      </c>
    </row>
    <row r="585" spans="1:15">
      <c r="A585" s="1246" t="s">
        <v>1490</v>
      </c>
      <c r="B585" s="1246" t="s">
        <v>429</v>
      </c>
      <c r="C585" s="1247">
        <v>0.16</v>
      </c>
      <c r="F585" s="1248">
        <v>3</v>
      </c>
      <c r="G585" s="1248">
        <v>3</v>
      </c>
      <c r="H585" s="1249">
        <v>1</v>
      </c>
      <c r="I585" s="1246" t="s">
        <v>1491</v>
      </c>
      <c r="J585" s="1246" t="s">
        <v>1457</v>
      </c>
      <c r="K585" s="1284" t="str">
        <f t="shared" si="9"/>
        <v>35</v>
      </c>
      <c r="L585" s="1246" t="s">
        <v>1527</v>
      </c>
      <c r="M585" s="1250">
        <v>3</v>
      </c>
      <c r="N585" s="1251">
        <v>15</v>
      </c>
      <c r="O585" s="1252">
        <v>5</v>
      </c>
    </row>
    <row r="586" spans="1:15">
      <c r="A586" s="1246" t="s">
        <v>1490</v>
      </c>
      <c r="B586" s="1246" t="s">
        <v>429</v>
      </c>
      <c r="C586" s="1247">
        <v>0.16</v>
      </c>
      <c r="F586" s="1248">
        <v>3</v>
      </c>
      <c r="G586" s="1248">
        <v>3</v>
      </c>
      <c r="H586" s="1249">
        <v>1</v>
      </c>
      <c r="I586" s="1246" t="s">
        <v>1491</v>
      </c>
      <c r="J586" s="1246" t="s">
        <v>1399</v>
      </c>
      <c r="K586" s="1284" t="str">
        <f t="shared" si="9"/>
        <v>30</v>
      </c>
      <c r="L586" s="1246" t="s">
        <v>1528</v>
      </c>
      <c r="M586" s="1250">
        <v>3</v>
      </c>
      <c r="N586" s="1251">
        <v>6</v>
      </c>
      <c r="O586" s="1252">
        <v>2</v>
      </c>
    </row>
    <row r="587" spans="1:15">
      <c r="A587" s="1246" t="s">
        <v>1493</v>
      </c>
      <c r="B587" s="1246" t="s">
        <v>429</v>
      </c>
      <c r="C587" s="1247">
        <v>0.16</v>
      </c>
      <c r="E587" s="1246" t="s">
        <v>376</v>
      </c>
      <c r="F587" s="1248">
        <v>3</v>
      </c>
      <c r="G587" s="1248">
        <v>6</v>
      </c>
      <c r="H587" s="1249">
        <v>1</v>
      </c>
      <c r="I587" s="1246" t="s">
        <v>1491</v>
      </c>
      <c r="J587" s="1246" t="s">
        <v>1438</v>
      </c>
      <c r="K587" s="1284" t="str">
        <f t="shared" si="9"/>
        <v>13</v>
      </c>
      <c r="L587" s="1246" t="s">
        <v>1533</v>
      </c>
      <c r="M587" s="1250">
        <v>9</v>
      </c>
      <c r="N587" s="1251">
        <v>3</v>
      </c>
      <c r="O587" s="1252">
        <v>1</v>
      </c>
    </row>
    <row r="588" spans="1:15">
      <c r="A588" s="1246" t="s">
        <v>1490</v>
      </c>
      <c r="B588" s="1246" t="s">
        <v>429</v>
      </c>
      <c r="C588" s="1247">
        <v>0.16</v>
      </c>
      <c r="F588" s="1248">
        <v>4</v>
      </c>
      <c r="G588" s="1248">
        <v>4</v>
      </c>
      <c r="H588" s="1249">
        <v>1</v>
      </c>
      <c r="I588" s="1246" t="s">
        <v>1491</v>
      </c>
      <c r="J588" s="1246" t="s">
        <v>1460</v>
      </c>
      <c r="K588" s="1284" t="str">
        <f t="shared" si="9"/>
        <v>30</v>
      </c>
      <c r="L588" s="1246" t="s">
        <v>1499</v>
      </c>
      <c r="M588" s="1250">
        <v>5</v>
      </c>
      <c r="N588" s="1251">
        <v>4</v>
      </c>
      <c r="O588" s="1252">
        <v>1</v>
      </c>
    </row>
    <row r="589" spans="1:15">
      <c r="A589" s="1246" t="s">
        <v>1490</v>
      </c>
      <c r="B589" s="1246" t="s">
        <v>429</v>
      </c>
      <c r="C589" s="1247">
        <v>0.16</v>
      </c>
      <c r="E589" s="1246" t="s">
        <v>370</v>
      </c>
      <c r="F589" s="1248">
        <v>4</v>
      </c>
      <c r="G589" s="1248">
        <v>4</v>
      </c>
      <c r="H589" s="1249">
        <v>1</v>
      </c>
      <c r="I589" s="1246" t="s">
        <v>1491</v>
      </c>
      <c r="J589" s="1246" t="s">
        <v>1457</v>
      </c>
      <c r="K589" s="1284" t="str">
        <f t="shared" si="9"/>
        <v>35</v>
      </c>
      <c r="L589" s="1246" t="s">
        <v>1517</v>
      </c>
      <c r="M589" s="1250">
        <v>2</v>
      </c>
      <c r="N589" s="1251">
        <v>4</v>
      </c>
      <c r="O589" s="1252">
        <v>1</v>
      </c>
    </row>
    <row r="590" spans="1:15">
      <c r="A590" s="1246" t="s">
        <v>1493</v>
      </c>
      <c r="B590" s="1246" t="s">
        <v>429</v>
      </c>
      <c r="C590" s="1247">
        <v>0.16</v>
      </c>
      <c r="E590" s="1246" t="s">
        <v>370</v>
      </c>
      <c r="F590" s="1248">
        <v>4</v>
      </c>
      <c r="G590" s="1248">
        <v>4</v>
      </c>
      <c r="H590" s="1249">
        <v>1</v>
      </c>
      <c r="I590" s="1246" t="s">
        <v>1491</v>
      </c>
      <c r="J590" s="1246" t="s">
        <v>1436</v>
      </c>
      <c r="K590" s="1284" t="str">
        <f t="shared" si="9"/>
        <v>11</v>
      </c>
      <c r="L590" s="1246" t="s">
        <v>1495</v>
      </c>
      <c r="M590" s="1250">
        <v>9</v>
      </c>
      <c r="N590" s="1251">
        <v>4</v>
      </c>
      <c r="O590" s="1252">
        <v>1</v>
      </c>
    </row>
    <row r="591" spans="1:15">
      <c r="A591" s="1246" t="s">
        <v>1490</v>
      </c>
      <c r="B591" s="1246" t="s">
        <v>429</v>
      </c>
      <c r="C591" s="1247">
        <v>0.16</v>
      </c>
      <c r="E591" s="1246" t="s">
        <v>370</v>
      </c>
      <c r="F591" s="1248">
        <v>5</v>
      </c>
      <c r="G591" s="1248">
        <v>5</v>
      </c>
      <c r="H591" s="1249">
        <v>1</v>
      </c>
      <c r="I591" s="1246" t="s">
        <v>1491</v>
      </c>
      <c r="J591" s="1246" t="s">
        <v>1455</v>
      </c>
      <c r="K591" s="1284" t="str">
        <f t="shared" si="9"/>
        <v>32</v>
      </c>
      <c r="L591" s="1246" t="s">
        <v>1522</v>
      </c>
      <c r="M591" s="1250">
        <v>3</v>
      </c>
      <c r="N591" s="1251">
        <v>5</v>
      </c>
      <c r="O591" s="1252">
        <v>1</v>
      </c>
    </row>
    <row r="592" spans="1:15">
      <c r="A592" s="1246" t="s">
        <v>1493</v>
      </c>
      <c r="B592" s="1246" t="s">
        <v>429</v>
      </c>
      <c r="C592" s="1247">
        <v>0.16</v>
      </c>
      <c r="E592" s="1246" t="s">
        <v>376</v>
      </c>
      <c r="F592" s="1248">
        <v>6</v>
      </c>
      <c r="G592" s="1248">
        <v>6</v>
      </c>
      <c r="H592" s="1249">
        <v>1</v>
      </c>
      <c r="I592" s="1246" t="s">
        <v>1491</v>
      </c>
      <c r="J592" s="1246" t="s">
        <v>1436</v>
      </c>
      <c r="K592" s="1284" t="str">
        <f t="shared" si="9"/>
        <v>11</v>
      </c>
      <c r="L592" s="1246" t="s">
        <v>1496</v>
      </c>
      <c r="M592" s="1250">
        <v>9</v>
      </c>
      <c r="N592" s="1251">
        <v>12</v>
      </c>
      <c r="O592" s="1252">
        <v>2</v>
      </c>
    </row>
    <row r="593" spans="1:15">
      <c r="A593" s="1246" t="s">
        <v>1493</v>
      </c>
      <c r="B593" s="1246" t="s">
        <v>429</v>
      </c>
      <c r="C593" s="1247">
        <v>0.16</v>
      </c>
      <c r="E593" s="1246" t="s">
        <v>376</v>
      </c>
      <c r="F593" s="1248">
        <v>7</v>
      </c>
      <c r="G593" s="1248">
        <v>7</v>
      </c>
      <c r="H593" s="1249">
        <v>1</v>
      </c>
      <c r="I593" s="1246" t="s">
        <v>1491</v>
      </c>
      <c r="J593" s="1246" t="s">
        <v>1436</v>
      </c>
      <c r="K593" s="1284" t="str">
        <f t="shared" si="9"/>
        <v>11</v>
      </c>
      <c r="L593" s="1246" t="s">
        <v>1496</v>
      </c>
      <c r="M593" s="1250">
        <v>9</v>
      </c>
      <c r="N593" s="1251">
        <v>7</v>
      </c>
      <c r="O593" s="1252">
        <v>1</v>
      </c>
    </row>
    <row r="594" spans="1:15">
      <c r="A594" s="1246" t="s">
        <v>1493</v>
      </c>
      <c r="B594" s="1246" t="s">
        <v>429</v>
      </c>
      <c r="C594" s="1247">
        <v>0.16</v>
      </c>
      <c r="E594" s="1246" t="s">
        <v>376</v>
      </c>
      <c r="F594" s="1248">
        <v>9</v>
      </c>
      <c r="G594" s="1248">
        <v>9</v>
      </c>
      <c r="H594" s="1249">
        <v>1</v>
      </c>
      <c r="I594" s="1246" t="s">
        <v>1491</v>
      </c>
      <c r="J594" s="1246" t="s">
        <v>1397</v>
      </c>
      <c r="K594" s="1284" t="str">
        <f t="shared" si="9"/>
        <v>10</v>
      </c>
      <c r="L594" s="1246" t="s">
        <v>1532</v>
      </c>
      <c r="M594" s="1250">
        <v>9</v>
      </c>
      <c r="N594" s="1251">
        <v>9</v>
      </c>
      <c r="O594" s="1252">
        <v>1</v>
      </c>
    </row>
    <row r="595" spans="1:15">
      <c r="A595" s="1246" t="s">
        <v>1493</v>
      </c>
      <c r="B595" s="1246" t="s">
        <v>429</v>
      </c>
      <c r="C595" s="1247">
        <v>0.16</v>
      </c>
      <c r="E595" s="1246" t="s">
        <v>376</v>
      </c>
      <c r="F595" s="1248">
        <v>9</v>
      </c>
      <c r="G595" s="1248">
        <v>9</v>
      </c>
      <c r="H595" s="1249">
        <v>1</v>
      </c>
      <c r="I595" s="1246" t="s">
        <v>1491</v>
      </c>
      <c r="J595" s="1246" t="s">
        <v>1436</v>
      </c>
      <c r="K595" s="1284" t="str">
        <f t="shared" si="9"/>
        <v>11</v>
      </c>
      <c r="L595" s="1246" t="s">
        <v>1496</v>
      </c>
      <c r="M595" s="1250">
        <v>9</v>
      </c>
      <c r="N595" s="1251">
        <v>9</v>
      </c>
      <c r="O595" s="1252">
        <v>1</v>
      </c>
    </row>
    <row r="596" spans="1:15">
      <c r="A596" s="1246" t="s">
        <v>1493</v>
      </c>
      <c r="B596" s="1246" t="s">
        <v>429</v>
      </c>
      <c r="C596" s="1247">
        <v>0.16</v>
      </c>
      <c r="E596" s="1246" t="s">
        <v>376</v>
      </c>
      <c r="F596" s="1248">
        <v>10</v>
      </c>
      <c r="G596" s="1248">
        <v>10</v>
      </c>
      <c r="H596" s="1249">
        <v>1</v>
      </c>
      <c r="I596" s="1246" t="s">
        <v>1491</v>
      </c>
      <c r="J596" s="1246" t="s">
        <v>1436</v>
      </c>
      <c r="K596" s="1284" t="str">
        <f t="shared" si="9"/>
        <v>11</v>
      </c>
      <c r="L596" s="1246" t="s">
        <v>1496</v>
      </c>
      <c r="M596" s="1250">
        <v>9</v>
      </c>
      <c r="N596" s="1251">
        <v>20</v>
      </c>
      <c r="O596" s="1252">
        <v>2</v>
      </c>
    </row>
    <row r="597" spans="1:15">
      <c r="A597" s="1246" t="s">
        <v>1493</v>
      </c>
      <c r="B597" s="1246" t="s">
        <v>429</v>
      </c>
      <c r="C597" s="1247">
        <v>0.16</v>
      </c>
      <c r="E597" s="1246" t="s">
        <v>376</v>
      </c>
      <c r="F597" s="1248">
        <v>11</v>
      </c>
      <c r="G597" s="1248">
        <v>11</v>
      </c>
      <c r="H597" s="1249">
        <v>1</v>
      </c>
      <c r="I597" s="1246" t="s">
        <v>1491</v>
      </c>
      <c r="J597" s="1246" t="s">
        <v>1436</v>
      </c>
      <c r="K597" s="1284" t="str">
        <f t="shared" si="9"/>
        <v>11</v>
      </c>
      <c r="L597" s="1246" t="s">
        <v>1496</v>
      </c>
      <c r="M597" s="1250">
        <v>9</v>
      </c>
      <c r="N597" s="1251">
        <v>11</v>
      </c>
      <c r="O597" s="1252">
        <v>1</v>
      </c>
    </row>
    <row r="598" spans="1:15">
      <c r="A598" s="1246" t="s">
        <v>1493</v>
      </c>
      <c r="B598" s="1246" t="s">
        <v>429</v>
      </c>
      <c r="C598" s="1247">
        <v>0.16</v>
      </c>
      <c r="E598" s="1246" t="s">
        <v>376</v>
      </c>
      <c r="F598" s="1248">
        <v>12</v>
      </c>
      <c r="G598" s="1248">
        <v>12</v>
      </c>
      <c r="H598" s="1249">
        <v>1</v>
      </c>
      <c r="I598" s="1246" t="s">
        <v>1491</v>
      </c>
      <c r="J598" s="1246" t="s">
        <v>1436</v>
      </c>
      <c r="K598" s="1284" t="str">
        <f t="shared" si="9"/>
        <v>11</v>
      </c>
      <c r="L598" s="1246" t="s">
        <v>1496</v>
      </c>
      <c r="M598" s="1250">
        <v>9</v>
      </c>
      <c r="N598" s="1251">
        <v>12</v>
      </c>
      <c r="O598" s="1252">
        <v>1</v>
      </c>
    </row>
    <row r="599" spans="1:15">
      <c r="A599" s="1246" t="s">
        <v>1493</v>
      </c>
      <c r="B599" s="1246" t="s">
        <v>429</v>
      </c>
      <c r="C599" s="1247">
        <v>0.16</v>
      </c>
      <c r="E599" s="1246" t="s">
        <v>376</v>
      </c>
      <c r="F599" s="1248">
        <v>17</v>
      </c>
      <c r="G599" s="1248">
        <v>17</v>
      </c>
      <c r="H599" s="1249">
        <v>1</v>
      </c>
      <c r="I599" s="1246" t="s">
        <v>1491</v>
      </c>
      <c r="J599" s="1246" t="s">
        <v>1436</v>
      </c>
      <c r="K599" s="1284" t="str">
        <f t="shared" si="9"/>
        <v>11</v>
      </c>
      <c r="L599" s="1246" t="s">
        <v>1496</v>
      </c>
      <c r="M599" s="1250">
        <v>9</v>
      </c>
      <c r="N599" s="1251">
        <v>17</v>
      </c>
      <c r="O599" s="1252">
        <v>1</v>
      </c>
    </row>
    <row r="600" spans="1:15">
      <c r="A600" s="1246" t="s">
        <v>1493</v>
      </c>
      <c r="B600" s="1246" t="s">
        <v>429</v>
      </c>
      <c r="C600" s="1247">
        <v>0.16</v>
      </c>
      <c r="E600" s="1246" t="s">
        <v>376</v>
      </c>
      <c r="F600" s="1248">
        <v>18</v>
      </c>
      <c r="G600" s="1248">
        <v>18</v>
      </c>
      <c r="H600" s="1249">
        <v>1</v>
      </c>
      <c r="I600" s="1246" t="s">
        <v>1491</v>
      </c>
      <c r="J600" s="1246" t="s">
        <v>1436</v>
      </c>
      <c r="K600" s="1284" t="str">
        <f t="shared" si="9"/>
        <v>11</v>
      </c>
      <c r="L600" s="1246" t="s">
        <v>1496</v>
      </c>
      <c r="M600" s="1250">
        <v>9</v>
      </c>
      <c r="N600" s="1251">
        <v>18</v>
      </c>
      <c r="O600" s="1252">
        <v>1</v>
      </c>
    </row>
    <row r="601" spans="1:15">
      <c r="A601" s="1246" t="s">
        <v>1493</v>
      </c>
      <c r="B601" s="1246" t="s">
        <v>429</v>
      </c>
      <c r="C601" s="1247">
        <v>0.16</v>
      </c>
      <c r="E601" s="1246" t="s">
        <v>376</v>
      </c>
      <c r="F601" s="1248">
        <v>20</v>
      </c>
      <c r="G601" s="1248">
        <v>20</v>
      </c>
      <c r="H601" s="1249">
        <v>1</v>
      </c>
      <c r="I601" s="1246" t="s">
        <v>1491</v>
      </c>
      <c r="J601" s="1246" t="s">
        <v>1436</v>
      </c>
      <c r="K601" s="1284" t="str">
        <f t="shared" si="9"/>
        <v>11</v>
      </c>
      <c r="L601" s="1246" t="s">
        <v>1496</v>
      </c>
      <c r="M601" s="1250">
        <v>9</v>
      </c>
      <c r="N601" s="1251">
        <v>20</v>
      </c>
      <c r="O601" s="1252">
        <v>1</v>
      </c>
    </row>
    <row r="602" spans="1:15">
      <c r="A602" s="1246" t="s">
        <v>1493</v>
      </c>
      <c r="B602" s="1246" t="s">
        <v>429</v>
      </c>
      <c r="C602" s="1247">
        <v>0.16</v>
      </c>
      <c r="E602" s="1246" t="s">
        <v>376</v>
      </c>
      <c r="F602" s="1248">
        <v>28</v>
      </c>
      <c r="G602" s="1248">
        <v>28</v>
      </c>
      <c r="H602" s="1249">
        <v>1</v>
      </c>
      <c r="I602" s="1246" t="s">
        <v>1491</v>
      </c>
      <c r="J602" s="1246" t="s">
        <v>1397</v>
      </c>
      <c r="K602" s="1284" t="str">
        <f t="shared" si="9"/>
        <v>10</v>
      </c>
      <c r="L602" s="1246" t="s">
        <v>1532</v>
      </c>
      <c r="M602" s="1250">
        <v>9</v>
      </c>
      <c r="N602" s="1251">
        <v>28</v>
      </c>
      <c r="O602" s="1252">
        <v>1</v>
      </c>
    </row>
    <row r="603" spans="1:15">
      <c r="A603" s="1246" t="s">
        <v>1493</v>
      </c>
      <c r="B603" s="1246" t="s">
        <v>429</v>
      </c>
      <c r="C603" s="1247">
        <v>0.16</v>
      </c>
      <c r="E603" s="1246" t="s">
        <v>376</v>
      </c>
      <c r="F603" s="1248">
        <v>40</v>
      </c>
      <c r="G603" s="1248">
        <v>40</v>
      </c>
      <c r="H603" s="1249">
        <v>1</v>
      </c>
      <c r="I603" s="1246" t="s">
        <v>1491</v>
      </c>
      <c r="J603" s="1246" t="s">
        <v>1436</v>
      </c>
      <c r="K603" s="1284" t="str">
        <f t="shared" si="9"/>
        <v>11</v>
      </c>
      <c r="L603" s="1246" t="s">
        <v>1496</v>
      </c>
      <c r="M603" s="1250">
        <v>9</v>
      </c>
      <c r="N603" s="1251">
        <v>40</v>
      </c>
      <c r="O603" s="1252">
        <v>1</v>
      </c>
    </row>
    <row r="604" spans="1:15">
      <c r="A604" s="1246" t="s">
        <v>1493</v>
      </c>
      <c r="B604" s="1246" t="s">
        <v>429</v>
      </c>
      <c r="C604" s="1247">
        <v>0.16</v>
      </c>
      <c r="E604" s="1246" t="s">
        <v>376</v>
      </c>
      <c r="F604" s="1248">
        <v>40</v>
      </c>
      <c r="G604" s="1248">
        <v>80</v>
      </c>
      <c r="H604" s="1249">
        <v>1</v>
      </c>
      <c r="I604" s="1246" t="s">
        <v>1491</v>
      </c>
      <c r="J604" s="1246" t="s">
        <v>1436</v>
      </c>
      <c r="K604" s="1284" t="str">
        <f t="shared" si="9"/>
        <v>11</v>
      </c>
      <c r="L604" s="1246" t="s">
        <v>1496</v>
      </c>
      <c r="M604" s="1250">
        <v>9</v>
      </c>
      <c r="N604" s="1251">
        <v>40</v>
      </c>
      <c r="O604" s="1252">
        <v>1</v>
      </c>
    </row>
    <row r="605" spans="1:15">
      <c r="A605" s="1246" t="s">
        <v>1493</v>
      </c>
      <c r="B605" s="1246" t="s">
        <v>429</v>
      </c>
      <c r="C605" s="1247">
        <v>0.16</v>
      </c>
      <c r="E605" s="1246" t="s">
        <v>376</v>
      </c>
      <c r="F605" s="1248">
        <v>51</v>
      </c>
      <c r="G605" s="1248">
        <v>51</v>
      </c>
      <c r="H605" s="1249">
        <v>1</v>
      </c>
      <c r="I605" s="1246" t="s">
        <v>1491</v>
      </c>
      <c r="J605" s="1246" t="s">
        <v>1436</v>
      </c>
      <c r="K605" s="1284" t="str">
        <f t="shared" si="9"/>
        <v>11</v>
      </c>
      <c r="L605" s="1246" t="s">
        <v>1496</v>
      </c>
      <c r="M605" s="1250">
        <v>9</v>
      </c>
      <c r="N605" s="1251">
        <v>51</v>
      </c>
      <c r="O605" s="1252">
        <v>1</v>
      </c>
    </row>
    <row r="606" spans="1:15">
      <c r="A606" s="1246" t="s">
        <v>1493</v>
      </c>
      <c r="B606" s="1246" t="s">
        <v>429</v>
      </c>
      <c r="C606" s="1247">
        <v>0.16</v>
      </c>
      <c r="E606" s="1246" t="s">
        <v>376</v>
      </c>
      <c r="F606" s="1248">
        <v>54</v>
      </c>
      <c r="G606" s="1248">
        <v>54</v>
      </c>
      <c r="H606" s="1249">
        <v>1</v>
      </c>
      <c r="I606" s="1246" t="s">
        <v>1491</v>
      </c>
      <c r="J606" s="1246" t="s">
        <v>1436</v>
      </c>
      <c r="K606" s="1284" t="str">
        <f t="shared" si="9"/>
        <v>11</v>
      </c>
      <c r="L606" s="1246" t="s">
        <v>1496</v>
      </c>
      <c r="M606" s="1250">
        <v>9</v>
      </c>
      <c r="N606" s="1251">
        <v>54</v>
      </c>
      <c r="O606" s="1252">
        <v>1</v>
      </c>
    </row>
    <row r="607" spans="1:15">
      <c r="A607" s="1246" t="s">
        <v>1493</v>
      </c>
      <c r="B607" s="1246" t="s">
        <v>429</v>
      </c>
      <c r="C607" s="1247">
        <v>0.16</v>
      </c>
      <c r="E607" s="1246" t="s">
        <v>376</v>
      </c>
      <c r="F607" s="1248">
        <v>57</v>
      </c>
      <c r="G607" s="1248">
        <v>57</v>
      </c>
      <c r="H607" s="1249">
        <v>1</v>
      </c>
      <c r="I607" s="1246" t="s">
        <v>1491</v>
      </c>
      <c r="J607" s="1246" t="s">
        <v>1436</v>
      </c>
      <c r="K607" s="1284" t="str">
        <f t="shared" si="9"/>
        <v>11</v>
      </c>
      <c r="L607" s="1246" t="s">
        <v>1496</v>
      </c>
      <c r="M607" s="1250">
        <v>9</v>
      </c>
      <c r="N607" s="1251">
        <v>57</v>
      </c>
      <c r="O607" s="1252">
        <v>1</v>
      </c>
    </row>
    <row r="608" spans="1:15">
      <c r="A608" s="1246" t="s">
        <v>1493</v>
      </c>
      <c r="B608" s="1246" t="s">
        <v>429</v>
      </c>
      <c r="C608" s="1247">
        <v>0.16</v>
      </c>
      <c r="E608" s="1246" t="s">
        <v>376</v>
      </c>
      <c r="F608" s="1248">
        <v>61</v>
      </c>
      <c r="G608" s="1248">
        <v>61</v>
      </c>
      <c r="H608" s="1249">
        <v>1</v>
      </c>
      <c r="I608" s="1246" t="s">
        <v>1491</v>
      </c>
      <c r="J608" s="1246" t="s">
        <v>1436</v>
      </c>
      <c r="K608" s="1284" t="str">
        <f t="shared" si="9"/>
        <v>11</v>
      </c>
      <c r="L608" s="1246" t="s">
        <v>1496</v>
      </c>
      <c r="M608" s="1250">
        <v>9</v>
      </c>
      <c r="N608" s="1251">
        <v>61</v>
      </c>
      <c r="O608" s="1252">
        <v>1</v>
      </c>
    </row>
    <row r="609" spans="1:15">
      <c r="A609" s="1246" t="s">
        <v>1493</v>
      </c>
      <c r="B609" s="1246" t="s">
        <v>429</v>
      </c>
      <c r="C609" s="1247">
        <v>0.16</v>
      </c>
      <c r="E609" s="1246" t="s">
        <v>376</v>
      </c>
      <c r="F609" s="1248">
        <v>66</v>
      </c>
      <c r="G609" s="1248">
        <v>66</v>
      </c>
      <c r="H609" s="1249">
        <v>1</v>
      </c>
      <c r="I609" s="1246" t="s">
        <v>1491</v>
      </c>
      <c r="J609" s="1246" t="s">
        <v>1397</v>
      </c>
      <c r="K609" s="1284" t="str">
        <f t="shared" si="9"/>
        <v>10</v>
      </c>
      <c r="L609" s="1246" t="s">
        <v>1532</v>
      </c>
      <c r="M609" s="1250">
        <v>9</v>
      </c>
      <c r="N609" s="1251">
        <v>66</v>
      </c>
      <c r="O609" s="1252">
        <v>1</v>
      </c>
    </row>
    <row r="610" spans="1:15">
      <c r="A610" s="1246" t="s">
        <v>1490</v>
      </c>
      <c r="B610" s="1246" t="s">
        <v>429</v>
      </c>
      <c r="C610" s="1247">
        <v>0.23</v>
      </c>
      <c r="F610" s="1248">
        <v>1</v>
      </c>
      <c r="G610" s="1248">
        <v>1</v>
      </c>
      <c r="H610" s="1249">
        <v>1</v>
      </c>
      <c r="I610" s="1246" t="s">
        <v>1491</v>
      </c>
      <c r="J610" s="1246" t="s">
        <v>1461</v>
      </c>
      <c r="K610" s="1284" t="str">
        <f t="shared" si="9"/>
        <v>3C</v>
      </c>
      <c r="L610" s="1246" t="s">
        <v>1502</v>
      </c>
      <c r="M610" s="1250">
        <v>3</v>
      </c>
      <c r="N610" s="1251">
        <v>1</v>
      </c>
      <c r="O610" s="1252">
        <v>1</v>
      </c>
    </row>
    <row r="611" spans="1:15">
      <c r="A611" s="1246" t="s">
        <v>1493</v>
      </c>
      <c r="B611" s="1246" t="s">
        <v>432</v>
      </c>
      <c r="C611" s="1247">
        <v>1</v>
      </c>
      <c r="E611" s="1246" t="s">
        <v>370</v>
      </c>
      <c r="F611" s="1248">
        <v>1</v>
      </c>
      <c r="G611" s="1248">
        <v>0</v>
      </c>
      <c r="H611" s="1249">
        <v>0</v>
      </c>
      <c r="J611" s="1246" t="s">
        <v>1436</v>
      </c>
      <c r="K611" s="1284" t="str">
        <f t="shared" si="9"/>
        <v>11</v>
      </c>
      <c r="L611" s="1246" t="s">
        <v>1495</v>
      </c>
      <c r="M611" s="1250">
        <v>9</v>
      </c>
      <c r="N611" s="1251">
        <v>3</v>
      </c>
      <c r="O611" s="1252">
        <v>3</v>
      </c>
    </row>
    <row r="612" spans="1:15">
      <c r="A612" s="1246" t="s">
        <v>1493</v>
      </c>
      <c r="B612" s="1246" t="s">
        <v>432</v>
      </c>
      <c r="C612" s="1247">
        <v>1</v>
      </c>
      <c r="E612" s="1246" t="s">
        <v>1541</v>
      </c>
      <c r="F612" s="1248">
        <v>1</v>
      </c>
      <c r="G612" s="1248">
        <v>0</v>
      </c>
      <c r="H612" s="1249">
        <v>0</v>
      </c>
      <c r="J612" s="1246" t="s">
        <v>1436</v>
      </c>
      <c r="K612" s="1284" t="str">
        <f t="shared" si="9"/>
        <v>11</v>
      </c>
      <c r="L612" s="1246" t="s">
        <v>1495</v>
      </c>
      <c r="M612" s="1250">
        <v>9</v>
      </c>
      <c r="N612" s="1251">
        <v>1</v>
      </c>
      <c r="O612" s="1252">
        <v>1</v>
      </c>
    </row>
    <row r="613" spans="1:15">
      <c r="A613" s="1246" t="s">
        <v>683</v>
      </c>
      <c r="B613" s="1246" t="s">
        <v>432</v>
      </c>
      <c r="C613" s="1247">
        <v>1</v>
      </c>
      <c r="E613" s="1246" t="s">
        <v>370</v>
      </c>
      <c r="F613" s="1248">
        <v>1</v>
      </c>
      <c r="G613" s="1248">
        <v>0</v>
      </c>
      <c r="H613" s="1249">
        <v>0</v>
      </c>
      <c r="J613" s="1246" t="s">
        <v>1436</v>
      </c>
      <c r="K613" s="1284" t="str">
        <f t="shared" si="9"/>
        <v>11</v>
      </c>
      <c r="L613" s="1246" t="s">
        <v>1495</v>
      </c>
      <c r="M613" s="1250">
        <v>9</v>
      </c>
      <c r="N613" s="1251">
        <v>1</v>
      </c>
      <c r="O613" s="1252">
        <v>1</v>
      </c>
    </row>
    <row r="614" spans="1:15">
      <c r="A614" s="1246" t="s">
        <v>1493</v>
      </c>
      <c r="B614" s="1246" t="s">
        <v>432</v>
      </c>
      <c r="C614" s="1247">
        <v>1</v>
      </c>
      <c r="E614" s="1246" t="s">
        <v>370</v>
      </c>
      <c r="F614" s="1248">
        <v>1</v>
      </c>
      <c r="G614" s="1248">
        <v>1</v>
      </c>
      <c r="H614" s="1249">
        <v>1</v>
      </c>
      <c r="I614" s="1246" t="s">
        <v>1491</v>
      </c>
      <c r="J614" s="1246" t="s">
        <v>1443</v>
      </c>
      <c r="K614" s="1284" t="str">
        <f t="shared" si="9"/>
        <v>1C</v>
      </c>
      <c r="M614" s="1250">
        <v>0</v>
      </c>
      <c r="N614" s="1251">
        <v>1</v>
      </c>
      <c r="O614" s="1252">
        <v>1</v>
      </c>
    </row>
    <row r="615" spans="1:15">
      <c r="A615" s="1246" t="s">
        <v>1493</v>
      </c>
      <c r="B615" s="1246" t="s">
        <v>432</v>
      </c>
      <c r="C615" s="1247">
        <v>1</v>
      </c>
      <c r="E615" s="1246" t="s">
        <v>370</v>
      </c>
      <c r="F615" s="1248">
        <v>1</v>
      </c>
      <c r="G615" s="1248">
        <v>1</v>
      </c>
      <c r="H615" s="1249">
        <v>1</v>
      </c>
      <c r="I615" s="1246" t="s">
        <v>1491</v>
      </c>
      <c r="J615" s="1246" t="s">
        <v>1439</v>
      </c>
      <c r="K615" s="1284" t="str">
        <f t="shared" si="9"/>
        <v>15</v>
      </c>
      <c r="M615" s="1250">
        <v>0</v>
      </c>
      <c r="N615" s="1251">
        <v>2</v>
      </c>
      <c r="O615" s="1252">
        <v>2</v>
      </c>
    </row>
    <row r="616" spans="1:15">
      <c r="A616" s="1246" t="s">
        <v>1493</v>
      </c>
      <c r="B616" s="1246" t="s">
        <v>432</v>
      </c>
      <c r="C616" s="1247">
        <v>1</v>
      </c>
      <c r="E616" s="1246" t="s">
        <v>370</v>
      </c>
      <c r="F616" s="1248">
        <v>1</v>
      </c>
      <c r="G616" s="1248">
        <v>1</v>
      </c>
      <c r="H616" s="1249">
        <v>1</v>
      </c>
      <c r="I616" s="1246" t="s">
        <v>1491</v>
      </c>
      <c r="J616" s="1246" t="s">
        <v>1443</v>
      </c>
      <c r="K616" s="1284" t="str">
        <f t="shared" si="9"/>
        <v>1C</v>
      </c>
      <c r="L616" s="1246" t="s">
        <v>1502</v>
      </c>
      <c r="M616" s="1250">
        <v>4</v>
      </c>
      <c r="N616" s="1251">
        <v>43</v>
      </c>
      <c r="O616" s="1252">
        <v>43</v>
      </c>
    </row>
    <row r="617" spans="1:15">
      <c r="A617" s="1246" t="s">
        <v>1493</v>
      </c>
      <c r="B617" s="1246" t="s">
        <v>432</v>
      </c>
      <c r="C617" s="1247">
        <v>1</v>
      </c>
      <c r="E617" s="1246" t="s">
        <v>376</v>
      </c>
      <c r="F617" s="1248">
        <v>1</v>
      </c>
      <c r="G617" s="1248">
        <v>1</v>
      </c>
      <c r="H617" s="1249">
        <v>1</v>
      </c>
      <c r="I617" s="1246" t="s">
        <v>1491</v>
      </c>
      <c r="J617" s="1246" t="s">
        <v>1443</v>
      </c>
      <c r="K617" s="1284" t="str">
        <f t="shared" si="9"/>
        <v>1C</v>
      </c>
      <c r="L617" s="1246" t="s">
        <v>1502</v>
      </c>
      <c r="M617" s="1250">
        <v>4</v>
      </c>
      <c r="N617" s="1251">
        <v>8</v>
      </c>
      <c r="O617" s="1252">
        <v>8</v>
      </c>
    </row>
    <row r="618" spans="1:15">
      <c r="A618" s="1246" t="s">
        <v>1493</v>
      </c>
      <c r="B618" s="1246" t="s">
        <v>432</v>
      </c>
      <c r="C618" s="1247">
        <v>1</v>
      </c>
      <c r="E618" s="1246" t="s">
        <v>370</v>
      </c>
      <c r="F618" s="1248">
        <v>1</v>
      </c>
      <c r="G618" s="1248">
        <v>1</v>
      </c>
      <c r="H618" s="1249">
        <v>1</v>
      </c>
      <c r="I618" s="1246" t="s">
        <v>1491</v>
      </c>
      <c r="J618" s="1246" t="s">
        <v>1442</v>
      </c>
      <c r="K618" s="1284" t="str">
        <f t="shared" si="9"/>
        <v>10</v>
      </c>
      <c r="L618" s="1246" t="s">
        <v>1534</v>
      </c>
      <c r="M618" s="1250">
        <v>4</v>
      </c>
      <c r="N618" s="1251">
        <v>9</v>
      </c>
      <c r="O618" s="1252">
        <v>9</v>
      </c>
    </row>
    <row r="619" spans="1:15">
      <c r="A619" s="1246" t="s">
        <v>1493</v>
      </c>
      <c r="B619" s="1246" t="s">
        <v>432</v>
      </c>
      <c r="C619" s="1247">
        <v>1</v>
      </c>
      <c r="E619" s="1246" t="s">
        <v>370</v>
      </c>
      <c r="F619" s="1248">
        <v>1</v>
      </c>
      <c r="G619" s="1248">
        <v>1</v>
      </c>
      <c r="H619" s="1249">
        <v>1</v>
      </c>
      <c r="I619" s="1246" t="s">
        <v>1491</v>
      </c>
      <c r="J619" s="1246" t="s">
        <v>1437</v>
      </c>
      <c r="K619" s="1284" t="str">
        <f t="shared" si="9"/>
        <v>12</v>
      </c>
      <c r="L619" s="1246" t="s">
        <v>1529</v>
      </c>
      <c r="M619" s="1250">
        <v>9</v>
      </c>
      <c r="N619" s="1251">
        <v>2</v>
      </c>
      <c r="O619" s="1252">
        <v>2</v>
      </c>
    </row>
    <row r="620" spans="1:15">
      <c r="A620" s="1246" t="s">
        <v>1493</v>
      </c>
      <c r="B620" s="1246" t="s">
        <v>432</v>
      </c>
      <c r="C620" s="1247">
        <v>1</v>
      </c>
      <c r="E620" s="1246" t="s">
        <v>370</v>
      </c>
      <c r="F620" s="1248">
        <v>1</v>
      </c>
      <c r="G620" s="1248">
        <v>1</v>
      </c>
      <c r="H620" s="1249">
        <v>1</v>
      </c>
      <c r="I620" s="1246" t="s">
        <v>1491</v>
      </c>
      <c r="J620" s="1246" t="s">
        <v>1436</v>
      </c>
      <c r="K620" s="1284" t="str">
        <f t="shared" si="9"/>
        <v>11</v>
      </c>
      <c r="L620" s="1246" t="s">
        <v>1495</v>
      </c>
      <c r="M620" s="1250">
        <v>9</v>
      </c>
      <c r="N620" s="1251">
        <v>55</v>
      </c>
      <c r="O620" s="1252">
        <v>55</v>
      </c>
    </row>
    <row r="621" spans="1:15">
      <c r="A621" s="1246" t="s">
        <v>1493</v>
      </c>
      <c r="B621" s="1246" t="s">
        <v>432</v>
      </c>
      <c r="C621" s="1247">
        <v>1</v>
      </c>
      <c r="E621" s="1246" t="s">
        <v>373</v>
      </c>
      <c r="F621" s="1248">
        <v>1</v>
      </c>
      <c r="G621" s="1248">
        <v>1</v>
      </c>
      <c r="H621" s="1249">
        <v>1</v>
      </c>
      <c r="I621" s="1246" t="s">
        <v>1491</v>
      </c>
      <c r="J621" s="1246" t="s">
        <v>1436</v>
      </c>
      <c r="K621" s="1284" t="str">
        <f t="shared" si="9"/>
        <v>11</v>
      </c>
      <c r="L621" s="1246" t="s">
        <v>1495</v>
      </c>
      <c r="M621" s="1250">
        <v>9</v>
      </c>
      <c r="N621" s="1251">
        <v>1</v>
      </c>
      <c r="O621" s="1252">
        <v>1</v>
      </c>
    </row>
    <row r="622" spans="1:15">
      <c r="A622" s="1246" t="s">
        <v>1493</v>
      </c>
      <c r="B622" s="1246" t="s">
        <v>432</v>
      </c>
      <c r="C622" s="1247">
        <v>1</v>
      </c>
      <c r="E622" s="1246" t="s">
        <v>370</v>
      </c>
      <c r="F622" s="1248">
        <v>1</v>
      </c>
      <c r="G622" s="1248">
        <v>1</v>
      </c>
      <c r="H622" s="1249">
        <v>1</v>
      </c>
      <c r="I622" s="1246" t="s">
        <v>1491</v>
      </c>
      <c r="J622" s="1246" t="s">
        <v>1439</v>
      </c>
      <c r="K622" s="1284" t="str">
        <f t="shared" si="9"/>
        <v>15</v>
      </c>
      <c r="L622" s="1246" t="s">
        <v>1530</v>
      </c>
      <c r="M622" s="1250">
        <v>9</v>
      </c>
      <c r="N622" s="1251">
        <v>8</v>
      </c>
      <c r="O622" s="1252">
        <v>8</v>
      </c>
    </row>
    <row r="623" spans="1:15">
      <c r="A623" s="1246" t="s">
        <v>1493</v>
      </c>
      <c r="B623" s="1246" t="s">
        <v>432</v>
      </c>
      <c r="C623" s="1247">
        <v>1</v>
      </c>
      <c r="E623" s="1246" t="s">
        <v>370</v>
      </c>
      <c r="F623" s="1248">
        <v>1</v>
      </c>
      <c r="G623" s="1248">
        <v>1</v>
      </c>
      <c r="H623" s="1249">
        <v>1</v>
      </c>
      <c r="I623" s="1246" t="s">
        <v>1491</v>
      </c>
      <c r="J623" s="1246" t="s">
        <v>1397</v>
      </c>
      <c r="K623" s="1284" t="str">
        <f t="shared" si="9"/>
        <v>10</v>
      </c>
      <c r="L623" s="1246" t="s">
        <v>1532</v>
      </c>
      <c r="M623" s="1250">
        <v>9</v>
      </c>
      <c r="N623" s="1251">
        <v>7</v>
      </c>
      <c r="O623" s="1252">
        <v>7</v>
      </c>
    </row>
    <row r="624" spans="1:15">
      <c r="A624" s="1246" t="s">
        <v>1493</v>
      </c>
      <c r="B624" s="1246" t="s">
        <v>432</v>
      </c>
      <c r="C624" s="1247">
        <v>1</v>
      </c>
      <c r="E624" s="1246" t="s">
        <v>376</v>
      </c>
      <c r="F624" s="1248">
        <v>1</v>
      </c>
      <c r="G624" s="1248">
        <v>1</v>
      </c>
      <c r="H624" s="1249">
        <v>1</v>
      </c>
      <c r="I624" s="1246" t="s">
        <v>1491</v>
      </c>
      <c r="J624" s="1246" t="s">
        <v>1397</v>
      </c>
      <c r="K624" s="1284" t="str">
        <f t="shared" si="9"/>
        <v>10</v>
      </c>
      <c r="L624" s="1246" t="s">
        <v>1532</v>
      </c>
      <c r="M624" s="1250">
        <v>9</v>
      </c>
      <c r="N624" s="1251">
        <v>4</v>
      </c>
      <c r="O624" s="1252">
        <v>4</v>
      </c>
    </row>
    <row r="625" spans="1:15">
      <c r="A625" s="1246" t="s">
        <v>1493</v>
      </c>
      <c r="B625" s="1246" t="s">
        <v>432</v>
      </c>
      <c r="C625" s="1247">
        <v>1</v>
      </c>
      <c r="E625" s="1246" t="s">
        <v>370</v>
      </c>
      <c r="F625" s="1248">
        <v>1</v>
      </c>
      <c r="G625" s="1248">
        <v>1</v>
      </c>
      <c r="H625" s="1249">
        <v>1</v>
      </c>
      <c r="I625" s="1246" t="s">
        <v>1491</v>
      </c>
      <c r="J625" s="1246" t="s">
        <v>1438</v>
      </c>
      <c r="K625" s="1284" t="str">
        <f t="shared" si="9"/>
        <v>13</v>
      </c>
      <c r="L625" s="1246" t="s">
        <v>1533</v>
      </c>
      <c r="M625" s="1250">
        <v>9</v>
      </c>
      <c r="N625" s="1251">
        <v>2</v>
      </c>
      <c r="O625" s="1252">
        <v>2</v>
      </c>
    </row>
    <row r="626" spans="1:15">
      <c r="A626" s="1246" t="s">
        <v>1493</v>
      </c>
      <c r="B626" s="1246" t="s">
        <v>432</v>
      </c>
      <c r="C626" s="1247">
        <v>1</v>
      </c>
      <c r="E626" s="1246" t="s">
        <v>376</v>
      </c>
      <c r="F626" s="1248">
        <v>1</v>
      </c>
      <c r="G626" s="1248">
        <v>1</v>
      </c>
      <c r="H626" s="1249">
        <v>1</v>
      </c>
      <c r="I626" s="1246" t="s">
        <v>1491</v>
      </c>
      <c r="J626" s="1246" t="s">
        <v>1436</v>
      </c>
      <c r="K626" s="1284" t="str">
        <f t="shared" si="9"/>
        <v>11</v>
      </c>
      <c r="L626" s="1246" t="s">
        <v>1496</v>
      </c>
      <c r="M626" s="1250">
        <v>9</v>
      </c>
      <c r="N626" s="1251">
        <v>2</v>
      </c>
      <c r="O626" s="1252">
        <v>2</v>
      </c>
    </row>
    <row r="627" spans="1:15">
      <c r="A627" s="1246" t="s">
        <v>1493</v>
      </c>
      <c r="B627" s="1246" t="s">
        <v>432</v>
      </c>
      <c r="C627" s="1247">
        <v>1</v>
      </c>
      <c r="E627" s="1246" t="s">
        <v>370</v>
      </c>
      <c r="F627" s="1248">
        <v>1</v>
      </c>
      <c r="G627" s="1248">
        <v>2</v>
      </c>
      <c r="H627" s="1249">
        <v>1</v>
      </c>
      <c r="I627" s="1246" t="s">
        <v>1491</v>
      </c>
      <c r="J627" s="1246" t="s">
        <v>1439</v>
      </c>
      <c r="K627" s="1284" t="str">
        <f t="shared" si="9"/>
        <v>15</v>
      </c>
      <c r="L627" s="1246" t="s">
        <v>1530</v>
      </c>
      <c r="M627" s="1250">
        <v>9</v>
      </c>
      <c r="N627" s="1251">
        <v>1</v>
      </c>
      <c r="O627" s="1252">
        <v>1</v>
      </c>
    </row>
    <row r="628" spans="1:15">
      <c r="A628" s="1246" t="s">
        <v>1493</v>
      </c>
      <c r="B628" s="1246" t="s">
        <v>432</v>
      </c>
      <c r="C628" s="1247">
        <v>1</v>
      </c>
      <c r="E628" s="1246" t="s">
        <v>370</v>
      </c>
      <c r="F628" s="1248">
        <v>1</v>
      </c>
      <c r="G628" s="1248">
        <v>2</v>
      </c>
      <c r="H628" s="1249">
        <v>1</v>
      </c>
      <c r="I628" s="1246" t="s">
        <v>1491</v>
      </c>
      <c r="J628" s="1246" t="s">
        <v>1397</v>
      </c>
      <c r="K628" s="1284" t="str">
        <f t="shared" si="9"/>
        <v>10</v>
      </c>
      <c r="L628" s="1246" t="s">
        <v>1532</v>
      </c>
      <c r="M628" s="1250">
        <v>9</v>
      </c>
      <c r="N628" s="1251">
        <v>1</v>
      </c>
      <c r="O628" s="1252">
        <v>1</v>
      </c>
    </row>
    <row r="629" spans="1:15">
      <c r="A629" s="1246" t="s">
        <v>1493</v>
      </c>
      <c r="B629" s="1246" t="s">
        <v>432</v>
      </c>
      <c r="C629" s="1247">
        <v>1</v>
      </c>
      <c r="E629" s="1246" t="s">
        <v>370</v>
      </c>
      <c r="F629" s="1248">
        <v>1</v>
      </c>
      <c r="G629" s="1248">
        <v>2</v>
      </c>
      <c r="H629" s="1249">
        <v>1</v>
      </c>
      <c r="I629" s="1246" t="s">
        <v>1491</v>
      </c>
      <c r="J629" s="1246" t="s">
        <v>1438</v>
      </c>
      <c r="K629" s="1284" t="str">
        <f t="shared" si="9"/>
        <v>13</v>
      </c>
      <c r="L629" s="1246" t="s">
        <v>1533</v>
      </c>
      <c r="M629" s="1250">
        <v>9</v>
      </c>
      <c r="N629" s="1251">
        <v>2</v>
      </c>
      <c r="O629" s="1252">
        <v>2</v>
      </c>
    </row>
    <row r="630" spans="1:15">
      <c r="A630" s="1246" t="s">
        <v>1493</v>
      </c>
      <c r="B630" s="1246" t="s">
        <v>432</v>
      </c>
      <c r="C630" s="1247">
        <v>1</v>
      </c>
      <c r="E630" s="1246" t="s">
        <v>376</v>
      </c>
      <c r="F630" s="1248">
        <v>2</v>
      </c>
      <c r="G630" s="1248">
        <v>4</v>
      </c>
      <c r="H630" s="1249">
        <v>1</v>
      </c>
      <c r="I630" s="1246" t="s">
        <v>1491</v>
      </c>
      <c r="J630" s="1246" t="s">
        <v>1436</v>
      </c>
      <c r="K630" s="1284" t="str">
        <f t="shared" si="9"/>
        <v>11</v>
      </c>
      <c r="L630" s="1246" t="s">
        <v>1496</v>
      </c>
      <c r="M630" s="1250">
        <v>9</v>
      </c>
      <c r="N630" s="1251">
        <v>2</v>
      </c>
      <c r="O630" s="1252">
        <v>1</v>
      </c>
    </row>
    <row r="631" spans="1:15">
      <c r="A631" s="1246" t="s">
        <v>1493</v>
      </c>
      <c r="B631" s="1246" t="s">
        <v>432</v>
      </c>
      <c r="C631" s="1247">
        <v>1</v>
      </c>
      <c r="E631" s="1246" t="s">
        <v>376</v>
      </c>
      <c r="F631" s="1248">
        <v>6</v>
      </c>
      <c r="G631" s="1248">
        <v>12</v>
      </c>
      <c r="H631" s="1249">
        <v>1</v>
      </c>
      <c r="I631" s="1246" t="s">
        <v>1491</v>
      </c>
      <c r="J631" s="1246" t="s">
        <v>1438</v>
      </c>
      <c r="K631" s="1284" t="str">
        <f t="shared" si="9"/>
        <v>13</v>
      </c>
      <c r="L631" s="1246" t="s">
        <v>1533</v>
      </c>
      <c r="M631" s="1250">
        <v>9</v>
      </c>
      <c r="N631" s="1251">
        <v>6</v>
      </c>
      <c r="O631" s="1252">
        <v>1</v>
      </c>
    </row>
    <row r="632" spans="1:15">
      <c r="A632" s="1246" t="s">
        <v>1493</v>
      </c>
      <c r="B632" s="1246" t="s">
        <v>432</v>
      </c>
      <c r="C632" s="1247">
        <v>1.25</v>
      </c>
      <c r="E632" s="1246" t="s">
        <v>370</v>
      </c>
      <c r="F632" s="1248">
        <v>1</v>
      </c>
      <c r="G632" s="1248">
        <v>0</v>
      </c>
      <c r="H632" s="1249">
        <v>0</v>
      </c>
      <c r="J632" s="1246" t="s">
        <v>1436</v>
      </c>
      <c r="K632" s="1284" t="str">
        <f t="shared" si="9"/>
        <v>11</v>
      </c>
      <c r="L632" s="1246" t="s">
        <v>1495</v>
      </c>
      <c r="M632" s="1250">
        <v>9</v>
      </c>
      <c r="N632" s="1251">
        <v>5</v>
      </c>
      <c r="O632" s="1252">
        <v>5</v>
      </c>
    </row>
    <row r="633" spans="1:15">
      <c r="A633" s="1246" t="s">
        <v>1493</v>
      </c>
      <c r="B633" s="1246" t="s">
        <v>432</v>
      </c>
      <c r="C633" s="1247">
        <v>1.25</v>
      </c>
      <c r="E633" s="1246" t="s">
        <v>370</v>
      </c>
      <c r="F633" s="1248">
        <v>1</v>
      </c>
      <c r="G633" s="1248">
        <v>0</v>
      </c>
      <c r="H633" s="1249">
        <v>0</v>
      </c>
      <c r="J633" s="1246" t="s">
        <v>1397</v>
      </c>
      <c r="K633" s="1284" t="str">
        <f t="shared" si="9"/>
        <v>10</v>
      </c>
      <c r="L633" s="1246" t="s">
        <v>1532</v>
      </c>
      <c r="M633" s="1250">
        <v>9</v>
      </c>
      <c r="N633" s="1251">
        <v>2</v>
      </c>
      <c r="O633" s="1252">
        <v>2</v>
      </c>
    </row>
    <row r="634" spans="1:15">
      <c r="A634" s="1246" t="s">
        <v>1493</v>
      </c>
      <c r="B634" s="1246" t="s">
        <v>432</v>
      </c>
      <c r="C634" s="1247">
        <v>1.25</v>
      </c>
      <c r="E634" s="1246" t="s">
        <v>370</v>
      </c>
      <c r="F634" s="1248">
        <v>1</v>
      </c>
      <c r="G634" s="1248">
        <v>1</v>
      </c>
      <c r="H634" s="1249">
        <v>1</v>
      </c>
      <c r="I634" s="1246" t="s">
        <v>1491</v>
      </c>
      <c r="J634" s="1246" t="s">
        <v>1397</v>
      </c>
      <c r="K634" s="1284" t="str">
        <f t="shared" si="9"/>
        <v>10</v>
      </c>
      <c r="M634" s="1250">
        <v>0</v>
      </c>
      <c r="N634" s="1251">
        <v>1</v>
      </c>
      <c r="O634" s="1252">
        <v>1</v>
      </c>
    </row>
    <row r="635" spans="1:15">
      <c r="A635" s="1246" t="s">
        <v>1493</v>
      </c>
      <c r="B635" s="1246" t="s">
        <v>432</v>
      </c>
      <c r="C635" s="1247">
        <v>1.25</v>
      </c>
      <c r="E635" s="1246" t="s">
        <v>1535</v>
      </c>
      <c r="F635" s="1248">
        <v>1</v>
      </c>
      <c r="G635" s="1248">
        <v>1</v>
      </c>
      <c r="H635" s="1249">
        <v>1</v>
      </c>
      <c r="I635" s="1246" t="s">
        <v>1491</v>
      </c>
      <c r="J635" s="1246" t="s">
        <v>1442</v>
      </c>
      <c r="K635" s="1284" t="str">
        <f t="shared" si="9"/>
        <v>10</v>
      </c>
      <c r="L635" s="1246" t="s">
        <v>1534</v>
      </c>
      <c r="M635" s="1250">
        <v>4</v>
      </c>
      <c r="N635" s="1251">
        <v>1</v>
      </c>
      <c r="O635" s="1252">
        <v>1</v>
      </c>
    </row>
    <row r="636" spans="1:15">
      <c r="A636" s="1246" t="s">
        <v>1493</v>
      </c>
      <c r="B636" s="1246" t="s">
        <v>432</v>
      </c>
      <c r="C636" s="1247">
        <v>1.25</v>
      </c>
      <c r="E636" s="1246" t="s">
        <v>370</v>
      </c>
      <c r="F636" s="1248">
        <v>1</v>
      </c>
      <c r="G636" s="1248">
        <v>1</v>
      </c>
      <c r="H636" s="1249">
        <v>1</v>
      </c>
      <c r="I636" s="1246" t="s">
        <v>1491</v>
      </c>
      <c r="J636" s="1246" t="s">
        <v>1437</v>
      </c>
      <c r="K636" s="1284" t="str">
        <f t="shared" si="9"/>
        <v>12</v>
      </c>
      <c r="L636" s="1246" t="s">
        <v>1529</v>
      </c>
      <c r="M636" s="1250">
        <v>9</v>
      </c>
      <c r="N636" s="1251">
        <v>4</v>
      </c>
      <c r="O636" s="1252">
        <v>4</v>
      </c>
    </row>
    <row r="637" spans="1:15">
      <c r="A637" s="1246" t="s">
        <v>1493</v>
      </c>
      <c r="B637" s="1246" t="s">
        <v>432</v>
      </c>
      <c r="C637" s="1247">
        <v>1.25</v>
      </c>
      <c r="E637" s="1246" t="s">
        <v>370</v>
      </c>
      <c r="F637" s="1248">
        <v>1</v>
      </c>
      <c r="G637" s="1248">
        <v>1</v>
      </c>
      <c r="H637" s="1249">
        <v>1</v>
      </c>
      <c r="I637" s="1246" t="s">
        <v>1491</v>
      </c>
      <c r="J637" s="1246" t="s">
        <v>1436</v>
      </c>
      <c r="K637" s="1284" t="str">
        <f t="shared" si="9"/>
        <v>11</v>
      </c>
      <c r="L637" s="1246" t="s">
        <v>1495</v>
      </c>
      <c r="M637" s="1250">
        <v>9</v>
      </c>
      <c r="N637" s="1251">
        <v>51</v>
      </c>
      <c r="O637" s="1252">
        <v>51</v>
      </c>
    </row>
    <row r="638" spans="1:15">
      <c r="A638" s="1246" t="s">
        <v>1493</v>
      </c>
      <c r="B638" s="1246" t="s">
        <v>432</v>
      </c>
      <c r="C638" s="1247">
        <v>1.25</v>
      </c>
      <c r="E638" s="1246" t="s">
        <v>373</v>
      </c>
      <c r="F638" s="1248">
        <v>1</v>
      </c>
      <c r="G638" s="1248">
        <v>1</v>
      </c>
      <c r="H638" s="1249">
        <v>1</v>
      </c>
      <c r="I638" s="1246" t="s">
        <v>1491</v>
      </c>
      <c r="J638" s="1246" t="s">
        <v>1436</v>
      </c>
      <c r="K638" s="1284" t="str">
        <f t="shared" si="9"/>
        <v>11</v>
      </c>
      <c r="L638" s="1246" t="s">
        <v>1495</v>
      </c>
      <c r="M638" s="1250">
        <v>9</v>
      </c>
      <c r="N638" s="1251">
        <v>4</v>
      </c>
      <c r="O638" s="1252">
        <v>4</v>
      </c>
    </row>
    <row r="639" spans="1:15">
      <c r="A639" s="1246" t="s">
        <v>1493</v>
      </c>
      <c r="B639" s="1246" t="s">
        <v>432</v>
      </c>
      <c r="C639" s="1247">
        <v>1.25</v>
      </c>
      <c r="E639" s="1246" t="s">
        <v>370</v>
      </c>
      <c r="F639" s="1248">
        <v>1</v>
      </c>
      <c r="G639" s="1248">
        <v>1</v>
      </c>
      <c r="H639" s="1249">
        <v>1</v>
      </c>
      <c r="I639" s="1246" t="s">
        <v>1491</v>
      </c>
      <c r="J639" s="1246" t="s">
        <v>1397</v>
      </c>
      <c r="K639" s="1284" t="str">
        <f t="shared" si="9"/>
        <v>10</v>
      </c>
      <c r="L639" s="1246" t="s">
        <v>1532</v>
      </c>
      <c r="M639" s="1250">
        <v>9</v>
      </c>
      <c r="N639" s="1251">
        <v>12</v>
      </c>
      <c r="O639" s="1252">
        <v>12</v>
      </c>
    </row>
    <row r="640" spans="1:15">
      <c r="A640" s="1246" t="s">
        <v>1493</v>
      </c>
      <c r="B640" s="1246" t="s">
        <v>432</v>
      </c>
      <c r="C640" s="1247">
        <v>1.25</v>
      </c>
      <c r="E640" s="1246" t="s">
        <v>376</v>
      </c>
      <c r="F640" s="1248">
        <v>1</v>
      </c>
      <c r="G640" s="1248">
        <v>1</v>
      </c>
      <c r="H640" s="1249">
        <v>1</v>
      </c>
      <c r="I640" s="1246" t="s">
        <v>1491</v>
      </c>
      <c r="J640" s="1246" t="s">
        <v>1397</v>
      </c>
      <c r="K640" s="1284" t="str">
        <f t="shared" si="9"/>
        <v>10</v>
      </c>
      <c r="L640" s="1246" t="s">
        <v>1532</v>
      </c>
      <c r="M640" s="1250">
        <v>9</v>
      </c>
      <c r="N640" s="1251">
        <v>4</v>
      </c>
      <c r="O640" s="1252">
        <v>4</v>
      </c>
    </row>
    <row r="641" spans="1:15">
      <c r="A641" s="1246" t="s">
        <v>1493</v>
      </c>
      <c r="B641" s="1246" t="s">
        <v>432</v>
      </c>
      <c r="C641" s="1247">
        <v>1.25</v>
      </c>
      <c r="E641" s="1246" t="s">
        <v>370</v>
      </c>
      <c r="F641" s="1248">
        <v>1</v>
      </c>
      <c r="G641" s="1248">
        <v>1</v>
      </c>
      <c r="H641" s="1249">
        <v>1</v>
      </c>
      <c r="I641" s="1246" t="s">
        <v>1491</v>
      </c>
      <c r="J641" s="1246" t="s">
        <v>1438</v>
      </c>
      <c r="K641" s="1284" t="str">
        <f t="shared" si="9"/>
        <v>13</v>
      </c>
      <c r="L641" s="1246" t="s">
        <v>1533</v>
      </c>
      <c r="M641" s="1250">
        <v>9</v>
      </c>
      <c r="N641" s="1251">
        <v>5</v>
      </c>
      <c r="O641" s="1252">
        <v>5</v>
      </c>
    </row>
    <row r="642" spans="1:15">
      <c r="A642" s="1246" t="s">
        <v>1493</v>
      </c>
      <c r="B642" s="1246" t="s">
        <v>432</v>
      </c>
      <c r="C642" s="1247">
        <v>1.25</v>
      </c>
      <c r="E642" s="1246" t="s">
        <v>376</v>
      </c>
      <c r="F642" s="1248">
        <v>1</v>
      </c>
      <c r="G642" s="1248">
        <v>1</v>
      </c>
      <c r="H642" s="1249">
        <v>1</v>
      </c>
      <c r="I642" s="1246" t="s">
        <v>1491</v>
      </c>
      <c r="J642" s="1246" t="s">
        <v>1438</v>
      </c>
      <c r="K642" s="1284" t="str">
        <f t="shared" ref="K642:K705" si="10">IF(J642="1B","10", IF(J642="2B","20",IF(J642="3B","30",IF(J642="7B",70,J642))))</f>
        <v>13</v>
      </c>
      <c r="L642" s="1246" t="s">
        <v>1533</v>
      </c>
      <c r="M642" s="1250">
        <v>9</v>
      </c>
      <c r="N642" s="1251">
        <v>5</v>
      </c>
      <c r="O642" s="1252">
        <v>5</v>
      </c>
    </row>
    <row r="643" spans="1:15">
      <c r="A643" s="1246" t="s">
        <v>1493</v>
      </c>
      <c r="B643" s="1246" t="s">
        <v>432</v>
      </c>
      <c r="C643" s="1247">
        <v>1.25</v>
      </c>
      <c r="E643" s="1246" t="s">
        <v>376</v>
      </c>
      <c r="F643" s="1248">
        <v>1</v>
      </c>
      <c r="G643" s="1248">
        <v>1</v>
      </c>
      <c r="H643" s="1249">
        <v>1</v>
      </c>
      <c r="I643" s="1246" t="s">
        <v>1491</v>
      </c>
      <c r="J643" s="1246" t="s">
        <v>1436</v>
      </c>
      <c r="K643" s="1284" t="str">
        <f t="shared" si="10"/>
        <v>11</v>
      </c>
      <c r="L643" s="1246" t="s">
        <v>1496</v>
      </c>
      <c r="M643" s="1250">
        <v>9</v>
      </c>
      <c r="N643" s="1251">
        <v>15</v>
      </c>
      <c r="O643" s="1252">
        <v>15</v>
      </c>
    </row>
    <row r="644" spans="1:15">
      <c r="A644" s="1246" t="s">
        <v>1493</v>
      </c>
      <c r="B644" s="1246" t="s">
        <v>432</v>
      </c>
      <c r="C644" s="1247">
        <v>1.25</v>
      </c>
      <c r="E644" s="1246" t="s">
        <v>376</v>
      </c>
      <c r="F644" s="1248">
        <v>1</v>
      </c>
      <c r="G644" s="1248">
        <v>2</v>
      </c>
      <c r="H644" s="1249">
        <v>1</v>
      </c>
      <c r="I644" s="1246" t="s">
        <v>1491</v>
      </c>
      <c r="J644" s="1246" t="s">
        <v>1437</v>
      </c>
      <c r="K644" s="1284" t="str">
        <f t="shared" si="10"/>
        <v>12</v>
      </c>
      <c r="L644" s="1246" t="s">
        <v>1529</v>
      </c>
      <c r="M644" s="1250">
        <v>9</v>
      </c>
      <c r="N644" s="1251">
        <v>1</v>
      </c>
      <c r="O644" s="1252">
        <v>1</v>
      </c>
    </row>
    <row r="645" spans="1:15">
      <c r="A645" s="1246" t="s">
        <v>1493</v>
      </c>
      <c r="B645" s="1246" t="s">
        <v>432</v>
      </c>
      <c r="C645" s="1247">
        <v>1.25</v>
      </c>
      <c r="E645" s="1246" t="s">
        <v>370</v>
      </c>
      <c r="F645" s="1248">
        <v>1</v>
      </c>
      <c r="G645" s="1248">
        <v>2</v>
      </c>
      <c r="H645" s="1249">
        <v>1</v>
      </c>
      <c r="I645" s="1246" t="s">
        <v>1491</v>
      </c>
      <c r="J645" s="1246" t="s">
        <v>1436</v>
      </c>
      <c r="K645" s="1284" t="str">
        <f t="shared" si="10"/>
        <v>11</v>
      </c>
      <c r="L645" s="1246" t="s">
        <v>1495</v>
      </c>
      <c r="M645" s="1250">
        <v>9</v>
      </c>
      <c r="N645" s="1251">
        <v>3</v>
      </c>
      <c r="O645" s="1252">
        <v>3</v>
      </c>
    </row>
    <row r="646" spans="1:15">
      <c r="A646" s="1246" t="s">
        <v>1493</v>
      </c>
      <c r="B646" s="1246" t="s">
        <v>432</v>
      </c>
      <c r="C646" s="1247">
        <v>1.25</v>
      </c>
      <c r="E646" s="1246" t="s">
        <v>373</v>
      </c>
      <c r="F646" s="1248">
        <v>1</v>
      </c>
      <c r="G646" s="1248">
        <v>2</v>
      </c>
      <c r="H646" s="1249">
        <v>1</v>
      </c>
      <c r="I646" s="1246" t="s">
        <v>1491</v>
      </c>
      <c r="J646" s="1246" t="s">
        <v>1436</v>
      </c>
      <c r="K646" s="1284" t="str">
        <f t="shared" si="10"/>
        <v>11</v>
      </c>
      <c r="L646" s="1246" t="s">
        <v>1495</v>
      </c>
      <c r="M646" s="1250">
        <v>9</v>
      </c>
      <c r="N646" s="1251">
        <v>1</v>
      </c>
      <c r="O646" s="1252">
        <v>1</v>
      </c>
    </row>
    <row r="647" spans="1:15">
      <c r="A647" s="1246" t="s">
        <v>1493</v>
      </c>
      <c r="B647" s="1246" t="s">
        <v>432</v>
      </c>
      <c r="C647" s="1247">
        <v>1.25</v>
      </c>
      <c r="E647" s="1246" t="s">
        <v>376</v>
      </c>
      <c r="F647" s="1248">
        <v>1</v>
      </c>
      <c r="G647" s="1248">
        <v>2</v>
      </c>
      <c r="H647" s="1249">
        <v>1</v>
      </c>
      <c r="I647" s="1246" t="s">
        <v>1491</v>
      </c>
      <c r="J647" s="1246" t="s">
        <v>1397</v>
      </c>
      <c r="K647" s="1284" t="str">
        <f t="shared" si="10"/>
        <v>10</v>
      </c>
      <c r="L647" s="1246" t="s">
        <v>1532</v>
      </c>
      <c r="M647" s="1250">
        <v>9</v>
      </c>
      <c r="N647" s="1251">
        <v>1</v>
      </c>
      <c r="O647" s="1252">
        <v>1</v>
      </c>
    </row>
    <row r="648" spans="1:15">
      <c r="A648" s="1246" t="s">
        <v>1493</v>
      </c>
      <c r="B648" s="1246" t="s">
        <v>432</v>
      </c>
      <c r="C648" s="1247">
        <v>1.25</v>
      </c>
      <c r="E648" s="1246" t="s">
        <v>376</v>
      </c>
      <c r="F648" s="1248">
        <v>1</v>
      </c>
      <c r="G648" s="1248">
        <v>2</v>
      </c>
      <c r="H648" s="1249">
        <v>1</v>
      </c>
      <c r="I648" s="1246" t="s">
        <v>1491</v>
      </c>
      <c r="J648" s="1246" t="s">
        <v>1438</v>
      </c>
      <c r="K648" s="1284" t="str">
        <f t="shared" si="10"/>
        <v>13</v>
      </c>
      <c r="L648" s="1246" t="s">
        <v>1533</v>
      </c>
      <c r="M648" s="1250">
        <v>9</v>
      </c>
      <c r="N648" s="1251">
        <v>1</v>
      </c>
      <c r="O648" s="1252">
        <v>1</v>
      </c>
    </row>
    <row r="649" spans="1:15">
      <c r="A649" s="1246" t="s">
        <v>1493</v>
      </c>
      <c r="B649" s="1246" t="s">
        <v>432</v>
      </c>
      <c r="C649" s="1247">
        <v>1.25</v>
      </c>
      <c r="E649" s="1246" t="s">
        <v>376</v>
      </c>
      <c r="F649" s="1248">
        <v>1</v>
      </c>
      <c r="G649" s="1248">
        <v>2</v>
      </c>
      <c r="H649" s="1249">
        <v>1</v>
      </c>
      <c r="I649" s="1246" t="s">
        <v>1491</v>
      </c>
      <c r="J649" s="1246" t="s">
        <v>1436</v>
      </c>
      <c r="K649" s="1284" t="str">
        <f t="shared" si="10"/>
        <v>11</v>
      </c>
      <c r="L649" s="1246" t="s">
        <v>1496</v>
      </c>
      <c r="M649" s="1250">
        <v>9</v>
      </c>
      <c r="N649" s="1251">
        <v>2</v>
      </c>
      <c r="O649" s="1252">
        <v>2</v>
      </c>
    </row>
    <row r="650" spans="1:15">
      <c r="A650" s="1246" t="s">
        <v>1493</v>
      </c>
      <c r="B650" s="1246" t="s">
        <v>432</v>
      </c>
      <c r="C650" s="1247">
        <v>1.25</v>
      </c>
      <c r="E650" s="1246" t="s">
        <v>370</v>
      </c>
      <c r="F650" s="1248">
        <v>1</v>
      </c>
      <c r="G650" s="1248">
        <v>3</v>
      </c>
      <c r="H650" s="1249">
        <v>1</v>
      </c>
      <c r="I650" s="1246" t="s">
        <v>1491</v>
      </c>
      <c r="J650" s="1246" t="s">
        <v>1436</v>
      </c>
      <c r="K650" s="1284" t="str">
        <f t="shared" si="10"/>
        <v>11</v>
      </c>
      <c r="L650" s="1246" t="s">
        <v>1495</v>
      </c>
      <c r="M650" s="1250">
        <v>9</v>
      </c>
      <c r="N650" s="1251">
        <v>1</v>
      </c>
      <c r="O650" s="1252">
        <v>1</v>
      </c>
    </row>
    <row r="651" spans="1:15">
      <c r="A651" s="1246" t="s">
        <v>1493</v>
      </c>
      <c r="B651" s="1246" t="s">
        <v>432</v>
      </c>
      <c r="C651" s="1247">
        <v>1.25</v>
      </c>
      <c r="E651" s="1246" t="s">
        <v>370</v>
      </c>
      <c r="F651" s="1248">
        <v>1</v>
      </c>
      <c r="G651" s="1248">
        <v>5</v>
      </c>
      <c r="H651" s="1249">
        <v>1</v>
      </c>
      <c r="I651" s="1246" t="s">
        <v>1491</v>
      </c>
      <c r="J651" s="1246" t="s">
        <v>1436</v>
      </c>
      <c r="K651" s="1284" t="str">
        <f t="shared" si="10"/>
        <v>11</v>
      </c>
      <c r="L651" s="1246" t="s">
        <v>1495</v>
      </c>
      <c r="M651" s="1250">
        <v>9</v>
      </c>
      <c r="N651" s="1251">
        <v>1</v>
      </c>
      <c r="O651" s="1252">
        <v>1</v>
      </c>
    </row>
    <row r="652" spans="1:15">
      <c r="A652" s="1246" t="s">
        <v>1493</v>
      </c>
      <c r="B652" s="1246" t="s">
        <v>432</v>
      </c>
      <c r="C652" s="1247">
        <v>1.25</v>
      </c>
      <c r="E652" s="1246" t="s">
        <v>370</v>
      </c>
      <c r="F652" s="1248">
        <v>2</v>
      </c>
      <c r="G652" s="1248">
        <v>2</v>
      </c>
      <c r="H652" s="1249">
        <v>1</v>
      </c>
      <c r="I652" s="1246" t="s">
        <v>1491</v>
      </c>
      <c r="J652" s="1246" t="s">
        <v>1436</v>
      </c>
      <c r="K652" s="1284" t="str">
        <f t="shared" si="10"/>
        <v>11</v>
      </c>
      <c r="L652" s="1246" t="s">
        <v>1495</v>
      </c>
      <c r="M652" s="1250">
        <v>9</v>
      </c>
      <c r="N652" s="1251">
        <v>2</v>
      </c>
      <c r="O652" s="1252">
        <v>1</v>
      </c>
    </row>
    <row r="653" spans="1:15">
      <c r="A653" s="1246" t="s">
        <v>1493</v>
      </c>
      <c r="B653" s="1246" t="s">
        <v>432</v>
      </c>
      <c r="C653" s="1247">
        <v>1.25</v>
      </c>
      <c r="E653" s="1246" t="s">
        <v>370</v>
      </c>
      <c r="F653" s="1248">
        <v>2</v>
      </c>
      <c r="G653" s="1248">
        <v>2</v>
      </c>
      <c r="H653" s="1249">
        <v>1</v>
      </c>
      <c r="I653" s="1246" t="s">
        <v>1491</v>
      </c>
      <c r="J653" s="1246" t="s">
        <v>1438</v>
      </c>
      <c r="K653" s="1284" t="str">
        <f t="shared" si="10"/>
        <v>13</v>
      </c>
      <c r="L653" s="1246" t="s">
        <v>1533</v>
      </c>
      <c r="M653" s="1250">
        <v>9</v>
      </c>
      <c r="N653" s="1251">
        <v>2</v>
      </c>
      <c r="O653" s="1252">
        <v>1</v>
      </c>
    </row>
    <row r="654" spans="1:15">
      <c r="A654" s="1246" t="s">
        <v>1493</v>
      </c>
      <c r="B654" s="1246" t="s">
        <v>432</v>
      </c>
      <c r="C654" s="1247">
        <v>1.25</v>
      </c>
      <c r="E654" s="1246" t="s">
        <v>376</v>
      </c>
      <c r="F654" s="1248">
        <v>2</v>
      </c>
      <c r="G654" s="1248">
        <v>4</v>
      </c>
      <c r="H654" s="1249">
        <v>1</v>
      </c>
      <c r="I654" s="1246" t="s">
        <v>1491</v>
      </c>
      <c r="J654" s="1246" t="s">
        <v>1436</v>
      </c>
      <c r="K654" s="1284" t="str">
        <f t="shared" si="10"/>
        <v>11</v>
      </c>
      <c r="L654" s="1246" t="s">
        <v>1496</v>
      </c>
      <c r="M654" s="1250">
        <v>9</v>
      </c>
      <c r="N654" s="1251">
        <v>2</v>
      </c>
      <c r="O654" s="1252">
        <v>1</v>
      </c>
    </row>
    <row r="655" spans="1:15">
      <c r="A655" s="1246" t="s">
        <v>1493</v>
      </c>
      <c r="B655" s="1246" t="s">
        <v>432</v>
      </c>
      <c r="C655" s="1247">
        <v>1.25</v>
      </c>
      <c r="E655" s="1246" t="s">
        <v>376</v>
      </c>
      <c r="F655" s="1248">
        <v>3</v>
      </c>
      <c r="G655" s="1248">
        <v>3</v>
      </c>
      <c r="H655" s="1249">
        <v>1</v>
      </c>
      <c r="I655" s="1246" t="s">
        <v>1491</v>
      </c>
      <c r="J655" s="1246" t="s">
        <v>1436</v>
      </c>
      <c r="K655" s="1284" t="str">
        <f t="shared" si="10"/>
        <v>11</v>
      </c>
      <c r="L655" s="1246" t="s">
        <v>1496</v>
      </c>
      <c r="M655" s="1250">
        <v>9</v>
      </c>
      <c r="N655" s="1251">
        <v>3</v>
      </c>
      <c r="O655" s="1252">
        <v>1</v>
      </c>
    </row>
    <row r="656" spans="1:15">
      <c r="A656" s="1246" t="s">
        <v>1493</v>
      </c>
      <c r="B656" s="1246" t="s">
        <v>432</v>
      </c>
      <c r="C656" s="1247">
        <v>1.25</v>
      </c>
      <c r="E656" s="1246" t="s">
        <v>376</v>
      </c>
      <c r="F656" s="1248">
        <v>6</v>
      </c>
      <c r="G656" s="1248">
        <v>6</v>
      </c>
      <c r="H656" s="1249">
        <v>1</v>
      </c>
      <c r="I656" s="1246" t="s">
        <v>1491</v>
      </c>
      <c r="J656" s="1246" t="s">
        <v>1437</v>
      </c>
      <c r="K656" s="1284" t="str">
        <f t="shared" si="10"/>
        <v>12</v>
      </c>
      <c r="L656" s="1246" t="s">
        <v>1529</v>
      </c>
      <c r="M656" s="1250">
        <v>9</v>
      </c>
      <c r="N656" s="1251">
        <v>6</v>
      </c>
      <c r="O656" s="1252">
        <v>1</v>
      </c>
    </row>
    <row r="657" spans="1:15">
      <c r="A657" s="1246" t="s">
        <v>1493</v>
      </c>
      <c r="B657" s="1246" t="s">
        <v>432</v>
      </c>
      <c r="C657" s="1247">
        <v>1.5</v>
      </c>
      <c r="E657" s="1246" t="s">
        <v>370</v>
      </c>
      <c r="F657" s="1248">
        <v>1</v>
      </c>
      <c r="G657" s="1248">
        <v>1</v>
      </c>
      <c r="H657" s="1249">
        <v>1</v>
      </c>
      <c r="I657" s="1246" t="s">
        <v>1491</v>
      </c>
      <c r="J657" s="1246" t="s">
        <v>1443</v>
      </c>
      <c r="K657" s="1284" t="str">
        <f t="shared" si="10"/>
        <v>1C</v>
      </c>
      <c r="L657" s="1246" t="s">
        <v>1502</v>
      </c>
      <c r="M657" s="1250">
        <v>4</v>
      </c>
      <c r="N657" s="1251">
        <v>3</v>
      </c>
      <c r="O657" s="1252">
        <v>3</v>
      </c>
    </row>
    <row r="658" spans="1:15">
      <c r="A658" s="1246" t="s">
        <v>1493</v>
      </c>
      <c r="B658" s="1246" t="s">
        <v>432</v>
      </c>
      <c r="C658" s="1247">
        <v>2</v>
      </c>
      <c r="E658" s="1246" t="s">
        <v>370</v>
      </c>
      <c r="F658" s="1248">
        <v>1</v>
      </c>
      <c r="G658" s="1248">
        <v>0</v>
      </c>
      <c r="H658" s="1249">
        <v>0</v>
      </c>
      <c r="J658" s="1246" t="s">
        <v>1436</v>
      </c>
      <c r="K658" s="1284" t="str">
        <f t="shared" si="10"/>
        <v>11</v>
      </c>
      <c r="L658" s="1246" t="s">
        <v>1495</v>
      </c>
      <c r="M658" s="1250">
        <v>9</v>
      </c>
      <c r="N658" s="1251">
        <v>4</v>
      </c>
      <c r="O658" s="1252">
        <v>4</v>
      </c>
    </row>
    <row r="659" spans="1:15">
      <c r="A659" s="1246" t="s">
        <v>683</v>
      </c>
      <c r="B659" s="1246" t="s">
        <v>432</v>
      </c>
      <c r="C659" s="1247">
        <v>2</v>
      </c>
      <c r="E659" s="1246" t="s">
        <v>370</v>
      </c>
      <c r="F659" s="1248">
        <v>1</v>
      </c>
      <c r="G659" s="1248">
        <v>0</v>
      </c>
      <c r="H659" s="1249">
        <v>0</v>
      </c>
      <c r="J659" s="1246" t="s">
        <v>1436</v>
      </c>
      <c r="K659" s="1284" t="str">
        <f t="shared" si="10"/>
        <v>11</v>
      </c>
      <c r="L659" s="1246" t="s">
        <v>1495</v>
      </c>
      <c r="M659" s="1250">
        <v>9</v>
      </c>
      <c r="N659" s="1251">
        <v>1</v>
      </c>
      <c r="O659" s="1252">
        <v>1</v>
      </c>
    </row>
    <row r="660" spans="1:15">
      <c r="A660" s="1246" t="s">
        <v>1493</v>
      </c>
      <c r="B660" s="1246" t="s">
        <v>432</v>
      </c>
      <c r="C660" s="1247">
        <v>2</v>
      </c>
      <c r="E660" s="1246" t="s">
        <v>370</v>
      </c>
      <c r="F660" s="1248">
        <v>1</v>
      </c>
      <c r="G660" s="1248">
        <v>0</v>
      </c>
      <c r="H660" s="1249">
        <v>0</v>
      </c>
      <c r="J660" s="1246" t="s">
        <v>1439</v>
      </c>
      <c r="K660" s="1284" t="str">
        <f t="shared" si="10"/>
        <v>15</v>
      </c>
      <c r="L660" s="1246" t="s">
        <v>1530</v>
      </c>
      <c r="M660" s="1250">
        <v>9</v>
      </c>
      <c r="N660" s="1251">
        <v>1</v>
      </c>
      <c r="O660" s="1252">
        <v>1</v>
      </c>
    </row>
    <row r="661" spans="1:15">
      <c r="A661" s="1246" t="s">
        <v>1493</v>
      </c>
      <c r="B661" s="1246" t="s">
        <v>432</v>
      </c>
      <c r="C661" s="1247">
        <v>2</v>
      </c>
      <c r="E661" s="1246" t="s">
        <v>370</v>
      </c>
      <c r="F661" s="1248">
        <v>1</v>
      </c>
      <c r="G661" s="1248">
        <v>0</v>
      </c>
      <c r="H661" s="1249">
        <v>0</v>
      </c>
      <c r="J661" s="1246" t="s">
        <v>1397</v>
      </c>
      <c r="K661" s="1284" t="str">
        <f t="shared" si="10"/>
        <v>10</v>
      </c>
      <c r="L661" s="1246" t="s">
        <v>1532</v>
      </c>
      <c r="M661" s="1250">
        <v>9</v>
      </c>
      <c r="N661" s="1251">
        <v>4</v>
      </c>
      <c r="O661" s="1252">
        <v>4</v>
      </c>
    </row>
    <row r="662" spans="1:15">
      <c r="A662" s="1246" t="s">
        <v>683</v>
      </c>
      <c r="B662" s="1246" t="s">
        <v>432</v>
      </c>
      <c r="C662" s="1247">
        <v>2</v>
      </c>
      <c r="E662" s="1246" t="s">
        <v>370</v>
      </c>
      <c r="F662" s="1248">
        <v>1</v>
      </c>
      <c r="G662" s="1248">
        <v>0</v>
      </c>
      <c r="H662" s="1249">
        <v>0</v>
      </c>
      <c r="J662" s="1246" t="s">
        <v>1397</v>
      </c>
      <c r="K662" s="1284" t="str">
        <f t="shared" si="10"/>
        <v>10</v>
      </c>
      <c r="L662" s="1246" t="s">
        <v>1532</v>
      </c>
      <c r="M662" s="1250">
        <v>9</v>
      </c>
      <c r="N662" s="1251">
        <v>1</v>
      </c>
      <c r="O662" s="1252">
        <v>1</v>
      </c>
    </row>
    <row r="663" spans="1:15">
      <c r="A663" s="1246" t="s">
        <v>1493</v>
      </c>
      <c r="B663" s="1246" t="s">
        <v>432</v>
      </c>
      <c r="C663" s="1247">
        <v>2</v>
      </c>
      <c r="E663" s="1246" t="s">
        <v>370</v>
      </c>
      <c r="F663" s="1248">
        <v>1</v>
      </c>
      <c r="G663" s="1248">
        <v>0</v>
      </c>
      <c r="H663" s="1249">
        <v>0</v>
      </c>
      <c r="J663" s="1246" t="s">
        <v>1438</v>
      </c>
      <c r="K663" s="1284" t="str">
        <f t="shared" si="10"/>
        <v>13</v>
      </c>
      <c r="L663" s="1246" t="s">
        <v>1533</v>
      </c>
      <c r="M663" s="1250">
        <v>9</v>
      </c>
      <c r="N663" s="1251">
        <v>1</v>
      </c>
      <c r="O663" s="1252">
        <v>1</v>
      </c>
    </row>
    <row r="664" spans="1:15">
      <c r="A664" s="1246" t="s">
        <v>1493</v>
      </c>
      <c r="B664" s="1246" t="s">
        <v>432</v>
      </c>
      <c r="C664" s="1247">
        <v>2</v>
      </c>
      <c r="E664" s="1246" t="s">
        <v>370</v>
      </c>
      <c r="F664" s="1248">
        <v>1</v>
      </c>
      <c r="G664" s="1248">
        <v>1</v>
      </c>
      <c r="H664" s="1249">
        <v>1</v>
      </c>
      <c r="I664" s="1246" t="s">
        <v>1491</v>
      </c>
      <c r="J664" s="1246" t="s">
        <v>1443</v>
      </c>
      <c r="K664" s="1284" t="str">
        <f t="shared" si="10"/>
        <v>1C</v>
      </c>
      <c r="L664" s="1246" t="s">
        <v>1502</v>
      </c>
      <c r="M664" s="1250">
        <v>4</v>
      </c>
      <c r="N664" s="1251">
        <v>21</v>
      </c>
      <c r="O664" s="1252">
        <v>21</v>
      </c>
    </row>
    <row r="665" spans="1:15">
      <c r="A665" s="1246" t="s">
        <v>1493</v>
      </c>
      <c r="B665" s="1246" t="s">
        <v>432</v>
      </c>
      <c r="C665" s="1247">
        <v>2</v>
      </c>
      <c r="E665" s="1246" t="s">
        <v>376</v>
      </c>
      <c r="F665" s="1248">
        <v>1</v>
      </c>
      <c r="G665" s="1248">
        <v>1</v>
      </c>
      <c r="H665" s="1249">
        <v>1</v>
      </c>
      <c r="I665" s="1246" t="s">
        <v>1491</v>
      </c>
      <c r="J665" s="1246" t="s">
        <v>1443</v>
      </c>
      <c r="K665" s="1284" t="str">
        <f t="shared" si="10"/>
        <v>1C</v>
      </c>
      <c r="L665" s="1246" t="s">
        <v>1502</v>
      </c>
      <c r="M665" s="1250">
        <v>4</v>
      </c>
      <c r="N665" s="1251">
        <v>6</v>
      </c>
      <c r="O665" s="1252">
        <v>6</v>
      </c>
    </row>
    <row r="666" spans="1:15">
      <c r="A666" s="1246" t="s">
        <v>1493</v>
      </c>
      <c r="B666" s="1246" t="s">
        <v>432</v>
      </c>
      <c r="C666" s="1247">
        <v>2</v>
      </c>
      <c r="E666" s="1246" t="s">
        <v>370</v>
      </c>
      <c r="F666" s="1248">
        <v>1</v>
      </c>
      <c r="G666" s="1248">
        <v>1</v>
      </c>
      <c r="H666" s="1249">
        <v>1</v>
      </c>
      <c r="I666" s="1246" t="s">
        <v>1491</v>
      </c>
      <c r="J666" s="1246" t="s">
        <v>1442</v>
      </c>
      <c r="K666" s="1284" t="str">
        <f t="shared" si="10"/>
        <v>10</v>
      </c>
      <c r="L666" s="1246" t="s">
        <v>1534</v>
      </c>
      <c r="M666" s="1250">
        <v>4</v>
      </c>
      <c r="N666" s="1251">
        <v>3</v>
      </c>
      <c r="O666" s="1252">
        <v>3</v>
      </c>
    </row>
    <row r="667" spans="1:15">
      <c r="A667" s="1246" t="s">
        <v>1493</v>
      </c>
      <c r="B667" s="1246" t="s">
        <v>432</v>
      </c>
      <c r="C667" s="1247">
        <v>2</v>
      </c>
      <c r="E667" s="1246" t="s">
        <v>370</v>
      </c>
      <c r="F667" s="1248">
        <v>1</v>
      </c>
      <c r="G667" s="1248">
        <v>1</v>
      </c>
      <c r="H667" s="1249">
        <v>1</v>
      </c>
      <c r="I667" s="1246" t="s">
        <v>1491</v>
      </c>
      <c r="J667" s="1246" t="s">
        <v>1437</v>
      </c>
      <c r="K667" s="1284" t="str">
        <f t="shared" si="10"/>
        <v>12</v>
      </c>
      <c r="L667" s="1246" t="s">
        <v>1529</v>
      </c>
      <c r="M667" s="1250">
        <v>9</v>
      </c>
      <c r="N667" s="1251">
        <v>1</v>
      </c>
      <c r="O667" s="1252">
        <v>1</v>
      </c>
    </row>
    <row r="668" spans="1:15">
      <c r="A668" s="1246" t="s">
        <v>1493</v>
      </c>
      <c r="B668" s="1246" t="s">
        <v>432</v>
      </c>
      <c r="C668" s="1247">
        <v>2</v>
      </c>
      <c r="E668" s="1246" t="s">
        <v>376</v>
      </c>
      <c r="F668" s="1248">
        <v>1</v>
      </c>
      <c r="G668" s="1248">
        <v>1</v>
      </c>
      <c r="H668" s="1249">
        <v>1</v>
      </c>
      <c r="I668" s="1246" t="s">
        <v>1491</v>
      </c>
      <c r="J668" s="1246" t="s">
        <v>1437</v>
      </c>
      <c r="K668" s="1284" t="str">
        <f t="shared" si="10"/>
        <v>12</v>
      </c>
      <c r="L668" s="1246" t="s">
        <v>1529</v>
      </c>
      <c r="M668" s="1250">
        <v>9</v>
      </c>
      <c r="N668" s="1251">
        <v>3</v>
      </c>
      <c r="O668" s="1252">
        <v>3</v>
      </c>
    </row>
    <row r="669" spans="1:15">
      <c r="A669" s="1246" t="s">
        <v>1493</v>
      </c>
      <c r="B669" s="1246" t="s">
        <v>432</v>
      </c>
      <c r="C669" s="1247">
        <v>2</v>
      </c>
      <c r="E669" s="1246" t="s">
        <v>370</v>
      </c>
      <c r="F669" s="1248">
        <v>1</v>
      </c>
      <c r="G669" s="1248">
        <v>1</v>
      </c>
      <c r="H669" s="1249">
        <v>1</v>
      </c>
      <c r="I669" s="1246" t="s">
        <v>1491</v>
      </c>
      <c r="J669" s="1246" t="s">
        <v>1436</v>
      </c>
      <c r="K669" s="1284" t="str">
        <f t="shared" si="10"/>
        <v>11</v>
      </c>
      <c r="L669" s="1246" t="s">
        <v>1495</v>
      </c>
      <c r="M669" s="1250">
        <v>9</v>
      </c>
      <c r="N669" s="1251">
        <v>150</v>
      </c>
      <c r="O669" s="1252">
        <v>150</v>
      </c>
    </row>
    <row r="670" spans="1:15">
      <c r="A670" s="1246" t="s">
        <v>683</v>
      </c>
      <c r="B670" s="1246" t="s">
        <v>432</v>
      </c>
      <c r="C670" s="1247">
        <v>2</v>
      </c>
      <c r="E670" s="1246" t="s">
        <v>370</v>
      </c>
      <c r="F670" s="1248">
        <v>1</v>
      </c>
      <c r="G670" s="1248">
        <v>1</v>
      </c>
      <c r="H670" s="1249">
        <v>1</v>
      </c>
      <c r="I670" s="1246" t="s">
        <v>1491</v>
      </c>
      <c r="J670" s="1246" t="s">
        <v>1436</v>
      </c>
      <c r="K670" s="1284" t="str">
        <f t="shared" si="10"/>
        <v>11</v>
      </c>
      <c r="L670" s="1246" t="s">
        <v>1495</v>
      </c>
      <c r="M670" s="1250">
        <v>9</v>
      </c>
      <c r="N670" s="1251">
        <v>2</v>
      </c>
      <c r="O670" s="1252">
        <v>2</v>
      </c>
    </row>
    <row r="671" spans="1:15">
      <c r="A671" s="1246" t="s">
        <v>1493</v>
      </c>
      <c r="B671" s="1246" t="s">
        <v>432</v>
      </c>
      <c r="C671" s="1247">
        <v>2</v>
      </c>
      <c r="E671" s="1246" t="s">
        <v>373</v>
      </c>
      <c r="F671" s="1248">
        <v>1</v>
      </c>
      <c r="G671" s="1248">
        <v>1</v>
      </c>
      <c r="H671" s="1249">
        <v>1</v>
      </c>
      <c r="I671" s="1246" t="s">
        <v>1491</v>
      </c>
      <c r="J671" s="1246" t="s">
        <v>1436</v>
      </c>
      <c r="K671" s="1284" t="str">
        <f t="shared" si="10"/>
        <v>11</v>
      </c>
      <c r="L671" s="1246" t="s">
        <v>1495</v>
      </c>
      <c r="M671" s="1250">
        <v>9</v>
      </c>
      <c r="N671" s="1251">
        <v>3</v>
      </c>
      <c r="O671" s="1252">
        <v>3</v>
      </c>
    </row>
    <row r="672" spans="1:15">
      <c r="A672" s="1246" t="s">
        <v>1493</v>
      </c>
      <c r="B672" s="1246" t="s">
        <v>432</v>
      </c>
      <c r="C672" s="1247">
        <v>2</v>
      </c>
      <c r="E672" s="1246" t="s">
        <v>370</v>
      </c>
      <c r="F672" s="1248">
        <v>1</v>
      </c>
      <c r="G672" s="1248">
        <v>1</v>
      </c>
      <c r="H672" s="1249">
        <v>1</v>
      </c>
      <c r="I672" s="1246" t="s">
        <v>1491</v>
      </c>
      <c r="J672" s="1246" t="s">
        <v>1397</v>
      </c>
      <c r="K672" s="1284" t="str">
        <f t="shared" si="10"/>
        <v>10</v>
      </c>
      <c r="L672" s="1246" t="s">
        <v>1536</v>
      </c>
      <c r="M672" s="1250">
        <v>9</v>
      </c>
      <c r="N672" s="1251">
        <v>2</v>
      </c>
      <c r="O672" s="1252">
        <v>2</v>
      </c>
    </row>
    <row r="673" spans="1:15">
      <c r="A673" s="1246" t="s">
        <v>1493</v>
      </c>
      <c r="B673" s="1246" t="s">
        <v>432</v>
      </c>
      <c r="C673" s="1247">
        <v>2</v>
      </c>
      <c r="E673" s="1246" t="s">
        <v>370</v>
      </c>
      <c r="F673" s="1248">
        <v>1</v>
      </c>
      <c r="G673" s="1248">
        <v>1</v>
      </c>
      <c r="H673" s="1249">
        <v>1</v>
      </c>
      <c r="I673" s="1246" t="s">
        <v>1491</v>
      </c>
      <c r="J673" s="1246" t="s">
        <v>1439</v>
      </c>
      <c r="K673" s="1284" t="str">
        <f t="shared" si="10"/>
        <v>15</v>
      </c>
      <c r="L673" s="1246" t="s">
        <v>1530</v>
      </c>
      <c r="M673" s="1250">
        <v>9</v>
      </c>
      <c r="N673" s="1251">
        <v>11</v>
      </c>
      <c r="O673" s="1252">
        <v>11</v>
      </c>
    </row>
    <row r="674" spans="1:15">
      <c r="A674" s="1246" t="s">
        <v>1493</v>
      </c>
      <c r="B674" s="1246" t="s">
        <v>432</v>
      </c>
      <c r="C674" s="1247">
        <v>2</v>
      </c>
      <c r="E674" s="1246" t="s">
        <v>376</v>
      </c>
      <c r="F674" s="1248">
        <v>1</v>
      </c>
      <c r="G674" s="1248">
        <v>1</v>
      </c>
      <c r="H674" s="1249">
        <v>1</v>
      </c>
      <c r="I674" s="1246" t="s">
        <v>1491</v>
      </c>
      <c r="J674" s="1246" t="s">
        <v>1397</v>
      </c>
      <c r="K674" s="1284" t="str">
        <f t="shared" si="10"/>
        <v>10</v>
      </c>
      <c r="L674" s="1246" t="s">
        <v>1532</v>
      </c>
      <c r="M674" s="1250">
        <v>9</v>
      </c>
      <c r="N674" s="1251">
        <v>10</v>
      </c>
      <c r="O674" s="1252">
        <v>10</v>
      </c>
    </row>
    <row r="675" spans="1:15">
      <c r="A675" s="1246" t="s">
        <v>1493</v>
      </c>
      <c r="B675" s="1246" t="s">
        <v>432</v>
      </c>
      <c r="C675" s="1247">
        <v>2</v>
      </c>
      <c r="E675" s="1246" t="s">
        <v>370</v>
      </c>
      <c r="F675" s="1248">
        <v>1</v>
      </c>
      <c r="G675" s="1248">
        <v>1</v>
      </c>
      <c r="H675" s="1249">
        <v>1</v>
      </c>
      <c r="I675" s="1246" t="s">
        <v>1491</v>
      </c>
      <c r="J675" s="1246" t="s">
        <v>1397</v>
      </c>
      <c r="K675" s="1284" t="str">
        <f t="shared" si="10"/>
        <v>10</v>
      </c>
      <c r="L675" s="1246" t="s">
        <v>1532</v>
      </c>
      <c r="M675" s="1250">
        <v>9</v>
      </c>
      <c r="N675" s="1251">
        <v>16</v>
      </c>
      <c r="O675" s="1252">
        <v>16</v>
      </c>
    </row>
    <row r="676" spans="1:15">
      <c r="A676" s="1246" t="s">
        <v>1493</v>
      </c>
      <c r="B676" s="1246" t="s">
        <v>432</v>
      </c>
      <c r="C676" s="1247">
        <v>2</v>
      </c>
      <c r="E676" s="1246" t="s">
        <v>370</v>
      </c>
      <c r="F676" s="1248">
        <v>1</v>
      </c>
      <c r="G676" s="1248">
        <v>1</v>
      </c>
      <c r="H676" s="1249">
        <v>1</v>
      </c>
      <c r="I676" s="1246" t="s">
        <v>1491</v>
      </c>
      <c r="J676" s="1246" t="s">
        <v>1438</v>
      </c>
      <c r="K676" s="1284" t="str">
        <f t="shared" si="10"/>
        <v>13</v>
      </c>
      <c r="L676" s="1246" t="s">
        <v>1533</v>
      </c>
      <c r="M676" s="1250">
        <v>9</v>
      </c>
      <c r="N676" s="1251">
        <v>14</v>
      </c>
      <c r="O676" s="1252">
        <v>14</v>
      </c>
    </row>
    <row r="677" spans="1:15">
      <c r="A677" s="1246" t="s">
        <v>1493</v>
      </c>
      <c r="B677" s="1246" t="s">
        <v>432</v>
      </c>
      <c r="C677" s="1247">
        <v>2</v>
      </c>
      <c r="E677" s="1246" t="s">
        <v>376</v>
      </c>
      <c r="F677" s="1248">
        <v>1</v>
      </c>
      <c r="G677" s="1248">
        <v>1</v>
      </c>
      <c r="H677" s="1249">
        <v>1</v>
      </c>
      <c r="I677" s="1246" t="s">
        <v>1491</v>
      </c>
      <c r="J677" s="1246" t="s">
        <v>1438</v>
      </c>
      <c r="K677" s="1284" t="str">
        <f t="shared" si="10"/>
        <v>13</v>
      </c>
      <c r="L677" s="1246" t="s">
        <v>1533</v>
      </c>
      <c r="M677" s="1250">
        <v>9</v>
      </c>
      <c r="N677" s="1251">
        <v>2</v>
      </c>
      <c r="O677" s="1252">
        <v>2</v>
      </c>
    </row>
    <row r="678" spans="1:15">
      <c r="A678" s="1246" t="s">
        <v>1493</v>
      </c>
      <c r="B678" s="1246" t="s">
        <v>432</v>
      </c>
      <c r="C678" s="1247">
        <v>2</v>
      </c>
      <c r="D678" s="1246" t="s">
        <v>1412</v>
      </c>
      <c r="E678" s="1246" t="s">
        <v>376</v>
      </c>
      <c r="F678" s="1248">
        <v>1</v>
      </c>
      <c r="G678" s="1248">
        <v>1</v>
      </c>
      <c r="H678" s="1249">
        <v>1</v>
      </c>
      <c r="I678" s="1246" t="s">
        <v>1491</v>
      </c>
      <c r="J678" s="1246" t="s">
        <v>1436</v>
      </c>
      <c r="K678" s="1284" t="str">
        <f t="shared" si="10"/>
        <v>11</v>
      </c>
      <c r="L678" s="1246" t="s">
        <v>1496</v>
      </c>
      <c r="M678" s="1250">
        <v>9</v>
      </c>
      <c r="N678" s="1251">
        <v>2</v>
      </c>
      <c r="O678" s="1252">
        <v>2</v>
      </c>
    </row>
    <row r="679" spans="1:15">
      <c r="A679" s="1246" t="s">
        <v>1493</v>
      </c>
      <c r="B679" s="1246" t="s">
        <v>432</v>
      </c>
      <c r="C679" s="1247">
        <v>2</v>
      </c>
      <c r="E679" s="1246" t="s">
        <v>376</v>
      </c>
      <c r="F679" s="1248">
        <v>1</v>
      </c>
      <c r="G679" s="1248">
        <v>1</v>
      </c>
      <c r="H679" s="1249">
        <v>1</v>
      </c>
      <c r="I679" s="1246" t="s">
        <v>1491</v>
      </c>
      <c r="J679" s="1246" t="s">
        <v>1436</v>
      </c>
      <c r="K679" s="1284" t="str">
        <f t="shared" si="10"/>
        <v>11</v>
      </c>
      <c r="L679" s="1246" t="s">
        <v>1496</v>
      </c>
      <c r="M679" s="1250">
        <v>9</v>
      </c>
      <c r="N679" s="1251">
        <v>25</v>
      </c>
      <c r="O679" s="1252">
        <v>25</v>
      </c>
    </row>
    <row r="680" spans="1:15">
      <c r="A680" s="1246" t="s">
        <v>1493</v>
      </c>
      <c r="B680" s="1246" t="s">
        <v>432</v>
      </c>
      <c r="C680" s="1247">
        <v>2</v>
      </c>
      <c r="D680" s="1246" t="s">
        <v>1412</v>
      </c>
      <c r="E680" s="1246" t="s">
        <v>376</v>
      </c>
      <c r="F680" s="1248">
        <v>1</v>
      </c>
      <c r="G680" s="1248">
        <v>1</v>
      </c>
      <c r="H680" s="1249">
        <v>2</v>
      </c>
      <c r="I680" s="1246" t="s">
        <v>1491</v>
      </c>
      <c r="J680" s="1246" t="s">
        <v>1436</v>
      </c>
      <c r="K680" s="1284" t="str">
        <f t="shared" si="10"/>
        <v>11</v>
      </c>
      <c r="L680" s="1246" t="s">
        <v>1496</v>
      </c>
      <c r="M680" s="1250">
        <v>9</v>
      </c>
      <c r="N680" s="1251">
        <v>1</v>
      </c>
      <c r="O680" s="1252">
        <v>1</v>
      </c>
    </row>
    <row r="681" spans="1:15">
      <c r="A681" s="1246" t="s">
        <v>1493</v>
      </c>
      <c r="B681" s="1246" t="s">
        <v>432</v>
      </c>
      <c r="C681" s="1247">
        <v>2</v>
      </c>
      <c r="E681" s="1246" t="s">
        <v>370</v>
      </c>
      <c r="F681" s="1248">
        <v>1</v>
      </c>
      <c r="G681" s="1248">
        <v>2</v>
      </c>
      <c r="H681" s="1249">
        <v>1</v>
      </c>
      <c r="I681" s="1246" t="s">
        <v>1491</v>
      </c>
      <c r="J681" s="1246" t="s">
        <v>1443</v>
      </c>
      <c r="K681" s="1284" t="str">
        <f t="shared" si="10"/>
        <v>1C</v>
      </c>
      <c r="L681" s="1246" t="s">
        <v>1502</v>
      </c>
      <c r="M681" s="1250">
        <v>4</v>
      </c>
      <c r="N681" s="1251">
        <v>1</v>
      </c>
      <c r="O681" s="1252">
        <v>1</v>
      </c>
    </row>
    <row r="682" spans="1:15">
      <c r="A682" s="1246" t="s">
        <v>1493</v>
      </c>
      <c r="B682" s="1246" t="s">
        <v>432</v>
      </c>
      <c r="C682" s="1247">
        <v>2</v>
      </c>
      <c r="E682" s="1246" t="s">
        <v>370</v>
      </c>
      <c r="F682" s="1248">
        <v>1</v>
      </c>
      <c r="G682" s="1248">
        <v>2</v>
      </c>
      <c r="H682" s="1249">
        <v>1</v>
      </c>
      <c r="I682" s="1246" t="s">
        <v>1491</v>
      </c>
      <c r="J682" s="1246" t="s">
        <v>1436</v>
      </c>
      <c r="K682" s="1284" t="str">
        <f t="shared" si="10"/>
        <v>11</v>
      </c>
      <c r="L682" s="1246" t="s">
        <v>1495</v>
      </c>
      <c r="M682" s="1250">
        <v>9</v>
      </c>
      <c r="N682" s="1251">
        <v>23</v>
      </c>
      <c r="O682" s="1252">
        <v>23</v>
      </c>
    </row>
    <row r="683" spans="1:15">
      <c r="A683" s="1246" t="s">
        <v>683</v>
      </c>
      <c r="B683" s="1246" t="s">
        <v>432</v>
      </c>
      <c r="C683" s="1247">
        <v>2</v>
      </c>
      <c r="E683" s="1246" t="s">
        <v>370</v>
      </c>
      <c r="F683" s="1248">
        <v>1</v>
      </c>
      <c r="G683" s="1248">
        <v>2</v>
      </c>
      <c r="H683" s="1249">
        <v>1</v>
      </c>
      <c r="I683" s="1246" t="s">
        <v>1491</v>
      </c>
      <c r="J683" s="1246" t="s">
        <v>1436</v>
      </c>
      <c r="K683" s="1284" t="str">
        <f t="shared" si="10"/>
        <v>11</v>
      </c>
      <c r="L683" s="1246" t="s">
        <v>1495</v>
      </c>
      <c r="M683" s="1250">
        <v>9</v>
      </c>
      <c r="N683" s="1251">
        <v>2</v>
      </c>
      <c r="O683" s="1252">
        <v>2</v>
      </c>
    </row>
    <row r="684" spans="1:15">
      <c r="A684" s="1246" t="s">
        <v>1493</v>
      </c>
      <c r="B684" s="1246" t="s">
        <v>432</v>
      </c>
      <c r="C684" s="1247">
        <v>2</v>
      </c>
      <c r="E684" s="1246" t="s">
        <v>373</v>
      </c>
      <c r="F684" s="1248">
        <v>1</v>
      </c>
      <c r="G684" s="1248">
        <v>2</v>
      </c>
      <c r="H684" s="1249">
        <v>1</v>
      </c>
      <c r="I684" s="1246" t="s">
        <v>1491</v>
      </c>
      <c r="J684" s="1246" t="s">
        <v>1436</v>
      </c>
      <c r="K684" s="1284" t="str">
        <f t="shared" si="10"/>
        <v>11</v>
      </c>
      <c r="L684" s="1246" t="s">
        <v>1495</v>
      </c>
      <c r="M684" s="1250">
        <v>9</v>
      </c>
      <c r="N684" s="1251">
        <v>1</v>
      </c>
      <c r="O684" s="1252">
        <v>1</v>
      </c>
    </row>
    <row r="685" spans="1:15">
      <c r="A685" s="1246" t="s">
        <v>1493</v>
      </c>
      <c r="B685" s="1246" t="s">
        <v>432</v>
      </c>
      <c r="C685" s="1247">
        <v>2</v>
      </c>
      <c r="E685" s="1246" t="s">
        <v>370</v>
      </c>
      <c r="F685" s="1248">
        <v>1</v>
      </c>
      <c r="G685" s="1248">
        <v>2</v>
      </c>
      <c r="H685" s="1249">
        <v>1</v>
      </c>
      <c r="I685" s="1246" t="s">
        <v>1491</v>
      </c>
      <c r="J685" s="1246" t="s">
        <v>1439</v>
      </c>
      <c r="K685" s="1284" t="str">
        <f t="shared" si="10"/>
        <v>15</v>
      </c>
      <c r="L685" s="1246" t="s">
        <v>1530</v>
      </c>
      <c r="M685" s="1250">
        <v>9</v>
      </c>
      <c r="N685" s="1251">
        <v>1</v>
      </c>
      <c r="O685" s="1252">
        <v>1</v>
      </c>
    </row>
    <row r="686" spans="1:15">
      <c r="A686" s="1246" t="s">
        <v>1493</v>
      </c>
      <c r="B686" s="1246" t="s">
        <v>432</v>
      </c>
      <c r="C686" s="1247">
        <v>2</v>
      </c>
      <c r="E686" s="1246" t="s">
        <v>370</v>
      </c>
      <c r="F686" s="1248">
        <v>1</v>
      </c>
      <c r="G686" s="1248">
        <v>2</v>
      </c>
      <c r="H686" s="1249">
        <v>1</v>
      </c>
      <c r="I686" s="1246" t="s">
        <v>1491</v>
      </c>
      <c r="J686" s="1246" t="s">
        <v>1397</v>
      </c>
      <c r="K686" s="1284" t="str">
        <f t="shared" si="10"/>
        <v>10</v>
      </c>
      <c r="L686" s="1246" t="s">
        <v>1532</v>
      </c>
      <c r="M686" s="1250">
        <v>9</v>
      </c>
      <c r="N686" s="1251">
        <v>1</v>
      </c>
      <c r="O686" s="1252">
        <v>1</v>
      </c>
    </row>
    <row r="687" spans="1:15">
      <c r="A687" s="1246" t="s">
        <v>1493</v>
      </c>
      <c r="B687" s="1246" t="s">
        <v>432</v>
      </c>
      <c r="C687" s="1247">
        <v>2</v>
      </c>
      <c r="E687" s="1246" t="s">
        <v>376</v>
      </c>
      <c r="F687" s="1248">
        <v>1</v>
      </c>
      <c r="G687" s="1248">
        <v>2</v>
      </c>
      <c r="H687" s="1249">
        <v>1</v>
      </c>
      <c r="I687" s="1246" t="s">
        <v>1491</v>
      </c>
      <c r="J687" s="1246" t="s">
        <v>1397</v>
      </c>
      <c r="K687" s="1284" t="str">
        <f t="shared" si="10"/>
        <v>10</v>
      </c>
      <c r="L687" s="1246" t="s">
        <v>1532</v>
      </c>
      <c r="M687" s="1250">
        <v>9</v>
      </c>
      <c r="N687" s="1251">
        <v>1</v>
      </c>
      <c r="O687" s="1252">
        <v>1</v>
      </c>
    </row>
    <row r="688" spans="1:15">
      <c r="A688" s="1246" t="s">
        <v>1493</v>
      </c>
      <c r="B688" s="1246" t="s">
        <v>432</v>
      </c>
      <c r="C688" s="1247">
        <v>2</v>
      </c>
      <c r="E688" s="1246" t="s">
        <v>370</v>
      </c>
      <c r="F688" s="1248">
        <v>1</v>
      </c>
      <c r="G688" s="1248">
        <v>2</v>
      </c>
      <c r="H688" s="1249">
        <v>1</v>
      </c>
      <c r="I688" s="1246" t="s">
        <v>1491</v>
      </c>
      <c r="J688" s="1246" t="s">
        <v>1438</v>
      </c>
      <c r="K688" s="1284" t="str">
        <f t="shared" si="10"/>
        <v>13</v>
      </c>
      <c r="L688" s="1246" t="s">
        <v>1533</v>
      </c>
      <c r="M688" s="1250">
        <v>9</v>
      </c>
      <c r="N688" s="1251">
        <v>3</v>
      </c>
      <c r="O688" s="1252">
        <v>3</v>
      </c>
    </row>
    <row r="689" spans="1:15">
      <c r="A689" s="1246" t="s">
        <v>1493</v>
      </c>
      <c r="B689" s="1246" t="s">
        <v>432</v>
      </c>
      <c r="C689" s="1247">
        <v>2</v>
      </c>
      <c r="E689" s="1246" t="s">
        <v>376</v>
      </c>
      <c r="F689" s="1248">
        <v>1</v>
      </c>
      <c r="G689" s="1248">
        <v>2</v>
      </c>
      <c r="H689" s="1249">
        <v>1</v>
      </c>
      <c r="I689" s="1246" t="s">
        <v>1491</v>
      </c>
      <c r="J689" s="1246" t="s">
        <v>1438</v>
      </c>
      <c r="K689" s="1284" t="str">
        <f t="shared" si="10"/>
        <v>13</v>
      </c>
      <c r="L689" s="1246" t="s">
        <v>1533</v>
      </c>
      <c r="M689" s="1250">
        <v>9</v>
      </c>
      <c r="N689" s="1251">
        <v>3</v>
      </c>
      <c r="O689" s="1252">
        <v>3</v>
      </c>
    </row>
    <row r="690" spans="1:15">
      <c r="A690" s="1246" t="s">
        <v>1493</v>
      </c>
      <c r="B690" s="1246" t="s">
        <v>432</v>
      </c>
      <c r="C690" s="1247">
        <v>2</v>
      </c>
      <c r="D690" s="1246" t="s">
        <v>1412</v>
      </c>
      <c r="E690" s="1246" t="s">
        <v>376</v>
      </c>
      <c r="F690" s="1248">
        <v>1</v>
      </c>
      <c r="G690" s="1248">
        <v>2</v>
      </c>
      <c r="H690" s="1249">
        <v>1</v>
      </c>
      <c r="I690" s="1246" t="s">
        <v>1491</v>
      </c>
      <c r="J690" s="1246" t="s">
        <v>1436</v>
      </c>
      <c r="K690" s="1284" t="str">
        <f t="shared" si="10"/>
        <v>11</v>
      </c>
      <c r="L690" s="1246" t="s">
        <v>1496</v>
      </c>
      <c r="M690" s="1250">
        <v>9</v>
      </c>
      <c r="N690" s="1251">
        <v>6</v>
      </c>
      <c r="O690" s="1252">
        <v>6</v>
      </c>
    </row>
    <row r="691" spans="1:15">
      <c r="A691" s="1246" t="s">
        <v>1493</v>
      </c>
      <c r="B691" s="1246" t="s">
        <v>432</v>
      </c>
      <c r="C691" s="1247">
        <v>2</v>
      </c>
      <c r="E691" s="1246" t="s">
        <v>376</v>
      </c>
      <c r="F691" s="1248">
        <v>1</v>
      </c>
      <c r="G691" s="1248">
        <v>2</v>
      </c>
      <c r="H691" s="1249">
        <v>1</v>
      </c>
      <c r="I691" s="1246" t="s">
        <v>1491</v>
      </c>
      <c r="J691" s="1246" t="s">
        <v>1436</v>
      </c>
      <c r="K691" s="1284" t="str">
        <f t="shared" si="10"/>
        <v>11</v>
      </c>
      <c r="L691" s="1246" t="s">
        <v>1496</v>
      </c>
      <c r="M691" s="1250">
        <v>9</v>
      </c>
      <c r="N691" s="1251">
        <v>13</v>
      </c>
      <c r="O691" s="1252">
        <v>13</v>
      </c>
    </row>
    <row r="692" spans="1:15">
      <c r="A692" s="1246" t="s">
        <v>683</v>
      </c>
      <c r="B692" s="1246" t="s">
        <v>432</v>
      </c>
      <c r="C692" s="1247">
        <v>2</v>
      </c>
      <c r="E692" s="1246" t="s">
        <v>370</v>
      </c>
      <c r="F692" s="1248">
        <v>1</v>
      </c>
      <c r="G692" s="1248">
        <v>3</v>
      </c>
      <c r="H692" s="1249">
        <v>1</v>
      </c>
      <c r="I692" s="1246" t="s">
        <v>1491</v>
      </c>
      <c r="J692" s="1246" t="s">
        <v>1436</v>
      </c>
      <c r="K692" s="1284" t="str">
        <f t="shared" si="10"/>
        <v>11</v>
      </c>
      <c r="L692" s="1246" t="s">
        <v>1495</v>
      </c>
      <c r="M692" s="1250">
        <v>9</v>
      </c>
      <c r="N692" s="1251">
        <v>1</v>
      </c>
      <c r="O692" s="1252">
        <v>1</v>
      </c>
    </row>
    <row r="693" spans="1:15">
      <c r="A693" s="1246" t="s">
        <v>1493</v>
      </c>
      <c r="B693" s="1246" t="s">
        <v>432</v>
      </c>
      <c r="C693" s="1247">
        <v>2</v>
      </c>
      <c r="E693" s="1246" t="s">
        <v>370</v>
      </c>
      <c r="F693" s="1248">
        <v>1</v>
      </c>
      <c r="G693" s="1248">
        <v>3</v>
      </c>
      <c r="H693" s="1249">
        <v>1</v>
      </c>
      <c r="I693" s="1246" t="s">
        <v>1491</v>
      </c>
      <c r="J693" s="1246" t="s">
        <v>1436</v>
      </c>
      <c r="K693" s="1284" t="str">
        <f t="shared" si="10"/>
        <v>11</v>
      </c>
      <c r="L693" s="1246" t="s">
        <v>1495</v>
      </c>
      <c r="M693" s="1250">
        <v>9</v>
      </c>
      <c r="N693" s="1251">
        <v>7</v>
      </c>
      <c r="O693" s="1252">
        <v>7</v>
      </c>
    </row>
    <row r="694" spans="1:15">
      <c r="A694" s="1246" t="s">
        <v>1493</v>
      </c>
      <c r="B694" s="1246" t="s">
        <v>432</v>
      </c>
      <c r="C694" s="1247">
        <v>2</v>
      </c>
      <c r="E694" s="1246" t="s">
        <v>373</v>
      </c>
      <c r="F694" s="1248">
        <v>1</v>
      </c>
      <c r="G694" s="1248">
        <v>3</v>
      </c>
      <c r="H694" s="1249">
        <v>1</v>
      </c>
      <c r="I694" s="1246" t="s">
        <v>1491</v>
      </c>
      <c r="J694" s="1246" t="s">
        <v>1436</v>
      </c>
      <c r="K694" s="1284" t="str">
        <f t="shared" si="10"/>
        <v>11</v>
      </c>
      <c r="L694" s="1246" t="s">
        <v>1495</v>
      </c>
      <c r="M694" s="1250">
        <v>9</v>
      </c>
      <c r="N694" s="1251">
        <v>2</v>
      </c>
      <c r="O694" s="1252">
        <v>2</v>
      </c>
    </row>
    <row r="695" spans="1:15">
      <c r="A695" s="1246" t="s">
        <v>1493</v>
      </c>
      <c r="B695" s="1246" t="s">
        <v>432</v>
      </c>
      <c r="C695" s="1247">
        <v>2</v>
      </c>
      <c r="E695" s="1246" t="s">
        <v>370</v>
      </c>
      <c r="F695" s="1248">
        <v>1</v>
      </c>
      <c r="G695" s="1248">
        <v>3</v>
      </c>
      <c r="H695" s="1249">
        <v>1</v>
      </c>
      <c r="I695" s="1246" t="s">
        <v>1491</v>
      </c>
      <c r="J695" s="1246" t="s">
        <v>1438</v>
      </c>
      <c r="K695" s="1284" t="str">
        <f t="shared" si="10"/>
        <v>13</v>
      </c>
      <c r="L695" s="1246" t="s">
        <v>1533</v>
      </c>
      <c r="M695" s="1250">
        <v>9</v>
      </c>
      <c r="N695" s="1251">
        <v>3</v>
      </c>
      <c r="O695" s="1252">
        <v>3</v>
      </c>
    </row>
    <row r="696" spans="1:15">
      <c r="A696" s="1246" t="s">
        <v>1493</v>
      </c>
      <c r="B696" s="1246" t="s">
        <v>432</v>
      </c>
      <c r="C696" s="1247">
        <v>2</v>
      </c>
      <c r="E696" s="1246" t="s">
        <v>376</v>
      </c>
      <c r="F696" s="1248">
        <v>1</v>
      </c>
      <c r="G696" s="1248">
        <v>3</v>
      </c>
      <c r="H696" s="1249">
        <v>1</v>
      </c>
      <c r="I696" s="1246" t="s">
        <v>1491</v>
      </c>
      <c r="J696" s="1246" t="s">
        <v>1436</v>
      </c>
      <c r="K696" s="1284" t="str">
        <f t="shared" si="10"/>
        <v>11</v>
      </c>
      <c r="L696" s="1246" t="s">
        <v>1496</v>
      </c>
      <c r="M696" s="1250">
        <v>9</v>
      </c>
      <c r="N696" s="1251">
        <v>2</v>
      </c>
      <c r="O696" s="1252">
        <v>2</v>
      </c>
    </row>
    <row r="697" spans="1:15">
      <c r="A697" s="1246" t="s">
        <v>1493</v>
      </c>
      <c r="B697" s="1246" t="s">
        <v>432</v>
      </c>
      <c r="C697" s="1247">
        <v>2</v>
      </c>
      <c r="D697" s="1246" t="s">
        <v>1412</v>
      </c>
      <c r="E697" s="1246" t="s">
        <v>376</v>
      </c>
      <c r="F697" s="1248">
        <v>1</v>
      </c>
      <c r="G697" s="1248">
        <v>3</v>
      </c>
      <c r="H697" s="1249">
        <v>1</v>
      </c>
      <c r="I697" s="1246" t="s">
        <v>1491</v>
      </c>
      <c r="J697" s="1246" t="s">
        <v>1436</v>
      </c>
      <c r="K697" s="1284" t="str">
        <f t="shared" si="10"/>
        <v>11</v>
      </c>
      <c r="L697" s="1246" t="s">
        <v>1496</v>
      </c>
      <c r="M697" s="1250">
        <v>9</v>
      </c>
      <c r="N697" s="1251">
        <v>1</v>
      </c>
      <c r="O697" s="1252">
        <v>1</v>
      </c>
    </row>
    <row r="698" spans="1:15">
      <c r="A698" s="1246" t="s">
        <v>1493</v>
      </c>
      <c r="B698" s="1246" t="s">
        <v>432</v>
      </c>
      <c r="C698" s="1247">
        <v>2</v>
      </c>
      <c r="E698" s="1246" t="s">
        <v>370</v>
      </c>
      <c r="F698" s="1248">
        <v>1</v>
      </c>
      <c r="G698" s="1248">
        <v>4</v>
      </c>
      <c r="H698" s="1249">
        <v>1</v>
      </c>
      <c r="I698" s="1246" t="s">
        <v>1491</v>
      </c>
      <c r="J698" s="1246" t="s">
        <v>1436</v>
      </c>
      <c r="K698" s="1284" t="str">
        <f t="shared" si="10"/>
        <v>11</v>
      </c>
      <c r="L698" s="1246" t="s">
        <v>1495</v>
      </c>
      <c r="M698" s="1250">
        <v>9</v>
      </c>
      <c r="N698" s="1251">
        <v>1</v>
      </c>
      <c r="O698" s="1252">
        <v>1</v>
      </c>
    </row>
    <row r="699" spans="1:15">
      <c r="A699" s="1246" t="s">
        <v>683</v>
      </c>
      <c r="B699" s="1246" t="s">
        <v>432</v>
      </c>
      <c r="C699" s="1247">
        <v>2</v>
      </c>
      <c r="D699" s="1246" t="s">
        <v>1412</v>
      </c>
      <c r="E699" s="1246" t="s">
        <v>370</v>
      </c>
      <c r="F699" s="1248">
        <v>2</v>
      </c>
      <c r="G699" s="1248">
        <v>0</v>
      </c>
      <c r="H699" s="1249">
        <v>0</v>
      </c>
      <c r="J699" s="1246" t="s">
        <v>1438</v>
      </c>
      <c r="K699" s="1284" t="str">
        <f t="shared" si="10"/>
        <v>13</v>
      </c>
      <c r="L699" s="1246" t="s">
        <v>1533</v>
      </c>
      <c r="M699" s="1250">
        <v>9</v>
      </c>
      <c r="N699" s="1251">
        <v>2</v>
      </c>
      <c r="O699" s="1252">
        <v>1</v>
      </c>
    </row>
    <row r="700" spans="1:15">
      <c r="A700" s="1246" t="s">
        <v>1493</v>
      </c>
      <c r="B700" s="1246" t="s">
        <v>432</v>
      </c>
      <c r="C700" s="1247">
        <v>2</v>
      </c>
      <c r="E700" s="1246" t="s">
        <v>370</v>
      </c>
      <c r="F700" s="1248">
        <v>2</v>
      </c>
      <c r="G700" s="1248">
        <v>2</v>
      </c>
      <c r="H700" s="1249">
        <v>1</v>
      </c>
      <c r="I700" s="1246" t="s">
        <v>1491</v>
      </c>
      <c r="J700" s="1246" t="s">
        <v>1443</v>
      </c>
      <c r="K700" s="1284" t="str">
        <f t="shared" si="10"/>
        <v>1C</v>
      </c>
      <c r="L700" s="1246" t="s">
        <v>1502</v>
      </c>
      <c r="M700" s="1250">
        <v>4</v>
      </c>
      <c r="N700" s="1251">
        <v>2</v>
      </c>
      <c r="O700" s="1252">
        <v>1</v>
      </c>
    </row>
    <row r="701" spans="1:15">
      <c r="A701" s="1246" t="s">
        <v>1493</v>
      </c>
      <c r="B701" s="1246" t="s">
        <v>432</v>
      </c>
      <c r="C701" s="1247">
        <v>2</v>
      </c>
      <c r="E701" s="1246" t="s">
        <v>370</v>
      </c>
      <c r="F701" s="1248">
        <v>2</v>
      </c>
      <c r="G701" s="1248">
        <v>2</v>
      </c>
      <c r="H701" s="1249">
        <v>1</v>
      </c>
      <c r="I701" s="1246" t="s">
        <v>1491</v>
      </c>
      <c r="J701" s="1246" t="s">
        <v>1436</v>
      </c>
      <c r="K701" s="1284" t="str">
        <f t="shared" si="10"/>
        <v>11</v>
      </c>
      <c r="L701" s="1246" t="s">
        <v>1495</v>
      </c>
      <c r="M701" s="1250">
        <v>9</v>
      </c>
      <c r="N701" s="1251">
        <v>2</v>
      </c>
      <c r="O701" s="1252">
        <v>1</v>
      </c>
    </row>
    <row r="702" spans="1:15">
      <c r="A702" s="1246" t="s">
        <v>1493</v>
      </c>
      <c r="B702" s="1246" t="s">
        <v>432</v>
      </c>
      <c r="C702" s="1247">
        <v>2</v>
      </c>
      <c r="E702" s="1246" t="s">
        <v>376</v>
      </c>
      <c r="F702" s="1248">
        <v>2</v>
      </c>
      <c r="G702" s="1248">
        <v>2</v>
      </c>
      <c r="H702" s="1249">
        <v>1</v>
      </c>
      <c r="I702" s="1246" t="s">
        <v>1491</v>
      </c>
      <c r="J702" s="1246" t="s">
        <v>1397</v>
      </c>
      <c r="K702" s="1284" t="str">
        <f t="shared" si="10"/>
        <v>10</v>
      </c>
      <c r="L702" s="1246" t="s">
        <v>1532</v>
      </c>
      <c r="M702" s="1250">
        <v>9</v>
      </c>
      <c r="N702" s="1251">
        <v>4</v>
      </c>
      <c r="O702" s="1252">
        <v>2</v>
      </c>
    </row>
    <row r="703" spans="1:15">
      <c r="A703" s="1246" t="s">
        <v>1493</v>
      </c>
      <c r="B703" s="1246" t="s">
        <v>432</v>
      </c>
      <c r="C703" s="1247">
        <v>2</v>
      </c>
      <c r="E703" s="1246" t="s">
        <v>376</v>
      </c>
      <c r="F703" s="1248">
        <v>2</v>
      </c>
      <c r="G703" s="1248">
        <v>2</v>
      </c>
      <c r="H703" s="1249">
        <v>1</v>
      </c>
      <c r="I703" s="1246" t="s">
        <v>1491</v>
      </c>
      <c r="J703" s="1246" t="s">
        <v>1438</v>
      </c>
      <c r="K703" s="1284" t="str">
        <f t="shared" si="10"/>
        <v>13</v>
      </c>
      <c r="L703" s="1246" t="s">
        <v>1533</v>
      </c>
      <c r="M703" s="1250">
        <v>9</v>
      </c>
      <c r="N703" s="1251">
        <v>2</v>
      </c>
      <c r="O703" s="1252">
        <v>1</v>
      </c>
    </row>
    <row r="704" spans="1:15">
      <c r="A704" s="1246" t="s">
        <v>1493</v>
      </c>
      <c r="B704" s="1246" t="s">
        <v>432</v>
      </c>
      <c r="C704" s="1247">
        <v>2</v>
      </c>
      <c r="E704" s="1246" t="s">
        <v>376</v>
      </c>
      <c r="F704" s="1248">
        <v>2</v>
      </c>
      <c r="G704" s="1248">
        <v>2</v>
      </c>
      <c r="H704" s="1249">
        <v>1</v>
      </c>
      <c r="I704" s="1246" t="s">
        <v>1491</v>
      </c>
      <c r="J704" s="1246" t="s">
        <v>1436</v>
      </c>
      <c r="K704" s="1284" t="str">
        <f t="shared" si="10"/>
        <v>11</v>
      </c>
      <c r="L704" s="1246" t="s">
        <v>1496</v>
      </c>
      <c r="M704" s="1250">
        <v>9</v>
      </c>
      <c r="N704" s="1251">
        <v>8</v>
      </c>
      <c r="O704" s="1252">
        <v>4</v>
      </c>
    </row>
    <row r="705" spans="1:15">
      <c r="A705" s="1246" t="s">
        <v>1493</v>
      </c>
      <c r="B705" s="1246" t="s">
        <v>432</v>
      </c>
      <c r="C705" s="1247">
        <v>2</v>
      </c>
      <c r="D705" s="1246" t="s">
        <v>1412</v>
      </c>
      <c r="E705" s="1246" t="s">
        <v>376</v>
      </c>
      <c r="F705" s="1248">
        <v>2</v>
      </c>
      <c r="G705" s="1248">
        <v>2</v>
      </c>
      <c r="H705" s="1249">
        <v>2</v>
      </c>
      <c r="I705" s="1246" t="s">
        <v>1491</v>
      </c>
      <c r="J705" s="1246" t="s">
        <v>1436</v>
      </c>
      <c r="K705" s="1284" t="str">
        <f t="shared" si="10"/>
        <v>11</v>
      </c>
      <c r="L705" s="1246" t="s">
        <v>1496</v>
      </c>
      <c r="M705" s="1250">
        <v>9</v>
      </c>
      <c r="N705" s="1251">
        <v>2</v>
      </c>
      <c r="O705" s="1252">
        <v>1</v>
      </c>
    </row>
    <row r="706" spans="1:15">
      <c r="A706" s="1246" t="s">
        <v>1493</v>
      </c>
      <c r="B706" s="1246" t="s">
        <v>432</v>
      </c>
      <c r="C706" s="1247">
        <v>2</v>
      </c>
      <c r="E706" s="1246" t="s">
        <v>370</v>
      </c>
      <c r="F706" s="1248">
        <v>2</v>
      </c>
      <c r="G706" s="1248">
        <v>4</v>
      </c>
      <c r="H706" s="1249">
        <v>1</v>
      </c>
      <c r="I706" s="1246" t="s">
        <v>1491</v>
      </c>
      <c r="J706" s="1246" t="s">
        <v>1436</v>
      </c>
      <c r="K706" s="1284" t="str">
        <f t="shared" ref="K706:K769" si="11">IF(J706="1B","10", IF(J706="2B","20",IF(J706="3B","30",IF(J706="7B",70,J706))))</f>
        <v>11</v>
      </c>
      <c r="L706" s="1246" t="s">
        <v>1495</v>
      </c>
      <c r="M706" s="1250">
        <v>9</v>
      </c>
      <c r="N706" s="1251">
        <v>2</v>
      </c>
      <c r="O706" s="1252">
        <v>1</v>
      </c>
    </row>
    <row r="707" spans="1:15">
      <c r="A707" s="1246" t="s">
        <v>1493</v>
      </c>
      <c r="B707" s="1246" t="s">
        <v>432</v>
      </c>
      <c r="C707" s="1247">
        <v>2</v>
      </c>
      <c r="D707" s="1246" t="s">
        <v>1412</v>
      </c>
      <c r="E707" s="1246" t="s">
        <v>376</v>
      </c>
      <c r="F707" s="1248">
        <v>2</v>
      </c>
      <c r="G707" s="1248">
        <v>4</v>
      </c>
      <c r="H707" s="1249">
        <v>1</v>
      </c>
      <c r="I707" s="1246" t="s">
        <v>1491</v>
      </c>
      <c r="J707" s="1246" t="s">
        <v>1436</v>
      </c>
      <c r="K707" s="1284" t="str">
        <f t="shared" si="11"/>
        <v>11</v>
      </c>
      <c r="L707" s="1246" t="s">
        <v>1496</v>
      </c>
      <c r="M707" s="1250">
        <v>9</v>
      </c>
      <c r="N707" s="1251">
        <v>2</v>
      </c>
      <c r="O707" s="1252">
        <v>1</v>
      </c>
    </row>
    <row r="708" spans="1:15">
      <c r="A708" s="1246" t="s">
        <v>1493</v>
      </c>
      <c r="B708" s="1246" t="s">
        <v>432</v>
      </c>
      <c r="C708" s="1247">
        <v>2</v>
      </c>
      <c r="E708" s="1246" t="s">
        <v>376</v>
      </c>
      <c r="F708" s="1248">
        <v>2</v>
      </c>
      <c r="G708" s="1248">
        <v>4</v>
      </c>
      <c r="H708" s="1249">
        <v>1</v>
      </c>
      <c r="I708" s="1246" t="s">
        <v>1491</v>
      </c>
      <c r="J708" s="1246" t="s">
        <v>1436</v>
      </c>
      <c r="K708" s="1284" t="str">
        <f t="shared" si="11"/>
        <v>11</v>
      </c>
      <c r="L708" s="1246" t="s">
        <v>1496</v>
      </c>
      <c r="M708" s="1250">
        <v>9</v>
      </c>
      <c r="N708" s="1251">
        <v>8</v>
      </c>
      <c r="O708" s="1252">
        <v>4</v>
      </c>
    </row>
    <row r="709" spans="1:15">
      <c r="A709" s="1246" t="s">
        <v>1493</v>
      </c>
      <c r="B709" s="1246" t="s">
        <v>432</v>
      </c>
      <c r="C709" s="1247">
        <v>2</v>
      </c>
      <c r="E709" s="1246" t="s">
        <v>370</v>
      </c>
      <c r="F709" s="1248">
        <v>2</v>
      </c>
      <c r="G709" s="1248">
        <v>6</v>
      </c>
      <c r="H709" s="1249">
        <v>1</v>
      </c>
      <c r="I709" s="1246" t="s">
        <v>1491</v>
      </c>
      <c r="J709" s="1246" t="s">
        <v>1436</v>
      </c>
      <c r="K709" s="1284" t="str">
        <f t="shared" si="11"/>
        <v>11</v>
      </c>
      <c r="L709" s="1246" t="s">
        <v>1495</v>
      </c>
      <c r="M709" s="1250">
        <v>9</v>
      </c>
      <c r="N709" s="1251">
        <v>2</v>
      </c>
      <c r="O709" s="1252">
        <v>1</v>
      </c>
    </row>
    <row r="710" spans="1:15">
      <c r="A710" s="1246" t="s">
        <v>1493</v>
      </c>
      <c r="B710" s="1246" t="s">
        <v>432</v>
      </c>
      <c r="C710" s="1247">
        <v>2</v>
      </c>
      <c r="D710" s="1246" t="s">
        <v>1412</v>
      </c>
      <c r="E710" s="1246" t="s">
        <v>370</v>
      </c>
      <c r="F710" s="1248">
        <v>2</v>
      </c>
      <c r="G710" s="1248">
        <v>6</v>
      </c>
      <c r="H710" s="1249">
        <v>1</v>
      </c>
      <c r="I710" s="1246" t="s">
        <v>1491</v>
      </c>
      <c r="J710" s="1246" t="s">
        <v>1436</v>
      </c>
      <c r="K710" s="1284" t="str">
        <f t="shared" si="11"/>
        <v>11</v>
      </c>
      <c r="L710" s="1246" t="s">
        <v>1495</v>
      </c>
      <c r="M710" s="1250">
        <v>9</v>
      </c>
      <c r="N710" s="1251">
        <v>2</v>
      </c>
      <c r="O710" s="1252">
        <v>1</v>
      </c>
    </row>
    <row r="711" spans="1:15">
      <c r="A711" s="1246" t="s">
        <v>1493</v>
      </c>
      <c r="B711" s="1246" t="s">
        <v>432</v>
      </c>
      <c r="C711" s="1247">
        <v>2</v>
      </c>
      <c r="D711" s="1246" t="s">
        <v>1412</v>
      </c>
      <c r="E711" s="1246" t="s">
        <v>376</v>
      </c>
      <c r="F711" s="1248">
        <v>2</v>
      </c>
      <c r="G711" s="1248">
        <v>12</v>
      </c>
      <c r="H711" s="1249">
        <v>1</v>
      </c>
      <c r="I711" s="1246" t="s">
        <v>1491</v>
      </c>
      <c r="J711" s="1246" t="s">
        <v>1436</v>
      </c>
      <c r="K711" s="1284" t="str">
        <f t="shared" si="11"/>
        <v>11</v>
      </c>
      <c r="L711" s="1246" t="s">
        <v>1496</v>
      </c>
      <c r="M711" s="1250">
        <v>9</v>
      </c>
      <c r="N711" s="1251">
        <v>2</v>
      </c>
      <c r="O711" s="1252">
        <v>1</v>
      </c>
    </row>
    <row r="712" spans="1:15">
      <c r="A712" s="1246" t="s">
        <v>1493</v>
      </c>
      <c r="B712" s="1246" t="s">
        <v>432</v>
      </c>
      <c r="C712" s="1247">
        <v>2</v>
      </c>
      <c r="D712" s="1246" t="s">
        <v>1412</v>
      </c>
      <c r="E712" s="1246" t="s">
        <v>370</v>
      </c>
      <c r="F712" s="1248">
        <v>3</v>
      </c>
      <c r="G712" s="1248">
        <v>3</v>
      </c>
      <c r="H712" s="1249">
        <v>1</v>
      </c>
      <c r="I712" s="1246" t="s">
        <v>1491</v>
      </c>
      <c r="J712" s="1246" t="s">
        <v>1438</v>
      </c>
      <c r="K712" s="1284" t="str">
        <f t="shared" si="11"/>
        <v>13</v>
      </c>
      <c r="L712" s="1246" t="s">
        <v>1533</v>
      </c>
      <c r="M712" s="1250">
        <v>9</v>
      </c>
      <c r="N712" s="1251">
        <v>3</v>
      </c>
      <c r="O712" s="1252">
        <v>1</v>
      </c>
    </row>
    <row r="713" spans="1:15">
      <c r="A713" s="1246" t="s">
        <v>1493</v>
      </c>
      <c r="B713" s="1246" t="s">
        <v>432</v>
      </c>
      <c r="C713" s="1247">
        <v>2</v>
      </c>
      <c r="E713" s="1246" t="s">
        <v>376</v>
      </c>
      <c r="F713" s="1248">
        <v>3</v>
      </c>
      <c r="G713" s="1248">
        <v>3</v>
      </c>
      <c r="H713" s="1249">
        <v>1</v>
      </c>
      <c r="I713" s="1246" t="s">
        <v>1491</v>
      </c>
      <c r="J713" s="1246" t="s">
        <v>1438</v>
      </c>
      <c r="K713" s="1284" t="str">
        <f t="shared" si="11"/>
        <v>13</v>
      </c>
      <c r="L713" s="1246" t="s">
        <v>1533</v>
      </c>
      <c r="M713" s="1250">
        <v>9</v>
      </c>
      <c r="N713" s="1251">
        <v>3</v>
      </c>
      <c r="O713" s="1252">
        <v>1</v>
      </c>
    </row>
    <row r="714" spans="1:15">
      <c r="A714" s="1246" t="s">
        <v>1493</v>
      </c>
      <c r="B714" s="1246" t="s">
        <v>432</v>
      </c>
      <c r="C714" s="1247">
        <v>2</v>
      </c>
      <c r="E714" s="1246" t="s">
        <v>376</v>
      </c>
      <c r="F714" s="1248">
        <v>3</v>
      </c>
      <c r="G714" s="1248">
        <v>3</v>
      </c>
      <c r="H714" s="1249">
        <v>1</v>
      </c>
      <c r="I714" s="1246" t="s">
        <v>1491</v>
      </c>
      <c r="J714" s="1246" t="s">
        <v>1436</v>
      </c>
      <c r="K714" s="1284" t="str">
        <f t="shared" si="11"/>
        <v>11</v>
      </c>
      <c r="L714" s="1246" t="s">
        <v>1496</v>
      </c>
      <c r="M714" s="1250">
        <v>9</v>
      </c>
      <c r="N714" s="1251">
        <v>12</v>
      </c>
      <c r="O714" s="1252">
        <v>4</v>
      </c>
    </row>
    <row r="715" spans="1:15">
      <c r="A715" s="1246" t="s">
        <v>1493</v>
      </c>
      <c r="B715" s="1246" t="s">
        <v>432</v>
      </c>
      <c r="C715" s="1247">
        <v>2</v>
      </c>
      <c r="D715" s="1246" t="s">
        <v>1412</v>
      </c>
      <c r="E715" s="1246" t="s">
        <v>370</v>
      </c>
      <c r="F715" s="1248">
        <v>3</v>
      </c>
      <c r="G715" s="1248">
        <v>6</v>
      </c>
      <c r="H715" s="1249">
        <v>1</v>
      </c>
      <c r="I715" s="1246" t="s">
        <v>1491</v>
      </c>
      <c r="J715" s="1246" t="s">
        <v>1436</v>
      </c>
      <c r="K715" s="1284" t="str">
        <f t="shared" si="11"/>
        <v>11</v>
      </c>
      <c r="L715" s="1246" t="s">
        <v>1495</v>
      </c>
      <c r="M715" s="1250">
        <v>9</v>
      </c>
      <c r="N715" s="1251">
        <v>3</v>
      </c>
      <c r="O715" s="1252">
        <v>1</v>
      </c>
    </row>
    <row r="716" spans="1:15">
      <c r="A716" s="1246" t="s">
        <v>1493</v>
      </c>
      <c r="B716" s="1246" t="s">
        <v>432</v>
      </c>
      <c r="C716" s="1247">
        <v>2</v>
      </c>
      <c r="D716" s="1246" t="s">
        <v>1412</v>
      </c>
      <c r="E716" s="1246" t="s">
        <v>376</v>
      </c>
      <c r="F716" s="1248">
        <v>3</v>
      </c>
      <c r="G716" s="1248">
        <v>6</v>
      </c>
      <c r="H716" s="1249">
        <v>1</v>
      </c>
      <c r="I716" s="1246" t="s">
        <v>1491</v>
      </c>
      <c r="J716" s="1246" t="s">
        <v>1436</v>
      </c>
      <c r="K716" s="1284" t="str">
        <f t="shared" si="11"/>
        <v>11</v>
      </c>
      <c r="L716" s="1246" t="s">
        <v>1496</v>
      </c>
      <c r="M716" s="1250">
        <v>9</v>
      </c>
      <c r="N716" s="1251">
        <v>3</v>
      </c>
      <c r="O716" s="1252">
        <v>1</v>
      </c>
    </row>
    <row r="717" spans="1:15">
      <c r="A717" s="1246" t="s">
        <v>1493</v>
      </c>
      <c r="B717" s="1246" t="s">
        <v>432</v>
      </c>
      <c r="C717" s="1247">
        <v>2</v>
      </c>
      <c r="D717" s="1246" t="s">
        <v>1412</v>
      </c>
      <c r="E717" s="1246" t="s">
        <v>376</v>
      </c>
      <c r="F717" s="1248">
        <v>3</v>
      </c>
      <c r="G717" s="1248">
        <v>7</v>
      </c>
      <c r="H717" s="1249">
        <v>1</v>
      </c>
      <c r="I717" s="1246" t="s">
        <v>1491</v>
      </c>
      <c r="J717" s="1246" t="s">
        <v>1436</v>
      </c>
      <c r="K717" s="1284" t="str">
        <f t="shared" si="11"/>
        <v>11</v>
      </c>
      <c r="L717" s="1246" t="s">
        <v>1496</v>
      </c>
      <c r="M717" s="1250">
        <v>9</v>
      </c>
      <c r="N717" s="1251">
        <v>3</v>
      </c>
      <c r="O717" s="1252">
        <v>1</v>
      </c>
    </row>
    <row r="718" spans="1:15">
      <c r="A718" s="1246" t="s">
        <v>1493</v>
      </c>
      <c r="B718" s="1246" t="s">
        <v>432</v>
      </c>
      <c r="C718" s="1247">
        <v>2</v>
      </c>
      <c r="E718" s="1246" t="s">
        <v>376</v>
      </c>
      <c r="F718" s="1248">
        <v>4</v>
      </c>
      <c r="G718" s="1248">
        <v>4</v>
      </c>
      <c r="H718" s="1249">
        <v>1</v>
      </c>
      <c r="I718" s="1246" t="s">
        <v>1491</v>
      </c>
      <c r="J718" s="1246" t="s">
        <v>1436</v>
      </c>
      <c r="K718" s="1284" t="str">
        <f t="shared" si="11"/>
        <v>11</v>
      </c>
      <c r="L718" s="1246" t="s">
        <v>1496</v>
      </c>
      <c r="M718" s="1250">
        <v>9</v>
      </c>
      <c r="N718" s="1251">
        <v>4</v>
      </c>
      <c r="O718" s="1252">
        <v>1</v>
      </c>
    </row>
    <row r="719" spans="1:15">
      <c r="A719" s="1246" t="s">
        <v>1493</v>
      </c>
      <c r="B719" s="1246" t="s">
        <v>432</v>
      </c>
      <c r="C719" s="1247">
        <v>2</v>
      </c>
      <c r="D719" s="1246" t="s">
        <v>1412</v>
      </c>
      <c r="E719" s="1246" t="s">
        <v>376</v>
      </c>
      <c r="F719" s="1248">
        <v>4</v>
      </c>
      <c r="G719" s="1248">
        <v>4</v>
      </c>
      <c r="H719" s="1249">
        <v>1</v>
      </c>
      <c r="I719" s="1246" t="s">
        <v>1491</v>
      </c>
      <c r="J719" s="1246" t="s">
        <v>1436</v>
      </c>
      <c r="K719" s="1284" t="str">
        <f t="shared" si="11"/>
        <v>11</v>
      </c>
      <c r="L719" s="1246" t="s">
        <v>1496</v>
      </c>
      <c r="M719" s="1250">
        <v>9</v>
      </c>
      <c r="N719" s="1251">
        <v>8</v>
      </c>
      <c r="O719" s="1252">
        <v>2</v>
      </c>
    </row>
    <row r="720" spans="1:15">
      <c r="A720" s="1246" t="s">
        <v>1493</v>
      </c>
      <c r="B720" s="1246" t="s">
        <v>432</v>
      </c>
      <c r="C720" s="1247">
        <v>2</v>
      </c>
      <c r="D720" s="1246" t="s">
        <v>1412</v>
      </c>
      <c r="E720" s="1246" t="s">
        <v>376</v>
      </c>
      <c r="F720" s="1248">
        <v>4</v>
      </c>
      <c r="G720" s="1248">
        <v>8</v>
      </c>
      <c r="H720" s="1249">
        <v>1</v>
      </c>
      <c r="I720" s="1246" t="s">
        <v>1491</v>
      </c>
      <c r="J720" s="1246" t="s">
        <v>1436</v>
      </c>
      <c r="K720" s="1284" t="str">
        <f t="shared" si="11"/>
        <v>11</v>
      </c>
      <c r="L720" s="1246" t="s">
        <v>1496</v>
      </c>
      <c r="M720" s="1250">
        <v>9</v>
      </c>
      <c r="N720" s="1251">
        <v>4</v>
      </c>
      <c r="O720" s="1252">
        <v>1</v>
      </c>
    </row>
    <row r="721" spans="1:15">
      <c r="A721" s="1246" t="s">
        <v>1493</v>
      </c>
      <c r="B721" s="1246" t="s">
        <v>432</v>
      </c>
      <c r="C721" s="1247">
        <v>2</v>
      </c>
      <c r="E721" s="1246" t="s">
        <v>376</v>
      </c>
      <c r="F721" s="1248">
        <v>5</v>
      </c>
      <c r="G721" s="1248">
        <v>5</v>
      </c>
      <c r="H721" s="1249">
        <v>1</v>
      </c>
      <c r="I721" s="1246" t="s">
        <v>1491</v>
      </c>
      <c r="J721" s="1246" t="s">
        <v>1436</v>
      </c>
      <c r="K721" s="1284" t="str">
        <f t="shared" si="11"/>
        <v>11</v>
      </c>
      <c r="L721" s="1246" t="s">
        <v>1496</v>
      </c>
      <c r="M721" s="1250">
        <v>9</v>
      </c>
      <c r="N721" s="1251">
        <v>5</v>
      </c>
      <c r="O721" s="1252">
        <v>1</v>
      </c>
    </row>
    <row r="722" spans="1:15">
      <c r="A722" s="1246" t="s">
        <v>1493</v>
      </c>
      <c r="B722" s="1246" t="s">
        <v>432</v>
      </c>
      <c r="C722" s="1247">
        <v>2</v>
      </c>
      <c r="E722" s="1246" t="s">
        <v>376</v>
      </c>
      <c r="F722" s="1248">
        <v>6</v>
      </c>
      <c r="G722" s="1248">
        <v>12</v>
      </c>
      <c r="H722" s="1249">
        <v>1</v>
      </c>
      <c r="I722" s="1246" t="s">
        <v>1491</v>
      </c>
      <c r="J722" s="1246" t="s">
        <v>1436</v>
      </c>
      <c r="K722" s="1284" t="str">
        <f t="shared" si="11"/>
        <v>11</v>
      </c>
      <c r="L722" s="1246" t="s">
        <v>1496</v>
      </c>
      <c r="M722" s="1250">
        <v>9</v>
      </c>
      <c r="N722" s="1251">
        <v>6</v>
      </c>
      <c r="O722" s="1252">
        <v>1</v>
      </c>
    </row>
    <row r="723" spans="1:15">
      <c r="A723" s="1246" t="s">
        <v>1493</v>
      </c>
      <c r="B723" s="1246" t="s">
        <v>432</v>
      </c>
      <c r="C723" s="1247">
        <v>2</v>
      </c>
      <c r="E723" s="1246" t="s">
        <v>376</v>
      </c>
      <c r="F723" s="1248">
        <v>7</v>
      </c>
      <c r="G723" s="1248">
        <v>21</v>
      </c>
      <c r="H723" s="1249">
        <v>1</v>
      </c>
      <c r="I723" s="1246" t="s">
        <v>1491</v>
      </c>
      <c r="J723" s="1246" t="s">
        <v>1436</v>
      </c>
      <c r="K723" s="1284" t="str">
        <f t="shared" si="11"/>
        <v>11</v>
      </c>
      <c r="L723" s="1246" t="s">
        <v>1496</v>
      </c>
      <c r="M723" s="1250">
        <v>9</v>
      </c>
      <c r="N723" s="1251">
        <v>7</v>
      </c>
      <c r="O723" s="1252">
        <v>1</v>
      </c>
    </row>
    <row r="724" spans="1:15">
      <c r="A724" s="1246" t="s">
        <v>1493</v>
      </c>
      <c r="B724" s="1246" t="s">
        <v>432</v>
      </c>
      <c r="C724" s="1247">
        <v>3</v>
      </c>
      <c r="E724" s="1246" t="s">
        <v>370</v>
      </c>
      <c r="F724" s="1248">
        <v>1</v>
      </c>
      <c r="G724" s="1248">
        <v>0</v>
      </c>
      <c r="H724" s="1249">
        <v>0</v>
      </c>
      <c r="J724" s="1246" t="s">
        <v>1437</v>
      </c>
      <c r="K724" s="1284" t="str">
        <f t="shared" si="11"/>
        <v>12</v>
      </c>
      <c r="L724" s="1246" t="s">
        <v>1529</v>
      </c>
      <c r="M724" s="1250">
        <v>9</v>
      </c>
      <c r="N724" s="1251">
        <v>1</v>
      </c>
      <c r="O724" s="1252">
        <v>1</v>
      </c>
    </row>
    <row r="725" spans="1:15">
      <c r="A725" s="1246" t="s">
        <v>683</v>
      </c>
      <c r="B725" s="1246" t="s">
        <v>432</v>
      </c>
      <c r="C725" s="1247">
        <v>3</v>
      </c>
      <c r="E725" s="1246" t="s">
        <v>370</v>
      </c>
      <c r="F725" s="1248">
        <v>1</v>
      </c>
      <c r="G725" s="1248">
        <v>0</v>
      </c>
      <c r="H725" s="1249">
        <v>0</v>
      </c>
      <c r="J725" s="1246" t="s">
        <v>1436</v>
      </c>
      <c r="K725" s="1284" t="str">
        <f t="shared" si="11"/>
        <v>11</v>
      </c>
      <c r="L725" s="1246" t="s">
        <v>1495</v>
      </c>
      <c r="M725" s="1250">
        <v>9</v>
      </c>
      <c r="N725" s="1251">
        <v>1</v>
      </c>
      <c r="O725" s="1252">
        <v>1</v>
      </c>
    </row>
    <row r="726" spans="1:15">
      <c r="A726" s="1246" t="s">
        <v>1493</v>
      </c>
      <c r="B726" s="1246" t="s">
        <v>432</v>
      </c>
      <c r="C726" s="1247">
        <v>3</v>
      </c>
      <c r="E726" s="1246" t="s">
        <v>370</v>
      </c>
      <c r="F726" s="1248">
        <v>1</v>
      </c>
      <c r="G726" s="1248">
        <v>0</v>
      </c>
      <c r="H726" s="1249">
        <v>0</v>
      </c>
      <c r="J726" s="1246" t="s">
        <v>1397</v>
      </c>
      <c r="K726" s="1284" t="str">
        <f t="shared" si="11"/>
        <v>10</v>
      </c>
      <c r="L726" s="1246" t="s">
        <v>1540</v>
      </c>
      <c r="M726" s="1250">
        <v>9</v>
      </c>
      <c r="N726" s="1251">
        <v>1</v>
      </c>
      <c r="O726" s="1252">
        <v>1</v>
      </c>
    </row>
    <row r="727" spans="1:15">
      <c r="A727" s="1246" t="s">
        <v>1493</v>
      </c>
      <c r="B727" s="1246" t="s">
        <v>432</v>
      </c>
      <c r="C727" s="1247">
        <v>3</v>
      </c>
      <c r="E727" s="1246" t="s">
        <v>370</v>
      </c>
      <c r="F727" s="1248">
        <v>1</v>
      </c>
      <c r="G727" s="1248">
        <v>0</v>
      </c>
      <c r="H727" s="1249">
        <v>0</v>
      </c>
      <c r="J727" s="1246" t="s">
        <v>1439</v>
      </c>
      <c r="K727" s="1284" t="str">
        <f t="shared" si="11"/>
        <v>15</v>
      </c>
      <c r="L727" s="1246" t="s">
        <v>1530</v>
      </c>
      <c r="M727" s="1250">
        <v>9</v>
      </c>
      <c r="N727" s="1251">
        <v>1</v>
      </c>
      <c r="O727" s="1252">
        <v>1</v>
      </c>
    </row>
    <row r="728" spans="1:15">
      <c r="A728" s="1246" t="s">
        <v>1493</v>
      </c>
      <c r="B728" s="1246" t="s">
        <v>432</v>
      </c>
      <c r="C728" s="1247">
        <v>3</v>
      </c>
      <c r="E728" s="1246" t="s">
        <v>370</v>
      </c>
      <c r="F728" s="1248">
        <v>1</v>
      </c>
      <c r="G728" s="1248">
        <v>0</v>
      </c>
      <c r="H728" s="1249">
        <v>0</v>
      </c>
      <c r="J728" s="1246" t="s">
        <v>1397</v>
      </c>
      <c r="K728" s="1284" t="str">
        <f t="shared" si="11"/>
        <v>10</v>
      </c>
      <c r="L728" s="1246" t="s">
        <v>1532</v>
      </c>
      <c r="M728" s="1250">
        <v>9</v>
      </c>
      <c r="N728" s="1251">
        <v>1</v>
      </c>
      <c r="O728" s="1252">
        <v>1</v>
      </c>
    </row>
    <row r="729" spans="1:15">
      <c r="A729" s="1246" t="s">
        <v>1493</v>
      </c>
      <c r="B729" s="1246" t="s">
        <v>432</v>
      </c>
      <c r="C729" s="1247">
        <v>3</v>
      </c>
      <c r="E729" s="1246" t="s">
        <v>370</v>
      </c>
      <c r="F729" s="1248">
        <v>1</v>
      </c>
      <c r="G729" s="1248">
        <v>0</v>
      </c>
      <c r="H729" s="1249">
        <v>0</v>
      </c>
      <c r="J729" s="1246" t="s">
        <v>1438</v>
      </c>
      <c r="K729" s="1284" t="str">
        <f t="shared" si="11"/>
        <v>13</v>
      </c>
      <c r="L729" s="1246" t="s">
        <v>1533</v>
      </c>
      <c r="M729" s="1250">
        <v>9</v>
      </c>
      <c r="N729" s="1251">
        <v>1</v>
      </c>
      <c r="O729" s="1252">
        <v>1</v>
      </c>
    </row>
    <row r="730" spans="1:15">
      <c r="A730" s="1246" t="s">
        <v>1493</v>
      </c>
      <c r="B730" s="1246" t="s">
        <v>432</v>
      </c>
      <c r="C730" s="1247">
        <v>3</v>
      </c>
      <c r="E730" s="1246" t="s">
        <v>370</v>
      </c>
      <c r="F730" s="1248">
        <v>1</v>
      </c>
      <c r="G730" s="1248">
        <v>1</v>
      </c>
      <c r="H730" s="1249">
        <v>1</v>
      </c>
      <c r="I730" s="1246" t="s">
        <v>1491</v>
      </c>
      <c r="J730" s="1246" t="s">
        <v>1443</v>
      </c>
      <c r="K730" s="1284" t="str">
        <f t="shared" si="11"/>
        <v>1C</v>
      </c>
      <c r="L730" s="1246" t="s">
        <v>1502</v>
      </c>
      <c r="M730" s="1250">
        <v>4</v>
      </c>
      <c r="N730" s="1251">
        <v>16</v>
      </c>
      <c r="O730" s="1252">
        <v>16</v>
      </c>
    </row>
    <row r="731" spans="1:15">
      <c r="A731" s="1246" t="s">
        <v>1493</v>
      </c>
      <c r="B731" s="1246" t="s">
        <v>432</v>
      </c>
      <c r="C731" s="1247">
        <v>3</v>
      </c>
      <c r="E731" s="1246" t="s">
        <v>376</v>
      </c>
      <c r="F731" s="1248">
        <v>1</v>
      </c>
      <c r="G731" s="1248">
        <v>1</v>
      </c>
      <c r="H731" s="1249">
        <v>1</v>
      </c>
      <c r="I731" s="1246" t="s">
        <v>1491</v>
      </c>
      <c r="J731" s="1246" t="s">
        <v>1443</v>
      </c>
      <c r="K731" s="1284" t="str">
        <f t="shared" si="11"/>
        <v>1C</v>
      </c>
      <c r="L731" s="1246" t="s">
        <v>1502</v>
      </c>
      <c r="M731" s="1250">
        <v>4</v>
      </c>
      <c r="N731" s="1251">
        <v>3</v>
      </c>
      <c r="O731" s="1252">
        <v>3</v>
      </c>
    </row>
    <row r="732" spans="1:15">
      <c r="A732" s="1246" t="s">
        <v>1493</v>
      </c>
      <c r="B732" s="1246" t="s">
        <v>432</v>
      </c>
      <c r="C732" s="1247">
        <v>3</v>
      </c>
      <c r="E732" s="1246" t="s">
        <v>376</v>
      </c>
      <c r="F732" s="1248">
        <v>1</v>
      </c>
      <c r="G732" s="1248">
        <v>1</v>
      </c>
      <c r="H732" s="1249">
        <v>1</v>
      </c>
      <c r="I732" s="1246" t="s">
        <v>1491</v>
      </c>
      <c r="J732" s="1246" t="s">
        <v>1442</v>
      </c>
      <c r="K732" s="1284" t="str">
        <f t="shared" si="11"/>
        <v>10</v>
      </c>
      <c r="L732" s="1246" t="s">
        <v>1542</v>
      </c>
      <c r="M732" s="1250">
        <v>6</v>
      </c>
      <c r="N732" s="1251">
        <v>1</v>
      </c>
      <c r="O732" s="1252">
        <v>1</v>
      </c>
    </row>
    <row r="733" spans="1:15">
      <c r="A733" s="1246" t="s">
        <v>1493</v>
      </c>
      <c r="B733" s="1246" t="s">
        <v>432</v>
      </c>
      <c r="C733" s="1247">
        <v>3</v>
      </c>
      <c r="D733" s="1246" t="s">
        <v>1412</v>
      </c>
      <c r="E733" s="1246" t="s">
        <v>370</v>
      </c>
      <c r="F733" s="1248">
        <v>1</v>
      </c>
      <c r="G733" s="1248">
        <v>1</v>
      </c>
      <c r="H733" s="1249">
        <v>1</v>
      </c>
      <c r="I733" s="1246" t="s">
        <v>1491</v>
      </c>
      <c r="J733" s="1246" t="s">
        <v>1397</v>
      </c>
      <c r="K733" s="1284" t="str">
        <f t="shared" si="11"/>
        <v>10</v>
      </c>
      <c r="L733" s="1246" t="s">
        <v>1539</v>
      </c>
      <c r="M733" s="1250">
        <v>9</v>
      </c>
      <c r="N733" s="1251">
        <v>1</v>
      </c>
      <c r="O733" s="1252">
        <v>1</v>
      </c>
    </row>
    <row r="734" spans="1:15">
      <c r="A734" s="1246" t="s">
        <v>1493</v>
      </c>
      <c r="B734" s="1246" t="s">
        <v>432</v>
      </c>
      <c r="C734" s="1247">
        <v>3</v>
      </c>
      <c r="E734" s="1246" t="s">
        <v>370</v>
      </c>
      <c r="F734" s="1248">
        <v>1</v>
      </c>
      <c r="G734" s="1248">
        <v>1</v>
      </c>
      <c r="H734" s="1249">
        <v>1</v>
      </c>
      <c r="I734" s="1246" t="s">
        <v>1491</v>
      </c>
      <c r="J734" s="1246" t="s">
        <v>1437</v>
      </c>
      <c r="K734" s="1284" t="str">
        <f t="shared" si="11"/>
        <v>12</v>
      </c>
      <c r="L734" s="1246" t="s">
        <v>1529</v>
      </c>
      <c r="M734" s="1250">
        <v>9</v>
      </c>
      <c r="N734" s="1251">
        <v>2</v>
      </c>
      <c r="O734" s="1252">
        <v>2</v>
      </c>
    </row>
    <row r="735" spans="1:15">
      <c r="A735" s="1246" t="s">
        <v>1493</v>
      </c>
      <c r="B735" s="1246" t="s">
        <v>432</v>
      </c>
      <c r="C735" s="1247">
        <v>3</v>
      </c>
      <c r="E735" s="1246" t="s">
        <v>376</v>
      </c>
      <c r="F735" s="1248">
        <v>1</v>
      </c>
      <c r="G735" s="1248">
        <v>1</v>
      </c>
      <c r="H735" s="1249">
        <v>1</v>
      </c>
      <c r="I735" s="1246" t="s">
        <v>1491</v>
      </c>
      <c r="J735" s="1246" t="s">
        <v>1437</v>
      </c>
      <c r="K735" s="1284" t="str">
        <f t="shared" si="11"/>
        <v>12</v>
      </c>
      <c r="L735" s="1246" t="s">
        <v>1529</v>
      </c>
      <c r="M735" s="1250">
        <v>9</v>
      </c>
      <c r="N735" s="1251">
        <v>3</v>
      </c>
      <c r="O735" s="1252">
        <v>3</v>
      </c>
    </row>
    <row r="736" spans="1:15">
      <c r="A736" s="1246" t="s">
        <v>1493</v>
      </c>
      <c r="B736" s="1246" t="s">
        <v>432</v>
      </c>
      <c r="C736" s="1247">
        <v>3</v>
      </c>
      <c r="E736" s="1246" t="s">
        <v>373</v>
      </c>
      <c r="F736" s="1248">
        <v>1</v>
      </c>
      <c r="G736" s="1248">
        <v>1</v>
      </c>
      <c r="H736" s="1249">
        <v>1</v>
      </c>
      <c r="I736" s="1246" t="s">
        <v>1491</v>
      </c>
      <c r="J736" s="1246" t="s">
        <v>1436</v>
      </c>
      <c r="K736" s="1284" t="str">
        <f t="shared" si="11"/>
        <v>11</v>
      </c>
      <c r="L736" s="1246" t="s">
        <v>1495</v>
      </c>
      <c r="M736" s="1250">
        <v>9</v>
      </c>
      <c r="N736" s="1251">
        <v>2</v>
      </c>
      <c r="O736" s="1252">
        <v>2</v>
      </c>
    </row>
    <row r="737" spans="1:15">
      <c r="A737" s="1246" t="s">
        <v>1493</v>
      </c>
      <c r="B737" s="1246" t="s">
        <v>432</v>
      </c>
      <c r="C737" s="1247">
        <v>3</v>
      </c>
      <c r="D737" s="1246" t="s">
        <v>1412</v>
      </c>
      <c r="E737" s="1246" t="s">
        <v>370</v>
      </c>
      <c r="F737" s="1248">
        <v>1</v>
      </c>
      <c r="G737" s="1248">
        <v>1</v>
      </c>
      <c r="H737" s="1249">
        <v>1</v>
      </c>
      <c r="I737" s="1246" t="s">
        <v>1491</v>
      </c>
      <c r="J737" s="1246" t="s">
        <v>1436</v>
      </c>
      <c r="K737" s="1284" t="str">
        <f t="shared" si="11"/>
        <v>11</v>
      </c>
      <c r="L737" s="1246" t="s">
        <v>1495</v>
      </c>
      <c r="M737" s="1250">
        <v>9</v>
      </c>
      <c r="N737" s="1251">
        <v>1</v>
      </c>
      <c r="O737" s="1252">
        <v>1</v>
      </c>
    </row>
    <row r="738" spans="1:15">
      <c r="A738" s="1246" t="s">
        <v>1493</v>
      </c>
      <c r="B738" s="1246" t="s">
        <v>432</v>
      </c>
      <c r="C738" s="1247">
        <v>3</v>
      </c>
      <c r="E738" s="1246" t="s">
        <v>370</v>
      </c>
      <c r="F738" s="1248">
        <v>1</v>
      </c>
      <c r="G738" s="1248">
        <v>1</v>
      </c>
      <c r="H738" s="1249">
        <v>1</v>
      </c>
      <c r="I738" s="1246" t="s">
        <v>1491</v>
      </c>
      <c r="J738" s="1246" t="s">
        <v>1397</v>
      </c>
      <c r="K738" s="1284" t="str">
        <f t="shared" si="11"/>
        <v>10</v>
      </c>
      <c r="L738" s="1246" t="s">
        <v>1495</v>
      </c>
      <c r="M738" s="1250">
        <v>9</v>
      </c>
      <c r="N738" s="1251">
        <v>1</v>
      </c>
      <c r="O738" s="1252">
        <v>1</v>
      </c>
    </row>
    <row r="739" spans="1:15">
      <c r="A739" s="1246" t="s">
        <v>1493</v>
      </c>
      <c r="B739" s="1246" t="s">
        <v>432</v>
      </c>
      <c r="C739" s="1247">
        <v>3</v>
      </c>
      <c r="E739" s="1246" t="s">
        <v>370</v>
      </c>
      <c r="F739" s="1248">
        <v>1</v>
      </c>
      <c r="G739" s="1248">
        <v>1</v>
      </c>
      <c r="H739" s="1249">
        <v>1</v>
      </c>
      <c r="I739" s="1246" t="s">
        <v>1491</v>
      </c>
      <c r="J739" s="1246" t="s">
        <v>1436</v>
      </c>
      <c r="K739" s="1284" t="str">
        <f t="shared" si="11"/>
        <v>11</v>
      </c>
      <c r="L739" s="1246" t="s">
        <v>1495</v>
      </c>
      <c r="M739" s="1250">
        <v>9</v>
      </c>
      <c r="N739" s="1251">
        <v>105</v>
      </c>
      <c r="O739" s="1252">
        <v>105</v>
      </c>
    </row>
    <row r="740" spans="1:15">
      <c r="A740" s="1246" t="s">
        <v>1493</v>
      </c>
      <c r="B740" s="1246" t="s">
        <v>432</v>
      </c>
      <c r="C740" s="1247">
        <v>3</v>
      </c>
      <c r="E740" s="1246" t="s">
        <v>370</v>
      </c>
      <c r="F740" s="1248">
        <v>1</v>
      </c>
      <c r="G740" s="1248">
        <v>1</v>
      </c>
      <c r="H740" s="1249">
        <v>1</v>
      </c>
      <c r="I740" s="1246" t="s">
        <v>1491</v>
      </c>
      <c r="J740" s="1246" t="s">
        <v>1439</v>
      </c>
      <c r="K740" s="1284" t="str">
        <f t="shared" si="11"/>
        <v>15</v>
      </c>
      <c r="L740" s="1246" t="s">
        <v>1530</v>
      </c>
      <c r="M740" s="1250">
        <v>9</v>
      </c>
      <c r="N740" s="1251">
        <v>5</v>
      </c>
      <c r="O740" s="1252">
        <v>5</v>
      </c>
    </row>
    <row r="741" spans="1:15">
      <c r="A741" s="1246" t="s">
        <v>1493</v>
      </c>
      <c r="B741" s="1246" t="s">
        <v>432</v>
      </c>
      <c r="C741" s="1247">
        <v>3</v>
      </c>
      <c r="E741" s="1246" t="s">
        <v>370</v>
      </c>
      <c r="F741" s="1248">
        <v>1</v>
      </c>
      <c r="G741" s="1248">
        <v>1</v>
      </c>
      <c r="H741" s="1249">
        <v>1</v>
      </c>
      <c r="I741" s="1246" t="s">
        <v>1491</v>
      </c>
      <c r="J741" s="1246" t="s">
        <v>1397</v>
      </c>
      <c r="K741" s="1284" t="str">
        <f t="shared" si="11"/>
        <v>10</v>
      </c>
      <c r="L741" s="1246" t="s">
        <v>1532</v>
      </c>
      <c r="M741" s="1250">
        <v>9</v>
      </c>
      <c r="N741" s="1251">
        <v>14</v>
      </c>
      <c r="O741" s="1252">
        <v>14</v>
      </c>
    </row>
    <row r="742" spans="1:15">
      <c r="A742" s="1246" t="s">
        <v>1493</v>
      </c>
      <c r="B742" s="1246" t="s">
        <v>432</v>
      </c>
      <c r="C742" s="1247">
        <v>3</v>
      </c>
      <c r="E742" s="1246" t="s">
        <v>376</v>
      </c>
      <c r="F742" s="1248">
        <v>1</v>
      </c>
      <c r="G742" s="1248">
        <v>1</v>
      </c>
      <c r="H742" s="1249">
        <v>1</v>
      </c>
      <c r="I742" s="1246" t="s">
        <v>1491</v>
      </c>
      <c r="J742" s="1246" t="s">
        <v>1397</v>
      </c>
      <c r="K742" s="1284" t="str">
        <f t="shared" si="11"/>
        <v>10</v>
      </c>
      <c r="L742" s="1246" t="s">
        <v>1532</v>
      </c>
      <c r="M742" s="1250">
        <v>9</v>
      </c>
      <c r="N742" s="1251">
        <v>3</v>
      </c>
      <c r="O742" s="1252">
        <v>3</v>
      </c>
    </row>
    <row r="743" spans="1:15">
      <c r="A743" s="1246" t="s">
        <v>683</v>
      </c>
      <c r="B743" s="1246" t="s">
        <v>432</v>
      </c>
      <c r="C743" s="1247">
        <v>3</v>
      </c>
      <c r="E743" s="1246" t="s">
        <v>370</v>
      </c>
      <c r="F743" s="1248">
        <v>1</v>
      </c>
      <c r="G743" s="1248">
        <v>1</v>
      </c>
      <c r="H743" s="1249">
        <v>1</v>
      </c>
      <c r="I743" s="1246" t="s">
        <v>1491</v>
      </c>
      <c r="J743" s="1246" t="s">
        <v>1397</v>
      </c>
      <c r="K743" s="1284" t="str">
        <f t="shared" si="11"/>
        <v>10</v>
      </c>
      <c r="L743" s="1246" t="s">
        <v>1532</v>
      </c>
      <c r="M743" s="1250">
        <v>9</v>
      </c>
      <c r="N743" s="1251">
        <v>2</v>
      </c>
      <c r="O743" s="1252">
        <v>2</v>
      </c>
    </row>
    <row r="744" spans="1:15">
      <c r="A744" s="1246" t="s">
        <v>1493</v>
      </c>
      <c r="B744" s="1246" t="s">
        <v>432</v>
      </c>
      <c r="C744" s="1247">
        <v>3</v>
      </c>
      <c r="E744" s="1246" t="s">
        <v>370</v>
      </c>
      <c r="F744" s="1248">
        <v>1</v>
      </c>
      <c r="G744" s="1248">
        <v>1</v>
      </c>
      <c r="H744" s="1249">
        <v>1</v>
      </c>
      <c r="I744" s="1246" t="s">
        <v>1491</v>
      </c>
      <c r="J744" s="1246" t="s">
        <v>1438</v>
      </c>
      <c r="K744" s="1284" t="str">
        <f t="shared" si="11"/>
        <v>13</v>
      </c>
      <c r="L744" s="1246" t="s">
        <v>1533</v>
      </c>
      <c r="M744" s="1250">
        <v>9</v>
      </c>
      <c r="N744" s="1251">
        <v>11</v>
      </c>
      <c r="O744" s="1252">
        <v>11</v>
      </c>
    </row>
    <row r="745" spans="1:15">
      <c r="A745" s="1246" t="s">
        <v>1493</v>
      </c>
      <c r="B745" s="1246" t="s">
        <v>432</v>
      </c>
      <c r="C745" s="1247">
        <v>3</v>
      </c>
      <c r="D745" s="1246" t="s">
        <v>1412</v>
      </c>
      <c r="E745" s="1246" t="s">
        <v>376</v>
      </c>
      <c r="F745" s="1248">
        <v>1</v>
      </c>
      <c r="G745" s="1248">
        <v>1</v>
      </c>
      <c r="H745" s="1249">
        <v>1</v>
      </c>
      <c r="I745" s="1246" t="s">
        <v>1491</v>
      </c>
      <c r="J745" s="1246" t="s">
        <v>1436</v>
      </c>
      <c r="K745" s="1284" t="str">
        <f t="shared" si="11"/>
        <v>11</v>
      </c>
      <c r="L745" s="1246" t="s">
        <v>1496</v>
      </c>
      <c r="M745" s="1250">
        <v>9</v>
      </c>
      <c r="N745" s="1251">
        <v>4</v>
      </c>
      <c r="O745" s="1252">
        <v>4</v>
      </c>
    </row>
    <row r="746" spans="1:15">
      <c r="A746" s="1246" t="s">
        <v>1493</v>
      </c>
      <c r="B746" s="1246" t="s">
        <v>432</v>
      </c>
      <c r="C746" s="1247">
        <v>3</v>
      </c>
      <c r="E746" s="1246" t="s">
        <v>376</v>
      </c>
      <c r="F746" s="1248">
        <v>1</v>
      </c>
      <c r="G746" s="1248">
        <v>1</v>
      </c>
      <c r="H746" s="1249">
        <v>1</v>
      </c>
      <c r="I746" s="1246" t="s">
        <v>1491</v>
      </c>
      <c r="J746" s="1246" t="s">
        <v>1436</v>
      </c>
      <c r="K746" s="1284" t="str">
        <f t="shared" si="11"/>
        <v>11</v>
      </c>
      <c r="L746" s="1246" t="s">
        <v>1496</v>
      </c>
      <c r="M746" s="1250">
        <v>9</v>
      </c>
      <c r="N746" s="1251">
        <v>35</v>
      </c>
      <c r="O746" s="1252">
        <v>35</v>
      </c>
    </row>
    <row r="747" spans="1:15">
      <c r="A747" s="1246" t="s">
        <v>1493</v>
      </c>
      <c r="B747" s="1246" t="s">
        <v>432</v>
      </c>
      <c r="C747" s="1247">
        <v>3</v>
      </c>
      <c r="E747" s="1246" t="s">
        <v>376</v>
      </c>
      <c r="F747" s="1248">
        <v>1</v>
      </c>
      <c r="G747" s="1248">
        <v>2</v>
      </c>
      <c r="H747" s="1249">
        <v>1</v>
      </c>
      <c r="I747" s="1246" t="s">
        <v>1491</v>
      </c>
      <c r="J747" s="1246" t="s">
        <v>1443</v>
      </c>
      <c r="K747" s="1284" t="str">
        <f t="shared" si="11"/>
        <v>1C</v>
      </c>
      <c r="L747" s="1246" t="s">
        <v>1502</v>
      </c>
      <c r="M747" s="1250">
        <v>4</v>
      </c>
      <c r="N747" s="1251">
        <v>1</v>
      </c>
      <c r="O747" s="1252">
        <v>1</v>
      </c>
    </row>
    <row r="748" spans="1:15">
      <c r="A748" s="1246" t="s">
        <v>1493</v>
      </c>
      <c r="B748" s="1246" t="s">
        <v>432</v>
      </c>
      <c r="C748" s="1247">
        <v>3</v>
      </c>
      <c r="E748" s="1246" t="s">
        <v>370</v>
      </c>
      <c r="F748" s="1248">
        <v>1</v>
      </c>
      <c r="G748" s="1248">
        <v>2</v>
      </c>
      <c r="H748" s="1249">
        <v>1</v>
      </c>
      <c r="I748" s="1246" t="s">
        <v>1491</v>
      </c>
      <c r="J748" s="1246" t="s">
        <v>1437</v>
      </c>
      <c r="K748" s="1284" t="str">
        <f t="shared" si="11"/>
        <v>12</v>
      </c>
      <c r="L748" s="1246" t="s">
        <v>1529</v>
      </c>
      <c r="M748" s="1250">
        <v>9</v>
      </c>
      <c r="N748" s="1251">
        <v>1</v>
      </c>
      <c r="O748" s="1252">
        <v>1</v>
      </c>
    </row>
    <row r="749" spans="1:15">
      <c r="A749" s="1246" t="s">
        <v>1493</v>
      </c>
      <c r="B749" s="1246" t="s">
        <v>432</v>
      </c>
      <c r="C749" s="1247">
        <v>3</v>
      </c>
      <c r="E749" s="1246" t="s">
        <v>376</v>
      </c>
      <c r="F749" s="1248">
        <v>1</v>
      </c>
      <c r="G749" s="1248">
        <v>2</v>
      </c>
      <c r="H749" s="1249">
        <v>1</v>
      </c>
      <c r="I749" s="1246" t="s">
        <v>1491</v>
      </c>
      <c r="J749" s="1246" t="s">
        <v>1437</v>
      </c>
      <c r="K749" s="1284" t="str">
        <f t="shared" si="11"/>
        <v>12</v>
      </c>
      <c r="L749" s="1246" t="s">
        <v>1529</v>
      </c>
      <c r="M749" s="1250">
        <v>9</v>
      </c>
      <c r="N749" s="1251">
        <v>4</v>
      </c>
      <c r="O749" s="1252">
        <v>4</v>
      </c>
    </row>
    <row r="750" spans="1:15">
      <c r="A750" s="1246" t="s">
        <v>1493</v>
      </c>
      <c r="B750" s="1246" t="s">
        <v>432</v>
      </c>
      <c r="C750" s="1247">
        <v>3</v>
      </c>
      <c r="E750" s="1246" t="s">
        <v>370</v>
      </c>
      <c r="F750" s="1248">
        <v>1</v>
      </c>
      <c r="G750" s="1248">
        <v>2</v>
      </c>
      <c r="H750" s="1249">
        <v>1</v>
      </c>
      <c r="I750" s="1246" t="s">
        <v>1491</v>
      </c>
      <c r="J750" s="1246" t="s">
        <v>1436</v>
      </c>
      <c r="K750" s="1284" t="str">
        <f t="shared" si="11"/>
        <v>11</v>
      </c>
      <c r="L750" s="1246" t="s">
        <v>1495</v>
      </c>
      <c r="M750" s="1250">
        <v>9</v>
      </c>
      <c r="N750" s="1251">
        <v>19</v>
      </c>
      <c r="O750" s="1252">
        <v>19</v>
      </c>
    </row>
    <row r="751" spans="1:15">
      <c r="A751" s="1246" t="s">
        <v>1493</v>
      </c>
      <c r="B751" s="1246" t="s">
        <v>432</v>
      </c>
      <c r="C751" s="1247">
        <v>3</v>
      </c>
      <c r="E751" s="1246" t="s">
        <v>373</v>
      </c>
      <c r="F751" s="1248">
        <v>1</v>
      </c>
      <c r="G751" s="1248">
        <v>2</v>
      </c>
      <c r="H751" s="1249">
        <v>1</v>
      </c>
      <c r="I751" s="1246" t="s">
        <v>1491</v>
      </c>
      <c r="J751" s="1246" t="s">
        <v>1436</v>
      </c>
      <c r="K751" s="1284" t="str">
        <f t="shared" si="11"/>
        <v>11</v>
      </c>
      <c r="L751" s="1246" t="s">
        <v>1495</v>
      </c>
      <c r="M751" s="1250">
        <v>9</v>
      </c>
      <c r="N751" s="1251">
        <v>5</v>
      </c>
      <c r="O751" s="1252">
        <v>5</v>
      </c>
    </row>
    <row r="752" spans="1:15">
      <c r="A752" s="1246" t="s">
        <v>1493</v>
      </c>
      <c r="B752" s="1246" t="s">
        <v>432</v>
      </c>
      <c r="C752" s="1247">
        <v>3</v>
      </c>
      <c r="E752" s="1246" t="s">
        <v>370</v>
      </c>
      <c r="F752" s="1248">
        <v>1</v>
      </c>
      <c r="G752" s="1248">
        <v>2</v>
      </c>
      <c r="H752" s="1249">
        <v>1</v>
      </c>
      <c r="I752" s="1246" t="s">
        <v>1491</v>
      </c>
      <c r="J752" s="1246" t="s">
        <v>1397</v>
      </c>
      <c r="K752" s="1284" t="str">
        <f t="shared" si="11"/>
        <v>10</v>
      </c>
      <c r="L752" s="1246" t="s">
        <v>1536</v>
      </c>
      <c r="M752" s="1250">
        <v>9</v>
      </c>
      <c r="N752" s="1251">
        <v>1</v>
      </c>
      <c r="O752" s="1252">
        <v>1</v>
      </c>
    </row>
    <row r="753" spans="1:15">
      <c r="A753" s="1246" t="s">
        <v>1493</v>
      </c>
      <c r="B753" s="1246" t="s">
        <v>432</v>
      </c>
      <c r="C753" s="1247">
        <v>3</v>
      </c>
      <c r="E753" s="1246" t="s">
        <v>370</v>
      </c>
      <c r="F753" s="1248">
        <v>1</v>
      </c>
      <c r="G753" s="1248">
        <v>2</v>
      </c>
      <c r="H753" s="1249">
        <v>1</v>
      </c>
      <c r="I753" s="1246" t="s">
        <v>1491</v>
      </c>
      <c r="J753" s="1246" t="s">
        <v>1439</v>
      </c>
      <c r="K753" s="1284" t="str">
        <f t="shared" si="11"/>
        <v>15</v>
      </c>
      <c r="L753" s="1246" t="s">
        <v>1530</v>
      </c>
      <c r="M753" s="1250">
        <v>9</v>
      </c>
      <c r="N753" s="1251">
        <v>1</v>
      </c>
      <c r="O753" s="1252">
        <v>1</v>
      </c>
    </row>
    <row r="754" spans="1:15">
      <c r="A754" s="1246" t="s">
        <v>1493</v>
      </c>
      <c r="B754" s="1246" t="s">
        <v>432</v>
      </c>
      <c r="C754" s="1247">
        <v>3</v>
      </c>
      <c r="E754" s="1246" t="s">
        <v>1535</v>
      </c>
      <c r="F754" s="1248">
        <v>1</v>
      </c>
      <c r="G754" s="1248">
        <v>2</v>
      </c>
      <c r="H754" s="1249">
        <v>1</v>
      </c>
      <c r="I754" s="1246" t="s">
        <v>1491</v>
      </c>
      <c r="J754" s="1246" t="s">
        <v>1439</v>
      </c>
      <c r="K754" s="1284" t="str">
        <f t="shared" si="11"/>
        <v>15</v>
      </c>
      <c r="L754" s="1246" t="s">
        <v>1530</v>
      </c>
      <c r="M754" s="1250">
        <v>9</v>
      </c>
      <c r="N754" s="1251">
        <v>1</v>
      </c>
      <c r="O754" s="1252">
        <v>1</v>
      </c>
    </row>
    <row r="755" spans="1:15">
      <c r="A755" s="1246" t="s">
        <v>683</v>
      </c>
      <c r="B755" s="1246" t="s">
        <v>432</v>
      </c>
      <c r="C755" s="1247">
        <v>3</v>
      </c>
      <c r="E755" s="1246" t="s">
        <v>370</v>
      </c>
      <c r="F755" s="1248">
        <v>1</v>
      </c>
      <c r="G755" s="1248">
        <v>2</v>
      </c>
      <c r="H755" s="1249">
        <v>1</v>
      </c>
      <c r="I755" s="1246" t="s">
        <v>1491</v>
      </c>
      <c r="J755" s="1246" t="s">
        <v>1439</v>
      </c>
      <c r="K755" s="1284" t="str">
        <f t="shared" si="11"/>
        <v>15</v>
      </c>
      <c r="L755" s="1246" t="s">
        <v>1530</v>
      </c>
      <c r="M755" s="1250">
        <v>9</v>
      </c>
      <c r="N755" s="1251">
        <v>1</v>
      </c>
      <c r="O755" s="1252">
        <v>1</v>
      </c>
    </row>
    <row r="756" spans="1:15">
      <c r="A756" s="1246" t="s">
        <v>1493</v>
      </c>
      <c r="B756" s="1246" t="s">
        <v>432</v>
      </c>
      <c r="C756" s="1247">
        <v>3</v>
      </c>
      <c r="E756" s="1246" t="s">
        <v>370</v>
      </c>
      <c r="F756" s="1248">
        <v>1</v>
      </c>
      <c r="G756" s="1248">
        <v>2</v>
      </c>
      <c r="H756" s="1249">
        <v>1</v>
      </c>
      <c r="I756" s="1246" t="s">
        <v>1491</v>
      </c>
      <c r="J756" s="1246" t="s">
        <v>1397</v>
      </c>
      <c r="K756" s="1284" t="str">
        <f t="shared" si="11"/>
        <v>10</v>
      </c>
      <c r="L756" s="1246" t="s">
        <v>1532</v>
      </c>
      <c r="M756" s="1250">
        <v>9</v>
      </c>
      <c r="N756" s="1251">
        <v>1</v>
      </c>
      <c r="O756" s="1252">
        <v>1</v>
      </c>
    </row>
    <row r="757" spans="1:15">
      <c r="A757" s="1246" t="s">
        <v>1493</v>
      </c>
      <c r="B757" s="1246" t="s">
        <v>432</v>
      </c>
      <c r="C757" s="1247">
        <v>3</v>
      </c>
      <c r="E757" s="1246" t="s">
        <v>376</v>
      </c>
      <c r="F757" s="1248">
        <v>1</v>
      </c>
      <c r="G757" s="1248">
        <v>2</v>
      </c>
      <c r="H757" s="1249">
        <v>1</v>
      </c>
      <c r="I757" s="1246" t="s">
        <v>1491</v>
      </c>
      <c r="J757" s="1246" t="s">
        <v>1397</v>
      </c>
      <c r="K757" s="1284" t="str">
        <f t="shared" si="11"/>
        <v>10</v>
      </c>
      <c r="L757" s="1246" t="s">
        <v>1532</v>
      </c>
      <c r="M757" s="1250">
        <v>9</v>
      </c>
      <c r="N757" s="1251">
        <v>5</v>
      </c>
      <c r="O757" s="1252">
        <v>5</v>
      </c>
    </row>
    <row r="758" spans="1:15">
      <c r="A758" s="1246" t="s">
        <v>1493</v>
      </c>
      <c r="B758" s="1246" t="s">
        <v>432</v>
      </c>
      <c r="C758" s="1247">
        <v>3</v>
      </c>
      <c r="E758" s="1246" t="s">
        <v>370</v>
      </c>
      <c r="F758" s="1248">
        <v>1</v>
      </c>
      <c r="G758" s="1248">
        <v>2</v>
      </c>
      <c r="H758" s="1249">
        <v>1</v>
      </c>
      <c r="I758" s="1246" t="s">
        <v>1491</v>
      </c>
      <c r="J758" s="1246" t="s">
        <v>1438</v>
      </c>
      <c r="K758" s="1284" t="str">
        <f t="shared" si="11"/>
        <v>13</v>
      </c>
      <c r="L758" s="1246" t="s">
        <v>1533</v>
      </c>
      <c r="M758" s="1250">
        <v>9</v>
      </c>
      <c r="N758" s="1251">
        <v>1</v>
      </c>
      <c r="O758" s="1252">
        <v>1</v>
      </c>
    </row>
    <row r="759" spans="1:15">
      <c r="A759" s="1246" t="s">
        <v>1493</v>
      </c>
      <c r="B759" s="1246" t="s">
        <v>432</v>
      </c>
      <c r="C759" s="1247">
        <v>3</v>
      </c>
      <c r="E759" s="1246" t="s">
        <v>376</v>
      </c>
      <c r="F759" s="1248">
        <v>1</v>
      </c>
      <c r="G759" s="1248">
        <v>2</v>
      </c>
      <c r="H759" s="1249">
        <v>1</v>
      </c>
      <c r="I759" s="1246" t="s">
        <v>1491</v>
      </c>
      <c r="J759" s="1246" t="s">
        <v>1438</v>
      </c>
      <c r="K759" s="1284" t="str">
        <f t="shared" si="11"/>
        <v>13</v>
      </c>
      <c r="L759" s="1246" t="s">
        <v>1533</v>
      </c>
      <c r="M759" s="1250">
        <v>9</v>
      </c>
      <c r="N759" s="1251">
        <v>5</v>
      </c>
      <c r="O759" s="1252">
        <v>5</v>
      </c>
    </row>
    <row r="760" spans="1:15">
      <c r="A760" s="1246" t="s">
        <v>1493</v>
      </c>
      <c r="B760" s="1246" t="s">
        <v>432</v>
      </c>
      <c r="C760" s="1247">
        <v>3</v>
      </c>
      <c r="D760" s="1246" t="s">
        <v>1412</v>
      </c>
      <c r="E760" s="1246" t="s">
        <v>376</v>
      </c>
      <c r="F760" s="1248">
        <v>1</v>
      </c>
      <c r="G760" s="1248">
        <v>2</v>
      </c>
      <c r="H760" s="1249">
        <v>1</v>
      </c>
      <c r="I760" s="1246" t="s">
        <v>1491</v>
      </c>
      <c r="J760" s="1246" t="s">
        <v>1436</v>
      </c>
      <c r="K760" s="1284" t="str">
        <f t="shared" si="11"/>
        <v>11</v>
      </c>
      <c r="L760" s="1246" t="s">
        <v>1496</v>
      </c>
      <c r="M760" s="1250">
        <v>9</v>
      </c>
      <c r="N760" s="1251">
        <v>1</v>
      </c>
      <c r="O760" s="1252">
        <v>1</v>
      </c>
    </row>
    <row r="761" spans="1:15">
      <c r="A761" s="1246" t="s">
        <v>1493</v>
      </c>
      <c r="B761" s="1246" t="s">
        <v>432</v>
      </c>
      <c r="C761" s="1247">
        <v>3</v>
      </c>
      <c r="E761" s="1246" t="s">
        <v>376</v>
      </c>
      <c r="F761" s="1248">
        <v>1</v>
      </c>
      <c r="G761" s="1248">
        <v>2</v>
      </c>
      <c r="H761" s="1249">
        <v>1</v>
      </c>
      <c r="I761" s="1246" t="s">
        <v>1491</v>
      </c>
      <c r="J761" s="1246" t="s">
        <v>1436</v>
      </c>
      <c r="K761" s="1284" t="str">
        <f t="shared" si="11"/>
        <v>11</v>
      </c>
      <c r="L761" s="1246" t="s">
        <v>1496</v>
      </c>
      <c r="M761" s="1250">
        <v>9</v>
      </c>
      <c r="N761" s="1251">
        <v>23</v>
      </c>
      <c r="O761" s="1252">
        <v>23</v>
      </c>
    </row>
    <row r="762" spans="1:15">
      <c r="A762" s="1246" t="s">
        <v>1493</v>
      </c>
      <c r="B762" s="1246" t="s">
        <v>432</v>
      </c>
      <c r="C762" s="1247">
        <v>3</v>
      </c>
      <c r="E762" s="1246" t="s">
        <v>370</v>
      </c>
      <c r="F762" s="1248">
        <v>1</v>
      </c>
      <c r="G762" s="1248">
        <v>3</v>
      </c>
      <c r="H762" s="1249">
        <v>1</v>
      </c>
      <c r="I762" s="1246" t="s">
        <v>1491</v>
      </c>
      <c r="J762" s="1246" t="s">
        <v>1436</v>
      </c>
      <c r="K762" s="1284" t="str">
        <f t="shared" si="11"/>
        <v>11</v>
      </c>
      <c r="M762" s="1250">
        <v>0</v>
      </c>
      <c r="N762" s="1251">
        <v>1</v>
      </c>
      <c r="O762" s="1252">
        <v>1</v>
      </c>
    </row>
    <row r="763" spans="1:15">
      <c r="A763" s="1246" t="s">
        <v>1493</v>
      </c>
      <c r="B763" s="1246" t="s">
        <v>432</v>
      </c>
      <c r="C763" s="1247">
        <v>3</v>
      </c>
      <c r="E763" s="1246" t="s">
        <v>370</v>
      </c>
      <c r="F763" s="1248">
        <v>1</v>
      </c>
      <c r="G763" s="1248">
        <v>3</v>
      </c>
      <c r="H763" s="1249">
        <v>1</v>
      </c>
      <c r="I763" s="1246" t="s">
        <v>1491</v>
      </c>
      <c r="J763" s="1246" t="s">
        <v>1436</v>
      </c>
      <c r="K763" s="1284" t="str">
        <f t="shared" si="11"/>
        <v>11</v>
      </c>
      <c r="L763" s="1246" t="s">
        <v>1495</v>
      </c>
      <c r="M763" s="1250">
        <v>9</v>
      </c>
      <c r="N763" s="1251">
        <v>6</v>
      </c>
      <c r="O763" s="1252">
        <v>6</v>
      </c>
    </row>
    <row r="764" spans="1:15">
      <c r="A764" s="1246" t="s">
        <v>1493</v>
      </c>
      <c r="B764" s="1246" t="s">
        <v>432</v>
      </c>
      <c r="C764" s="1247">
        <v>3</v>
      </c>
      <c r="E764" s="1246" t="s">
        <v>373</v>
      </c>
      <c r="F764" s="1248">
        <v>1</v>
      </c>
      <c r="G764" s="1248">
        <v>3</v>
      </c>
      <c r="H764" s="1249">
        <v>1</v>
      </c>
      <c r="I764" s="1246" t="s">
        <v>1491</v>
      </c>
      <c r="J764" s="1246" t="s">
        <v>1436</v>
      </c>
      <c r="K764" s="1284" t="str">
        <f t="shared" si="11"/>
        <v>11</v>
      </c>
      <c r="L764" s="1246" t="s">
        <v>1495</v>
      </c>
      <c r="M764" s="1250">
        <v>9</v>
      </c>
      <c r="N764" s="1251">
        <v>2</v>
      </c>
      <c r="O764" s="1252">
        <v>2</v>
      </c>
    </row>
    <row r="765" spans="1:15">
      <c r="A765" s="1246" t="s">
        <v>1493</v>
      </c>
      <c r="B765" s="1246" t="s">
        <v>432</v>
      </c>
      <c r="C765" s="1247">
        <v>3</v>
      </c>
      <c r="E765" s="1246" t="s">
        <v>370</v>
      </c>
      <c r="F765" s="1248">
        <v>1</v>
      </c>
      <c r="G765" s="1248">
        <v>3</v>
      </c>
      <c r="H765" s="1249">
        <v>1</v>
      </c>
      <c r="I765" s="1246" t="s">
        <v>1491</v>
      </c>
      <c r="J765" s="1246" t="s">
        <v>1438</v>
      </c>
      <c r="K765" s="1284" t="str">
        <f t="shared" si="11"/>
        <v>13</v>
      </c>
      <c r="L765" s="1246" t="s">
        <v>1533</v>
      </c>
      <c r="M765" s="1250">
        <v>9</v>
      </c>
      <c r="N765" s="1251">
        <v>1</v>
      </c>
      <c r="O765" s="1252">
        <v>1</v>
      </c>
    </row>
    <row r="766" spans="1:15">
      <c r="A766" s="1246" t="s">
        <v>1493</v>
      </c>
      <c r="B766" s="1246" t="s">
        <v>432</v>
      </c>
      <c r="C766" s="1247">
        <v>3</v>
      </c>
      <c r="E766" s="1246" t="s">
        <v>376</v>
      </c>
      <c r="F766" s="1248">
        <v>1</v>
      </c>
      <c r="G766" s="1248">
        <v>3</v>
      </c>
      <c r="H766" s="1249">
        <v>1</v>
      </c>
      <c r="I766" s="1246" t="s">
        <v>1491</v>
      </c>
      <c r="J766" s="1246" t="s">
        <v>1438</v>
      </c>
      <c r="K766" s="1284" t="str">
        <f t="shared" si="11"/>
        <v>13</v>
      </c>
      <c r="L766" s="1246" t="s">
        <v>1533</v>
      </c>
      <c r="M766" s="1250">
        <v>9</v>
      </c>
      <c r="N766" s="1251">
        <v>1</v>
      </c>
      <c r="O766" s="1252">
        <v>1</v>
      </c>
    </row>
    <row r="767" spans="1:15">
      <c r="A767" s="1246" t="s">
        <v>1493</v>
      </c>
      <c r="B767" s="1246" t="s">
        <v>432</v>
      </c>
      <c r="C767" s="1247">
        <v>3</v>
      </c>
      <c r="E767" s="1246" t="s">
        <v>376</v>
      </c>
      <c r="F767" s="1248">
        <v>1</v>
      </c>
      <c r="G767" s="1248">
        <v>3</v>
      </c>
      <c r="H767" s="1249">
        <v>1</v>
      </c>
      <c r="I767" s="1246" t="s">
        <v>1491</v>
      </c>
      <c r="J767" s="1246" t="s">
        <v>1436</v>
      </c>
      <c r="K767" s="1284" t="str">
        <f t="shared" si="11"/>
        <v>11</v>
      </c>
      <c r="L767" s="1246" t="s">
        <v>1496</v>
      </c>
      <c r="M767" s="1250">
        <v>9</v>
      </c>
      <c r="N767" s="1251">
        <v>1</v>
      </c>
      <c r="O767" s="1252">
        <v>1</v>
      </c>
    </row>
    <row r="768" spans="1:15">
      <c r="A768" s="1246" t="s">
        <v>1493</v>
      </c>
      <c r="B768" s="1246" t="s">
        <v>432</v>
      </c>
      <c r="C768" s="1247">
        <v>3</v>
      </c>
      <c r="E768" s="1246" t="s">
        <v>370</v>
      </c>
      <c r="F768" s="1248">
        <v>1</v>
      </c>
      <c r="G768" s="1248">
        <v>4</v>
      </c>
      <c r="H768" s="1249">
        <v>1</v>
      </c>
      <c r="I768" s="1246" t="s">
        <v>1491</v>
      </c>
      <c r="J768" s="1246" t="s">
        <v>1436</v>
      </c>
      <c r="K768" s="1284" t="str">
        <f t="shared" si="11"/>
        <v>11</v>
      </c>
      <c r="L768" s="1246" t="s">
        <v>1495</v>
      </c>
      <c r="M768" s="1250">
        <v>9</v>
      </c>
      <c r="N768" s="1251">
        <v>2</v>
      </c>
      <c r="O768" s="1252">
        <v>2</v>
      </c>
    </row>
    <row r="769" spans="1:15">
      <c r="A769" s="1246" t="s">
        <v>1493</v>
      </c>
      <c r="B769" s="1246" t="s">
        <v>432</v>
      </c>
      <c r="C769" s="1247">
        <v>3</v>
      </c>
      <c r="E769" s="1246" t="s">
        <v>373</v>
      </c>
      <c r="F769" s="1248">
        <v>1</v>
      </c>
      <c r="G769" s="1248">
        <v>5</v>
      </c>
      <c r="H769" s="1249">
        <v>1</v>
      </c>
      <c r="I769" s="1246" t="s">
        <v>1491</v>
      </c>
      <c r="J769" s="1246" t="s">
        <v>1436</v>
      </c>
      <c r="K769" s="1284" t="str">
        <f t="shared" si="11"/>
        <v>11</v>
      </c>
      <c r="L769" s="1246" t="s">
        <v>1495</v>
      </c>
      <c r="M769" s="1250">
        <v>9</v>
      </c>
      <c r="N769" s="1251">
        <v>1</v>
      </c>
      <c r="O769" s="1252">
        <v>1</v>
      </c>
    </row>
    <row r="770" spans="1:15">
      <c r="A770" s="1246" t="s">
        <v>1493</v>
      </c>
      <c r="B770" s="1246" t="s">
        <v>432</v>
      </c>
      <c r="C770" s="1247">
        <v>3</v>
      </c>
      <c r="E770" s="1246" t="s">
        <v>370</v>
      </c>
      <c r="F770" s="1248">
        <v>1</v>
      </c>
      <c r="G770" s="1248">
        <v>6</v>
      </c>
      <c r="H770" s="1249">
        <v>1</v>
      </c>
      <c r="I770" s="1246" t="s">
        <v>1491</v>
      </c>
      <c r="J770" s="1246" t="s">
        <v>1436</v>
      </c>
      <c r="K770" s="1284" t="str">
        <f t="shared" ref="K770:K833" si="12">IF(J770="1B","10", IF(J770="2B","20",IF(J770="3B","30",IF(J770="7B",70,J770))))</f>
        <v>11</v>
      </c>
      <c r="L770" s="1246" t="s">
        <v>1495</v>
      </c>
      <c r="M770" s="1250">
        <v>9</v>
      </c>
      <c r="N770" s="1251">
        <v>1</v>
      </c>
      <c r="O770" s="1252">
        <v>1</v>
      </c>
    </row>
    <row r="771" spans="1:15">
      <c r="A771" s="1246" t="s">
        <v>1493</v>
      </c>
      <c r="B771" s="1246" t="s">
        <v>432</v>
      </c>
      <c r="C771" s="1247">
        <v>3</v>
      </c>
      <c r="E771" s="1246" t="s">
        <v>370</v>
      </c>
      <c r="F771" s="1248">
        <v>1</v>
      </c>
      <c r="G771" s="1248">
        <v>6</v>
      </c>
      <c r="H771" s="1249">
        <v>1</v>
      </c>
      <c r="I771" s="1246" t="s">
        <v>1491</v>
      </c>
      <c r="J771" s="1246" t="s">
        <v>1438</v>
      </c>
      <c r="K771" s="1284" t="str">
        <f t="shared" si="12"/>
        <v>13</v>
      </c>
      <c r="L771" s="1246" t="s">
        <v>1533</v>
      </c>
      <c r="M771" s="1250">
        <v>9</v>
      </c>
      <c r="N771" s="1251">
        <v>2</v>
      </c>
      <c r="O771" s="1252">
        <v>2</v>
      </c>
    </row>
    <row r="772" spans="1:15">
      <c r="A772" s="1246" t="s">
        <v>1493</v>
      </c>
      <c r="B772" s="1246" t="s">
        <v>432</v>
      </c>
      <c r="C772" s="1247">
        <v>3</v>
      </c>
      <c r="E772" s="1246" t="s">
        <v>370</v>
      </c>
      <c r="F772" s="1248">
        <v>2</v>
      </c>
      <c r="G772" s="1248">
        <v>2</v>
      </c>
      <c r="H772" s="1249">
        <v>1</v>
      </c>
      <c r="I772" s="1246" t="s">
        <v>1491</v>
      </c>
      <c r="J772" s="1246" t="s">
        <v>1436</v>
      </c>
      <c r="K772" s="1284" t="str">
        <f t="shared" si="12"/>
        <v>11</v>
      </c>
      <c r="L772" s="1246" t="s">
        <v>1495</v>
      </c>
      <c r="M772" s="1250">
        <v>9</v>
      </c>
      <c r="N772" s="1251">
        <v>2</v>
      </c>
      <c r="O772" s="1252">
        <v>1</v>
      </c>
    </row>
    <row r="773" spans="1:15">
      <c r="A773" s="1246" t="s">
        <v>1493</v>
      </c>
      <c r="B773" s="1246" t="s">
        <v>432</v>
      </c>
      <c r="C773" s="1247">
        <v>3</v>
      </c>
      <c r="E773" s="1246" t="s">
        <v>376</v>
      </c>
      <c r="F773" s="1248">
        <v>2</v>
      </c>
      <c r="G773" s="1248">
        <v>2</v>
      </c>
      <c r="H773" s="1249">
        <v>1</v>
      </c>
      <c r="I773" s="1246" t="s">
        <v>1491</v>
      </c>
      <c r="J773" s="1246" t="s">
        <v>1397</v>
      </c>
      <c r="K773" s="1284" t="str">
        <f t="shared" si="12"/>
        <v>10</v>
      </c>
      <c r="L773" s="1246" t="s">
        <v>1532</v>
      </c>
      <c r="M773" s="1250">
        <v>9</v>
      </c>
      <c r="N773" s="1251">
        <v>2</v>
      </c>
      <c r="O773" s="1252">
        <v>1</v>
      </c>
    </row>
    <row r="774" spans="1:15">
      <c r="A774" s="1246" t="s">
        <v>1493</v>
      </c>
      <c r="B774" s="1246" t="s">
        <v>432</v>
      </c>
      <c r="C774" s="1247">
        <v>3</v>
      </c>
      <c r="E774" s="1246" t="s">
        <v>376</v>
      </c>
      <c r="F774" s="1248">
        <v>2</v>
      </c>
      <c r="G774" s="1248">
        <v>2</v>
      </c>
      <c r="H774" s="1249">
        <v>1</v>
      </c>
      <c r="I774" s="1246" t="s">
        <v>1491</v>
      </c>
      <c r="J774" s="1246" t="s">
        <v>1436</v>
      </c>
      <c r="K774" s="1284" t="str">
        <f t="shared" si="12"/>
        <v>11</v>
      </c>
      <c r="L774" s="1246" t="s">
        <v>1496</v>
      </c>
      <c r="M774" s="1250">
        <v>9</v>
      </c>
      <c r="N774" s="1251">
        <v>18</v>
      </c>
      <c r="O774" s="1252">
        <v>9</v>
      </c>
    </row>
    <row r="775" spans="1:15">
      <c r="A775" s="1246" t="s">
        <v>1493</v>
      </c>
      <c r="B775" s="1246" t="s">
        <v>432</v>
      </c>
      <c r="C775" s="1247">
        <v>3</v>
      </c>
      <c r="D775" s="1246" t="s">
        <v>1412</v>
      </c>
      <c r="E775" s="1246" t="s">
        <v>376</v>
      </c>
      <c r="F775" s="1248">
        <v>2</v>
      </c>
      <c r="G775" s="1248">
        <v>2</v>
      </c>
      <c r="H775" s="1249">
        <v>1</v>
      </c>
      <c r="I775" s="1246" t="s">
        <v>1491</v>
      </c>
      <c r="J775" s="1246" t="s">
        <v>1436</v>
      </c>
      <c r="K775" s="1284" t="str">
        <f t="shared" si="12"/>
        <v>11</v>
      </c>
      <c r="L775" s="1246" t="s">
        <v>1496</v>
      </c>
      <c r="M775" s="1250">
        <v>9</v>
      </c>
      <c r="N775" s="1251">
        <v>2</v>
      </c>
      <c r="O775" s="1252">
        <v>1</v>
      </c>
    </row>
    <row r="776" spans="1:15">
      <c r="A776" s="1246" t="s">
        <v>1493</v>
      </c>
      <c r="B776" s="1246" t="s">
        <v>432</v>
      </c>
      <c r="C776" s="1247">
        <v>3</v>
      </c>
      <c r="E776" s="1246" t="s">
        <v>376</v>
      </c>
      <c r="F776" s="1248">
        <v>2</v>
      </c>
      <c r="G776" s="1248">
        <v>4</v>
      </c>
      <c r="H776" s="1249">
        <v>1</v>
      </c>
      <c r="I776" s="1246" t="s">
        <v>1491</v>
      </c>
      <c r="J776" s="1246" t="s">
        <v>1437</v>
      </c>
      <c r="K776" s="1284" t="str">
        <f t="shared" si="12"/>
        <v>12</v>
      </c>
      <c r="L776" s="1246" t="s">
        <v>1529</v>
      </c>
      <c r="M776" s="1250">
        <v>9</v>
      </c>
      <c r="N776" s="1251">
        <v>2</v>
      </c>
      <c r="O776" s="1252">
        <v>1</v>
      </c>
    </row>
    <row r="777" spans="1:15">
      <c r="A777" s="1246" t="s">
        <v>1493</v>
      </c>
      <c r="B777" s="1246" t="s">
        <v>432</v>
      </c>
      <c r="C777" s="1247">
        <v>3</v>
      </c>
      <c r="E777" s="1246" t="s">
        <v>376</v>
      </c>
      <c r="F777" s="1248">
        <v>2</v>
      </c>
      <c r="G777" s="1248">
        <v>4</v>
      </c>
      <c r="H777" s="1249">
        <v>1</v>
      </c>
      <c r="I777" s="1246" t="s">
        <v>1491</v>
      </c>
      <c r="J777" s="1246" t="s">
        <v>1441</v>
      </c>
      <c r="K777" s="1284" t="str">
        <f t="shared" si="12"/>
        <v>1A</v>
      </c>
      <c r="L777" s="1246" t="s">
        <v>1531</v>
      </c>
      <c r="M777" s="1250">
        <v>9</v>
      </c>
      <c r="N777" s="1251">
        <v>2</v>
      </c>
      <c r="O777" s="1252">
        <v>1</v>
      </c>
    </row>
    <row r="778" spans="1:15">
      <c r="A778" s="1246" t="s">
        <v>1493</v>
      </c>
      <c r="B778" s="1246" t="s">
        <v>432</v>
      </c>
      <c r="C778" s="1247">
        <v>3</v>
      </c>
      <c r="E778" s="1246" t="s">
        <v>376</v>
      </c>
      <c r="F778" s="1248">
        <v>2</v>
      </c>
      <c r="G778" s="1248">
        <v>4</v>
      </c>
      <c r="H778" s="1249">
        <v>1</v>
      </c>
      <c r="I778" s="1246" t="s">
        <v>1491</v>
      </c>
      <c r="J778" s="1246" t="s">
        <v>1397</v>
      </c>
      <c r="K778" s="1284" t="str">
        <f t="shared" si="12"/>
        <v>10</v>
      </c>
      <c r="L778" s="1246" t="s">
        <v>1532</v>
      </c>
      <c r="M778" s="1250">
        <v>9</v>
      </c>
      <c r="N778" s="1251">
        <v>2</v>
      </c>
      <c r="O778" s="1252">
        <v>1</v>
      </c>
    </row>
    <row r="779" spans="1:15">
      <c r="A779" s="1246" t="s">
        <v>1493</v>
      </c>
      <c r="B779" s="1246" t="s">
        <v>432</v>
      </c>
      <c r="C779" s="1247">
        <v>3</v>
      </c>
      <c r="E779" s="1246" t="s">
        <v>376</v>
      </c>
      <c r="F779" s="1248">
        <v>2</v>
      </c>
      <c r="G779" s="1248">
        <v>4</v>
      </c>
      <c r="H779" s="1249">
        <v>1</v>
      </c>
      <c r="I779" s="1246" t="s">
        <v>1491</v>
      </c>
      <c r="J779" s="1246" t="s">
        <v>1438</v>
      </c>
      <c r="K779" s="1284" t="str">
        <f t="shared" si="12"/>
        <v>13</v>
      </c>
      <c r="L779" s="1246" t="s">
        <v>1533</v>
      </c>
      <c r="M779" s="1250">
        <v>9</v>
      </c>
      <c r="N779" s="1251">
        <v>2</v>
      </c>
      <c r="O779" s="1252">
        <v>1</v>
      </c>
    </row>
    <row r="780" spans="1:15">
      <c r="A780" s="1246" t="s">
        <v>1493</v>
      </c>
      <c r="B780" s="1246" t="s">
        <v>432</v>
      </c>
      <c r="C780" s="1247">
        <v>3</v>
      </c>
      <c r="D780" s="1246" t="s">
        <v>1412</v>
      </c>
      <c r="E780" s="1246" t="s">
        <v>376</v>
      </c>
      <c r="F780" s="1248">
        <v>2</v>
      </c>
      <c r="G780" s="1248">
        <v>4</v>
      </c>
      <c r="H780" s="1249">
        <v>1</v>
      </c>
      <c r="I780" s="1246" t="s">
        <v>1491</v>
      </c>
      <c r="J780" s="1246" t="s">
        <v>1436</v>
      </c>
      <c r="K780" s="1284" t="str">
        <f t="shared" si="12"/>
        <v>11</v>
      </c>
      <c r="L780" s="1246" t="s">
        <v>1496</v>
      </c>
      <c r="M780" s="1250">
        <v>9</v>
      </c>
      <c r="N780" s="1251">
        <v>4</v>
      </c>
      <c r="O780" s="1252">
        <v>2</v>
      </c>
    </row>
    <row r="781" spans="1:15">
      <c r="A781" s="1246" t="s">
        <v>1493</v>
      </c>
      <c r="B781" s="1246" t="s">
        <v>432</v>
      </c>
      <c r="C781" s="1247">
        <v>3</v>
      </c>
      <c r="E781" s="1246" t="s">
        <v>376</v>
      </c>
      <c r="F781" s="1248">
        <v>2</v>
      </c>
      <c r="G781" s="1248">
        <v>4</v>
      </c>
      <c r="H781" s="1249">
        <v>1</v>
      </c>
      <c r="I781" s="1246" t="s">
        <v>1491</v>
      </c>
      <c r="J781" s="1246" t="s">
        <v>1436</v>
      </c>
      <c r="K781" s="1284" t="str">
        <f t="shared" si="12"/>
        <v>11</v>
      </c>
      <c r="L781" s="1246" t="s">
        <v>1496</v>
      </c>
      <c r="M781" s="1250">
        <v>9</v>
      </c>
      <c r="N781" s="1251">
        <v>14</v>
      </c>
      <c r="O781" s="1252">
        <v>7</v>
      </c>
    </row>
    <row r="782" spans="1:15">
      <c r="A782" s="1246" t="s">
        <v>1493</v>
      </c>
      <c r="B782" s="1246" t="s">
        <v>432</v>
      </c>
      <c r="C782" s="1247">
        <v>3</v>
      </c>
      <c r="E782" s="1246" t="s">
        <v>370</v>
      </c>
      <c r="F782" s="1248">
        <v>2</v>
      </c>
      <c r="G782" s="1248">
        <v>6</v>
      </c>
      <c r="H782" s="1249">
        <v>1</v>
      </c>
      <c r="I782" s="1246" t="s">
        <v>1491</v>
      </c>
      <c r="J782" s="1246" t="s">
        <v>1436</v>
      </c>
      <c r="K782" s="1284" t="str">
        <f t="shared" si="12"/>
        <v>11</v>
      </c>
      <c r="L782" s="1246" t="s">
        <v>1495</v>
      </c>
      <c r="M782" s="1250">
        <v>9</v>
      </c>
      <c r="N782" s="1251">
        <v>2</v>
      </c>
      <c r="O782" s="1252">
        <v>1</v>
      </c>
    </row>
    <row r="783" spans="1:15">
      <c r="A783" s="1246" t="s">
        <v>1493</v>
      </c>
      <c r="B783" s="1246" t="s">
        <v>432</v>
      </c>
      <c r="C783" s="1247">
        <v>3</v>
      </c>
      <c r="E783" s="1246" t="s">
        <v>370</v>
      </c>
      <c r="F783" s="1248">
        <v>2</v>
      </c>
      <c r="G783" s="1248">
        <v>6</v>
      </c>
      <c r="H783" s="1249">
        <v>1</v>
      </c>
      <c r="I783" s="1246" t="s">
        <v>1491</v>
      </c>
      <c r="J783" s="1246" t="s">
        <v>1397</v>
      </c>
      <c r="K783" s="1284" t="str">
        <f t="shared" si="12"/>
        <v>10</v>
      </c>
      <c r="L783" s="1246" t="s">
        <v>1532</v>
      </c>
      <c r="M783" s="1250">
        <v>9</v>
      </c>
      <c r="N783" s="1251">
        <v>2</v>
      </c>
      <c r="O783" s="1252">
        <v>1</v>
      </c>
    </row>
    <row r="784" spans="1:15">
      <c r="A784" s="1246" t="s">
        <v>1493</v>
      </c>
      <c r="B784" s="1246" t="s">
        <v>432</v>
      </c>
      <c r="C784" s="1247">
        <v>3</v>
      </c>
      <c r="E784" s="1246" t="s">
        <v>376</v>
      </c>
      <c r="F784" s="1248">
        <v>2</v>
      </c>
      <c r="G784" s="1248">
        <v>7</v>
      </c>
      <c r="H784" s="1249">
        <v>1</v>
      </c>
      <c r="I784" s="1246" t="s">
        <v>1491</v>
      </c>
      <c r="J784" s="1246" t="s">
        <v>1436</v>
      </c>
      <c r="K784" s="1284" t="str">
        <f t="shared" si="12"/>
        <v>11</v>
      </c>
      <c r="L784" s="1246" t="s">
        <v>1496</v>
      </c>
      <c r="M784" s="1250">
        <v>9</v>
      </c>
      <c r="N784" s="1251">
        <v>2</v>
      </c>
      <c r="O784" s="1252">
        <v>1</v>
      </c>
    </row>
    <row r="785" spans="1:15">
      <c r="A785" s="1246" t="s">
        <v>1493</v>
      </c>
      <c r="B785" s="1246" t="s">
        <v>432</v>
      </c>
      <c r="C785" s="1247">
        <v>3</v>
      </c>
      <c r="E785" s="1246" t="s">
        <v>370</v>
      </c>
      <c r="F785" s="1248">
        <v>2</v>
      </c>
      <c r="G785" s="1248">
        <v>10</v>
      </c>
      <c r="H785" s="1249">
        <v>1</v>
      </c>
      <c r="I785" s="1246" t="s">
        <v>1491</v>
      </c>
      <c r="J785" s="1246" t="s">
        <v>1436</v>
      </c>
      <c r="K785" s="1284" t="str">
        <f t="shared" si="12"/>
        <v>11</v>
      </c>
      <c r="L785" s="1246" t="s">
        <v>1495</v>
      </c>
      <c r="M785" s="1250">
        <v>9</v>
      </c>
      <c r="N785" s="1251">
        <v>2</v>
      </c>
      <c r="O785" s="1252">
        <v>1</v>
      </c>
    </row>
    <row r="786" spans="1:15">
      <c r="A786" s="1246" t="s">
        <v>1493</v>
      </c>
      <c r="B786" s="1246" t="s">
        <v>432</v>
      </c>
      <c r="C786" s="1247">
        <v>3</v>
      </c>
      <c r="E786" s="1246" t="s">
        <v>370</v>
      </c>
      <c r="F786" s="1248">
        <v>3</v>
      </c>
      <c r="G786" s="1248">
        <v>3</v>
      </c>
      <c r="H786" s="1249">
        <v>1</v>
      </c>
      <c r="I786" s="1246" t="s">
        <v>1491</v>
      </c>
      <c r="J786" s="1246" t="s">
        <v>1436</v>
      </c>
      <c r="K786" s="1284" t="str">
        <f t="shared" si="12"/>
        <v>11</v>
      </c>
      <c r="L786" s="1246" t="s">
        <v>1495</v>
      </c>
      <c r="M786" s="1250">
        <v>9</v>
      </c>
      <c r="N786" s="1251">
        <v>3</v>
      </c>
      <c r="O786" s="1252">
        <v>1</v>
      </c>
    </row>
    <row r="787" spans="1:15">
      <c r="A787" s="1246" t="s">
        <v>1493</v>
      </c>
      <c r="B787" s="1246" t="s">
        <v>432</v>
      </c>
      <c r="C787" s="1247">
        <v>3</v>
      </c>
      <c r="E787" s="1246" t="s">
        <v>376</v>
      </c>
      <c r="F787" s="1248">
        <v>3</v>
      </c>
      <c r="G787" s="1248">
        <v>3</v>
      </c>
      <c r="H787" s="1249">
        <v>1</v>
      </c>
      <c r="I787" s="1246" t="s">
        <v>1491</v>
      </c>
      <c r="J787" s="1246" t="s">
        <v>1441</v>
      </c>
      <c r="K787" s="1284" t="str">
        <f t="shared" si="12"/>
        <v>1A</v>
      </c>
      <c r="L787" s="1246" t="s">
        <v>1531</v>
      </c>
      <c r="M787" s="1250">
        <v>9</v>
      </c>
      <c r="N787" s="1251">
        <v>3</v>
      </c>
      <c r="O787" s="1252">
        <v>1</v>
      </c>
    </row>
    <row r="788" spans="1:15">
      <c r="A788" s="1246" t="s">
        <v>1493</v>
      </c>
      <c r="B788" s="1246" t="s">
        <v>432</v>
      </c>
      <c r="C788" s="1247">
        <v>3</v>
      </c>
      <c r="E788" s="1246" t="s">
        <v>376</v>
      </c>
      <c r="F788" s="1248">
        <v>3</v>
      </c>
      <c r="G788" s="1248">
        <v>3</v>
      </c>
      <c r="H788" s="1249">
        <v>1</v>
      </c>
      <c r="I788" s="1246" t="s">
        <v>1491</v>
      </c>
      <c r="J788" s="1246" t="s">
        <v>1438</v>
      </c>
      <c r="K788" s="1284" t="str">
        <f t="shared" si="12"/>
        <v>13</v>
      </c>
      <c r="L788" s="1246" t="s">
        <v>1533</v>
      </c>
      <c r="M788" s="1250">
        <v>9</v>
      </c>
      <c r="N788" s="1251">
        <v>3</v>
      </c>
      <c r="O788" s="1252">
        <v>1</v>
      </c>
    </row>
    <row r="789" spans="1:15">
      <c r="A789" s="1246" t="s">
        <v>1493</v>
      </c>
      <c r="B789" s="1246" t="s">
        <v>432</v>
      </c>
      <c r="C789" s="1247">
        <v>3</v>
      </c>
      <c r="E789" s="1246" t="s">
        <v>376</v>
      </c>
      <c r="F789" s="1248">
        <v>3</v>
      </c>
      <c r="G789" s="1248">
        <v>3</v>
      </c>
      <c r="H789" s="1249">
        <v>1</v>
      </c>
      <c r="I789" s="1246" t="s">
        <v>1491</v>
      </c>
      <c r="J789" s="1246" t="s">
        <v>1436</v>
      </c>
      <c r="K789" s="1284" t="str">
        <f t="shared" si="12"/>
        <v>11</v>
      </c>
      <c r="L789" s="1246" t="s">
        <v>1496</v>
      </c>
      <c r="M789" s="1250">
        <v>9</v>
      </c>
      <c r="N789" s="1251">
        <v>12</v>
      </c>
      <c r="O789" s="1252">
        <v>4</v>
      </c>
    </row>
    <row r="790" spans="1:15">
      <c r="A790" s="1246" t="s">
        <v>1493</v>
      </c>
      <c r="B790" s="1246" t="s">
        <v>432</v>
      </c>
      <c r="C790" s="1247">
        <v>3</v>
      </c>
      <c r="E790" s="1246" t="s">
        <v>376</v>
      </c>
      <c r="F790" s="1248">
        <v>3</v>
      </c>
      <c r="G790" s="1248">
        <v>6</v>
      </c>
      <c r="H790" s="1249">
        <v>1</v>
      </c>
      <c r="I790" s="1246" t="s">
        <v>1491</v>
      </c>
      <c r="J790" s="1246" t="s">
        <v>1436</v>
      </c>
      <c r="K790" s="1284" t="str">
        <f t="shared" si="12"/>
        <v>11</v>
      </c>
      <c r="L790" s="1246" t="s">
        <v>1496</v>
      </c>
      <c r="M790" s="1250">
        <v>9</v>
      </c>
      <c r="N790" s="1251">
        <v>6</v>
      </c>
      <c r="O790" s="1252">
        <v>2</v>
      </c>
    </row>
    <row r="791" spans="1:15">
      <c r="A791" s="1246" t="s">
        <v>1493</v>
      </c>
      <c r="B791" s="1246" t="s">
        <v>432</v>
      </c>
      <c r="C791" s="1247">
        <v>3</v>
      </c>
      <c r="E791" s="1246" t="s">
        <v>376</v>
      </c>
      <c r="F791" s="1248">
        <v>4</v>
      </c>
      <c r="G791" s="1248">
        <v>4</v>
      </c>
      <c r="H791" s="1249">
        <v>1</v>
      </c>
      <c r="I791" s="1246" t="s">
        <v>1491</v>
      </c>
      <c r="J791" s="1246" t="s">
        <v>1436</v>
      </c>
      <c r="K791" s="1284" t="str">
        <f t="shared" si="12"/>
        <v>11</v>
      </c>
      <c r="L791" s="1246" t="s">
        <v>1496</v>
      </c>
      <c r="M791" s="1250">
        <v>9</v>
      </c>
      <c r="N791" s="1251">
        <v>12</v>
      </c>
      <c r="O791" s="1252">
        <v>3</v>
      </c>
    </row>
    <row r="792" spans="1:15">
      <c r="A792" s="1246" t="s">
        <v>1493</v>
      </c>
      <c r="B792" s="1246" t="s">
        <v>432</v>
      </c>
      <c r="C792" s="1247">
        <v>3</v>
      </c>
      <c r="E792" s="1246" t="s">
        <v>376</v>
      </c>
      <c r="F792" s="1248">
        <v>4</v>
      </c>
      <c r="G792" s="1248">
        <v>8</v>
      </c>
      <c r="H792" s="1249">
        <v>1</v>
      </c>
      <c r="I792" s="1246" t="s">
        <v>1491</v>
      </c>
      <c r="J792" s="1246" t="s">
        <v>1443</v>
      </c>
      <c r="K792" s="1284" t="str">
        <f t="shared" si="12"/>
        <v>1C</v>
      </c>
      <c r="L792" s="1246" t="s">
        <v>1502</v>
      </c>
      <c r="M792" s="1250">
        <v>4</v>
      </c>
      <c r="N792" s="1251">
        <v>4</v>
      </c>
      <c r="O792" s="1252">
        <v>1</v>
      </c>
    </row>
    <row r="793" spans="1:15">
      <c r="A793" s="1246" t="s">
        <v>1493</v>
      </c>
      <c r="B793" s="1246" t="s">
        <v>432</v>
      </c>
      <c r="C793" s="1247">
        <v>3</v>
      </c>
      <c r="E793" s="1246" t="s">
        <v>376</v>
      </c>
      <c r="F793" s="1248">
        <v>4</v>
      </c>
      <c r="G793" s="1248">
        <v>8</v>
      </c>
      <c r="H793" s="1249">
        <v>1</v>
      </c>
      <c r="I793" s="1246" t="s">
        <v>1491</v>
      </c>
      <c r="J793" s="1246" t="s">
        <v>1436</v>
      </c>
      <c r="K793" s="1284" t="str">
        <f t="shared" si="12"/>
        <v>11</v>
      </c>
      <c r="L793" s="1246" t="s">
        <v>1496</v>
      </c>
      <c r="M793" s="1250">
        <v>9</v>
      </c>
      <c r="N793" s="1251">
        <v>8</v>
      </c>
      <c r="O793" s="1252">
        <v>2</v>
      </c>
    </row>
    <row r="794" spans="1:15">
      <c r="A794" s="1246" t="s">
        <v>1493</v>
      </c>
      <c r="B794" s="1246" t="s">
        <v>432</v>
      </c>
      <c r="C794" s="1247">
        <v>3</v>
      </c>
      <c r="E794" s="1246" t="s">
        <v>376</v>
      </c>
      <c r="F794" s="1248">
        <v>5</v>
      </c>
      <c r="G794" s="1248">
        <v>5</v>
      </c>
      <c r="H794" s="1249">
        <v>1</v>
      </c>
      <c r="I794" s="1246" t="s">
        <v>1491</v>
      </c>
      <c r="J794" s="1246" t="s">
        <v>1436</v>
      </c>
      <c r="K794" s="1284" t="str">
        <f t="shared" si="12"/>
        <v>11</v>
      </c>
      <c r="L794" s="1246" t="s">
        <v>1496</v>
      </c>
      <c r="M794" s="1250">
        <v>9</v>
      </c>
      <c r="N794" s="1251">
        <v>15</v>
      </c>
      <c r="O794" s="1252">
        <v>3</v>
      </c>
    </row>
    <row r="795" spans="1:15">
      <c r="A795" s="1246" t="s">
        <v>1493</v>
      </c>
      <c r="B795" s="1246" t="s">
        <v>432</v>
      </c>
      <c r="C795" s="1247">
        <v>3</v>
      </c>
      <c r="E795" s="1246" t="s">
        <v>376</v>
      </c>
      <c r="F795" s="1248">
        <v>5</v>
      </c>
      <c r="G795" s="1248">
        <v>10</v>
      </c>
      <c r="H795" s="1249">
        <v>1</v>
      </c>
      <c r="I795" s="1246" t="s">
        <v>1491</v>
      </c>
      <c r="J795" s="1246" t="s">
        <v>1436</v>
      </c>
      <c r="K795" s="1284" t="str">
        <f t="shared" si="12"/>
        <v>11</v>
      </c>
      <c r="L795" s="1246" t="s">
        <v>1496</v>
      </c>
      <c r="M795" s="1250">
        <v>9</v>
      </c>
      <c r="N795" s="1251">
        <v>5</v>
      </c>
      <c r="O795" s="1252">
        <v>1</v>
      </c>
    </row>
    <row r="796" spans="1:15">
      <c r="A796" s="1246" t="s">
        <v>1493</v>
      </c>
      <c r="B796" s="1246" t="s">
        <v>432</v>
      </c>
      <c r="C796" s="1247">
        <v>3</v>
      </c>
      <c r="E796" s="1246" t="s">
        <v>376</v>
      </c>
      <c r="F796" s="1248">
        <v>6</v>
      </c>
      <c r="G796" s="1248">
        <v>6</v>
      </c>
      <c r="H796" s="1249">
        <v>1</v>
      </c>
      <c r="I796" s="1246" t="s">
        <v>1491</v>
      </c>
      <c r="J796" s="1246" t="s">
        <v>1436</v>
      </c>
      <c r="K796" s="1284" t="str">
        <f t="shared" si="12"/>
        <v>11</v>
      </c>
      <c r="L796" s="1246" t="s">
        <v>1496</v>
      </c>
      <c r="M796" s="1250">
        <v>9</v>
      </c>
      <c r="N796" s="1251">
        <v>6</v>
      </c>
      <c r="O796" s="1252">
        <v>1</v>
      </c>
    </row>
    <row r="797" spans="1:15">
      <c r="A797" s="1246" t="s">
        <v>1493</v>
      </c>
      <c r="B797" s="1246" t="s">
        <v>432</v>
      </c>
      <c r="C797" s="1247">
        <v>3</v>
      </c>
      <c r="E797" s="1246" t="s">
        <v>376</v>
      </c>
      <c r="F797" s="1248">
        <v>7</v>
      </c>
      <c r="G797" s="1248">
        <v>7</v>
      </c>
      <c r="H797" s="1249">
        <v>1</v>
      </c>
      <c r="I797" s="1246" t="s">
        <v>1491</v>
      </c>
      <c r="J797" s="1246" t="s">
        <v>1436</v>
      </c>
      <c r="K797" s="1284" t="str">
        <f t="shared" si="12"/>
        <v>11</v>
      </c>
      <c r="L797" s="1246" t="s">
        <v>1496</v>
      </c>
      <c r="M797" s="1250">
        <v>9</v>
      </c>
      <c r="N797" s="1251">
        <v>7</v>
      </c>
      <c r="O797" s="1252">
        <v>1</v>
      </c>
    </row>
    <row r="798" spans="1:15">
      <c r="A798" s="1246" t="s">
        <v>1493</v>
      </c>
      <c r="B798" s="1246" t="s">
        <v>432</v>
      </c>
      <c r="C798" s="1247">
        <v>4</v>
      </c>
      <c r="E798" s="1246" t="s">
        <v>370</v>
      </c>
      <c r="F798" s="1248">
        <v>1</v>
      </c>
      <c r="G798" s="1248">
        <v>0</v>
      </c>
      <c r="H798" s="1249">
        <v>0</v>
      </c>
      <c r="J798" s="1246" t="s">
        <v>1442</v>
      </c>
      <c r="K798" s="1284" t="str">
        <f t="shared" si="12"/>
        <v>10</v>
      </c>
      <c r="L798" s="1246" t="s">
        <v>1534</v>
      </c>
      <c r="M798" s="1250">
        <v>4</v>
      </c>
      <c r="N798" s="1251">
        <v>2</v>
      </c>
      <c r="O798" s="1252">
        <v>2</v>
      </c>
    </row>
    <row r="799" spans="1:15">
      <c r="A799" s="1246" t="s">
        <v>1493</v>
      </c>
      <c r="B799" s="1246" t="s">
        <v>432</v>
      </c>
      <c r="C799" s="1247">
        <v>4</v>
      </c>
      <c r="E799" s="1246" t="s">
        <v>370</v>
      </c>
      <c r="F799" s="1248">
        <v>1</v>
      </c>
      <c r="G799" s="1248">
        <v>0</v>
      </c>
      <c r="H799" s="1249">
        <v>0</v>
      </c>
      <c r="J799" s="1246" t="s">
        <v>1397</v>
      </c>
      <c r="K799" s="1284" t="str">
        <f t="shared" si="12"/>
        <v>10</v>
      </c>
      <c r="L799" s="1246" t="s">
        <v>1539</v>
      </c>
      <c r="M799" s="1250">
        <v>9</v>
      </c>
      <c r="N799" s="1251">
        <v>1</v>
      </c>
      <c r="O799" s="1252">
        <v>1</v>
      </c>
    </row>
    <row r="800" spans="1:15">
      <c r="A800" s="1246" t="s">
        <v>1493</v>
      </c>
      <c r="B800" s="1246" t="s">
        <v>432</v>
      </c>
      <c r="C800" s="1247">
        <v>4</v>
      </c>
      <c r="E800" s="1246" t="s">
        <v>370</v>
      </c>
      <c r="F800" s="1248">
        <v>1</v>
      </c>
      <c r="G800" s="1248">
        <v>0</v>
      </c>
      <c r="H800" s="1249">
        <v>0</v>
      </c>
      <c r="J800" s="1246" t="s">
        <v>1436</v>
      </c>
      <c r="K800" s="1284" t="str">
        <f t="shared" si="12"/>
        <v>11</v>
      </c>
      <c r="L800" s="1246" t="s">
        <v>1495</v>
      </c>
      <c r="M800" s="1250">
        <v>9</v>
      </c>
      <c r="N800" s="1251">
        <v>7</v>
      </c>
      <c r="O800" s="1252">
        <v>7</v>
      </c>
    </row>
    <row r="801" spans="1:15">
      <c r="A801" s="1246" t="s">
        <v>683</v>
      </c>
      <c r="B801" s="1246" t="s">
        <v>432</v>
      </c>
      <c r="C801" s="1247">
        <v>4</v>
      </c>
      <c r="E801" s="1246" t="s">
        <v>370</v>
      </c>
      <c r="F801" s="1248">
        <v>1</v>
      </c>
      <c r="G801" s="1248">
        <v>0</v>
      </c>
      <c r="H801" s="1249">
        <v>0</v>
      </c>
      <c r="J801" s="1246" t="s">
        <v>1436</v>
      </c>
      <c r="K801" s="1284" t="str">
        <f t="shared" si="12"/>
        <v>11</v>
      </c>
      <c r="L801" s="1246" t="s">
        <v>1495</v>
      </c>
      <c r="M801" s="1250">
        <v>9</v>
      </c>
      <c r="N801" s="1251">
        <v>1</v>
      </c>
      <c r="O801" s="1252">
        <v>1</v>
      </c>
    </row>
    <row r="802" spans="1:15">
      <c r="A802" s="1246" t="s">
        <v>1493</v>
      </c>
      <c r="B802" s="1246" t="s">
        <v>432</v>
      </c>
      <c r="C802" s="1247">
        <v>4</v>
      </c>
      <c r="E802" s="1246" t="s">
        <v>370</v>
      </c>
      <c r="F802" s="1248">
        <v>1</v>
      </c>
      <c r="G802" s="1248">
        <v>0</v>
      </c>
      <c r="H802" s="1249">
        <v>0</v>
      </c>
      <c r="J802" s="1246" t="s">
        <v>1439</v>
      </c>
      <c r="K802" s="1284" t="str">
        <f t="shared" si="12"/>
        <v>15</v>
      </c>
      <c r="L802" s="1246" t="s">
        <v>1530</v>
      </c>
      <c r="M802" s="1250">
        <v>9</v>
      </c>
      <c r="N802" s="1251">
        <v>2</v>
      </c>
      <c r="O802" s="1252">
        <v>2</v>
      </c>
    </row>
    <row r="803" spans="1:15">
      <c r="A803" s="1246" t="s">
        <v>1493</v>
      </c>
      <c r="B803" s="1246" t="s">
        <v>432</v>
      </c>
      <c r="C803" s="1247">
        <v>4</v>
      </c>
      <c r="E803" s="1246" t="s">
        <v>370</v>
      </c>
      <c r="F803" s="1248">
        <v>1</v>
      </c>
      <c r="G803" s="1248">
        <v>0</v>
      </c>
      <c r="H803" s="1249">
        <v>0</v>
      </c>
      <c r="J803" s="1246" t="s">
        <v>1397</v>
      </c>
      <c r="K803" s="1284" t="str">
        <f t="shared" si="12"/>
        <v>10</v>
      </c>
      <c r="L803" s="1246" t="s">
        <v>1532</v>
      </c>
      <c r="M803" s="1250">
        <v>9</v>
      </c>
      <c r="N803" s="1251">
        <v>5</v>
      </c>
      <c r="O803" s="1252">
        <v>5</v>
      </c>
    </row>
    <row r="804" spans="1:15">
      <c r="A804" s="1246" t="s">
        <v>1493</v>
      </c>
      <c r="B804" s="1246" t="s">
        <v>432</v>
      </c>
      <c r="C804" s="1247">
        <v>4</v>
      </c>
      <c r="E804" s="1246" t="s">
        <v>376</v>
      </c>
      <c r="F804" s="1248">
        <v>1</v>
      </c>
      <c r="G804" s="1248">
        <v>0</v>
      </c>
      <c r="H804" s="1249">
        <v>0</v>
      </c>
      <c r="J804" s="1246" t="s">
        <v>1436</v>
      </c>
      <c r="K804" s="1284" t="str">
        <f t="shared" si="12"/>
        <v>11</v>
      </c>
      <c r="L804" s="1246" t="s">
        <v>1496</v>
      </c>
      <c r="M804" s="1250">
        <v>9</v>
      </c>
      <c r="N804" s="1251">
        <v>1</v>
      </c>
      <c r="O804" s="1252">
        <v>1</v>
      </c>
    </row>
    <row r="805" spans="1:15">
      <c r="A805" s="1246" t="s">
        <v>1493</v>
      </c>
      <c r="B805" s="1246" t="s">
        <v>432</v>
      </c>
      <c r="C805" s="1247">
        <v>4</v>
      </c>
      <c r="E805" s="1246" t="s">
        <v>370</v>
      </c>
      <c r="F805" s="1248">
        <v>1</v>
      </c>
      <c r="G805" s="1248">
        <v>1</v>
      </c>
      <c r="H805" s="1249">
        <v>1</v>
      </c>
      <c r="I805" s="1246" t="s">
        <v>1491</v>
      </c>
      <c r="J805" s="1246" t="s">
        <v>1439</v>
      </c>
      <c r="K805" s="1284" t="str">
        <f t="shared" si="12"/>
        <v>15</v>
      </c>
      <c r="M805" s="1250">
        <v>0</v>
      </c>
      <c r="N805" s="1251">
        <v>1</v>
      </c>
      <c r="O805" s="1252">
        <v>1</v>
      </c>
    </row>
    <row r="806" spans="1:15">
      <c r="A806" s="1246" t="s">
        <v>1493</v>
      </c>
      <c r="B806" s="1246" t="s">
        <v>432</v>
      </c>
      <c r="C806" s="1247">
        <v>4</v>
      </c>
      <c r="E806" s="1246" t="s">
        <v>370</v>
      </c>
      <c r="F806" s="1248">
        <v>1</v>
      </c>
      <c r="G806" s="1248">
        <v>1</v>
      </c>
      <c r="H806" s="1249">
        <v>1</v>
      </c>
      <c r="I806" s="1246" t="s">
        <v>1491</v>
      </c>
      <c r="J806" s="1246" t="s">
        <v>1443</v>
      </c>
      <c r="K806" s="1284" t="str">
        <f t="shared" si="12"/>
        <v>1C</v>
      </c>
      <c r="L806" s="1246" t="s">
        <v>1502</v>
      </c>
      <c r="M806" s="1250">
        <v>4</v>
      </c>
      <c r="N806" s="1251">
        <v>15</v>
      </c>
      <c r="O806" s="1252">
        <v>15</v>
      </c>
    </row>
    <row r="807" spans="1:15">
      <c r="A807" s="1246" t="s">
        <v>1493</v>
      </c>
      <c r="B807" s="1246" t="s">
        <v>432</v>
      </c>
      <c r="C807" s="1247">
        <v>4</v>
      </c>
      <c r="E807" s="1246" t="s">
        <v>376</v>
      </c>
      <c r="F807" s="1248">
        <v>1</v>
      </c>
      <c r="G807" s="1248">
        <v>1</v>
      </c>
      <c r="H807" s="1249">
        <v>1</v>
      </c>
      <c r="I807" s="1246" t="s">
        <v>1491</v>
      </c>
      <c r="J807" s="1246" t="s">
        <v>1443</v>
      </c>
      <c r="K807" s="1284" t="str">
        <f t="shared" si="12"/>
        <v>1C</v>
      </c>
      <c r="L807" s="1246" t="s">
        <v>1502</v>
      </c>
      <c r="M807" s="1250">
        <v>4</v>
      </c>
      <c r="N807" s="1251">
        <v>2</v>
      </c>
      <c r="O807" s="1252">
        <v>2</v>
      </c>
    </row>
    <row r="808" spans="1:15">
      <c r="A808" s="1246" t="s">
        <v>1493</v>
      </c>
      <c r="B808" s="1246" t="s">
        <v>432</v>
      </c>
      <c r="C808" s="1247">
        <v>4</v>
      </c>
      <c r="E808" s="1246" t="s">
        <v>370</v>
      </c>
      <c r="F808" s="1248">
        <v>1</v>
      </c>
      <c r="G808" s="1248">
        <v>1</v>
      </c>
      <c r="H808" s="1249">
        <v>1</v>
      </c>
      <c r="I808" s="1246" t="s">
        <v>1491</v>
      </c>
      <c r="J808" s="1246" t="s">
        <v>1442</v>
      </c>
      <c r="K808" s="1284" t="str">
        <f t="shared" si="12"/>
        <v>10</v>
      </c>
      <c r="L808" s="1246" t="s">
        <v>1534</v>
      </c>
      <c r="M808" s="1250">
        <v>4</v>
      </c>
      <c r="N808" s="1251">
        <v>4</v>
      </c>
      <c r="O808" s="1252">
        <v>4</v>
      </c>
    </row>
    <row r="809" spans="1:15">
      <c r="A809" s="1246" t="s">
        <v>1493</v>
      </c>
      <c r="B809" s="1246" t="s">
        <v>432</v>
      </c>
      <c r="C809" s="1247">
        <v>4</v>
      </c>
      <c r="E809" s="1246" t="s">
        <v>370</v>
      </c>
      <c r="F809" s="1248">
        <v>1</v>
      </c>
      <c r="G809" s="1248">
        <v>1</v>
      </c>
      <c r="H809" s="1249">
        <v>1</v>
      </c>
      <c r="I809" s="1246" t="s">
        <v>1491</v>
      </c>
      <c r="J809" s="1246" t="s">
        <v>1437</v>
      </c>
      <c r="K809" s="1284" t="str">
        <f t="shared" si="12"/>
        <v>12</v>
      </c>
      <c r="L809" s="1246" t="s">
        <v>1529</v>
      </c>
      <c r="M809" s="1250">
        <v>9</v>
      </c>
      <c r="N809" s="1251">
        <v>4</v>
      </c>
      <c r="O809" s="1252">
        <v>4</v>
      </c>
    </row>
    <row r="810" spans="1:15">
      <c r="A810" s="1246" t="s">
        <v>1493</v>
      </c>
      <c r="B810" s="1246" t="s">
        <v>432</v>
      </c>
      <c r="C810" s="1247">
        <v>4</v>
      </c>
      <c r="E810" s="1246" t="s">
        <v>376</v>
      </c>
      <c r="F810" s="1248">
        <v>1</v>
      </c>
      <c r="G810" s="1248">
        <v>1</v>
      </c>
      <c r="H810" s="1249">
        <v>1</v>
      </c>
      <c r="I810" s="1246" t="s">
        <v>1491</v>
      </c>
      <c r="J810" s="1246" t="s">
        <v>1437</v>
      </c>
      <c r="K810" s="1284" t="str">
        <f t="shared" si="12"/>
        <v>12</v>
      </c>
      <c r="L810" s="1246" t="s">
        <v>1529</v>
      </c>
      <c r="M810" s="1250">
        <v>9</v>
      </c>
      <c r="N810" s="1251">
        <v>3</v>
      </c>
      <c r="O810" s="1252">
        <v>3</v>
      </c>
    </row>
    <row r="811" spans="1:15">
      <c r="A811" s="1246" t="s">
        <v>1493</v>
      </c>
      <c r="B811" s="1246" t="s">
        <v>432</v>
      </c>
      <c r="C811" s="1247">
        <v>4</v>
      </c>
      <c r="D811" s="1246" t="s">
        <v>1412</v>
      </c>
      <c r="E811" s="1246" t="s">
        <v>376</v>
      </c>
      <c r="F811" s="1248">
        <v>1</v>
      </c>
      <c r="G811" s="1248">
        <v>1</v>
      </c>
      <c r="H811" s="1249">
        <v>1</v>
      </c>
      <c r="I811" s="1246" t="s">
        <v>1491</v>
      </c>
      <c r="J811" s="1246" t="s">
        <v>1437</v>
      </c>
      <c r="K811" s="1284" t="str">
        <f t="shared" si="12"/>
        <v>12</v>
      </c>
      <c r="L811" s="1246" t="s">
        <v>1529</v>
      </c>
      <c r="M811" s="1250">
        <v>9</v>
      </c>
      <c r="N811" s="1251">
        <v>1</v>
      </c>
      <c r="O811" s="1252">
        <v>1</v>
      </c>
    </row>
    <row r="812" spans="1:15">
      <c r="A812" s="1246" t="s">
        <v>1493</v>
      </c>
      <c r="B812" s="1246" t="s">
        <v>432</v>
      </c>
      <c r="C812" s="1247">
        <v>4</v>
      </c>
      <c r="E812" s="1246" t="s">
        <v>373</v>
      </c>
      <c r="F812" s="1248">
        <v>1</v>
      </c>
      <c r="G812" s="1248">
        <v>1</v>
      </c>
      <c r="H812" s="1249">
        <v>1</v>
      </c>
      <c r="I812" s="1246" t="s">
        <v>1491</v>
      </c>
      <c r="J812" s="1246" t="s">
        <v>1436</v>
      </c>
      <c r="K812" s="1284" t="str">
        <f t="shared" si="12"/>
        <v>11</v>
      </c>
      <c r="L812" s="1246" t="s">
        <v>1495</v>
      </c>
      <c r="M812" s="1250">
        <v>9</v>
      </c>
      <c r="N812" s="1251">
        <v>5</v>
      </c>
      <c r="O812" s="1252">
        <v>5</v>
      </c>
    </row>
    <row r="813" spans="1:15">
      <c r="A813" s="1246" t="s">
        <v>1493</v>
      </c>
      <c r="B813" s="1246" t="s">
        <v>432</v>
      </c>
      <c r="C813" s="1247">
        <v>4</v>
      </c>
      <c r="E813" s="1246" t="s">
        <v>370</v>
      </c>
      <c r="F813" s="1248">
        <v>1</v>
      </c>
      <c r="G813" s="1248">
        <v>1</v>
      </c>
      <c r="H813" s="1249">
        <v>1</v>
      </c>
      <c r="I813" s="1246" t="s">
        <v>1491</v>
      </c>
      <c r="J813" s="1246" t="s">
        <v>1436</v>
      </c>
      <c r="K813" s="1284" t="str">
        <f t="shared" si="12"/>
        <v>11</v>
      </c>
      <c r="L813" s="1246" t="s">
        <v>1495</v>
      </c>
      <c r="M813" s="1250">
        <v>9</v>
      </c>
      <c r="N813" s="1251">
        <v>149</v>
      </c>
      <c r="O813" s="1252">
        <v>149</v>
      </c>
    </row>
    <row r="814" spans="1:15">
      <c r="A814" s="1246" t="s">
        <v>683</v>
      </c>
      <c r="B814" s="1246" t="s">
        <v>432</v>
      </c>
      <c r="C814" s="1247">
        <v>4</v>
      </c>
      <c r="E814" s="1246" t="s">
        <v>370</v>
      </c>
      <c r="F814" s="1248">
        <v>1</v>
      </c>
      <c r="G814" s="1248">
        <v>1</v>
      </c>
      <c r="H814" s="1249">
        <v>1</v>
      </c>
      <c r="I814" s="1246" t="s">
        <v>1491</v>
      </c>
      <c r="J814" s="1246" t="s">
        <v>1436</v>
      </c>
      <c r="K814" s="1284" t="str">
        <f t="shared" si="12"/>
        <v>11</v>
      </c>
      <c r="L814" s="1246" t="s">
        <v>1495</v>
      </c>
      <c r="M814" s="1250">
        <v>9</v>
      </c>
      <c r="N814" s="1251">
        <v>2</v>
      </c>
      <c r="O814" s="1252">
        <v>2</v>
      </c>
    </row>
    <row r="815" spans="1:15">
      <c r="A815" s="1246" t="s">
        <v>1493</v>
      </c>
      <c r="B815" s="1246" t="s">
        <v>432</v>
      </c>
      <c r="C815" s="1247">
        <v>4</v>
      </c>
      <c r="E815" s="1246" t="s">
        <v>370</v>
      </c>
      <c r="F815" s="1248">
        <v>1</v>
      </c>
      <c r="G815" s="1248">
        <v>1</v>
      </c>
      <c r="H815" s="1249">
        <v>1</v>
      </c>
      <c r="I815" s="1246" t="s">
        <v>1491</v>
      </c>
      <c r="J815" s="1246" t="s">
        <v>1440</v>
      </c>
      <c r="K815" s="1284" t="str">
        <f t="shared" si="12"/>
        <v>16</v>
      </c>
      <c r="L815" s="1246" t="s">
        <v>1538</v>
      </c>
      <c r="M815" s="1250">
        <v>9</v>
      </c>
      <c r="N815" s="1251">
        <v>1</v>
      </c>
      <c r="O815" s="1252">
        <v>1</v>
      </c>
    </row>
    <row r="816" spans="1:15">
      <c r="A816" s="1246" t="s">
        <v>1493</v>
      </c>
      <c r="B816" s="1246" t="s">
        <v>432</v>
      </c>
      <c r="C816" s="1247">
        <v>4</v>
      </c>
      <c r="E816" s="1246" t="s">
        <v>370</v>
      </c>
      <c r="F816" s="1248">
        <v>1</v>
      </c>
      <c r="G816" s="1248">
        <v>1</v>
      </c>
      <c r="H816" s="1249">
        <v>1</v>
      </c>
      <c r="I816" s="1246" t="s">
        <v>1491</v>
      </c>
      <c r="J816" s="1246" t="s">
        <v>1397</v>
      </c>
      <c r="K816" s="1284" t="str">
        <f t="shared" si="12"/>
        <v>10</v>
      </c>
      <c r="L816" s="1246" t="s">
        <v>1536</v>
      </c>
      <c r="M816" s="1250">
        <v>9</v>
      </c>
      <c r="N816" s="1251">
        <v>3</v>
      </c>
      <c r="O816" s="1252">
        <v>3</v>
      </c>
    </row>
    <row r="817" spans="1:15">
      <c r="A817" s="1246" t="s">
        <v>1493</v>
      </c>
      <c r="B817" s="1246" t="s">
        <v>432</v>
      </c>
      <c r="C817" s="1247">
        <v>4</v>
      </c>
      <c r="E817" s="1246" t="s">
        <v>370</v>
      </c>
      <c r="F817" s="1248">
        <v>1</v>
      </c>
      <c r="G817" s="1248">
        <v>1</v>
      </c>
      <c r="H817" s="1249">
        <v>1</v>
      </c>
      <c r="I817" s="1246" t="s">
        <v>1491</v>
      </c>
      <c r="J817" s="1246" t="s">
        <v>1439</v>
      </c>
      <c r="K817" s="1284" t="str">
        <f t="shared" si="12"/>
        <v>15</v>
      </c>
      <c r="L817" s="1246" t="s">
        <v>1530</v>
      </c>
      <c r="M817" s="1250">
        <v>9</v>
      </c>
      <c r="N817" s="1251">
        <v>14</v>
      </c>
      <c r="O817" s="1252">
        <v>14</v>
      </c>
    </row>
    <row r="818" spans="1:15">
      <c r="A818" s="1246" t="s">
        <v>1493</v>
      </c>
      <c r="B818" s="1246" t="s">
        <v>432</v>
      </c>
      <c r="C818" s="1247">
        <v>4</v>
      </c>
      <c r="E818" s="1246" t="s">
        <v>373</v>
      </c>
      <c r="F818" s="1248">
        <v>1</v>
      </c>
      <c r="G818" s="1248">
        <v>1</v>
      </c>
      <c r="H818" s="1249">
        <v>1</v>
      </c>
      <c r="I818" s="1246" t="s">
        <v>1491</v>
      </c>
      <c r="J818" s="1246" t="s">
        <v>1439</v>
      </c>
      <c r="K818" s="1284" t="str">
        <f t="shared" si="12"/>
        <v>15</v>
      </c>
      <c r="L818" s="1246" t="s">
        <v>1530</v>
      </c>
      <c r="M818" s="1250">
        <v>9</v>
      </c>
      <c r="N818" s="1251">
        <v>1</v>
      </c>
      <c r="O818" s="1252">
        <v>1</v>
      </c>
    </row>
    <row r="819" spans="1:15">
      <c r="A819" s="1246" t="s">
        <v>1493</v>
      </c>
      <c r="B819" s="1246" t="s">
        <v>432</v>
      </c>
      <c r="C819" s="1247">
        <v>4</v>
      </c>
      <c r="E819" s="1246" t="s">
        <v>376</v>
      </c>
      <c r="F819" s="1248">
        <v>1</v>
      </c>
      <c r="G819" s="1248">
        <v>1</v>
      </c>
      <c r="H819" s="1249">
        <v>1</v>
      </c>
      <c r="I819" s="1246" t="s">
        <v>1491</v>
      </c>
      <c r="J819" s="1246" t="s">
        <v>1439</v>
      </c>
      <c r="K819" s="1284" t="str">
        <f t="shared" si="12"/>
        <v>15</v>
      </c>
      <c r="L819" s="1246" t="s">
        <v>1530</v>
      </c>
      <c r="M819" s="1250">
        <v>9</v>
      </c>
      <c r="N819" s="1251">
        <v>1</v>
      </c>
      <c r="O819" s="1252">
        <v>1</v>
      </c>
    </row>
    <row r="820" spans="1:15">
      <c r="A820" s="1246" t="s">
        <v>1493</v>
      </c>
      <c r="B820" s="1246" t="s">
        <v>432</v>
      </c>
      <c r="C820" s="1247">
        <v>4</v>
      </c>
      <c r="E820" s="1246" t="s">
        <v>376</v>
      </c>
      <c r="F820" s="1248">
        <v>1</v>
      </c>
      <c r="G820" s="1248">
        <v>1</v>
      </c>
      <c r="H820" s="1249">
        <v>1</v>
      </c>
      <c r="I820" s="1246" t="s">
        <v>1491</v>
      </c>
      <c r="J820" s="1246" t="s">
        <v>1441</v>
      </c>
      <c r="K820" s="1284" t="str">
        <f t="shared" si="12"/>
        <v>1A</v>
      </c>
      <c r="L820" s="1246" t="s">
        <v>1531</v>
      </c>
      <c r="M820" s="1250">
        <v>9</v>
      </c>
      <c r="N820" s="1251">
        <v>1</v>
      </c>
      <c r="O820" s="1252">
        <v>1</v>
      </c>
    </row>
    <row r="821" spans="1:15">
      <c r="A821" s="1246" t="s">
        <v>1493</v>
      </c>
      <c r="B821" s="1246" t="s">
        <v>432</v>
      </c>
      <c r="C821" s="1247">
        <v>4</v>
      </c>
      <c r="E821" s="1246" t="s">
        <v>370</v>
      </c>
      <c r="F821" s="1248">
        <v>1</v>
      </c>
      <c r="G821" s="1248">
        <v>1</v>
      </c>
      <c r="H821" s="1249">
        <v>1</v>
      </c>
      <c r="I821" s="1246" t="s">
        <v>1491</v>
      </c>
      <c r="J821" s="1246" t="s">
        <v>1397</v>
      </c>
      <c r="K821" s="1284" t="str">
        <f t="shared" si="12"/>
        <v>10</v>
      </c>
      <c r="L821" s="1246" t="s">
        <v>1532</v>
      </c>
      <c r="M821" s="1250">
        <v>9</v>
      </c>
      <c r="N821" s="1251">
        <v>20</v>
      </c>
      <c r="O821" s="1252">
        <v>20</v>
      </c>
    </row>
    <row r="822" spans="1:15">
      <c r="A822" s="1246" t="s">
        <v>1493</v>
      </c>
      <c r="B822" s="1246" t="s">
        <v>432</v>
      </c>
      <c r="C822" s="1247">
        <v>4</v>
      </c>
      <c r="E822" s="1246" t="s">
        <v>376</v>
      </c>
      <c r="F822" s="1248">
        <v>1</v>
      </c>
      <c r="G822" s="1248">
        <v>1</v>
      </c>
      <c r="H822" s="1249">
        <v>1</v>
      </c>
      <c r="I822" s="1246" t="s">
        <v>1491</v>
      </c>
      <c r="J822" s="1246" t="s">
        <v>1397</v>
      </c>
      <c r="K822" s="1284" t="str">
        <f t="shared" si="12"/>
        <v>10</v>
      </c>
      <c r="L822" s="1246" t="s">
        <v>1532</v>
      </c>
      <c r="M822" s="1250">
        <v>9</v>
      </c>
      <c r="N822" s="1251">
        <v>14</v>
      </c>
      <c r="O822" s="1252">
        <v>14</v>
      </c>
    </row>
    <row r="823" spans="1:15">
      <c r="A823" s="1246" t="s">
        <v>1493</v>
      </c>
      <c r="B823" s="1246" t="s">
        <v>432</v>
      </c>
      <c r="C823" s="1247">
        <v>4</v>
      </c>
      <c r="E823" s="1246" t="s">
        <v>370</v>
      </c>
      <c r="F823" s="1248">
        <v>1</v>
      </c>
      <c r="G823" s="1248">
        <v>1</v>
      </c>
      <c r="H823" s="1249">
        <v>1</v>
      </c>
      <c r="I823" s="1246" t="s">
        <v>1491</v>
      </c>
      <c r="J823" s="1246" t="s">
        <v>1438</v>
      </c>
      <c r="K823" s="1284" t="str">
        <f t="shared" si="12"/>
        <v>13</v>
      </c>
      <c r="L823" s="1246" t="s">
        <v>1533</v>
      </c>
      <c r="M823" s="1250">
        <v>9</v>
      </c>
      <c r="N823" s="1251">
        <v>9</v>
      </c>
      <c r="O823" s="1252">
        <v>9</v>
      </c>
    </row>
    <row r="824" spans="1:15">
      <c r="A824" s="1246" t="s">
        <v>1493</v>
      </c>
      <c r="B824" s="1246" t="s">
        <v>432</v>
      </c>
      <c r="C824" s="1247">
        <v>4</v>
      </c>
      <c r="E824" s="1246" t="s">
        <v>376</v>
      </c>
      <c r="F824" s="1248">
        <v>1</v>
      </c>
      <c r="G824" s="1248">
        <v>1</v>
      </c>
      <c r="H824" s="1249">
        <v>1</v>
      </c>
      <c r="I824" s="1246" t="s">
        <v>1491</v>
      </c>
      <c r="J824" s="1246" t="s">
        <v>1438</v>
      </c>
      <c r="K824" s="1284" t="str">
        <f t="shared" si="12"/>
        <v>13</v>
      </c>
      <c r="L824" s="1246" t="s">
        <v>1533</v>
      </c>
      <c r="M824" s="1250">
        <v>9</v>
      </c>
      <c r="N824" s="1251">
        <v>5</v>
      </c>
      <c r="O824" s="1252">
        <v>5</v>
      </c>
    </row>
    <row r="825" spans="1:15">
      <c r="A825" s="1246" t="s">
        <v>1493</v>
      </c>
      <c r="B825" s="1246" t="s">
        <v>432</v>
      </c>
      <c r="C825" s="1247">
        <v>4</v>
      </c>
      <c r="D825" s="1246" t="s">
        <v>1412</v>
      </c>
      <c r="E825" s="1246" t="s">
        <v>376</v>
      </c>
      <c r="F825" s="1248">
        <v>1</v>
      </c>
      <c r="G825" s="1248">
        <v>1</v>
      </c>
      <c r="H825" s="1249">
        <v>1</v>
      </c>
      <c r="I825" s="1246" t="s">
        <v>1491</v>
      </c>
      <c r="J825" s="1246" t="s">
        <v>1436</v>
      </c>
      <c r="K825" s="1284" t="str">
        <f t="shared" si="12"/>
        <v>11</v>
      </c>
      <c r="L825" s="1246" t="s">
        <v>1496</v>
      </c>
      <c r="M825" s="1250">
        <v>9</v>
      </c>
      <c r="N825" s="1251">
        <v>2</v>
      </c>
      <c r="O825" s="1252">
        <v>2</v>
      </c>
    </row>
    <row r="826" spans="1:15">
      <c r="A826" s="1246" t="s">
        <v>1493</v>
      </c>
      <c r="B826" s="1246" t="s">
        <v>432</v>
      </c>
      <c r="C826" s="1247">
        <v>4</v>
      </c>
      <c r="E826" s="1246" t="s">
        <v>376</v>
      </c>
      <c r="F826" s="1248">
        <v>1</v>
      </c>
      <c r="G826" s="1248">
        <v>1</v>
      </c>
      <c r="H826" s="1249">
        <v>1</v>
      </c>
      <c r="I826" s="1246" t="s">
        <v>1491</v>
      </c>
      <c r="J826" s="1246" t="s">
        <v>1436</v>
      </c>
      <c r="K826" s="1284" t="str">
        <f t="shared" si="12"/>
        <v>11</v>
      </c>
      <c r="L826" s="1246" t="s">
        <v>1496</v>
      </c>
      <c r="M826" s="1250">
        <v>9</v>
      </c>
      <c r="N826" s="1251">
        <v>27</v>
      </c>
      <c r="O826" s="1252">
        <v>27</v>
      </c>
    </row>
    <row r="827" spans="1:15">
      <c r="A827" s="1246" t="s">
        <v>1493</v>
      </c>
      <c r="B827" s="1246" t="s">
        <v>432</v>
      </c>
      <c r="C827" s="1247">
        <v>4</v>
      </c>
      <c r="E827" s="1246" t="s">
        <v>376</v>
      </c>
      <c r="F827" s="1248">
        <v>1</v>
      </c>
      <c r="G827" s="1248">
        <v>2</v>
      </c>
      <c r="H827" s="1249">
        <v>1</v>
      </c>
      <c r="I827" s="1246" t="s">
        <v>1491</v>
      </c>
      <c r="J827" s="1246" t="s">
        <v>1443</v>
      </c>
      <c r="K827" s="1284" t="str">
        <f t="shared" si="12"/>
        <v>1C</v>
      </c>
      <c r="L827" s="1246" t="s">
        <v>1502</v>
      </c>
      <c r="M827" s="1250">
        <v>4</v>
      </c>
      <c r="N827" s="1251">
        <v>1</v>
      </c>
      <c r="O827" s="1252">
        <v>1</v>
      </c>
    </row>
    <row r="828" spans="1:15">
      <c r="A828" s="1246" t="s">
        <v>1493</v>
      </c>
      <c r="B828" s="1246" t="s">
        <v>432</v>
      </c>
      <c r="C828" s="1247">
        <v>4</v>
      </c>
      <c r="E828" s="1246" t="s">
        <v>370</v>
      </c>
      <c r="F828" s="1248">
        <v>1</v>
      </c>
      <c r="G828" s="1248">
        <v>2</v>
      </c>
      <c r="H828" s="1249">
        <v>1</v>
      </c>
      <c r="I828" s="1246" t="s">
        <v>1491</v>
      </c>
      <c r="J828" s="1246" t="s">
        <v>1442</v>
      </c>
      <c r="K828" s="1284" t="str">
        <f t="shared" si="12"/>
        <v>10</v>
      </c>
      <c r="L828" s="1246" t="s">
        <v>1534</v>
      </c>
      <c r="M828" s="1250">
        <v>4</v>
      </c>
      <c r="N828" s="1251">
        <v>3</v>
      </c>
      <c r="O828" s="1252">
        <v>3</v>
      </c>
    </row>
    <row r="829" spans="1:15">
      <c r="A829" s="1246" t="s">
        <v>1493</v>
      </c>
      <c r="B829" s="1246" t="s">
        <v>432</v>
      </c>
      <c r="C829" s="1247">
        <v>4</v>
      </c>
      <c r="E829" s="1246" t="s">
        <v>376</v>
      </c>
      <c r="F829" s="1248">
        <v>1</v>
      </c>
      <c r="G829" s="1248">
        <v>2</v>
      </c>
      <c r="H829" s="1249">
        <v>1</v>
      </c>
      <c r="I829" s="1246" t="s">
        <v>1491</v>
      </c>
      <c r="J829" s="1246" t="s">
        <v>1442</v>
      </c>
      <c r="K829" s="1284" t="str">
        <f t="shared" si="12"/>
        <v>10</v>
      </c>
      <c r="L829" s="1246" t="s">
        <v>1542</v>
      </c>
      <c r="M829" s="1250">
        <v>6</v>
      </c>
      <c r="N829" s="1251">
        <v>1</v>
      </c>
      <c r="O829" s="1252">
        <v>1</v>
      </c>
    </row>
    <row r="830" spans="1:15">
      <c r="A830" s="1246" t="s">
        <v>1493</v>
      </c>
      <c r="B830" s="1246" t="s">
        <v>432</v>
      </c>
      <c r="C830" s="1247">
        <v>4</v>
      </c>
      <c r="E830" s="1246" t="s">
        <v>370</v>
      </c>
      <c r="F830" s="1248">
        <v>1</v>
      </c>
      <c r="G830" s="1248">
        <v>2</v>
      </c>
      <c r="H830" s="1249">
        <v>1</v>
      </c>
      <c r="I830" s="1246" t="s">
        <v>1491</v>
      </c>
      <c r="J830" s="1246" t="s">
        <v>1437</v>
      </c>
      <c r="K830" s="1284" t="str">
        <f t="shared" si="12"/>
        <v>12</v>
      </c>
      <c r="L830" s="1246" t="s">
        <v>1529</v>
      </c>
      <c r="M830" s="1250">
        <v>9</v>
      </c>
      <c r="N830" s="1251">
        <v>2</v>
      </c>
      <c r="O830" s="1252">
        <v>2</v>
      </c>
    </row>
    <row r="831" spans="1:15">
      <c r="A831" s="1246" t="s">
        <v>1493</v>
      </c>
      <c r="B831" s="1246" t="s">
        <v>432</v>
      </c>
      <c r="C831" s="1247">
        <v>4</v>
      </c>
      <c r="E831" s="1246" t="s">
        <v>370</v>
      </c>
      <c r="F831" s="1248">
        <v>1</v>
      </c>
      <c r="G831" s="1248">
        <v>2</v>
      </c>
      <c r="H831" s="1249">
        <v>1</v>
      </c>
      <c r="I831" s="1246" t="s">
        <v>1491</v>
      </c>
      <c r="J831" s="1246" t="s">
        <v>1436</v>
      </c>
      <c r="K831" s="1284" t="str">
        <f t="shared" si="12"/>
        <v>11</v>
      </c>
      <c r="L831" s="1246" t="s">
        <v>1495</v>
      </c>
      <c r="M831" s="1250">
        <v>9</v>
      </c>
      <c r="N831" s="1251">
        <v>60</v>
      </c>
      <c r="O831" s="1252">
        <v>60</v>
      </c>
    </row>
    <row r="832" spans="1:15">
      <c r="A832" s="1246" t="s">
        <v>683</v>
      </c>
      <c r="B832" s="1246" t="s">
        <v>432</v>
      </c>
      <c r="C832" s="1247">
        <v>4</v>
      </c>
      <c r="E832" s="1246" t="s">
        <v>370</v>
      </c>
      <c r="F832" s="1248">
        <v>1</v>
      </c>
      <c r="G832" s="1248">
        <v>2</v>
      </c>
      <c r="H832" s="1249">
        <v>1</v>
      </c>
      <c r="I832" s="1246" t="s">
        <v>1491</v>
      </c>
      <c r="J832" s="1246" t="s">
        <v>1436</v>
      </c>
      <c r="K832" s="1284" t="str">
        <f t="shared" si="12"/>
        <v>11</v>
      </c>
      <c r="L832" s="1246" t="s">
        <v>1495</v>
      </c>
      <c r="M832" s="1250">
        <v>9</v>
      </c>
      <c r="N832" s="1251">
        <v>1</v>
      </c>
      <c r="O832" s="1252">
        <v>1</v>
      </c>
    </row>
    <row r="833" spans="1:15">
      <c r="A833" s="1246" t="s">
        <v>1493</v>
      </c>
      <c r="B833" s="1246" t="s">
        <v>432</v>
      </c>
      <c r="C833" s="1247">
        <v>4</v>
      </c>
      <c r="E833" s="1246" t="s">
        <v>373</v>
      </c>
      <c r="F833" s="1248">
        <v>1</v>
      </c>
      <c r="G833" s="1248">
        <v>2</v>
      </c>
      <c r="H833" s="1249">
        <v>1</v>
      </c>
      <c r="I833" s="1246" t="s">
        <v>1491</v>
      </c>
      <c r="J833" s="1246" t="s">
        <v>1436</v>
      </c>
      <c r="K833" s="1284" t="str">
        <f t="shared" si="12"/>
        <v>11</v>
      </c>
      <c r="L833" s="1246" t="s">
        <v>1495</v>
      </c>
      <c r="M833" s="1250">
        <v>9</v>
      </c>
      <c r="N833" s="1251">
        <v>7</v>
      </c>
      <c r="O833" s="1252">
        <v>7</v>
      </c>
    </row>
    <row r="834" spans="1:15">
      <c r="A834" s="1246" t="s">
        <v>1493</v>
      </c>
      <c r="B834" s="1246" t="s">
        <v>432</v>
      </c>
      <c r="C834" s="1247">
        <v>4</v>
      </c>
      <c r="E834" s="1246" t="s">
        <v>370</v>
      </c>
      <c r="F834" s="1248">
        <v>1</v>
      </c>
      <c r="G834" s="1248">
        <v>2</v>
      </c>
      <c r="H834" s="1249">
        <v>1</v>
      </c>
      <c r="I834" s="1246" t="s">
        <v>1491</v>
      </c>
      <c r="J834" s="1246" t="s">
        <v>1397</v>
      </c>
      <c r="K834" s="1284" t="str">
        <f t="shared" ref="K834:K897" si="13">IF(J834="1B","10", IF(J834="2B","20",IF(J834="3B","30",IF(J834="7B",70,J834))))</f>
        <v>10</v>
      </c>
      <c r="L834" s="1246" t="s">
        <v>1536</v>
      </c>
      <c r="M834" s="1250">
        <v>9</v>
      </c>
      <c r="N834" s="1251">
        <v>1</v>
      </c>
      <c r="O834" s="1252">
        <v>1</v>
      </c>
    </row>
    <row r="835" spans="1:15">
      <c r="A835" s="1246" t="s">
        <v>1493</v>
      </c>
      <c r="B835" s="1246" t="s">
        <v>432</v>
      </c>
      <c r="C835" s="1247">
        <v>4</v>
      </c>
      <c r="E835" s="1246" t="s">
        <v>370</v>
      </c>
      <c r="F835" s="1248">
        <v>1</v>
      </c>
      <c r="G835" s="1248">
        <v>2</v>
      </c>
      <c r="H835" s="1249">
        <v>1</v>
      </c>
      <c r="I835" s="1246" t="s">
        <v>1491</v>
      </c>
      <c r="J835" s="1246" t="s">
        <v>1439</v>
      </c>
      <c r="K835" s="1284" t="str">
        <f t="shared" si="13"/>
        <v>15</v>
      </c>
      <c r="L835" s="1246" t="s">
        <v>1530</v>
      </c>
      <c r="M835" s="1250">
        <v>9</v>
      </c>
      <c r="N835" s="1251">
        <v>4</v>
      </c>
      <c r="O835" s="1252">
        <v>4</v>
      </c>
    </row>
    <row r="836" spans="1:15">
      <c r="A836" s="1246" t="s">
        <v>1493</v>
      </c>
      <c r="B836" s="1246" t="s">
        <v>432</v>
      </c>
      <c r="C836" s="1247">
        <v>4</v>
      </c>
      <c r="E836" s="1246" t="s">
        <v>376</v>
      </c>
      <c r="F836" s="1248">
        <v>1</v>
      </c>
      <c r="G836" s="1248">
        <v>2</v>
      </c>
      <c r="H836" s="1249">
        <v>1</v>
      </c>
      <c r="I836" s="1246" t="s">
        <v>1491</v>
      </c>
      <c r="J836" s="1246" t="s">
        <v>1439</v>
      </c>
      <c r="K836" s="1284" t="str">
        <f t="shared" si="13"/>
        <v>15</v>
      </c>
      <c r="L836" s="1246" t="s">
        <v>1530</v>
      </c>
      <c r="M836" s="1250">
        <v>9</v>
      </c>
      <c r="N836" s="1251">
        <v>6</v>
      </c>
      <c r="O836" s="1252">
        <v>6</v>
      </c>
    </row>
    <row r="837" spans="1:15">
      <c r="A837" s="1246" t="s">
        <v>1493</v>
      </c>
      <c r="B837" s="1246" t="s">
        <v>432</v>
      </c>
      <c r="C837" s="1247">
        <v>4</v>
      </c>
      <c r="E837" s="1246" t="s">
        <v>370</v>
      </c>
      <c r="F837" s="1248">
        <v>1</v>
      </c>
      <c r="G837" s="1248">
        <v>2</v>
      </c>
      <c r="H837" s="1249">
        <v>1</v>
      </c>
      <c r="I837" s="1246" t="s">
        <v>1491</v>
      </c>
      <c r="J837" s="1246" t="s">
        <v>1397</v>
      </c>
      <c r="K837" s="1284" t="str">
        <f t="shared" si="13"/>
        <v>10</v>
      </c>
      <c r="L837" s="1246" t="s">
        <v>1532</v>
      </c>
      <c r="M837" s="1250">
        <v>9</v>
      </c>
      <c r="N837" s="1251">
        <v>5</v>
      </c>
      <c r="O837" s="1252">
        <v>5</v>
      </c>
    </row>
    <row r="838" spans="1:15">
      <c r="A838" s="1246" t="s">
        <v>1493</v>
      </c>
      <c r="B838" s="1246" t="s">
        <v>432</v>
      </c>
      <c r="C838" s="1247">
        <v>4</v>
      </c>
      <c r="E838" s="1246" t="s">
        <v>376</v>
      </c>
      <c r="F838" s="1248">
        <v>1</v>
      </c>
      <c r="G838" s="1248">
        <v>2</v>
      </c>
      <c r="H838" s="1249">
        <v>1</v>
      </c>
      <c r="I838" s="1246" t="s">
        <v>1491</v>
      </c>
      <c r="J838" s="1246" t="s">
        <v>1397</v>
      </c>
      <c r="K838" s="1284" t="str">
        <f t="shared" si="13"/>
        <v>10</v>
      </c>
      <c r="L838" s="1246" t="s">
        <v>1532</v>
      </c>
      <c r="M838" s="1250">
        <v>9</v>
      </c>
      <c r="N838" s="1251">
        <v>4</v>
      </c>
      <c r="O838" s="1252">
        <v>4</v>
      </c>
    </row>
    <row r="839" spans="1:15">
      <c r="A839" s="1246" t="s">
        <v>1493</v>
      </c>
      <c r="B839" s="1246" t="s">
        <v>432</v>
      </c>
      <c r="C839" s="1247">
        <v>4</v>
      </c>
      <c r="E839" s="1246" t="s">
        <v>370</v>
      </c>
      <c r="F839" s="1248">
        <v>1</v>
      </c>
      <c r="G839" s="1248">
        <v>2</v>
      </c>
      <c r="H839" s="1249">
        <v>1</v>
      </c>
      <c r="I839" s="1246" t="s">
        <v>1491</v>
      </c>
      <c r="J839" s="1246" t="s">
        <v>1438</v>
      </c>
      <c r="K839" s="1284" t="str">
        <f t="shared" si="13"/>
        <v>13</v>
      </c>
      <c r="L839" s="1246" t="s">
        <v>1533</v>
      </c>
      <c r="M839" s="1250">
        <v>9</v>
      </c>
      <c r="N839" s="1251">
        <v>3</v>
      </c>
      <c r="O839" s="1252">
        <v>3</v>
      </c>
    </row>
    <row r="840" spans="1:15">
      <c r="A840" s="1246" t="s">
        <v>1493</v>
      </c>
      <c r="B840" s="1246" t="s">
        <v>432</v>
      </c>
      <c r="C840" s="1247">
        <v>4</v>
      </c>
      <c r="E840" s="1246" t="s">
        <v>376</v>
      </c>
      <c r="F840" s="1248">
        <v>1</v>
      </c>
      <c r="G840" s="1248">
        <v>2</v>
      </c>
      <c r="H840" s="1249">
        <v>1</v>
      </c>
      <c r="I840" s="1246" t="s">
        <v>1491</v>
      </c>
      <c r="J840" s="1246" t="s">
        <v>1438</v>
      </c>
      <c r="K840" s="1284" t="str">
        <f t="shared" si="13"/>
        <v>13</v>
      </c>
      <c r="L840" s="1246" t="s">
        <v>1533</v>
      </c>
      <c r="M840" s="1250">
        <v>9</v>
      </c>
      <c r="N840" s="1251">
        <v>2</v>
      </c>
      <c r="O840" s="1252">
        <v>2</v>
      </c>
    </row>
    <row r="841" spans="1:15">
      <c r="A841" s="1246" t="s">
        <v>1493</v>
      </c>
      <c r="B841" s="1246" t="s">
        <v>432</v>
      </c>
      <c r="C841" s="1247">
        <v>4</v>
      </c>
      <c r="D841" s="1246" t="s">
        <v>1412</v>
      </c>
      <c r="E841" s="1246" t="s">
        <v>376</v>
      </c>
      <c r="F841" s="1248">
        <v>1</v>
      </c>
      <c r="G841" s="1248">
        <v>2</v>
      </c>
      <c r="H841" s="1249">
        <v>1</v>
      </c>
      <c r="I841" s="1246" t="s">
        <v>1491</v>
      </c>
      <c r="J841" s="1246" t="s">
        <v>1436</v>
      </c>
      <c r="K841" s="1284" t="str">
        <f t="shared" si="13"/>
        <v>11</v>
      </c>
      <c r="L841" s="1246" t="s">
        <v>1496</v>
      </c>
      <c r="M841" s="1250">
        <v>9</v>
      </c>
      <c r="N841" s="1251">
        <v>3</v>
      </c>
      <c r="O841" s="1252">
        <v>3</v>
      </c>
    </row>
    <row r="842" spans="1:15">
      <c r="A842" s="1246" t="s">
        <v>1493</v>
      </c>
      <c r="B842" s="1246" t="s">
        <v>432</v>
      </c>
      <c r="C842" s="1247">
        <v>4</v>
      </c>
      <c r="E842" s="1246" t="s">
        <v>376</v>
      </c>
      <c r="F842" s="1248">
        <v>1</v>
      </c>
      <c r="G842" s="1248">
        <v>2</v>
      </c>
      <c r="H842" s="1249">
        <v>1</v>
      </c>
      <c r="I842" s="1246" t="s">
        <v>1491</v>
      </c>
      <c r="J842" s="1246" t="s">
        <v>1436</v>
      </c>
      <c r="K842" s="1284" t="str">
        <f t="shared" si="13"/>
        <v>11</v>
      </c>
      <c r="L842" s="1246" t="s">
        <v>1496</v>
      </c>
      <c r="M842" s="1250">
        <v>9</v>
      </c>
      <c r="N842" s="1251">
        <v>22</v>
      </c>
      <c r="O842" s="1252">
        <v>22</v>
      </c>
    </row>
    <row r="843" spans="1:15">
      <c r="A843" s="1246" t="s">
        <v>1493</v>
      </c>
      <c r="B843" s="1246" t="s">
        <v>432</v>
      </c>
      <c r="C843" s="1247">
        <v>4</v>
      </c>
      <c r="E843" s="1246" t="s">
        <v>376</v>
      </c>
      <c r="F843" s="1248">
        <v>1</v>
      </c>
      <c r="G843" s="1248">
        <v>3</v>
      </c>
      <c r="H843" s="1249">
        <v>1</v>
      </c>
      <c r="I843" s="1246" t="s">
        <v>1491</v>
      </c>
      <c r="J843" s="1246" t="s">
        <v>1442</v>
      </c>
      <c r="K843" s="1284" t="str">
        <f t="shared" si="13"/>
        <v>10</v>
      </c>
      <c r="L843" s="1246" t="s">
        <v>1542</v>
      </c>
      <c r="M843" s="1250">
        <v>6</v>
      </c>
      <c r="N843" s="1251">
        <v>1</v>
      </c>
      <c r="O843" s="1252">
        <v>1</v>
      </c>
    </row>
    <row r="844" spans="1:15">
      <c r="A844" s="1246" t="s">
        <v>1493</v>
      </c>
      <c r="B844" s="1246" t="s">
        <v>432</v>
      </c>
      <c r="C844" s="1247">
        <v>4</v>
      </c>
      <c r="E844" s="1246" t="s">
        <v>370</v>
      </c>
      <c r="F844" s="1248">
        <v>1</v>
      </c>
      <c r="G844" s="1248">
        <v>3</v>
      </c>
      <c r="H844" s="1249">
        <v>1</v>
      </c>
      <c r="I844" s="1246" t="s">
        <v>1491</v>
      </c>
      <c r="J844" s="1246" t="s">
        <v>1437</v>
      </c>
      <c r="K844" s="1284" t="str">
        <f t="shared" si="13"/>
        <v>12</v>
      </c>
      <c r="L844" s="1246" t="s">
        <v>1529</v>
      </c>
      <c r="M844" s="1250">
        <v>9</v>
      </c>
      <c r="N844" s="1251">
        <v>1</v>
      </c>
      <c r="O844" s="1252">
        <v>1</v>
      </c>
    </row>
    <row r="845" spans="1:15">
      <c r="A845" s="1246" t="s">
        <v>1493</v>
      </c>
      <c r="B845" s="1246" t="s">
        <v>432</v>
      </c>
      <c r="C845" s="1247">
        <v>4</v>
      </c>
      <c r="E845" s="1246" t="s">
        <v>370</v>
      </c>
      <c r="F845" s="1248">
        <v>1</v>
      </c>
      <c r="G845" s="1248">
        <v>3</v>
      </c>
      <c r="H845" s="1249">
        <v>1</v>
      </c>
      <c r="I845" s="1246" t="s">
        <v>1491</v>
      </c>
      <c r="J845" s="1246" t="s">
        <v>1436</v>
      </c>
      <c r="K845" s="1284" t="str">
        <f t="shared" si="13"/>
        <v>11</v>
      </c>
      <c r="L845" s="1246" t="s">
        <v>1495</v>
      </c>
      <c r="M845" s="1250">
        <v>9</v>
      </c>
      <c r="N845" s="1251">
        <v>29</v>
      </c>
      <c r="O845" s="1252">
        <v>29</v>
      </c>
    </row>
    <row r="846" spans="1:15">
      <c r="A846" s="1246" t="s">
        <v>1493</v>
      </c>
      <c r="B846" s="1246" t="s">
        <v>432</v>
      </c>
      <c r="C846" s="1247">
        <v>4</v>
      </c>
      <c r="E846" s="1246" t="s">
        <v>376</v>
      </c>
      <c r="F846" s="1248">
        <v>1</v>
      </c>
      <c r="G846" s="1248">
        <v>3</v>
      </c>
      <c r="H846" s="1249">
        <v>1</v>
      </c>
      <c r="I846" s="1246" t="s">
        <v>1491</v>
      </c>
      <c r="J846" s="1246" t="s">
        <v>1436</v>
      </c>
      <c r="K846" s="1284" t="str">
        <f t="shared" si="13"/>
        <v>11</v>
      </c>
      <c r="L846" s="1246" t="s">
        <v>1495</v>
      </c>
      <c r="M846" s="1250">
        <v>9</v>
      </c>
      <c r="N846" s="1251">
        <v>1</v>
      </c>
      <c r="O846" s="1252">
        <v>1</v>
      </c>
    </row>
    <row r="847" spans="1:15">
      <c r="A847" s="1246" t="s">
        <v>683</v>
      </c>
      <c r="B847" s="1246" t="s">
        <v>432</v>
      </c>
      <c r="C847" s="1247">
        <v>4</v>
      </c>
      <c r="E847" s="1246" t="s">
        <v>370</v>
      </c>
      <c r="F847" s="1248">
        <v>1</v>
      </c>
      <c r="G847" s="1248">
        <v>3</v>
      </c>
      <c r="H847" s="1249">
        <v>1</v>
      </c>
      <c r="I847" s="1246" t="s">
        <v>1491</v>
      </c>
      <c r="J847" s="1246" t="s">
        <v>1436</v>
      </c>
      <c r="K847" s="1284" t="str">
        <f t="shared" si="13"/>
        <v>11</v>
      </c>
      <c r="L847" s="1246" t="s">
        <v>1495</v>
      </c>
      <c r="M847" s="1250">
        <v>9</v>
      </c>
      <c r="N847" s="1251">
        <v>1</v>
      </c>
      <c r="O847" s="1252">
        <v>1</v>
      </c>
    </row>
    <row r="848" spans="1:15">
      <c r="A848" s="1246" t="s">
        <v>1493</v>
      </c>
      <c r="B848" s="1246" t="s">
        <v>432</v>
      </c>
      <c r="C848" s="1247">
        <v>4</v>
      </c>
      <c r="E848" s="1246" t="s">
        <v>373</v>
      </c>
      <c r="F848" s="1248">
        <v>1</v>
      </c>
      <c r="G848" s="1248">
        <v>3</v>
      </c>
      <c r="H848" s="1249">
        <v>1</v>
      </c>
      <c r="I848" s="1246" t="s">
        <v>1491</v>
      </c>
      <c r="J848" s="1246" t="s">
        <v>1436</v>
      </c>
      <c r="K848" s="1284" t="str">
        <f t="shared" si="13"/>
        <v>11</v>
      </c>
      <c r="L848" s="1246" t="s">
        <v>1495</v>
      </c>
      <c r="M848" s="1250">
        <v>9</v>
      </c>
      <c r="N848" s="1251">
        <v>2</v>
      </c>
      <c r="O848" s="1252">
        <v>2</v>
      </c>
    </row>
    <row r="849" spans="1:15">
      <c r="A849" s="1246" t="s">
        <v>1493</v>
      </c>
      <c r="B849" s="1246" t="s">
        <v>432</v>
      </c>
      <c r="C849" s="1247">
        <v>4</v>
      </c>
      <c r="E849" s="1246" t="s">
        <v>370</v>
      </c>
      <c r="F849" s="1248">
        <v>1</v>
      </c>
      <c r="G849" s="1248">
        <v>3</v>
      </c>
      <c r="H849" s="1249">
        <v>1</v>
      </c>
      <c r="I849" s="1246" t="s">
        <v>1491</v>
      </c>
      <c r="J849" s="1246" t="s">
        <v>1397</v>
      </c>
      <c r="K849" s="1284" t="str">
        <f t="shared" si="13"/>
        <v>10</v>
      </c>
      <c r="L849" s="1246" t="s">
        <v>1536</v>
      </c>
      <c r="M849" s="1250">
        <v>9</v>
      </c>
      <c r="N849" s="1251">
        <v>1</v>
      </c>
      <c r="O849" s="1252">
        <v>1</v>
      </c>
    </row>
    <row r="850" spans="1:15">
      <c r="A850" s="1246" t="s">
        <v>1493</v>
      </c>
      <c r="B850" s="1246" t="s">
        <v>432</v>
      </c>
      <c r="C850" s="1247">
        <v>4</v>
      </c>
      <c r="E850" s="1246" t="s">
        <v>370</v>
      </c>
      <c r="F850" s="1248">
        <v>1</v>
      </c>
      <c r="G850" s="1248">
        <v>3</v>
      </c>
      <c r="H850" s="1249">
        <v>1</v>
      </c>
      <c r="I850" s="1246" t="s">
        <v>1491</v>
      </c>
      <c r="J850" s="1246" t="s">
        <v>1439</v>
      </c>
      <c r="K850" s="1284" t="str">
        <f t="shared" si="13"/>
        <v>15</v>
      </c>
      <c r="L850" s="1246" t="s">
        <v>1530</v>
      </c>
      <c r="M850" s="1250">
        <v>9</v>
      </c>
      <c r="N850" s="1251">
        <v>1</v>
      </c>
      <c r="O850" s="1252">
        <v>1</v>
      </c>
    </row>
    <row r="851" spans="1:15">
      <c r="A851" s="1246" t="s">
        <v>1493</v>
      </c>
      <c r="B851" s="1246" t="s">
        <v>432</v>
      </c>
      <c r="C851" s="1247">
        <v>4</v>
      </c>
      <c r="E851" s="1246" t="s">
        <v>370</v>
      </c>
      <c r="F851" s="1248">
        <v>1</v>
      </c>
      <c r="G851" s="1248">
        <v>3</v>
      </c>
      <c r="H851" s="1249">
        <v>1</v>
      </c>
      <c r="I851" s="1246" t="s">
        <v>1491</v>
      </c>
      <c r="J851" s="1246" t="s">
        <v>1397</v>
      </c>
      <c r="K851" s="1284" t="str">
        <f t="shared" si="13"/>
        <v>10</v>
      </c>
      <c r="L851" s="1246" t="s">
        <v>1532</v>
      </c>
      <c r="M851" s="1250">
        <v>9</v>
      </c>
      <c r="N851" s="1251">
        <v>2</v>
      </c>
      <c r="O851" s="1252">
        <v>2</v>
      </c>
    </row>
    <row r="852" spans="1:15">
      <c r="A852" s="1246" t="s">
        <v>1493</v>
      </c>
      <c r="B852" s="1246" t="s">
        <v>432</v>
      </c>
      <c r="C852" s="1247">
        <v>4</v>
      </c>
      <c r="E852" s="1246" t="s">
        <v>376</v>
      </c>
      <c r="F852" s="1248">
        <v>1</v>
      </c>
      <c r="G852" s="1248">
        <v>3</v>
      </c>
      <c r="H852" s="1249">
        <v>1</v>
      </c>
      <c r="I852" s="1246" t="s">
        <v>1491</v>
      </c>
      <c r="J852" s="1246" t="s">
        <v>1397</v>
      </c>
      <c r="K852" s="1284" t="str">
        <f t="shared" si="13"/>
        <v>10</v>
      </c>
      <c r="L852" s="1246" t="s">
        <v>1532</v>
      </c>
      <c r="M852" s="1250">
        <v>9</v>
      </c>
      <c r="N852" s="1251">
        <v>1</v>
      </c>
      <c r="O852" s="1252">
        <v>1</v>
      </c>
    </row>
    <row r="853" spans="1:15">
      <c r="A853" s="1246" t="s">
        <v>1493</v>
      </c>
      <c r="B853" s="1246" t="s">
        <v>432</v>
      </c>
      <c r="C853" s="1247">
        <v>4</v>
      </c>
      <c r="E853" s="1246" t="s">
        <v>370</v>
      </c>
      <c r="F853" s="1248">
        <v>1</v>
      </c>
      <c r="G853" s="1248">
        <v>3</v>
      </c>
      <c r="H853" s="1249">
        <v>1</v>
      </c>
      <c r="I853" s="1246" t="s">
        <v>1491</v>
      </c>
      <c r="J853" s="1246" t="s">
        <v>1438</v>
      </c>
      <c r="K853" s="1284" t="str">
        <f t="shared" si="13"/>
        <v>13</v>
      </c>
      <c r="L853" s="1246" t="s">
        <v>1533</v>
      </c>
      <c r="M853" s="1250">
        <v>9</v>
      </c>
      <c r="N853" s="1251">
        <v>3</v>
      </c>
      <c r="O853" s="1252">
        <v>3</v>
      </c>
    </row>
    <row r="854" spans="1:15">
      <c r="A854" s="1246" t="s">
        <v>1493</v>
      </c>
      <c r="B854" s="1246" t="s">
        <v>432</v>
      </c>
      <c r="C854" s="1247">
        <v>4</v>
      </c>
      <c r="E854" s="1246" t="s">
        <v>376</v>
      </c>
      <c r="F854" s="1248">
        <v>1</v>
      </c>
      <c r="G854" s="1248">
        <v>3</v>
      </c>
      <c r="H854" s="1249">
        <v>1</v>
      </c>
      <c r="I854" s="1246" t="s">
        <v>1491</v>
      </c>
      <c r="J854" s="1246" t="s">
        <v>1436</v>
      </c>
      <c r="K854" s="1284" t="str">
        <f t="shared" si="13"/>
        <v>11</v>
      </c>
      <c r="L854" s="1246" t="s">
        <v>1496</v>
      </c>
      <c r="M854" s="1250">
        <v>9</v>
      </c>
      <c r="N854" s="1251">
        <v>6</v>
      </c>
      <c r="O854" s="1252">
        <v>6</v>
      </c>
    </row>
    <row r="855" spans="1:15">
      <c r="A855" s="1246" t="s">
        <v>1493</v>
      </c>
      <c r="B855" s="1246" t="s">
        <v>432</v>
      </c>
      <c r="C855" s="1247">
        <v>4</v>
      </c>
      <c r="E855" s="1246" t="s">
        <v>370</v>
      </c>
      <c r="F855" s="1248">
        <v>1</v>
      </c>
      <c r="G855" s="1248">
        <v>4</v>
      </c>
      <c r="H855" s="1249">
        <v>1</v>
      </c>
      <c r="I855" s="1246" t="s">
        <v>1491</v>
      </c>
      <c r="J855" s="1246" t="s">
        <v>1437</v>
      </c>
      <c r="K855" s="1284" t="str">
        <f t="shared" si="13"/>
        <v>12</v>
      </c>
      <c r="L855" s="1246" t="s">
        <v>1529</v>
      </c>
      <c r="M855" s="1250">
        <v>9</v>
      </c>
      <c r="N855" s="1251">
        <v>1</v>
      </c>
      <c r="O855" s="1252">
        <v>1</v>
      </c>
    </row>
    <row r="856" spans="1:15">
      <c r="A856" s="1246" t="s">
        <v>1493</v>
      </c>
      <c r="B856" s="1246" t="s">
        <v>432</v>
      </c>
      <c r="C856" s="1247">
        <v>4</v>
      </c>
      <c r="E856" s="1246" t="s">
        <v>370</v>
      </c>
      <c r="F856" s="1248">
        <v>1</v>
      </c>
      <c r="G856" s="1248">
        <v>4</v>
      </c>
      <c r="H856" s="1249">
        <v>1</v>
      </c>
      <c r="I856" s="1246" t="s">
        <v>1491</v>
      </c>
      <c r="J856" s="1246" t="s">
        <v>1436</v>
      </c>
      <c r="K856" s="1284" t="str">
        <f t="shared" si="13"/>
        <v>11</v>
      </c>
      <c r="L856" s="1246" t="s">
        <v>1495</v>
      </c>
      <c r="M856" s="1250">
        <v>9</v>
      </c>
      <c r="N856" s="1251">
        <v>7</v>
      </c>
      <c r="O856" s="1252">
        <v>7</v>
      </c>
    </row>
    <row r="857" spans="1:15">
      <c r="A857" s="1246" t="s">
        <v>1493</v>
      </c>
      <c r="B857" s="1246" t="s">
        <v>432</v>
      </c>
      <c r="C857" s="1247">
        <v>4</v>
      </c>
      <c r="E857" s="1246" t="s">
        <v>370</v>
      </c>
      <c r="F857" s="1248">
        <v>1</v>
      </c>
      <c r="G857" s="1248">
        <v>4</v>
      </c>
      <c r="H857" s="1249">
        <v>1</v>
      </c>
      <c r="I857" s="1246" t="s">
        <v>1491</v>
      </c>
      <c r="J857" s="1246" t="s">
        <v>1438</v>
      </c>
      <c r="K857" s="1284" t="str">
        <f t="shared" si="13"/>
        <v>13</v>
      </c>
      <c r="L857" s="1246" t="s">
        <v>1533</v>
      </c>
      <c r="M857" s="1250">
        <v>9</v>
      </c>
      <c r="N857" s="1251">
        <v>1</v>
      </c>
      <c r="O857" s="1252">
        <v>1</v>
      </c>
    </row>
    <row r="858" spans="1:15">
      <c r="A858" s="1246" t="s">
        <v>1493</v>
      </c>
      <c r="B858" s="1246" t="s">
        <v>432</v>
      </c>
      <c r="C858" s="1247">
        <v>4</v>
      </c>
      <c r="E858" s="1246" t="s">
        <v>376</v>
      </c>
      <c r="F858" s="1248">
        <v>1</v>
      </c>
      <c r="G858" s="1248">
        <v>4</v>
      </c>
      <c r="H858" s="1249">
        <v>1</v>
      </c>
      <c r="I858" s="1246" t="s">
        <v>1491</v>
      </c>
      <c r="J858" s="1246" t="s">
        <v>1436</v>
      </c>
      <c r="K858" s="1284" t="str">
        <f t="shared" si="13"/>
        <v>11</v>
      </c>
      <c r="L858" s="1246" t="s">
        <v>1496</v>
      </c>
      <c r="M858" s="1250">
        <v>9</v>
      </c>
      <c r="N858" s="1251">
        <v>1</v>
      </c>
      <c r="O858" s="1252">
        <v>1</v>
      </c>
    </row>
    <row r="859" spans="1:15">
      <c r="A859" s="1246" t="s">
        <v>1493</v>
      </c>
      <c r="B859" s="1246" t="s">
        <v>432</v>
      </c>
      <c r="C859" s="1247">
        <v>4</v>
      </c>
      <c r="E859" s="1246" t="s">
        <v>370</v>
      </c>
      <c r="F859" s="1248">
        <v>1</v>
      </c>
      <c r="G859" s="1248">
        <v>5</v>
      </c>
      <c r="H859" s="1249">
        <v>1</v>
      </c>
      <c r="I859" s="1246" t="s">
        <v>1491</v>
      </c>
      <c r="J859" s="1246" t="s">
        <v>1436</v>
      </c>
      <c r="K859" s="1284" t="str">
        <f t="shared" si="13"/>
        <v>11</v>
      </c>
      <c r="L859" s="1246" t="s">
        <v>1495</v>
      </c>
      <c r="M859" s="1250">
        <v>9</v>
      </c>
      <c r="N859" s="1251">
        <v>5</v>
      </c>
      <c r="O859" s="1252">
        <v>5</v>
      </c>
    </row>
    <row r="860" spans="1:15">
      <c r="A860" s="1246" t="s">
        <v>1493</v>
      </c>
      <c r="B860" s="1246" t="s">
        <v>432</v>
      </c>
      <c r="C860" s="1247">
        <v>4</v>
      </c>
      <c r="E860" s="1246" t="s">
        <v>370</v>
      </c>
      <c r="F860" s="1248">
        <v>1</v>
      </c>
      <c r="G860" s="1248">
        <v>6</v>
      </c>
      <c r="H860" s="1249">
        <v>1</v>
      </c>
      <c r="I860" s="1246" t="s">
        <v>1491</v>
      </c>
      <c r="J860" s="1246" t="s">
        <v>1436</v>
      </c>
      <c r="K860" s="1284" t="str">
        <f t="shared" si="13"/>
        <v>11</v>
      </c>
      <c r="L860" s="1246" t="s">
        <v>1495</v>
      </c>
      <c r="M860" s="1250">
        <v>9</v>
      </c>
      <c r="N860" s="1251">
        <v>2</v>
      </c>
      <c r="O860" s="1252">
        <v>2</v>
      </c>
    </row>
    <row r="861" spans="1:15">
      <c r="A861" s="1246" t="s">
        <v>683</v>
      </c>
      <c r="B861" s="1246" t="s">
        <v>432</v>
      </c>
      <c r="C861" s="1247">
        <v>4</v>
      </c>
      <c r="E861" s="1246" t="s">
        <v>370</v>
      </c>
      <c r="F861" s="1248">
        <v>1</v>
      </c>
      <c r="G861" s="1248">
        <v>6</v>
      </c>
      <c r="H861" s="1249">
        <v>1</v>
      </c>
      <c r="I861" s="1246" t="s">
        <v>1491</v>
      </c>
      <c r="J861" s="1246" t="s">
        <v>1436</v>
      </c>
      <c r="K861" s="1284" t="str">
        <f t="shared" si="13"/>
        <v>11</v>
      </c>
      <c r="L861" s="1246" t="s">
        <v>1495</v>
      </c>
      <c r="M861" s="1250">
        <v>9</v>
      </c>
      <c r="N861" s="1251">
        <v>1</v>
      </c>
      <c r="O861" s="1252">
        <v>1</v>
      </c>
    </row>
    <row r="862" spans="1:15">
      <c r="A862" s="1246" t="s">
        <v>1493</v>
      </c>
      <c r="B862" s="1246" t="s">
        <v>432</v>
      </c>
      <c r="C862" s="1247">
        <v>4</v>
      </c>
      <c r="E862" s="1246" t="s">
        <v>376</v>
      </c>
      <c r="F862" s="1248">
        <v>2</v>
      </c>
      <c r="G862" s="1248">
        <v>2</v>
      </c>
      <c r="H862" s="1249">
        <v>1</v>
      </c>
      <c r="I862" s="1246" t="s">
        <v>1491</v>
      </c>
      <c r="J862" s="1246" t="s">
        <v>1437</v>
      </c>
      <c r="K862" s="1284" t="str">
        <f t="shared" si="13"/>
        <v>12</v>
      </c>
      <c r="L862" s="1246" t="s">
        <v>1529</v>
      </c>
      <c r="M862" s="1250">
        <v>9</v>
      </c>
      <c r="N862" s="1251">
        <v>4</v>
      </c>
      <c r="O862" s="1252">
        <v>2</v>
      </c>
    </row>
    <row r="863" spans="1:15">
      <c r="A863" s="1246" t="s">
        <v>1493</v>
      </c>
      <c r="B863" s="1246" t="s">
        <v>432</v>
      </c>
      <c r="C863" s="1247">
        <v>4</v>
      </c>
      <c r="E863" s="1246" t="s">
        <v>370</v>
      </c>
      <c r="F863" s="1248">
        <v>2</v>
      </c>
      <c r="G863" s="1248">
        <v>2</v>
      </c>
      <c r="H863" s="1249">
        <v>1</v>
      </c>
      <c r="I863" s="1246" t="s">
        <v>1491</v>
      </c>
      <c r="J863" s="1246" t="s">
        <v>1436</v>
      </c>
      <c r="K863" s="1284" t="str">
        <f t="shared" si="13"/>
        <v>11</v>
      </c>
      <c r="L863" s="1246" t="s">
        <v>1495</v>
      </c>
      <c r="M863" s="1250">
        <v>9</v>
      </c>
      <c r="N863" s="1251">
        <v>4</v>
      </c>
      <c r="O863" s="1252">
        <v>2</v>
      </c>
    </row>
    <row r="864" spans="1:15">
      <c r="A864" s="1246" t="s">
        <v>1493</v>
      </c>
      <c r="B864" s="1246" t="s">
        <v>432</v>
      </c>
      <c r="C864" s="1247">
        <v>4</v>
      </c>
      <c r="E864" s="1246" t="s">
        <v>376</v>
      </c>
      <c r="F864" s="1248">
        <v>2</v>
      </c>
      <c r="G864" s="1248">
        <v>2</v>
      </c>
      <c r="H864" s="1249">
        <v>1</v>
      </c>
      <c r="I864" s="1246" t="s">
        <v>1491</v>
      </c>
      <c r="J864" s="1246" t="s">
        <v>1441</v>
      </c>
      <c r="K864" s="1284" t="str">
        <f t="shared" si="13"/>
        <v>1A</v>
      </c>
      <c r="L864" s="1246" t="s">
        <v>1531</v>
      </c>
      <c r="M864" s="1250">
        <v>9</v>
      </c>
      <c r="N864" s="1251">
        <v>2</v>
      </c>
      <c r="O864" s="1252">
        <v>1</v>
      </c>
    </row>
    <row r="865" spans="1:15">
      <c r="A865" s="1246" t="s">
        <v>1493</v>
      </c>
      <c r="B865" s="1246" t="s">
        <v>432</v>
      </c>
      <c r="C865" s="1247">
        <v>4</v>
      </c>
      <c r="E865" s="1246" t="s">
        <v>370</v>
      </c>
      <c r="F865" s="1248">
        <v>2</v>
      </c>
      <c r="G865" s="1248">
        <v>2</v>
      </c>
      <c r="H865" s="1249">
        <v>1</v>
      </c>
      <c r="I865" s="1246" t="s">
        <v>1491</v>
      </c>
      <c r="J865" s="1246" t="s">
        <v>1397</v>
      </c>
      <c r="K865" s="1284" t="str">
        <f t="shared" si="13"/>
        <v>10</v>
      </c>
      <c r="L865" s="1246" t="s">
        <v>1532</v>
      </c>
      <c r="M865" s="1250">
        <v>9</v>
      </c>
      <c r="N865" s="1251">
        <v>4</v>
      </c>
      <c r="O865" s="1252">
        <v>2</v>
      </c>
    </row>
    <row r="866" spans="1:15">
      <c r="A866" s="1246" t="s">
        <v>1493</v>
      </c>
      <c r="B866" s="1246" t="s">
        <v>432</v>
      </c>
      <c r="C866" s="1247">
        <v>4</v>
      </c>
      <c r="E866" s="1246" t="s">
        <v>376</v>
      </c>
      <c r="F866" s="1248">
        <v>2</v>
      </c>
      <c r="G866" s="1248">
        <v>2</v>
      </c>
      <c r="H866" s="1249">
        <v>1</v>
      </c>
      <c r="I866" s="1246" t="s">
        <v>1491</v>
      </c>
      <c r="J866" s="1246" t="s">
        <v>1397</v>
      </c>
      <c r="K866" s="1284" t="str">
        <f t="shared" si="13"/>
        <v>10</v>
      </c>
      <c r="L866" s="1246" t="s">
        <v>1532</v>
      </c>
      <c r="M866" s="1250">
        <v>9</v>
      </c>
      <c r="N866" s="1251">
        <v>2</v>
      </c>
      <c r="O866" s="1252">
        <v>1</v>
      </c>
    </row>
    <row r="867" spans="1:15">
      <c r="A867" s="1246" t="s">
        <v>1493</v>
      </c>
      <c r="B867" s="1246" t="s">
        <v>432</v>
      </c>
      <c r="C867" s="1247">
        <v>4</v>
      </c>
      <c r="E867" s="1246" t="s">
        <v>370</v>
      </c>
      <c r="F867" s="1248">
        <v>2</v>
      </c>
      <c r="G867" s="1248">
        <v>2</v>
      </c>
      <c r="H867" s="1249">
        <v>1</v>
      </c>
      <c r="I867" s="1246" t="s">
        <v>1491</v>
      </c>
      <c r="J867" s="1246" t="s">
        <v>1438</v>
      </c>
      <c r="K867" s="1284" t="str">
        <f t="shared" si="13"/>
        <v>13</v>
      </c>
      <c r="L867" s="1246" t="s">
        <v>1533</v>
      </c>
      <c r="M867" s="1250">
        <v>9</v>
      </c>
      <c r="N867" s="1251">
        <v>2</v>
      </c>
      <c r="O867" s="1252">
        <v>1</v>
      </c>
    </row>
    <row r="868" spans="1:15">
      <c r="A868" s="1246" t="s">
        <v>1493</v>
      </c>
      <c r="B868" s="1246" t="s">
        <v>432</v>
      </c>
      <c r="C868" s="1247">
        <v>4</v>
      </c>
      <c r="E868" s="1246" t="s">
        <v>376</v>
      </c>
      <c r="F868" s="1248">
        <v>2</v>
      </c>
      <c r="G868" s="1248">
        <v>2</v>
      </c>
      <c r="H868" s="1249">
        <v>1</v>
      </c>
      <c r="I868" s="1246" t="s">
        <v>1491</v>
      </c>
      <c r="J868" s="1246" t="s">
        <v>1436</v>
      </c>
      <c r="K868" s="1284" t="str">
        <f t="shared" si="13"/>
        <v>11</v>
      </c>
      <c r="L868" s="1246" t="s">
        <v>1496</v>
      </c>
      <c r="M868" s="1250">
        <v>9</v>
      </c>
      <c r="N868" s="1251">
        <v>18</v>
      </c>
      <c r="O868" s="1252">
        <v>9</v>
      </c>
    </row>
    <row r="869" spans="1:15">
      <c r="A869" s="1246" t="s">
        <v>1493</v>
      </c>
      <c r="B869" s="1246" t="s">
        <v>432</v>
      </c>
      <c r="C869" s="1247">
        <v>4</v>
      </c>
      <c r="E869" s="1246" t="s">
        <v>376</v>
      </c>
      <c r="F869" s="1248">
        <v>2</v>
      </c>
      <c r="G869" s="1248">
        <v>3</v>
      </c>
      <c r="H869" s="1249">
        <v>1</v>
      </c>
      <c r="I869" s="1246" t="s">
        <v>1491</v>
      </c>
      <c r="J869" s="1246" t="s">
        <v>1436</v>
      </c>
      <c r="K869" s="1284" t="str">
        <f t="shared" si="13"/>
        <v>11</v>
      </c>
      <c r="L869" s="1246" t="s">
        <v>1496</v>
      </c>
      <c r="M869" s="1250">
        <v>9</v>
      </c>
      <c r="N869" s="1251">
        <v>2</v>
      </c>
      <c r="O869" s="1252">
        <v>1</v>
      </c>
    </row>
    <row r="870" spans="1:15">
      <c r="A870" s="1246" t="s">
        <v>1493</v>
      </c>
      <c r="B870" s="1246" t="s">
        <v>432</v>
      </c>
      <c r="C870" s="1247">
        <v>4</v>
      </c>
      <c r="E870" s="1246" t="s">
        <v>376</v>
      </c>
      <c r="F870" s="1248">
        <v>2</v>
      </c>
      <c r="G870" s="1248">
        <v>4</v>
      </c>
      <c r="H870" s="1249">
        <v>1</v>
      </c>
      <c r="I870" s="1246" t="s">
        <v>1491</v>
      </c>
      <c r="J870" s="1246" t="s">
        <v>1442</v>
      </c>
      <c r="K870" s="1284" t="str">
        <f t="shared" si="13"/>
        <v>10</v>
      </c>
      <c r="L870" s="1246" t="s">
        <v>1542</v>
      </c>
      <c r="M870" s="1250">
        <v>6</v>
      </c>
      <c r="N870" s="1251">
        <v>4</v>
      </c>
      <c r="O870" s="1252">
        <v>2</v>
      </c>
    </row>
    <row r="871" spans="1:15">
      <c r="A871" s="1246" t="s">
        <v>1493</v>
      </c>
      <c r="B871" s="1246" t="s">
        <v>432</v>
      </c>
      <c r="C871" s="1247">
        <v>4</v>
      </c>
      <c r="E871" s="1246" t="s">
        <v>370</v>
      </c>
      <c r="F871" s="1248">
        <v>2</v>
      </c>
      <c r="G871" s="1248">
        <v>4</v>
      </c>
      <c r="H871" s="1249">
        <v>1</v>
      </c>
      <c r="I871" s="1246" t="s">
        <v>1491</v>
      </c>
      <c r="J871" s="1246" t="s">
        <v>1436</v>
      </c>
      <c r="K871" s="1284" t="str">
        <f t="shared" si="13"/>
        <v>11</v>
      </c>
      <c r="L871" s="1246" t="s">
        <v>1495</v>
      </c>
      <c r="M871" s="1250">
        <v>9</v>
      </c>
      <c r="N871" s="1251">
        <v>2</v>
      </c>
      <c r="O871" s="1252">
        <v>1</v>
      </c>
    </row>
    <row r="872" spans="1:15">
      <c r="A872" s="1246" t="s">
        <v>683</v>
      </c>
      <c r="B872" s="1246" t="s">
        <v>432</v>
      </c>
      <c r="C872" s="1247">
        <v>4</v>
      </c>
      <c r="E872" s="1246" t="s">
        <v>370</v>
      </c>
      <c r="F872" s="1248">
        <v>2</v>
      </c>
      <c r="G872" s="1248">
        <v>4</v>
      </c>
      <c r="H872" s="1249">
        <v>1</v>
      </c>
      <c r="I872" s="1246" t="s">
        <v>1491</v>
      </c>
      <c r="J872" s="1246" t="s">
        <v>1436</v>
      </c>
      <c r="K872" s="1284" t="str">
        <f t="shared" si="13"/>
        <v>11</v>
      </c>
      <c r="L872" s="1246" t="s">
        <v>1495</v>
      </c>
      <c r="M872" s="1250">
        <v>9</v>
      </c>
      <c r="N872" s="1251">
        <v>2</v>
      </c>
      <c r="O872" s="1252">
        <v>1</v>
      </c>
    </row>
    <row r="873" spans="1:15">
      <c r="A873" s="1246" t="s">
        <v>1493</v>
      </c>
      <c r="B873" s="1246" t="s">
        <v>432</v>
      </c>
      <c r="C873" s="1247">
        <v>4</v>
      </c>
      <c r="E873" s="1246" t="s">
        <v>370</v>
      </c>
      <c r="F873" s="1248">
        <v>2</v>
      </c>
      <c r="G873" s="1248">
        <v>4</v>
      </c>
      <c r="H873" s="1249">
        <v>1</v>
      </c>
      <c r="I873" s="1246" t="s">
        <v>1491</v>
      </c>
      <c r="J873" s="1246" t="s">
        <v>1436</v>
      </c>
      <c r="K873" s="1284" t="str">
        <f t="shared" si="13"/>
        <v>11</v>
      </c>
      <c r="L873" s="1246" t="s">
        <v>1496</v>
      </c>
      <c r="M873" s="1250">
        <v>9</v>
      </c>
      <c r="N873" s="1251">
        <v>2</v>
      </c>
      <c r="O873" s="1252">
        <v>1</v>
      </c>
    </row>
    <row r="874" spans="1:15">
      <c r="A874" s="1246" t="s">
        <v>1493</v>
      </c>
      <c r="B874" s="1246" t="s">
        <v>432</v>
      </c>
      <c r="C874" s="1247">
        <v>4</v>
      </c>
      <c r="E874" s="1246" t="s">
        <v>376</v>
      </c>
      <c r="F874" s="1248">
        <v>2</v>
      </c>
      <c r="G874" s="1248">
        <v>4</v>
      </c>
      <c r="H874" s="1249">
        <v>1</v>
      </c>
      <c r="I874" s="1246" t="s">
        <v>1491</v>
      </c>
      <c r="J874" s="1246" t="s">
        <v>1436</v>
      </c>
      <c r="K874" s="1284" t="str">
        <f t="shared" si="13"/>
        <v>11</v>
      </c>
      <c r="L874" s="1246" t="s">
        <v>1496</v>
      </c>
      <c r="M874" s="1250">
        <v>9</v>
      </c>
      <c r="N874" s="1251">
        <v>14</v>
      </c>
      <c r="O874" s="1252">
        <v>7</v>
      </c>
    </row>
    <row r="875" spans="1:15">
      <c r="A875" s="1246" t="s">
        <v>1493</v>
      </c>
      <c r="B875" s="1246" t="s">
        <v>432</v>
      </c>
      <c r="C875" s="1247">
        <v>4</v>
      </c>
      <c r="E875" s="1246" t="s">
        <v>370</v>
      </c>
      <c r="F875" s="1248">
        <v>2</v>
      </c>
      <c r="G875" s="1248">
        <v>6</v>
      </c>
      <c r="H875" s="1249">
        <v>1</v>
      </c>
      <c r="I875" s="1246" t="s">
        <v>1491</v>
      </c>
      <c r="J875" s="1246" t="s">
        <v>1436</v>
      </c>
      <c r="K875" s="1284" t="str">
        <f t="shared" si="13"/>
        <v>11</v>
      </c>
      <c r="L875" s="1246" t="s">
        <v>1495</v>
      </c>
      <c r="M875" s="1250">
        <v>9</v>
      </c>
      <c r="N875" s="1251">
        <v>6</v>
      </c>
      <c r="O875" s="1252">
        <v>3</v>
      </c>
    </row>
    <row r="876" spans="1:15">
      <c r="A876" s="1246" t="s">
        <v>1493</v>
      </c>
      <c r="B876" s="1246" t="s">
        <v>432</v>
      </c>
      <c r="C876" s="1247">
        <v>4</v>
      </c>
      <c r="E876" s="1246" t="s">
        <v>376</v>
      </c>
      <c r="F876" s="1248">
        <v>2</v>
      </c>
      <c r="G876" s="1248">
        <v>6</v>
      </c>
      <c r="H876" s="1249">
        <v>1</v>
      </c>
      <c r="I876" s="1246" t="s">
        <v>1491</v>
      </c>
      <c r="J876" s="1246" t="s">
        <v>1436</v>
      </c>
      <c r="K876" s="1284" t="str">
        <f t="shared" si="13"/>
        <v>11</v>
      </c>
      <c r="L876" s="1246" t="s">
        <v>1496</v>
      </c>
      <c r="M876" s="1250">
        <v>9</v>
      </c>
      <c r="N876" s="1251">
        <v>4</v>
      </c>
      <c r="O876" s="1252">
        <v>2</v>
      </c>
    </row>
    <row r="877" spans="1:15">
      <c r="A877" s="1246" t="s">
        <v>1493</v>
      </c>
      <c r="B877" s="1246" t="s">
        <v>432</v>
      </c>
      <c r="C877" s="1247">
        <v>4</v>
      </c>
      <c r="E877" s="1246" t="s">
        <v>376</v>
      </c>
      <c r="F877" s="1248">
        <v>3</v>
      </c>
      <c r="G877" s="1248">
        <v>3</v>
      </c>
      <c r="H877" s="1249">
        <v>1</v>
      </c>
      <c r="I877" s="1246" t="s">
        <v>1491</v>
      </c>
      <c r="J877" s="1246" t="s">
        <v>1437</v>
      </c>
      <c r="K877" s="1284" t="str">
        <f t="shared" si="13"/>
        <v>12</v>
      </c>
      <c r="L877" s="1246" t="s">
        <v>1529</v>
      </c>
      <c r="M877" s="1250">
        <v>9</v>
      </c>
      <c r="N877" s="1251">
        <v>3</v>
      </c>
      <c r="O877" s="1252">
        <v>1</v>
      </c>
    </row>
    <row r="878" spans="1:15">
      <c r="A878" s="1246" t="s">
        <v>1493</v>
      </c>
      <c r="B878" s="1246" t="s">
        <v>432</v>
      </c>
      <c r="C878" s="1247">
        <v>4</v>
      </c>
      <c r="D878" s="1246" t="s">
        <v>1412</v>
      </c>
      <c r="E878" s="1246" t="s">
        <v>376</v>
      </c>
      <c r="F878" s="1248">
        <v>3</v>
      </c>
      <c r="G878" s="1248">
        <v>3</v>
      </c>
      <c r="H878" s="1249">
        <v>1</v>
      </c>
      <c r="I878" s="1246" t="s">
        <v>1491</v>
      </c>
      <c r="J878" s="1246" t="s">
        <v>1436</v>
      </c>
      <c r="K878" s="1284" t="str">
        <f t="shared" si="13"/>
        <v>11</v>
      </c>
      <c r="L878" s="1246" t="s">
        <v>1496</v>
      </c>
      <c r="M878" s="1250">
        <v>9</v>
      </c>
      <c r="N878" s="1251">
        <v>3</v>
      </c>
      <c r="O878" s="1252">
        <v>1</v>
      </c>
    </row>
    <row r="879" spans="1:15">
      <c r="A879" s="1246" t="s">
        <v>1493</v>
      </c>
      <c r="B879" s="1246" t="s">
        <v>432</v>
      </c>
      <c r="C879" s="1247">
        <v>4</v>
      </c>
      <c r="E879" s="1246" t="s">
        <v>376</v>
      </c>
      <c r="F879" s="1248">
        <v>3</v>
      </c>
      <c r="G879" s="1248">
        <v>3</v>
      </c>
      <c r="H879" s="1249">
        <v>1</v>
      </c>
      <c r="I879" s="1246" t="s">
        <v>1491</v>
      </c>
      <c r="J879" s="1246" t="s">
        <v>1436</v>
      </c>
      <c r="K879" s="1284" t="str">
        <f t="shared" si="13"/>
        <v>11</v>
      </c>
      <c r="L879" s="1246" t="s">
        <v>1496</v>
      </c>
      <c r="M879" s="1250">
        <v>9</v>
      </c>
      <c r="N879" s="1251">
        <v>15</v>
      </c>
      <c r="O879" s="1252">
        <v>5</v>
      </c>
    </row>
    <row r="880" spans="1:15">
      <c r="A880" s="1246" t="s">
        <v>1493</v>
      </c>
      <c r="B880" s="1246" t="s">
        <v>432</v>
      </c>
      <c r="C880" s="1247">
        <v>4</v>
      </c>
      <c r="E880" s="1246" t="s">
        <v>376</v>
      </c>
      <c r="F880" s="1248">
        <v>3</v>
      </c>
      <c r="G880" s="1248">
        <v>6</v>
      </c>
      <c r="H880" s="1249">
        <v>1</v>
      </c>
      <c r="I880" s="1246" t="s">
        <v>1491</v>
      </c>
      <c r="J880" s="1246" t="s">
        <v>1436</v>
      </c>
      <c r="K880" s="1284" t="str">
        <f t="shared" si="13"/>
        <v>11</v>
      </c>
      <c r="L880" s="1246" t="s">
        <v>1496</v>
      </c>
      <c r="M880" s="1250">
        <v>9</v>
      </c>
      <c r="N880" s="1251">
        <v>6</v>
      </c>
      <c r="O880" s="1252">
        <v>2</v>
      </c>
    </row>
    <row r="881" spans="1:15">
      <c r="A881" s="1246" t="s">
        <v>683</v>
      </c>
      <c r="B881" s="1246" t="s">
        <v>432</v>
      </c>
      <c r="C881" s="1247">
        <v>4</v>
      </c>
      <c r="E881" s="1246" t="s">
        <v>376</v>
      </c>
      <c r="F881" s="1248">
        <v>3</v>
      </c>
      <c r="G881" s="1248">
        <v>6</v>
      </c>
      <c r="H881" s="1249">
        <v>1</v>
      </c>
      <c r="I881" s="1246" t="s">
        <v>1491</v>
      </c>
      <c r="J881" s="1246" t="s">
        <v>1436</v>
      </c>
      <c r="K881" s="1284" t="str">
        <f t="shared" si="13"/>
        <v>11</v>
      </c>
      <c r="L881" s="1246" t="s">
        <v>1496</v>
      </c>
      <c r="M881" s="1250">
        <v>9</v>
      </c>
      <c r="N881" s="1251">
        <v>3</v>
      </c>
      <c r="O881" s="1252">
        <v>1</v>
      </c>
    </row>
    <row r="882" spans="1:15">
      <c r="A882" s="1246" t="s">
        <v>683</v>
      </c>
      <c r="B882" s="1246" t="s">
        <v>432</v>
      </c>
      <c r="C882" s="1247">
        <v>4</v>
      </c>
      <c r="E882" s="1246" t="s">
        <v>370</v>
      </c>
      <c r="F882" s="1248">
        <v>3</v>
      </c>
      <c r="G882" s="1248">
        <v>9</v>
      </c>
      <c r="H882" s="1249">
        <v>1</v>
      </c>
      <c r="I882" s="1246" t="s">
        <v>1491</v>
      </c>
      <c r="J882" s="1246" t="s">
        <v>1436</v>
      </c>
      <c r="K882" s="1284" t="str">
        <f t="shared" si="13"/>
        <v>11</v>
      </c>
      <c r="L882" s="1246" t="s">
        <v>1495</v>
      </c>
      <c r="M882" s="1250">
        <v>9</v>
      </c>
      <c r="N882" s="1251">
        <v>3</v>
      </c>
      <c r="O882" s="1252">
        <v>1</v>
      </c>
    </row>
    <row r="883" spans="1:15">
      <c r="A883" s="1246" t="s">
        <v>1493</v>
      </c>
      <c r="B883" s="1246" t="s">
        <v>432</v>
      </c>
      <c r="C883" s="1247">
        <v>4</v>
      </c>
      <c r="E883" s="1246" t="s">
        <v>376</v>
      </c>
      <c r="F883" s="1248">
        <v>3</v>
      </c>
      <c r="G883" s="1248">
        <v>9</v>
      </c>
      <c r="H883" s="1249">
        <v>1</v>
      </c>
      <c r="I883" s="1246" t="s">
        <v>1491</v>
      </c>
      <c r="J883" s="1246" t="s">
        <v>1436</v>
      </c>
      <c r="K883" s="1284" t="str">
        <f t="shared" si="13"/>
        <v>11</v>
      </c>
      <c r="L883" s="1246" t="s">
        <v>1496</v>
      </c>
      <c r="M883" s="1250">
        <v>9</v>
      </c>
      <c r="N883" s="1251">
        <v>3</v>
      </c>
      <c r="O883" s="1252">
        <v>1</v>
      </c>
    </row>
    <row r="884" spans="1:15">
      <c r="A884" s="1246" t="s">
        <v>1493</v>
      </c>
      <c r="B884" s="1246" t="s">
        <v>432</v>
      </c>
      <c r="C884" s="1247">
        <v>4</v>
      </c>
      <c r="D884" s="1246" t="s">
        <v>1412</v>
      </c>
      <c r="E884" s="1246" t="s">
        <v>370</v>
      </c>
      <c r="F884" s="1248">
        <v>4</v>
      </c>
      <c r="G884" s="1248">
        <v>0</v>
      </c>
      <c r="H884" s="1249">
        <v>0</v>
      </c>
      <c r="J884" s="1246" t="s">
        <v>1436</v>
      </c>
      <c r="K884" s="1284" t="str">
        <f t="shared" si="13"/>
        <v>11</v>
      </c>
      <c r="L884" s="1246" t="s">
        <v>1495</v>
      </c>
      <c r="M884" s="1250">
        <v>9</v>
      </c>
      <c r="N884" s="1251">
        <v>4</v>
      </c>
      <c r="O884" s="1252">
        <v>1</v>
      </c>
    </row>
    <row r="885" spans="1:15">
      <c r="A885" s="1246" t="s">
        <v>1493</v>
      </c>
      <c r="B885" s="1246" t="s">
        <v>432</v>
      </c>
      <c r="C885" s="1247">
        <v>4</v>
      </c>
      <c r="E885" s="1246" t="s">
        <v>376</v>
      </c>
      <c r="F885" s="1248">
        <v>4</v>
      </c>
      <c r="G885" s="1248">
        <v>4</v>
      </c>
      <c r="H885" s="1249">
        <v>1</v>
      </c>
      <c r="I885" s="1246" t="s">
        <v>1491</v>
      </c>
      <c r="J885" s="1246" t="s">
        <v>1436</v>
      </c>
      <c r="K885" s="1284" t="str">
        <f t="shared" si="13"/>
        <v>11</v>
      </c>
      <c r="L885" s="1246" t="s">
        <v>1496</v>
      </c>
      <c r="M885" s="1250">
        <v>9</v>
      </c>
      <c r="N885" s="1251">
        <v>12</v>
      </c>
      <c r="O885" s="1252">
        <v>3</v>
      </c>
    </row>
    <row r="886" spans="1:15">
      <c r="A886" s="1246" t="s">
        <v>1493</v>
      </c>
      <c r="B886" s="1246" t="s">
        <v>432</v>
      </c>
      <c r="C886" s="1247">
        <v>4</v>
      </c>
      <c r="E886" s="1246" t="s">
        <v>370</v>
      </c>
      <c r="F886" s="1248">
        <v>4</v>
      </c>
      <c r="G886" s="1248">
        <v>8</v>
      </c>
      <c r="H886" s="1249">
        <v>1</v>
      </c>
      <c r="I886" s="1246" t="s">
        <v>1491</v>
      </c>
      <c r="J886" s="1246" t="s">
        <v>1436</v>
      </c>
      <c r="K886" s="1284" t="str">
        <f t="shared" si="13"/>
        <v>11</v>
      </c>
      <c r="L886" s="1246" t="s">
        <v>1495</v>
      </c>
      <c r="M886" s="1250">
        <v>9</v>
      </c>
      <c r="N886" s="1251">
        <v>4</v>
      </c>
      <c r="O886" s="1252">
        <v>1</v>
      </c>
    </row>
    <row r="887" spans="1:15">
      <c r="A887" s="1246" t="s">
        <v>1493</v>
      </c>
      <c r="B887" s="1246" t="s">
        <v>432</v>
      </c>
      <c r="C887" s="1247">
        <v>4</v>
      </c>
      <c r="E887" s="1246" t="s">
        <v>376</v>
      </c>
      <c r="F887" s="1248">
        <v>4</v>
      </c>
      <c r="G887" s="1248">
        <v>8</v>
      </c>
      <c r="H887" s="1249">
        <v>1</v>
      </c>
      <c r="I887" s="1246" t="s">
        <v>1491</v>
      </c>
      <c r="J887" s="1246" t="s">
        <v>1436</v>
      </c>
      <c r="K887" s="1284" t="str">
        <f t="shared" si="13"/>
        <v>11</v>
      </c>
      <c r="L887" s="1246" t="s">
        <v>1496</v>
      </c>
      <c r="M887" s="1250">
        <v>9</v>
      </c>
      <c r="N887" s="1251">
        <v>4</v>
      </c>
      <c r="O887" s="1252">
        <v>1</v>
      </c>
    </row>
    <row r="888" spans="1:15">
      <c r="A888" s="1246" t="s">
        <v>1493</v>
      </c>
      <c r="B888" s="1246" t="s">
        <v>432</v>
      </c>
      <c r="C888" s="1247">
        <v>4</v>
      </c>
      <c r="E888" s="1246" t="s">
        <v>376</v>
      </c>
      <c r="F888" s="1248">
        <v>5</v>
      </c>
      <c r="G888" s="1248">
        <v>5</v>
      </c>
      <c r="H888" s="1249">
        <v>1</v>
      </c>
      <c r="I888" s="1246" t="s">
        <v>1491</v>
      </c>
      <c r="J888" s="1246" t="s">
        <v>1436</v>
      </c>
      <c r="K888" s="1284" t="str">
        <f t="shared" si="13"/>
        <v>11</v>
      </c>
      <c r="L888" s="1246" t="s">
        <v>1496</v>
      </c>
      <c r="M888" s="1250">
        <v>9</v>
      </c>
      <c r="N888" s="1251">
        <v>20</v>
      </c>
      <c r="O888" s="1252">
        <v>4</v>
      </c>
    </row>
    <row r="889" spans="1:15">
      <c r="A889" s="1246" t="s">
        <v>1493</v>
      </c>
      <c r="B889" s="1246" t="s">
        <v>432</v>
      </c>
      <c r="C889" s="1247">
        <v>4</v>
      </c>
      <c r="E889" s="1246" t="s">
        <v>376</v>
      </c>
      <c r="F889" s="1248">
        <v>5</v>
      </c>
      <c r="G889" s="1248">
        <v>10</v>
      </c>
      <c r="H889" s="1249">
        <v>1</v>
      </c>
      <c r="I889" s="1246" t="s">
        <v>1491</v>
      </c>
      <c r="J889" s="1246" t="s">
        <v>1436</v>
      </c>
      <c r="K889" s="1284" t="str">
        <f t="shared" si="13"/>
        <v>11</v>
      </c>
      <c r="L889" s="1246" t="s">
        <v>1496</v>
      </c>
      <c r="M889" s="1250">
        <v>9</v>
      </c>
      <c r="N889" s="1251">
        <v>10</v>
      </c>
      <c r="O889" s="1252">
        <v>2</v>
      </c>
    </row>
    <row r="890" spans="1:15">
      <c r="A890" s="1246" t="s">
        <v>1493</v>
      </c>
      <c r="B890" s="1246" t="s">
        <v>432</v>
      </c>
      <c r="C890" s="1247">
        <v>4</v>
      </c>
      <c r="E890" s="1246" t="s">
        <v>370</v>
      </c>
      <c r="F890" s="1248">
        <v>6</v>
      </c>
      <c r="G890" s="1248">
        <v>6</v>
      </c>
      <c r="H890" s="1249">
        <v>1</v>
      </c>
      <c r="I890" s="1246" t="s">
        <v>1491</v>
      </c>
      <c r="J890" s="1246" t="s">
        <v>1436</v>
      </c>
      <c r="K890" s="1284" t="str">
        <f t="shared" si="13"/>
        <v>11</v>
      </c>
      <c r="L890" s="1246" t="s">
        <v>1495</v>
      </c>
      <c r="M890" s="1250">
        <v>9</v>
      </c>
      <c r="N890" s="1251">
        <v>6</v>
      </c>
      <c r="O890" s="1252">
        <v>1</v>
      </c>
    </row>
    <row r="891" spans="1:15">
      <c r="A891" s="1246" t="s">
        <v>1493</v>
      </c>
      <c r="B891" s="1246" t="s">
        <v>432</v>
      </c>
      <c r="C891" s="1247">
        <v>4</v>
      </c>
      <c r="E891" s="1246" t="s">
        <v>376</v>
      </c>
      <c r="F891" s="1248">
        <v>7</v>
      </c>
      <c r="G891" s="1248">
        <v>7</v>
      </c>
      <c r="H891" s="1249">
        <v>1</v>
      </c>
      <c r="I891" s="1246" t="s">
        <v>1491</v>
      </c>
      <c r="J891" s="1246" t="s">
        <v>1436</v>
      </c>
      <c r="K891" s="1284" t="str">
        <f t="shared" si="13"/>
        <v>11</v>
      </c>
      <c r="L891" s="1246" t="s">
        <v>1496</v>
      </c>
      <c r="M891" s="1250">
        <v>9</v>
      </c>
      <c r="N891" s="1251">
        <v>14</v>
      </c>
      <c r="O891" s="1252">
        <v>2</v>
      </c>
    </row>
    <row r="892" spans="1:15">
      <c r="A892" s="1246" t="s">
        <v>1493</v>
      </c>
      <c r="B892" s="1246" t="s">
        <v>432</v>
      </c>
      <c r="C892" s="1247">
        <v>4</v>
      </c>
      <c r="E892" s="1246" t="s">
        <v>376</v>
      </c>
      <c r="F892" s="1248">
        <v>9</v>
      </c>
      <c r="G892" s="1248">
        <v>9</v>
      </c>
      <c r="H892" s="1249">
        <v>1</v>
      </c>
      <c r="I892" s="1246" t="s">
        <v>1491</v>
      </c>
      <c r="J892" s="1246" t="s">
        <v>1436</v>
      </c>
      <c r="K892" s="1284" t="str">
        <f t="shared" si="13"/>
        <v>11</v>
      </c>
      <c r="L892" s="1246" t="s">
        <v>1496</v>
      </c>
      <c r="M892" s="1250">
        <v>9</v>
      </c>
      <c r="N892" s="1251">
        <v>9</v>
      </c>
      <c r="O892" s="1252">
        <v>1</v>
      </c>
    </row>
    <row r="893" spans="1:15">
      <c r="A893" s="1246" t="s">
        <v>1493</v>
      </c>
      <c r="B893" s="1246" t="s">
        <v>432</v>
      </c>
      <c r="C893" s="1247">
        <v>4</v>
      </c>
      <c r="E893" s="1246" t="s">
        <v>376</v>
      </c>
      <c r="F893" s="1248">
        <v>9</v>
      </c>
      <c r="G893" s="1248">
        <v>10</v>
      </c>
      <c r="H893" s="1249">
        <v>1</v>
      </c>
      <c r="I893" s="1246" t="s">
        <v>1491</v>
      </c>
      <c r="J893" s="1246" t="s">
        <v>1436</v>
      </c>
      <c r="K893" s="1284" t="str">
        <f t="shared" si="13"/>
        <v>11</v>
      </c>
      <c r="L893" s="1246" t="s">
        <v>1496</v>
      </c>
      <c r="M893" s="1250">
        <v>9</v>
      </c>
      <c r="N893" s="1251">
        <v>9</v>
      </c>
      <c r="O893" s="1252">
        <v>1</v>
      </c>
    </row>
    <row r="894" spans="1:15">
      <c r="A894" s="1246" t="s">
        <v>1493</v>
      </c>
      <c r="B894" s="1246" t="s">
        <v>432</v>
      </c>
      <c r="C894" s="1247">
        <v>6</v>
      </c>
      <c r="E894" s="1246" t="s">
        <v>370</v>
      </c>
      <c r="F894" s="1248">
        <v>1</v>
      </c>
      <c r="G894" s="1248">
        <v>0</v>
      </c>
      <c r="H894" s="1249">
        <v>0</v>
      </c>
      <c r="J894" s="1246" t="s">
        <v>1442</v>
      </c>
      <c r="K894" s="1284" t="str">
        <f t="shared" si="13"/>
        <v>10</v>
      </c>
      <c r="L894" s="1246" t="s">
        <v>1534</v>
      </c>
      <c r="M894" s="1250">
        <v>4</v>
      </c>
      <c r="N894" s="1251">
        <v>2</v>
      </c>
      <c r="O894" s="1252">
        <v>2</v>
      </c>
    </row>
    <row r="895" spans="1:15">
      <c r="A895" s="1246" t="s">
        <v>1493</v>
      </c>
      <c r="B895" s="1246" t="s">
        <v>432</v>
      </c>
      <c r="C895" s="1247">
        <v>6</v>
      </c>
      <c r="E895" s="1246" t="s">
        <v>370</v>
      </c>
      <c r="F895" s="1248">
        <v>1</v>
      </c>
      <c r="G895" s="1248">
        <v>0</v>
      </c>
      <c r="H895" s="1249">
        <v>0</v>
      </c>
      <c r="J895" s="1246" t="s">
        <v>1437</v>
      </c>
      <c r="K895" s="1284" t="str">
        <f t="shared" si="13"/>
        <v>12</v>
      </c>
      <c r="L895" s="1246" t="s">
        <v>1529</v>
      </c>
      <c r="M895" s="1250">
        <v>9</v>
      </c>
      <c r="N895" s="1251">
        <v>1</v>
      </c>
      <c r="O895" s="1252">
        <v>1</v>
      </c>
    </row>
    <row r="896" spans="1:15">
      <c r="A896" s="1246" t="s">
        <v>1493</v>
      </c>
      <c r="B896" s="1246" t="s">
        <v>432</v>
      </c>
      <c r="C896" s="1247">
        <v>6</v>
      </c>
      <c r="E896" s="1246" t="s">
        <v>370</v>
      </c>
      <c r="F896" s="1248">
        <v>1</v>
      </c>
      <c r="G896" s="1248">
        <v>0</v>
      </c>
      <c r="H896" s="1249">
        <v>0</v>
      </c>
      <c r="J896" s="1246" t="s">
        <v>1436</v>
      </c>
      <c r="K896" s="1284" t="str">
        <f t="shared" si="13"/>
        <v>11</v>
      </c>
      <c r="L896" s="1246" t="s">
        <v>1495</v>
      </c>
      <c r="M896" s="1250">
        <v>9</v>
      </c>
      <c r="N896" s="1251">
        <v>9</v>
      </c>
      <c r="O896" s="1252">
        <v>9</v>
      </c>
    </row>
    <row r="897" spans="1:15">
      <c r="A897" s="1246" t="s">
        <v>683</v>
      </c>
      <c r="B897" s="1246" t="s">
        <v>432</v>
      </c>
      <c r="C897" s="1247">
        <v>6</v>
      </c>
      <c r="E897" s="1246" t="s">
        <v>370</v>
      </c>
      <c r="F897" s="1248">
        <v>1</v>
      </c>
      <c r="G897" s="1248">
        <v>0</v>
      </c>
      <c r="H897" s="1249">
        <v>0</v>
      </c>
      <c r="J897" s="1246" t="s">
        <v>1436</v>
      </c>
      <c r="K897" s="1284" t="str">
        <f t="shared" si="13"/>
        <v>11</v>
      </c>
      <c r="L897" s="1246" t="s">
        <v>1495</v>
      </c>
      <c r="M897" s="1250">
        <v>9</v>
      </c>
      <c r="N897" s="1251">
        <v>1</v>
      </c>
      <c r="O897" s="1252">
        <v>1</v>
      </c>
    </row>
    <row r="898" spans="1:15">
      <c r="A898" s="1246" t="s">
        <v>1493</v>
      </c>
      <c r="B898" s="1246" t="s">
        <v>432</v>
      </c>
      <c r="C898" s="1247">
        <v>6</v>
      </c>
      <c r="D898" s="1246" t="s">
        <v>1412</v>
      </c>
      <c r="E898" s="1246" t="s">
        <v>370</v>
      </c>
      <c r="F898" s="1248">
        <v>1</v>
      </c>
      <c r="G898" s="1248">
        <v>0</v>
      </c>
      <c r="H898" s="1249">
        <v>0</v>
      </c>
      <c r="J898" s="1246" t="s">
        <v>1436</v>
      </c>
      <c r="K898" s="1284" t="str">
        <f t="shared" ref="K898:K961" si="14">IF(J898="1B","10", IF(J898="2B","20",IF(J898="3B","30",IF(J898="7B",70,J898))))</f>
        <v>11</v>
      </c>
      <c r="L898" s="1246" t="s">
        <v>1495</v>
      </c>
      <c r="M898" s="1250">
        <v>9</v>
      </c>
      <c r="N898" s="1251">
        <v>1</v>
      </c>
      <c r="O898" s="1252">
        <v>1</v>
      </c>
    </row>
    <row r="899" spans="1:15">
      <c r="A899" s="1246" t="s">
        <v>683</v>
      </c>
      <c r="B899" s="1246" t="s">
        <v>432</v>
      </c>
      <c r="C899" s="1247">
        <v>6</v>
      </c>
      <c r="D899" s="1246" t="s">
        <v>1412</v>
      </c>
      <c r="E899" s="1246" t="s">
        <v>370</v>
      </c>
      <c r="F899" s="1248">
        <v>1</v>
      </c>
      <c r="G899" s="1248">
        <v>0</v>
      </c>
      <c r="H899" s="1249">
        <v>0</v>
      </c>
      <c r="J899" s="1246" t="s">
        <v>1436</v>
      </c>
      <c r="K899" s="1284" t="str">
        <f t="shared" si="14"/>
        <v>11</v>
      </c>
      <c r="L899" s="1246" t="s">
        <v>1495</v>
      </c>
      <c r="M899" s="1250">
        <v>9</v>
      </c>
      <c r="N899" s="1251">
        <v>1</v>
      </c>
      <c r="O899" s="1252">
        <v>1</v>
      </c>
    </row>
    <row r="900" spans="1:15">
      <c r="A900" s="1246" t="s">
        <v>1493</v>
      </c>
      <c r="B900" s="1246" t="s">
        <v>432</v>
      </c>
      <c r="C900" s="1247">
        <v>6</v>
      </c>
      <c r="E900" s="1246" t="s">
        <v>370</v>
      </c>
      <c r="F900" s="1248">
        <v>1</v>
      </c>
      <c r="G900" s="1248">
        <v>0</v>
      </c>
      <c r="H900" s="1249">
        <v>0</v>
      </c>
      <c r="J900" s="1246" t="s">
        <v>1397</v>
      </c>
      <c r="K900" s="1284" t="str">
        <f t="shared" si="14"/>
        <v>10</v>
      </c>
      <c r="L900" s="1246" t="s">
        <v>1536</v>
      </c>
      <c r="M900" s="1250">
        <v>9</v>
      </c>
      <c r="N900" s="1251">
        <v>1</v>
      </c>
      <c r="O900" s="1252">
        <v>1</v>
      </c>
    </row>
    <row r="901" spans="1:15">
      <c r="A901" s="1246" t="s">
        <v>683</v>
      </c>
      <c r="B901" s="1246" t="s">
        <v>432</v>
      </c>
      <c r="C901" s="1247">
        <v>6</v>
      </c>
      <c r="E901" s="1246" t="s">
        <v>370</v>
      </c>
      <c r="F901" s="1248">
        <v>1</v>
      </c>
      <c r="G901" s="1248">
        <v>0</v>
      </c>
      <c r="H901" s="1249">
        <v>0</v>
      </c>
      <c r="J901" s="1246" t="s">
        <v>1397</v>
      </c>
      <c r="K901" s="1284" t="str">
        <f t="shared" si="14"/>
        <v>10</v>
      </c>
      <c r="L901" s="1246" t="s">
        <v>1536</v>
      </c>
      <c r="M901" s="1250">
        <v>9</v>
      </c>
      <c r="N901" s="1251">
        <v>1</v>
      </c>
      <c r="O901" s="1252">
        <v>1</v>
      </c>
    </row>
    <row r="902" spans="1:15">
      <c r="A902" s="1246" t="s">
        <v>1493</v>
      </c>
      <c r="B902" s="1246" t="s">
        <v>432</v>
      </c>
      <c r="C902" s="1247">
        <v>6</v>
      </c>
      <c r="E902" s="1246" t="s">
        <v>370</v>
      </c>
      <c r="F902" s="1248">
        <v>1</v>
      </c>
      <c r="G902" s="1248">
        <v>0</v>
      </c>
      <c r="H902" s="1249">
        <v>0</v>
      </c>
      <c r="J902" s="1246" t="s">
        <v>1439</v>
      </c>
      <c r="K902" s="1284" t="str">
        <f t="shared" si="14"/>
        <v>15</v>
      </c>
      <c r="L902" s="1246" t="s">
        <v>1530</v>
      </c>
      <c r="M902" s="1250">
        <v>9</v>
      </c>
      <c r="N902" s="1251">
        <v>4</v>
      </c>
      <c r="O902" s="1252">
        <v>4</v>
      </c>
    </row>
    <row r="903" spans="1:15">
      <c r="A903" s="1246" t="s">
        <v>1493</v>
      </c>
      <c r="B903" s="1246" t="s">
        <v>432</v>
      </c>
      <c r="C903" s="1247">
        <v>6</v>
      </c>
      <c r="E903" s="1246" t="s">
        <v>370</v>
      </c>
      <c r="F903" s="1248">
        <v>1</v>
      </c>
      <c r="G903" s="1248">
        <v>0</v>
      </c>
      <c r="H903" s="1249">
        <v>0</v>
      </c>
      <c r="J903" s="1246" t="s">
        <v>1397</v>
      </c>
      <c r="K903" s="1284" t="str">
        <f t="shared" si="14"/>
        <v>10</v>
      </c>
      <c r="L903" s="1246" t="s">
        <v>1532</v>
      </c>
      <c r="M903" s="1250">
        <v>9</v>
      </c>
      <c r="N903" s="1251">
        <v>2</v>
      </c>
      <c r="O903" s="1252">
        <v>2</v>
      </c>
    </row>
    <row r="904" spans="1:15">
      <c r="A904" s="1246" t="s">
        <v>683</v>
      </c>
      <c r="B904" s="1246" t="s">
        <v>432</v>
      </c>
      <c r="C904" s="1247">
        <v>6</v>
      </c>
      <c r="E904" s="1246" t="s">
        <v>370</v>
      </c>
      <c r="F904" s="1248">
        <v>1</v>
      </c>
      <c r="G904" s="1248">
        <v>0</v>
      </c>
      <c r="H904" s="1249">
        <v>0</v>
      </c>
      <c r="J904" s="1246" t="s">
        <v>1397</v>
      </c>
      <c r="K904" s="1284" t="str">
        <f t="shared" si="14"/>
        <v>10</v>
      </c>
      <c r="L904" s="1246" t="s">
        <v>1532</v>
      </c>
      <c r="M904" s="1250">
        <v>9</v>
      </c>
      <c r="N904" s="1251">
        <v>1</v>
      </c>
      <c r="O904" s="1252">
        <v>1</v>
      </c>
    </row>
    <row r="905" spans="1:15">
      <c r="A905" s="1246" t="s">
        <v>1493</v>
      </c>
      <c r="B905" s="1246" t="s">
        <v>432</v>
      </c>
      <c r="C905" s="1247">
        <v>6</v>
      </c>
      <c r="E905" s="1246" t="s">
        <v>370</v>
      </c>
      <c r="F905" s="1248">
        <v>1</v>
      </c>
      <c r="G905" s="1248">
        <v>0</v>
      </c>
      <c r="H905" s="1249">
        <v>0</v>
      </c>
      <c r="J905" s="1246" t="s">
        <v>1438</v>
      </c>
      <c r="K905" s="1284" t="str">
        <f t="shared" si="14"/>
        <v>13</v>
      </c>
      <c r="L905" s="1246" t="s">
        <v>1533</v>
      </c>
      <c r="M905" s="1250">
        <v>9</v>
      </c>
      <c r="N905" s="1251">
        <v>4</v>
      </c>
      <c r="O905" s="1252">
        <v>4</v>
      </c>
    </row>
    <row r="906" spans="1:15">
      <c r="A906" s="1246" t="s">
        <v>1493</v>
      </c>
      <c r="B906" s="1246" t="s">
        <v>432</v>
      </c>
      <c r="C906" s="1247">
        <v>6</v>
      </c>
      <c r="E906" s="1246" t="s">
        <v>370</v>
      </c>
      <c r="F906" s="1248">
        <v>1</v>
      </c>
      <c r="G906" s="1248">
        <v>1</v>
      </c>
      <c r="H906" s="1249">
        <v>1</v>
      </c>
      <c r="I906" s="1246" t="s">
        <v>1491</v>
      </c>
      <c r="J906" s="1246" t="s">
        <v>1443</v>
      </c>
      <c r="K906" s="1284" t="str">
        <f t="shared" si="14"/>
        <v>1C</v>
      </c>
      <c r="L906" s="1246" t="s">
        <v>1502</v>
      </c>
      <c r="M906" s="1250">
        <v>4</v>
      </c>
      <c r="N906" s="1251">
        <v>11</v>
      </c>
      <c r="O906" s="1252">
        <v>11</v>
      </c>
    </row>
    <row r="907" spans="1:15">
      <c r="A907" s="1246" t="s">
        <v>1493</v>
      </c>
      <c r="B907" s="1246" t="s">
        <v>432</v>
      </c>
      <c r="C907" s="1247">
        <v>6</v>
      </c>
      <c r="E907" s="1246" t="s">
        <v>376</v>
      </c>
      <c r="F907" s="1248">
        <v>1</v>
      </c>
      <c r="G907" s="1248">
        <v>1</v>
      </c>
      <c r="H907" s="1249">
        <v>1</v>
      </c>
      <c r="I907" s="1246" t="s">
        <v>1491</v>
      </c>
      <c r="J907" s="1246" t="s">
        <v>1443</v>
      </c>
      <c r="K907" s="1284" t="str">
        <f t="shared" si="14"/>
        <v>1C</v>
      </c>
      <c r="L907" s="1246" t="s">
        <v>1502</v>
      </c>
      <c r="M907" s="1250">
        <v>4</v>
      </c>
      <c r="N907" s="1251">
        <v>1</v>
      </c>
      <c r="O907" s="1252">
        <v>1</v>
      </c>
    </row>
    <row r="908" spans="1:15">
      <c r="A908" s="1246" t="s">
        <v>1493</v>
      </c>
      <c r="B908" s="1246" t="s">
        <v>432</v>
      </c>
      <c r="C908" s="1247">
        <v>6</v>
      </c>
      <c r="D908" s="1246" t="s">
        <v>1412</v>
      </c>
      <c r="E908" s="1246" t="s">
        <v>370</v>
      </c>
      <c r="F908" s="1248">
        <v>1</v>
      </c>
      <c r="G908" s="1248">
        <v>1</v>
      </c>
      <c r="H908" s="1249">
        <v>1</v>
      </c>
      <c r="I908" s="1246" t="s">
        <v>1491</v>
      </c>
      <c r="J908" s="1246" t="s">
        <v>1443</v>
      </c>
      <c r="K908" s="1284" t="str">
        <f t="shared" si="14"/>
        <v>1C</v>
      </c>
      <c r="L908" s="1246" t="s">
        <v>1502</v>
      </c>
      <c r="M908" s="1250">
        <v>4</v>
      </c>
      <c r="N908" s="1251">
        <v>1</v>
      </c>
      <c r="O908" s="1252">
        <v>1</v>
      </c>
    </row>
    <row r="909" spans="1:15">
      <c r="A909" s="1246" t="s">
        <v>1493</v>
      </c>
      <c r="B909" s="1246" t="s">
        <v>432</v>
      </c>
      <c r="C909" s="1247">
        <v>6</v>
      </c>
      <c r="E909" s="1246" t="s">
        <v>370</v>
      </c>
      <c r="F909" s="1248">
        <v>1</v>
      </c>
      <c r="G909" s="1248">
        <v>1</v>
      </c>
      <c r="H909" s="1249">
        <v>1</v>
      </c>
      <c r="I909" s="1246" t="s">
        <v>1491</v>
      </c>
      <c r="J909" s="1246" t="s">
        <v>1442</v>
      </c>
      <c r="K909" s="1284" t="str">
        <f t="shared" si="14"/>
        <v>10</v>
      </c>
      <c r="L909" s="1246" t="s">
        <v>1534</v>
      </c>
      <c r="M909" s="1250">
        <v>4</v>
      </c>
      <c r="N909" s="1251">
        <v>3</v>
      </c>
      <c r="O909" s="1252">
        <v>3</v>
      </c>
    </row>
    <row r="910" spans="1:15">
      <c r="A910" s="1246" t="s">
        <v>1493</v>
      </c>
      <c r="B910" s="1246" t="s">
        <v>432</v>
      </c>
      <c r="C910" s="1247">
        <v>6</v>
      </c>
      <c r="E910" s="1246" t="s">
        <v>370</v>
      </c>
      <c r="F910" s="1248">
        <v>1</v>
      </c>
      <c r="G910" s="1248">
        <v>1</v>
      </c>
      <c r="H910" s="1249">
        <v>1</v>
      </c>
      <c r="I910" s="1246" t="s">
        <v>1491</v>
      </c>
      <c r="J910" s="1246" t="s">
        <v>1437</v>
      </c>
      <c r="K910" s="1284" t="str">
        <f t="shared" si="14"/>
        <v>12</v>
      </c>
      <c r="L910" s="1246" t="s">
        <v>1529</v>
      </c>
      <c r="M910" s="1250">
        <v>9</v>
      </c>
      <c r="N910" s="1251">
        <v>4</v>
      </c>
      <c r="O910" s="1252">
        <v>4</v>
      </c>
    </row>
    <row r="911" spans="1:15">
      <c r="A911" s="1246" t="s">
        <v>1493</v>
      </c>
      <c r="B911" s="1246" t="s">
        <v>432</v>
      </c>
      <c r="C911" s="1247">
        <v>6</v>
      </c>
      <c r="E911" s="1246" t="s">
        <v>376</v>
      </c>
      <c r="F911" s="1248">
        <v>1</v>
      </c>
      <c r="G911" s="1248">
        <v>1</v>
      </c>
      <c r="H911" s="1249">
        <v>1</v>
      </c>
      <c r="I911" s="1246" t="s">
        <v>1491</v>
      </c>
      <c r="J911" s="1246" t="s">
        <v>1437</v>
      </c>
      <c r="K911" s="1284" t="str">
        <f t="shared" si="14"/>
        <v>12</v>
      </c>
      <c r="L911" s="1246" t="s">
        <v>1529</v>
      </c>
      <c r="M911" s="1250">
        <v>9</v>
      </c>
      <c r="N911" s="1251">
        <v>1</v>
      </c>
      <c r="O911" s="1252">
        <v>1</v>
      </c>
    </row>
    <row r="912" spans="1:15">
      <c r="A912" s="1246" t="s">
        <v>1493</v>
      </c>
      <c r="B912" s="1246" t="s">
        <v>432</v>
      </c>
      <c r="C912" s="1247">
        <v>6</v>
      </c>
      <c r="E912" s="1246" t="s">
        <v>370</v>
      </c>
      <c r="F912" s="1248">
        <v>1</v>
      </c>
      <c r="G912" s="1248">
        <v>1</v>
      </c>
      <c r="H912" s="1249">
        <v>1</v>
      </c>
      <c r="I912" s="1246" t="s">
        <v>1491</v>
      </c>
      <c r="J912" s="1246" t="s">
        <v>1436</v>
      </c>
      <c r="K912" s="1284" t="str">
        <f t="shared" si="14"/>
        <v>11</v>
      </c>
      <c r="L912" s="1246" t="s">
        <v>1495</v>
      </c>
      <c r="M912" s="1250">
        <v>9</v>
      </c>
      <c r="N912" s="1251">
        <v>111</v>
      </c>
      <c r="O912" s="1252">
        <v>111</v>
      </c>
    </row>
    <row r="913" spans="1:15">
      <c r="A913" s="1246" t="s">
        <v>683</v>
      </c>
      <c r="B913" s="1246" t="s">
        <v>432</v>
      </c>
      <c r="C913" s="1247">
        <v>6</v>
      </c>
      <c r="E913" s="1246" t="s">
        <v>370</v>
      </c>
      <c r="F913" s="1248">
        <v>1</v>
      </c>
      <c r="G913" s="1248">
        <v>1</v>
      </c>
      <c r="H913" s="1249">
        <v>1</v>
      </c>
      <c r="I913" s="1246" t="s">
        <v>1491</v>
      </c>
      <c r="J913" s="1246" t="s">
        <v>1436</v>
      </c>
      <c r="K913" s="1284" t="str">
        <f t="shared" si="14"/>
        <v>11</v>
      </c>
      <c r="L913" s="1246" t="s">
        <v>1495</v>
      </c>
      <c r="M913" s="1250">
        <v>9</v>
      </c>
      <c r="N913" s="1251">
        <v>2</v>
      </c>
      <c r="O913" s="1252">
        <v>2</v>
      </c>
    </row>
    <row r="914" spans="1:15">
      <c r="A914" s="1246" t="s">
        <v>1493</v>
      </c>
      <c r="B914" s="1246" t="s">
        <v>432</v>
      </c>
      <c r="C914" s="1247">
        <v>6</v>
      </c>
      <c r="E914" s="1246" t="s">
        <v>373</v>
      </c>
      <c r="F914" s="1248">
        <v>1</v>
      </c>
      <c r="G914" s="1248">
        <v>1</v>
      </c>
      <c r="H914" s="1249">
        <v>1</v>
      </c>
      <c r="I914" s="1246" t="s">
        <v>1491</v>
      </c>
      <c r="J914" s="1246" t="s">
        <v>1436</v>
      </c>
      <c r="K914" s="1284" t="str">
        <f t="shared" si="14"/>
        <v>11</v>
      </c>
      <c r="L914" s="1246" t="s">
        <v>1495</v>
      </c>
      <c r="M914" s="1250">
        <v>9</v>
      </c>
      <c r="N914" s="1251">
        <v>7</v>
      </c>
      <c r="O914" s="1252">
        <v>7</v>
      </c>
    </row>
    <row r="915" spans="1:15">
      <c r="A915" s="1246" t="s">
        <v>1493</v>
      </c>
      <c r="B915" s="1246" t="s">
        <v>432</v>
      </c>
      <c r="C915" s="1247">
        <v>6</v>
      </c>
      <c r="D915" s="1246" t="s">
        <v>1412</v>
      </c>
      <c r="E915" s="1246" t="s">
        <v>370</v>
      </c>
      <c r="F915" s="1248">
        <v>1</v>
      </c>
      <c r="G915" s="1248">
        <v>1</v>
      </c>
      <c r="H915" s="1249">
        <v>1</v>
      </c>
      <c r="I915" s="1246" t="s">
        <v>1491</v>
      </c>
      <c r="J915" s="1246" t="s">
        <v>1436</v>
      </c>
      <c r="K915" s="1284" t="str">
        <f t="shared" si="14"/>
        <v>11</v>
      </c>
      <c r="L915" s="1246" t="s">
        <v>1495</v>
      </c>
      <c r="M915" s="1250">
        <v>9</v>
      </c>
      <c r="N915" s="1251">
        <v>5</v>
      </c>
      <c r="O915" s="1252">
        <v>5</v>
      </c>
    </row>
    <row r="916" spans="1:15">
      <c r="A916" s="1246" t="s">
        <v>1493</v>
      </c>
      <c r="B916" s="1246" t="s">
        <v>432</v>
      </c>
      <c r="C916" s="1247">
        <v>6</v>
      </c>
      <c r="D916" s="1246" t="s">
        <v>1412</v>
      </c>
      <c r="E916" s="1246" t="s">
        <v>370</v>
      </c>
      <c r="F916" s="1248">
        <v>1</v>
      </c>
      <c r="G916" s="1248">
        <v>1</v>
      </c>
      <c r="H916" s="1249">
        <v>1</v>
      </c>
      <c r="I916" s="1246" t="s">
        <v>1491</v>
      </c>
      <c r="J916" s="1246" t="s">
        <v>1397</v>
      </c>
      <c r="K916" s="1284" t="str">
        <f t="shared" si="14"/>
        <v>10</v>
      </c>
      <c r="L916" s="1246" t="s">
        <v>1536</v>
      </c>
      <c r="M916" s="1250">
        <v>9</v>
      </c>
      <c r="N916" s="1251">
        <v>1</v>
      </c>
      <c r="O916" s="1252">
        <v>1</v>
      </c>
    </row>
    <row r="917" spans="1:15">
      <c r="A917" s="1246" t="s">
        <v>1493</v>
      </c>
      <c r="B917" s="1246" t="s">
        <v>432</v>
      </c>
      <c r="C917" s="1247">
        <v>6</v>
      </c>
      <c r="E917" s="1246" t="s">
        <v>370</v>
      </c>
      <c r="F917" s="1248">
        <v>1</v>
      </c>
      <c r="G917" s="1248">
        <v>1</v>
      </c>
      <c r="H917" s="1249">
        <v>1</v>
      </c>
      <c r="I917" s="1246" t="s">
        <v>1491</v>
      </c>
      <c r="J917" s="1246" t="s">
        <v>1397</v>
      </c>
      <c r="K917" s="1284" t="str">
        <f t="shared" si="14"/>
        <v>10</v>
      </c>
      <c r="L917" s="1246" t="s">
        <v>1536</v>
      </c>
      <c r="M917" s="1250">
        <v>9</v>
      </c>
      <c r="N917" s="1251">
        <v>2</v>
      </c>
      <c r="O917" s="1252">
        <v>2</v>
      </c>
    </row>
    <row r="918" spans="1:15">
      <c r="A918" s="1246" t="s">
        <v>1493</v>
      </c>
      <c r="B918" s="1246" t="s">
        <v>432</v>
      </c>
      <c r="C918" s="1247">
        <v>6</v>
      </c>
      <c r="D918" s="1246" t="s">
        <v>1412</v>
      </c>
      <c r="E918" s="1246" t="s">
        <v>370</v>
      </c>
      <c r="F918" s="1248">
        <v>1</v>
      </c>
      <c r="G918" s="1248">
        <v>1</v>
      </c>
      <c r="H918" s="1249">
        <v>1</v>
      </c>
      <c r="I918" s="1246" t="s">
        <v>1491</v>
      </c>
      <c r="J918" s="1246" t="s">
        <v>1439</v>
      </c>
      <c r="K918" s="1284" t="str">
        <f t="shared" si="14"/>
        <v>15</v>
      </c>
      <c r="L918" s="1246" t="s">
        <v>1530</v>
      </c>
      <c r="M918" s="1250">
        <v>9</v>
      </c>
      <c r="N918" s="1251">
        <v>1</v>
      </c>
      <c r="O918" s="1252">
        <v>1</v>
      </c>
    </row>
    <row r="919" spans="1:15">
      <c r="A919" s="1246" t="s">
        <v>1493</v>
      </c>
      <c r="B919" s="1246" t="s">
        <v>432</v>
      </c>
      <c r="C919" s="1247">
        <v>6</v>
      </c>
      <c r="E919" s="1246" t="s">
        <v>370</v>
      </c>
      <c r="F919" s="1248">
        <v>1</v>
      </c>
      <c r="G919" s="1248">
        <v>1</v>
      </c>
      <c r="H919" s="1249">
        <v>1</v>
      </c>
      <c r="I919" s="1246" t="s">
        <v>1491</v>
      </c>
      <c r="J919" s="1246" t="s">
        <v>1439</v>
      </c>
      <c r="K919" s="1284" t="str">
        <f t="shared" si="14"/>
        <v>15</v>
      </c>
      <c r="L919" s="1246" t="s">
        <v>1530</v>
      </c>
      <c r="M919" s="1250">
        <v>9</v>
      </c>
      <c r="N919" s="1251">
        <v>4</v>
      </c>
      <c r="O919" s="1252">
        <v>4</v>
      </c>
    </row>
    <row r="920" spans="1:15">
      <c r="A920" s="1246" t="s">
        <v>1493</v>
      </c>
      <c r="B920" s="1246" t="s">
        <v>432</v>
      </c>
      <c r="C920" s="1247">
        <v>6</v>
      </c>
      <c r="E920" s="1246" t="s">
        <v>376</v>
      </c>
      <c r="F920" s="1248">
        <v>1</v>
      </c>
      <c r="G920" s="1248">
        <v>1</v>
      </c>
      <c r="H920" s="1249">
        <v>1</v>
      </c>
      <c r="I920" s="1246" t="s">
        <v>1491</v>
      </c>
      <c r="J920" s="1246" t="s">
        <v>1441</v>
      </c>
      <c r="K920" s="1284" t="str">
        <f t="shared" si="14"/>
        <v>1A</v>
      </c>
      <c r="L920" s="1246" t="s">
        <v>1531</v>
      </c>
      <c r="M920" s="1250">
        <v>9</v>
      </c>
      <c r="N920" s="1251">
        <v>1</v>
      </c>
      <c r="O920" s="1252">
        <v>1</v>
      </c>
    </row>
    <row r="921" spans="1:15">
      <c r="A921" s="1246" t="s">
        <v>1493</v>
      </c>
      <c r="B921" s="1246" t="s">
        <v>432</v>
      </c>
      <c r="C921" s="1247">
        <v>6</v>
      </c>
      <c r="E921" s="1246" t="s">
        <v>370</v>
      </c>
      <c r="F921" s="1248">
        <v>1</v>
      </c>
      <c r="G921" s="1248">
        <v>1</v>
      </c>
      <c r="H921" s="1249">
        <v>1</v>
      </c>
      <c r="I921" s="1246" t="s">
        <v>1491</v>
      </c>
      <c r="J921" s="1246" t="s">
        <v>1397</v>
      </c>
      <c r="K921" s="1284" t="str">
        <f t="shared" si="14"/>
        <v>10</v>
      </c>
      <c r="L921" s="1246" t="s">
        <v>1532</v>
      </c>
      <c r="M921" s="1250">
        <v>9</v>
      </c>
      <c r="N921" s="1251">
        <v>6</v>
      </c>
      <c r="O921" s="1252">
        <v>6</v>
      </c>
    </row>
    <row r="922" spans="1:15">
      <c r="A922" s="1246" t="s">
        <v>1493</v>
      </c>
      <c r="B922" s="1246" t="s">
        <v>432</v>
      </c>
      <c r="C922" s="1247">
        <v>6</v>
      </c>
      <c r="E922" s="1246" t="s">
        <v>376</v>
      </c>
      <c r="F922" s="1248">
        <v>1</v>
      </c>
      <c r="G922" s="1248">
        <v>1</v>
      </c>
      <c r="H922" s="1249">
        <v>1</v>
      </c>
      <c r="I922" s="1246" t="s">
        <v>1491</v>
      </c>
      <c r="J922" s="1246" t="s">
        <v>1397</v>
      </c>
      <c r="K922" s="1284" t="str">
        <f t="shared" si="14"/>
        <v>10</v>
      </c>
      <c r="L922" s="1246" t="s">
        <v>1532</v>
      </c>
      <c r="M922" s="1250">
        <v>9</v>
      </c>
      <c r="N922" s="1251">
        <v>6</v>
      </c>
      <c r="O922" s="1252">
        <v>6</v>
      </c>
    </row>
    <row r="923" spans="1:15">
      <c r="A923" s="1246" t="s">
        <v>1493</v>
      </c>
      <c r="B923" s="1246" t="s">
        <v>432</v>
      </c>
      <c r="C923" s="1247">
        <v>6</v>
      </c>
      <c r="E923" s="1246" t="s">
        <v>370</v>
      </c>
      <c r="F923" s="1248">
        <v>1</v>
      </c>
      <c r="G923" s="1248">
        <v>1</v>
      </c>
      <c r="H923" s="1249">
        <v>1</v>
      </c>
      <c r="I923" s="1246" t="s">
        <v>1491</v>
      </c>
      <c r="J923" s="1246" t="s">
        <v>1438</v>
      </c>
      <c r="K923" s="1284" t="str">
        <f t="shared" si="14"/>
        <v>13</v>
      </c>
      <c r="L923" s="1246" t="s">
        <v>1533</v>
      </c>
      <c r="M923" s="1250">
        <v>9</v>
      </c>
      <c r="N923" s="1251">
        <v>11</v>
      </c>
      <c r="O923" s="1252">
        <v>11</v>
      </c>
    </row>
    <row r="924" spans="1:15">
      <c r="A924" s="1246" t="s">
        <v>1493</v>
      </c>
      <c r="B924" s="1246" t="s">
        <v>432</v>
      </c>
      <c r="C924" s="1247">
        <v>6</v>
      </c>
      <c r="E924" s="1246" t="s">
        <v>376</v>
      </c>
      <c r="F924" s="1248">
        <v>1</v>
      </c>
      <c r="G924" s="1248">
        <v>1</v>
      </c>
      <c r="H924" s="1249">
        <v>1</v>
      </c>
      <c r="I924" s="1246" t="s">
        <v>1491</v>
      </c>
      <c r="J924" s="1246" t="s">
        <v>1436</v>
      </c>
      <c r="K924" s="1284" t="str">
        <f t="shared" si="14"/>
        <v>11</v>
      </c>
      <c r="L924" s="1246" t="s">
        <v>1496</v>
      </c>
      <c r="M924" s="1250">
        <v>9</v>
      </c>
      <c r="N924" s="1251">
        <v>25</v>
      </c>
      <c r="O924" s="1252">
        <v>25</v>
      </c>
    </row>
    <row r="925" spans="1:15">
      <c r="A925" s="1246" t="s">
        <v>1493</v>
      </c>
      <c r="B925" s="1246" t="s">
        <v>432</v>
      </c>
      <c r="C925" s="1247">
        <v>6</v>
      </c>
      <c r="D925" s="1246" t="s">
        <v>1412</v>
      </c>
      <c r="E925" s="1246" t="s">
        <v>370</v>
      </c>
      <c r="F925" s="1248">
        <v>1</v>
      </c>
      <c r="G925" s="1248">
        <v>1</v>
      </c>
      <c r="H925" s="1249">
        <v>2</v>
      </c>
      <c r="I925" s="1246" t="s">
        <v>1491</v>
      </c>
      <c r="J925" s="1246" t="s">
        <v>1436</v>
      </c>
      <c r="K925" s="1284" t="str">
        <f t="shared" si="14"/>
        <v>11</v>
      </c>
      <c r="L925" s="1246" t="s">
        <v>1495</v>
      </c>
      <c r="M925" s="1250">
        <v>9</v>
      </c>
      <c r="N925" s="1251">
        <v>1</v>
      </c>
      <c r="O925" s="1252">
        <v>1</v>
      </c>
    </row>
    <row r="926" spans="1:15">
      <c r="A926" s="1246" t="s">
        <v>1493</v>
      </c>
      <c r="B926" s="1246" t="s">
        <v>432</v>
      </c>
      <c r="C926" s="1247">
        <v>6</v>
      </c>
      <c r="D926" s="1246" t="s">
        <v>1412</v>
      </c>
      <c r="E926" s="1246" t="s">
        <v>370</v>
      </c>
      <c r="F926" s="1248">
        <v>1</v>
      </c>
      <c r="G926" s="1248">
        <v>2</v>
      </c>
      <c r="H926" s="1249">
        <v>1</v>
      </c>
      <c r="I926" s="1246" t="s">
        <v>1491</v>
      </c>
      <c r="J926" s="1246" t="s">
        <v>1443</v>
      </c>
      <c r="K926" s="1284" t="str">
        <f t="shared" si="14"/>
        <v>1C</v>
      </c>
      <c r="L926" s="1246" t="s">
        <v>1502</v>
      </c>
      <c r="M926" s="1250">
        <v>4</v>
      </c>
      <c r="N926" s="1251">
        <v>1</v>
      </c>
      <c r="O926" s="1252">
        <v>1</v>
      </c>
    </row>
    <row r="927" spans="1:15">
      <c r="A927" s="1246" t="s">
        <v>1493</v>
      </c>
      <c r="B927" s="1246" t="s">
        <v>432</v>
      </c>
      <c r="C927" s="1247">
        <v>6</v>
      </c>
      <c r="E927" s="1246" t="s">
        <v>370</v>
      </c>
      <c r="F927" s="1248">
        <v>1</v>
      </c>
      <c r="G927" s="1248">
        <v>2</v>
      </c>
      <c r="H927" s="1249">
        <v>1</v>
      </c>
      <c r="I927" s="1246" t="s">
        <v>1491</v>
      </c>
      <c r="J927" s="1246" t="s">
        <v>1443</v>
      </c>
      <c r="K927" s="1284" t="str">
        <f t="shared" si="14"/>
        <v>1C</v>
      </c>
      <c r="L927" s="1246" t="s">
        <v>1502</v>
      </c>
      <c r="M927" s="1250">
        <v>4</v>
      </c>
      <c r="N927" s="1251">
        <v>1</v>
      </c>
      <c r="O927" s="1252">
        <v>1</v>
      </c>
    </row>
    <row r="928" spans="1:15">
      <c r="A928" s="1246" t="s">
        <v>1493</v>
      </c>
      <c r="B928" s="1246" t="s">
        <v>432</v>
      </c>
      <c r="C928" s="1247">
        <v>6</v>
      </c>
      <c r="E928" s="1246" t="s">
        <v>376</v>
      </c>
      <c r="F928" s="1248">
        <v>1</v>
      </c>
      <c r="G928" s="1248">
        <v>2</v>
      </c>
      <c r="H928" s="1249">
        <v>1</v>
      </c>
      <c r="I928" s="1246" t="s">
        <v>1491</v>
      </c>
      <c r="J928" s="1246" t="s">
        <v>1443</v>
      </c>
      <c r="K928" s="1284" t="str">
        <f t="shared" si="14"/>
        <v>1C</v>
      </c>
      <c r="L928" s="1246" t="s">
        <v>1502</v>
      </c>
      <c r="M928" s="1250">
        <v>4</v>
      </c>
      <c r="N928" s="1251">
        <v>3</v>
      </c>
      <c r="O928" s="1252">
        <v>3</v>
      </c>
    </row>
    <row r="929" spans="1:15">
      <c r="A929" s="1246" t="s">
        <v>1493</v>
      </c>
      <c r="B929" s="1246" t="s">
        <v>432</v>
      </c>
      <c r="C929" s="1247">
        <v>6</v>
      </c>
      <c r="E929" s="1246" t="s">
        <v>376</v>
      </c>
      <c r="F929" s="1248">
        <v>1</v>
      </c>
      <c r="G929" s="1248">
        <v>2</v>
      </c>
      <c r="H929" s="1249">
        <v>1</v>
      </c>
      <c r="I929" s="1246" t="s">
        <v>1491</v>
      </c>
      <c r="J929" s="1246" t="s">
        <v>1442</v>
      </c>
      <c r="K929" s="1284" t="str">
        <f t="shared" si="14"/>
        <v>10</v>
      </c>
      <c r="L929" s="1246" t="s">
        <v>1542</v>
      </c>
      <c r="M929" s="1250">
        <v>6</v>
      </c>
      <c r="N929" s="1251">
        <v>1</v>
      </c>
      <c r="O929" s="1252">
        <v>1</v>
      </c>
    </row>
    <row r="930" spans="1:15">
      <c r="A930" s="1246" t="s">
        <v>1493</v>
      </c>
      <c r="B930" s="1246" t="s">
        <v>432</v>
      </c>
      <c r="C930" s="1247">
        <v>6</v>
      </c>
      <c r="E930" s="1246" t="s">
        <v>373</v>
      </c>
      <c r="F930" s="1248">
        <v>1</v>
      </c>
      <c r="G930" s="1248">
        <v>2</v>
      </c>
      <c r="H930" s="1249">
        <v>1</v>
      </c>
      <c r="I930" s="1246" t="s">
        <v>1491</v>
      </c>
      <c r="J930" s="1246" t="s">
        <v>1436</v>
      </c>
      <c r="K930" s="1284" t="str">
        <f t="shared" si="14"/>
        <v>11</v>
      </c>
      <c r="L930" s="1246" t="s">
        <v>1495</v>
      </c>
      <c r="M930" s="1250">
        <v>9</v>
      </c>
      <c r="N930" s="1251">
        <v>8</v>
      </c>
      <c r="O930" s="1252">
        <v>8</v>
      </c>
    </row>
    <row r="931" spans="1:15">
      <c r="A931" s="1246" t="s">
        <v>1493</v>
      </c>
      <c r="B931" s="1246" t="s">
        <v>432</v>
      </c>
      <c r="C931" s="1247">
        <v>6</v>
      </c>
      <c r="D931" s="1246" t="s">
        <v>1412</v>
      </c>
      <c r="E931" s="1246" t="s">
        <v>370</v>
      </c>
      <c r="F931" s="1248">
        <v>1</v>
      </c>
      <c r="G931" s="1248">
        <v>2</v>
      </c>
      <c r="H931" s="1249">
        <v>1</v>
      </c>
      <c r="I931" s="1246" t="s">
        <v>1491</v>
      </c>
      <c r="J931" s="1246" t="s">
        <v>1436</v>
      </c>
      <c r="K931" s="1284" t="str">
        <f t="shared" si="14"/>
        <v>11</v>
      </c>
      <c r="L931" s="1246" t="s">
        <v>1495</v>
      </c>
      <c r="M931" s="1250">
        <v>9</v>
      </c>
      <c r="N931" s="1251">
        <v>2</v>
      </c>
      <c r="O931" s="1252">
        <v>2</v>
      </c>
    </row>
    <row r="932" spans="1:15">
      <c r="A932" s="1246" t="s">
        <v>1493</v>
      </c>
      <c r="B932" s="1246" t="s">
        <v>432</v>
      </c>
      <c r="C932" s="1247">
        <v>6</v>
      </c>
      <c r="E932" s="1246" t="s">
        <v>370</v>
      </c>
      <c r="F932" s="1248">
        <v>1</v>
      </c>
      <c r="G932" s="1248">
        <v>2</v>
      </c>
      <c r="H932" s="1249">
        <v>1</v>
      </c>
      <c r="I932" s="1246" t="s">
        <v>1491</v>
      </c>
      <c r="J932" s="1246" t="s">
        <v>1436</v>
      </c>
      <c r="K932" s="1284" t="str">
        <f t="shared" si="14"/>
        <v>11</v>
      </c>
      <c r="L932" s="1246" t="s">
        <v>1495</v>
      </c>
      <c r="M932" s="1250">
        <v>9</v>
      </c>
      <c r="N932" s="1251">
        <v>48</v>
      </c>
      <c r="O932" s="1252">
        <v>48</v>
      </c>
    </row>
    <row r="933" spans="1:15">
      <c r="A933" s="1246" t="s">
        <v>1493</v>
      </c>
      <c r="B933" s="1246" t="s">
        <v>432</v>
      </c>
      <c r="C933" s="1247">
        <v>6</v>
      </c>
      <c r="D933" s="1246" t="s">
        <v>1412</v>
      </c>
      <c r="E933" s="1246" t="s">
        <v>373</v>
      </c>
      <c r="F933" s="1248">
        <v>1</v>
      </c>
      <c r="G933" s="1248">
        <v>2</v>
      </c>
      <c r="H933" s="1249">
        <v>1</v>
      </c>
      <c r="I933" s="1246" t="s">
        <v>1491</v>
      </c>
      <c r="J933" s="1246" t="s">
        <v>1436</v>
      </c>
      <c r="K933" s="1284" t="str">
        <f t="shared" si="14"/>
        <v>11</v>
      </c>
      <c r="L933" s="1246" t="s">
        <v>1495</v>
      </c>
      <c r="M933" s="1250">
        <v>9</v>
      </c>
      <c r="N933" s="1251">
        <v>2</v>
      </c>
      <c r="O933" s="1252">
        <v>2</v>
      </c>
    </row>
    <row r="934" spans="1:15">
      <c r="A934" s="1246" t="s">
        <v>683</v>
      </c>
      <c r="B934" s="1246" t="s">
        <v>432</v>
      </c>
      <c r="C934" s="1247">
        <v>6</v>
      </c>
      <c r="E934" s="1246" t="s">
        <v>370</v>
      </c>
      <c r="F934" s="1248">
        <v>1</v>
      </c>
      <c r="G934" s="1248">
        <v>2</v>
      </c>
      <c r="H934" s="1249">
        <v>1</v>
      </c>
      <c r="I934" s="1246" t="s">
        <v>1491</v>
      </c>
      <c r="J934" s="1246" t="s">
        <v>1436</v>
      </c>
      <c r="K934" s="1284" t="str">
        <f t="shared" si="14"/>
        <v>11</v>
      </c>
      <c r="L934" s="1246" t="s">
        <v>1495</v>
      </c>
      <c r="M934" s="1250">
        <v>9</v>
      </c>
      <c r="N934" s="1251">
        <v>1</v>
      </c>
      <c r="O934" s="1252">
        <v>1</v>
      </c>
    </row>
    <row r="935" spans="1:15">
      <c r="A935" s="1246" t="s">
        <v>1493</v>
      </c>
      <c r="B935" s="1246" t="s">
        <v>432</v>
      </c>
      <c r="C935" s="1247">
        <v>6</v>
      </c>
      <c r="E935" s="1246" t="s">
        <v>370</v>
      </c>
      <c r="F935" s="1248">
        <v>1</v>
      </c>
      <c r="G935" s="1248">
        <v>2</v>
      </c>
      <c r="H935" s="1249">
        <v>1</v>
      </c>
      <c r="I935" s="1246" t="s">
        <v>1491</v>
      </c>
      <c r="J935" s="1246" t="s">
        <v>1440</v>
      </c>
      <c r="K935" s="1284" t="str">
        <f t="shared" si="14"/>
        <v>16</v>
      </c>
      <c r="L935" s="1246" t="s">
        <v>1538</v>
      </c>
      <c r="M935" s="1250">
        <v>9</v>
      </c>
      <c r="N935" s="1251">
        <v>2</v>
      </c>
      <c r="O935" s="1252">
        <v>2</v>
      </c>
    </row>
    <row r="936" spans="1:15">
      <c r="A936" s="1246" t="s">
        <v>1493</v>
      </c>
      <c r="B936" s="1246" t="s">
        <v>432</v>
      </c>
      <c r="C936" s="1247">
        <v>6</v>
      </c>
      <c r="E936" s="1246" t="s">
        <v>373</v>
      </c>
      <c r="F936" s="1248">
        <v>1</v>
      </c>
      <c r="G936" s="1248">
        <v>2</v>
      </c>
      <c r="H936" s="1249">
        <v>1</v>
      </c>
      <c r="I936" s="1246" t="s">
        <v>1491</v>
      </c>
      <c r="J936" s="1246" t="s">
        <v>1439</v>
      </c>
      <c r="K936" s="1284" t="str">
        <f t="shared" si="14"/>
        <v>15</v>
      </c>
      <c r="L936" s="1246" t="s">
        <v>1530</v>
      </c>
      <c r="M936" s="1250">
        <v>9</v>
      </c>
      <c r="N936" s="1251">
        <v>1</v>
      </c>
      <c r="O936" s="1252">
        <v>1</v>
      </c>
    </row>
    <row r="937" spans="1:15">
      <c r="A937" s="1246" t="s">
        <v>1493</v>
      </c>
      <c r="B937" s="1246" t="s">
        <v>432</v>
      </c>
      <c r="C937" s="1247">
        <v>6</v>
      </c>
      <c r="E937" s="1246" t="s">
        <v>370</v>
      </c>
      <c r="F937" s="1248">
        <v>1</v>
      </c>
      <c r="G937" s="1248">
        <v>2</v>
      </c>
      <c r="H937" s="1249">
        <v>1</v>
      </c>
      <c r="I937" s="1246" t="s">
        <v>1491</v>
      </c>
      <c r="J937" s="1246" t="s">
        <v>1439</v>
      </c>
      <c r="K937" s="1284" t="str">
        <f t="shared" si="14"/>
        <v>15</v>
      </c>
      <c r="L937" s="1246" t="s">
        <v>1530</v>
      </c>
      <c r="M937" s="1250">
        <v>9</v>
      </c>
      <c r="N937" s="1251">
        <v>4</v>
      </c>
      <c r="O937" s="1252">
        <v>4</v>
      </c>
    </row>
    <row r="938" spans="1:15">
      <c r="A938" s="1246" t="s">
        <v>1493</v>
      </c>
      <c r="B938" s="1246" t="s">
        <v>432</v>
      </c>
      <c r="C938" s="1247">
        <v>6</v>
      </c>
      <c r="E938" s="1246" t="s">
        <v>370</v>
      </c>
      <c r="F938" s="1248">
        <v>1</v>
      </c>
      <c r="G938" s="1248">
        <v>2</v>
      </c>
      <c r="H938" s="1249">
        <v>1</v>
      </c>
      <c r="I938" s="1246" t="s">
        <v>1491</v>
      </c>
      <c r="J938" s="1246" t="s">
        <v>1397</v>
      </c>
      <c r="K938" s="1284" t="str">
        <f t="shared" si="14"/>
        <v>10</v>
      </c>
      <c r="L938" s="1246" t="s">
        <v>1532</v>
      </c>
      <c r="M938" s="1250">
        <v>9</v>
      </c>
      <c r="N938" s="1251">
        <v>2</v>
      </c>
      <c r="O938" s="1252">
        <v>2</v>
      </c>
    </row>
    <row r="939" spans="1:15">
      <c r="A939" s="1246" t="s">
        <v>1493</v>
      </c>
      <c r="B939" s="1246" t="s">
        <v>432</v>
      </c>
      <c r="C939" s="1247">
        <v>6</v>
      </c>
      <c r="E939" s="1246" t="s">
        <v>376</v>
      </c>
      <c r="F939" s="1248">
        <v>1</v>
      </c>
      <c r="G939" s="1248">
        <v>2</v>
      </c>
      <c r="H939" s="1249">
        <v>1</v>
      </c>
      <c r="I939" s="1246" t="s">
        <v>1491</v>
      </c>
      <c r="J939" s="1246" t="s">
        <v>1397</v>
      </c>
      <c r="K939" s="1284" t="str">
        <f t="shared" si="14"/>
        <v>10</v>
      </c>
      <c r="L939" s="1246" t="s">
        <v>1532</v>
      </c>
      <c r="M939" s="1250">
        <v>9</v>
      </c>
      <c r="N939" s="1251">
        <v>1</v>
      </c>
      <c r="O939" s="1252">
        <v>1</v>
      </c>
    </row>
    <row r="940" spans="1:15">
      <c r="A940" s="1246" t="s">
        <v>1493</v>
      </c>
      <c r="B940" s="1246" t="s">
        <v>432</v>
      </c>
      <c r="C940" s="1247">
        <v>6</v>
      </c>
      <c r="E940" s="1246" t="s">
        <v>373</v>
      </c>
      <c r="F940" s="1248">
        <v>1</v>
      </c>
      <c r="G940" s="1248">
        <v>2</v>
      </c>
      <c r="H940" s="1249">
        <v>1</v>
      </c>
      <c r="I940" s="1246" t="s">
        <v>1491</v>
      </c>
      <c r="J940" s="1246" t="s">
        <v>1438</v>
      </c>
      <c r="K940" s="1284" t="str">
        <f t="shared" si="14"/>
        <v>13</v>
      </c>
      <c r="L940" s="1246" t="s">
        <v>1533</v>
      </c>
      <c r="M940" s="1250">
        <v>9</v>
      </c>
      <c r="N940" s="1251">
        <v>1</v>
      </c>
      <c r="O940" s="1252">
        <v>1</v>
      </c>
    </row>
    <row r="941" spans="1:15">
      <c r="A941" s="1246" t="s">
        <v>1493</v>
      </c>
      <c r="B941" s="1246" t="s">
        <v>432</v>
      </c>
      <c r="C941" s="1247">
        <v>6</v>
      </c>
      <c r="E941" s="1246" t="s">
        <v>370</v>
      </c>
      <c r="F941" s="1248">
        <v>1</v>
      </c>
      <c r="G941" s="1248">
        <v>2</v>
      </c>
      <c r="H941" s="1249">
        <v>1</v>
      </c>
      <c r="I941" s="1246" t="s">
        <v>1491</v>
      </c>
      <c r="J941" s="1246" t="s">
        <v>1438</v>
      </c>
      <c r="K941" s="1284" t="str">
        <f t="shared" si="14"/>
        <v>13</v>
      </c>
      <c r="L941" s="1246" t="s">
        <v>1533</v>
      </c>
      <c r="M941" s="1250">
        <v>9</v>
      </c>
      <c r="N941" s="1251">
        <v>6</v>
      </c>
      <c r="O941" s="1252">
        <v>6</v>
      </c>
    </row>
    <row r="942" spans="1:15">
      <c r="A942" s="1246" t="s">
        <v>1493</v>
      </c>
      <c r="B942" s="1246" t="s">
        <v>432</v>
      </c>
      <c r="C942" s="1247">
        <v>6</v>
      </c>
      <c r="E942" s="1246" t="s">
        <v>376</v>
      </c>
      <c r="F942" s="1248">
        <v>1</v>
      </c>
      <c r="G942" s="1248">
        <v>2</v>
      </c>
      <c r="H942" s="1249">
        <v>1</v>
      </c>
      <c r="I942" s="1246" t="s">
        <v>1491</v>
      </c>
      <c r="J942" s="1246" t="s">
        <v>1436</v>
      </c>
      <c r="K942" s="1284" t="str">
        <f t="shared" si="14"/>
        <v>11</v>
      </c>
      <c r="L942" s="1246" t="s">
        <v>1496</v>
      </c>
      <c r="M942" s="1250">
        <v>9</v>
      </c>
      <c r="N942" s="1251">
        <v>11</v>
      </c>
      <c r="O942" s="1252">
        <v>11</v>
      </c>
    </row>
    <row r="943" spans="1:15">
      <c r="A943" s="1246" t="s">
        <v>1493</v>
      </c>
      <c r="B943" s="1246" t="s">
        <v>432</v>
      </c>
      <c r="C943" s="1247">
        <v>6</v>
      </c>
      <c r="E943" s="1246" t="s">
        <v>370</v>
      </c>
      <c r="F943" s="1248">
        <v>1</v>
      </c>
      <c r="G943" s="1248">
        <v>3</v>
      </c>
      <c r="H943" s="1249">
        <v>1</v>
      </c>
      <c r="I943" s="1246" t="s">
        <v>1491</v>
      </c>
      <c r="J943" s="1246" t="s">
        <v>1443</v>
      </c>
      <c r="K943" s="1284" t="str">
        <f t="shared" si="14"/>
        <v>1C</v>
      </c>
      <c r="L943" s="1246" t="s">
        <v>1502</v>
      </c>
      <c r="M943" s="1250">
        <v>4</v>
      </c>
      <c r="N943" s="1251">
        <v>1</v>
      </c>
      <c r="O943" s="1252">
        <v>1</v>
      </c>
    </row>
    <row r="944" spans="1:15">
      <c r="A944" s="1246" t="s">
        <v>1493</v>
      </c>
      <c r="B944" s="1246" t="s">
        <v>432</v>
      </c>
      <c r="C944" s="1247">
        <v>6</v>
      </c>
      <c r="E944" s="1246" t="s">
        <v>370</v>
      </c>
      <c r="F944" s="1248">
        <v>1</v>
      </c>
      <c r="G944" s="1248">
        <v>3</v>
      </c>
      <c r="H944" s="1249">
        <v>1</v>
      </c>
      <c r="I944" s="1246" t="s">
        <v>1491</v>
      </c>
      <c r="J944" s="1246" t="s">
        <v>1436</v>
      </c>
      <c r="K944" s="1284" t="str">
        <f t="shared" si="14"/>
        <v>11</v>
      </c>
      <c r="L944" s="1246" t="s">
        <v>1495</v>
      </c>
      <c r="M944" s="1250">
        <v>9</v>
      </c>
      <c r="N944" s="1251">
        <v>17</v>
      </c>
      <c r="O944" s="1252">
        <v>17</v>
      </c>
    </row>
    <row r="945" spans="1:15">
      <c r="A945" s="1246" t="s">
        <v>683</v>
      </c>
      <c r="B945" s="1246" t="s">
        <v>432</v>
      </c>
      <c r="C945" s="1247">
        <v>6</v>
      </c>
      <c r="E945" s="1246" t="s">
        <v>370</v>
      </c>
      <c r="F945" s="1248">
        <v>1</v>
      </c>
      <c r="G945" s="1248">
        <v>3</v>
      </c>
      <c r="H945" s="1249">
        <v>1</v>
      </c>
      <c r="I945" s="1246" t="s">
        <v>1491</v>
      </c>
      <c r="J945" s="1246" t="s">
        <v>1436</v>
      </c>
      <c r="K945" s="1284" t="str">
        <f t="shared" si="14"/>
        <v>11</v>
      </c>
      <c r="L945" s="1246" t="s">
        <v>1495</v>
      </c>
      <c r="M945" s="1250">
        <v>9</v>
      </c>
      <c r="N945" s="1251">
        <v>1</v>
      </c>
      <c r="O945" s="1252">
        <v>1</v>
      </c>
    </row>
    <row r="946" spans="1:15">
      <c r="A946" s="1246" t="s">
        <v>1493</v>
      </c>
      <c r="B946" s="1246" t="s">
        <v>432</v>
      </c>
      <c r="C946" s="1247">
        <v>6</v>
      </c>
      <c r="E946" s="1246" t="s">
        <v>370</v>
      </c>
      <c r="F946" s="1248">
        <v>1</v>
      </c>
      <c r="G946" s="1248">
        <v>3</v>
      </c>
      <c r="H946" s="1249">
        <v>1</v>
      </c>
      <c r="I946" s="1246" t="s">
        <v>1491</v>
      </c>
      <c r="J946" s="1246" t="s">
        <v>1438</v>
      </c>
      <c r="K946" s="1284" t="str">
        <f t="shared" si="14"/>
        <v>13</v>
      </c>
      <c r="L946" s="1246" t="s">
        <v>1533</v>
      </c>
      <c r="M946" s="1250">
        <v>9</v>
      </c>
      <c r="N946" s="1251">
        <v>2</v>
      </c>
      <c r="O946" s="1252">
        <v>2</v>
      </c>
    </row>
    <row r="947" spans="1:15">
      <c r="A947" s="1246" t="s">
        <v>1493</v>
      </c>
      <c r="B947" s="1246" t="s">
        <v>432</v>
      </c>
      <c r="C947" s="1247">
        <v>6</v>
      </c>
      <c r="E947" s="1246" t="s">
        <v>376</v>
      </c>
      <c r="F947" s="1248">
        <v>1</v>
      </c>
      <c r="G947" s="1248">
        <v>3</v>
      </c>
      <c r="H947" s="1249">
        <v>1</v>
      </c>
      <c r="I947" s="1246" t="s">
        <v>1491</v>
      </c>
      <c r="J947" s="1246" t="s">
        <v>1436</v>
      </c>
      <c r="K947" s="1284" t="str">
        <f t="shared" si="14"/>
        <v>11</v>
      </c>
      <c r="L947" s="1246" t="s">
        <v>1496</v>
      </c>
      <c r="M947" s="1250">
        <v>9</v>
      </c>
      <c r="N947" s="1251">
        <v>2</v>
      </c>
      <c r="O947" s="1252">
        <v>2</v>
      </c>
    </row>
    <row r="948" spans="1:15">
      <c r="A948" s="1246" t="s">
        <v>1493</v>
      </c>
      <c r="B948" s="1246" t="s">
        <v>432</v>
      </c>
      <c r="C948" s="1247">
        <v>6</v>
      </c>
      <c r="E948" s="1246" t="s">
        <v>370</v>
      </c>
      <c r="F948" s="1248">
        <v>1</v>
      </c>
      <c r="G948" s="1248">
        <v>4</v>
      </c>
      <c r="H948" s="1249">
        <v>1</v>
      </c>
      <c r="I948" s="1246" t="s">
        <v>1491</v>
      </c>
      <c r="J948" s="1246" t="s">
        <v>1437</v>
      </c>
      <c r="K948" s="1284" t="str">
        <f t="shared" si="14"/>
        <v>12</v>
      </c>
      <c r="L948" s="1246" t="s">
        <v>1529</v>
      </c>
      <c r="M948" s="1250">
        <v>9</v>
      </c>
      <c r="N948" s="1251">
        <v>1</v>
      </c>
      <c r="O948" s="1252">
        <v>1</v>
      </c>
    </row>
    <row r="949" spans="1:15">
      <c r="A949" s="1246" t="s">
        <v>1493</v>
      </c>
      <c r="B949" s="1246" t="s">
        <v>432</v>
      </c>
      <c r="C949" s="1247">
        <v>6</v>
      </c>
      <c r="E949" s="1246" t="s">
        <v>370</v>
      </c>
      <c r="F949" s="1248">
        <v>1</v>
      </c>
      <c r="G949" s="1248">
        <v>4</v>
      </c>
      <c r="H949" s="1249">
        <v>1</v>
      </c>
      <c r="I949" s="1246" t="s">
        <v>1491</v>
      </c>
      <c r="J949" s="1246" t="s">
        <v>1436</v>
      </c>
      <c r="K949" s="1284" t="str">
        <f t="shared" si="14"/>
        <v>11</v>
      </c>
      <c r="L949" s="1246" t="s">
        <v>1495</v>
      </c>
      <c r="M949" s="1250">
        <v>9</v>
      </c>
      <c r="N949" s="1251">
        <v>1</v>
      </c>
      <c r="O949" s="1252">
        <v>1</v>
      </c>
    </row>
    <row r="950" spans="1:15">
      <c r="A950" s="1246" t="s">
        <v>1493</v>
      </c>
      <c r="B950" s="1246" t="s">
        <v>432</v>
      </c>
      <c r="C950" s="1247">
        <v>6</v>
      </c>
      <c r="E950" s="1246" t="s">
        <v>373</v>
      </c>
      <c r="F950" s="1248">
        <v>1</v>
      </c>
      <c r="G950" s="1248">
        <v>4</v>
      </c>
      <c r="H950" s="1249">
        <v>1</v>
      </c>
      <c r="I950" s="1246" t="s">
        <v>1491</v>
      </c>
      <c r="J950" s="1246" t="s">
        <v>1436</v>
      </c>
      <c r="K950" s="1284" t="str">
        <f t="shared" si="14"/>
        <v>11</v>
      </c>
      <c r="L950" s="1246" t="s">
        <v>1495</v>
      </c>
      <c r="M950" s="1250">
        <v>9</v>
      </c>
      <c r="N950" s="1251">
        <v>1</v>
      </c>
      <c r="O950" s="1252">
        <v>1</v>
      </c>
    </row>
    <row r="951" spans="1:15">
      <c r="A951" s="1246" t="s">
        <v>1493</v>
      </c>
      <c r="B951" s="1246" t="s">
        <v>432</v>
      </c>
      <c r="C951" s="1247">
        <v>6</v>
      </c>
      <c r="E951" s="1246" t="s">
        <v>370</v>
      </c>
      <c r="F951" s="1248">
        <v>1</v>
      </c>
      <c r="G951" s="1248">
        <v>6</v>
      </c>
      <c r="H951" s="1249">
        <v>1</v>
      </c>
      <c r="I951" s="1246" t="s">
        <v>1491</v>
      </c>
      <c r="J951" s="1246" t="s">
        <v>1438</v>
      </c>
      <c r="K951" s="1284" t="str">
        <f t="shared" si="14"/>
        <v>13</v>
      </c>
      <c r="L951" s="1246" t="s">
        <v>1533</v>
      </c>
      <c r="M951" s="1250">
        <v>9</v>
      </c>
      <c r="N951" s="1251">
        <v>1</v>
      </c>
      <c r="O951" s="1252">
        <v>1</v>
      </c>
    </row>
    <row r="952" spans="1:15">
      <c r="A952" s="1246" t="s">
        <v>1493</v>
      </c>
      <c r="B952" s="1246" t="s">
        <v>432</v>
      </c>
      <c r="C952" s="1247">
        <v>6</v>
      </c>
      <c r="E952" s="1246" t="s">
        <v>370</v>
      </c>
      <c r="F952" s="1248">
        <v>2</v>
      </c>
      <c r="G952" s="1248">
        <v>2</v>
      </c>
      <c r="H952" s="1249">
        <v>1</v>
      </c>
      <c r="I952" s="1246" t="s">
        <v>1491</v>
      </c>
      <c r="J952" s="1246" t="s">
        <v>1436</v>
      </c>
      <c r="K952" s="1284" t="str">
        <f t="shared" si="14"/>
        <v>11</v>
      </c>
      <c r="L952" s="1246" t="s">
        <v>1495</v>
      </c>
      <c r="M952" s="1250">
        <v>9</v>
      </c>
      <c r="N952" s="1251">
        <v>8</v>
      </c>
      <c r="O952" s="1252">
        <v>4</v>
      </c>
    </row>
    <row r="953" spans="1:15">
      <c r="A953" s="1246" t="s">
        <v>1493</v>
      </c>
      <c r="B953" s="1246" t="s">
        <v>432</v>
      </c>
      <c r="C953" s="1247">
        <v>6</v>
      </c>
      <c r="E953" s="1246" t="s">
        <v>376</v>
      </c>
      <c r="F953" s="1248">
        <v>2</v>
      </c>
      <c r="G953" s="1248">
        <v>2</v>
      </c>
      <c r="H953" s="1249">
        <v>1</v>
      </c>
      <c r="I953" s="1246" t="s">
        <v>1491</v>
      </c>
      <c r="J953" s="1246" t="s">
        <v>1397</v>
      </c>
      <c r="K953" s="1284" t="str">
        <f t="shared" si="14"/>
        <v>10</v>
      </c>
      <c r="L953" s="1246" t="s">
        <v>1532</v>
      </c>
      <c r="M953" s="1250">
        <v>9</v>
      </c>
      <c r="N953" s="1251">
        <v>2</v>
      </c>
      <c r="O953" s="1252">
        <v>1</v>
      </c>
    </row>
    <row r="954" spans="1:15">
      <c r="A954" s="1246" t="s">
        <v>1493</v>
      </c>
      <c r="B954" s="1246" t="s">
        <v>432</v>
      </c>
      <c r="C954" s="1247">
        <v>6</v>
      </c>
      <c r="E954" s="1246" t="s">
        <v>376</v>
      </c>
      <c r="F954" s="1248">
        <v>2</v>
      </c>
      <c r="G954" s="1248">
        <v>2</v>
      </c>
      <c r="H954" s="1249">
        <v>1</v>
      </c>
      <c r="I954" s="1246" t="s">
        <v>1491</v>
      </c>
      <c r="J954" s="1246" t="s">
        <v>1436</v>
      </c>
      <c r="K954" s="1284" t="str">
        <f t="shared" si="14"/>
        <v>11</v>
      </c>
      <c r="L954" s="1246" t="s">
        <v>1496</v>
      </c>
      <c r="M954" s="1250">
        <v>9</v>
      </c>
      <c r="N954" s="1251">
        <v>18</v>
      </c>
      <c r="O954" s="1252">
        <v>9</v>
      </c>
    </row>
    <row r="955" spans="1:15">
      <c r="A955" s="1246" t="s">
        <v>1493</v>
      </c>
      <c r="B955" s="1246" t="s">
        <v>432</v>
      </c>
      <c r="C955" s="1247">
        <v>6</v>
      </c>
      <c r="E955" s="1246" t="s">
        <v>370</v>
      </c>
      <c r="F955" s="1248">
        <v>2</v>
      </c>
      <c r="G955" s="1248">
        <v>4</v>
      </c>
      <c r="H955" s="1249">
        <v>1</v>
      </c>
      <c r="I955" s="1246" t="s">
        <v>1491</v>
      </c>
      <c r="J955" s="1246" t="s">
        <v>1442</v>
      </c>
      <c r="K955" s="1284" t="str">
        <f t="shared" si="14"/>
        <v>10</v>
      </c>
      <c r="L955" s="1246" t="s">
        <v>1534</v>
      </c>
      <c r="M955" s="1250">
        <v>4</v>
      </c>
      <c r="N955" s="1251">
        <v>2</v>
      </c>
      <c r="O955" s="1252">
        <v>1</v>
      </c>
    </row>
    <row r="956" spans="1:15">
      <c r="A956" s="1246" t="s">
        <v>1493</v>
      </c>
      <c r="B956" s="1246" t="s">
        <v>432</v>
      </c>
      <c r="C956" s="1247">
        <v>6</v>
      </c>
      <c r="E956" s="1246" t="s">
        <v>370</v>
      </c>
      <c r="F956" s="1248">
        <v>2</v>
      </c>
      <c r="G956" s="1248">
        <v>4</v>
      </c>
      <c r="H956" s="1249">
        <v>1</v>
      </c>
      <c r="I956" s="1246" t="s">
        <v>1491</v>
      </c>
      <c r="J956" s="1246" t="s">
        <v>1436</v>
      </c>
      <c r="K956" s="1284" t="str">
        <f t="shared" si="14"/>
        <v>11</v>
      </c>
      <c r="L956" s="1246" t="s">
        <v>1495</v>
      </c>
      <c r="M956" s="1250">
        <v>9</v>
      </c>
      <c r="N956" s="1251">
        <v>2</v>
      </c>
      <c r="O956" s="1252">
        <v>1</v>
      </c>
    </row>
    <row r="957" spans="1:15">
      <c r="A957" s="1246" t="s">
        <v>1493</v>
      </c>
      <c r="B957" s="1246" t="s">
        <v>432</v>
      </c>
      <c r="C957" s="1247">
        <v>6</v>
      </c>
      <c r="E957" s="1246" t="s">
        <v>370</v>
      </c>
      <c r="F957" s="1248">
        <v>2</v>
      </c>
      <c r="G957" s="1248">
        <v>4</v>
      </c>
      <c r="H957" s="1249">
        <v>1</v>
      </c>
      <c r="I957" s="1246" t="s">
        <v>1491</v>
      </c>
      <c r="J957" s="1246" t="s">
        <v>1439</v>
      </c>
      <c r="K957" s="1284" t="str">
        <f t="shared" si="14"/>
        <v>15</v>
      </c>
      <c r="L957" s="1246" t="s">
        <v>1530</v>
      </c>
      <c r="M957" s="1250">
        <v>9</v>
      </c>
      <c r="N957" s="1251">
        <v>2</v>
      </c>
      <c r="O957" s="1252">
        <v>1</v>
      </c>
    </row>
    <row r="958" spans="1:15">
      <c r="A958" s="1246" t="s">
        <v>1493</v>
      </c>
      <c r="B958" s="1246" t="s">
        <v>432</v>
      </c>
      <c r="C958" s="1247">
        <v>6</v>
      </c>
      <c r="E958" s="1246" t="s">
        <v>376</v>
      </c>
      <c r="F958" s="1248">
        <v>2</v>
      </c>
      <c r="G958" s="1248">
        <v>4</v>
      </c>
      <c r="H958" s="1249">
        <v>1</v>
      </c>
      <c r="I958" s="1246" t="s">
        <v>1491</v>
      </c>
      <c r="J958" s="1246" t="s">
        <v>1436</v>
      </c>
      <c r="K958" s="1284" t="str">
        <f t="shared" si="14"/>
        <v>11</v>
      </c>
      <c r="L958" s="1246" t="s">
        <v>1496</v>
      </c>
      <c r="M958" s="1250">
        <v>9</v>
      </c>
      <c r="N958" s="1251">
        <v>10</v>
      </c>
      <c r="O958" s="1252">
        <v>5</v>
      </c>
    </row>
    <row r="959" spans="1:15">
      <c r="A959" s="1246" t="s">
        <v>683</v>
      </c>
      <c r="B959" s="1246" t="s">
        <v>432</v>
      </c>
      <c r="C959" s="1247">
        <v>6</v>
      </c>
      <c r="E959" s="1246" t="s">
        <v>370</v>
      </c>
      <c r="F959" s="1248">
        <v>2</v>
      </c>
      <c r="G959" s="1248">
        <v>6</v>
      </c>
      <c r="H959" s="1249">
        <v>1</v>
      </c>
      <c r="I959" s="1246" t="s">
        <v>1491</v>
      </c>
      <c r="J959" s="1246" t="s">
        <v>1436</v>
      </c>
      <c r="K959" s="1284" t="str">
        <f t="shared" si="14"/>
        <v>11</v>
      </c>
      <c r="L959" s="1246" t="s">
        <v>1495</v>
      </c>
      <c r="M959" s="1250">
        <v>9</v>
      </c>
      <c r="N959" s="1251">
        <v>2</v>
      </c>
      <c r="O959" s="1252">
        <v>1</v>
      </c>
    </row>
    <row r="960" spans="1:15">
      <c r="A960" s="1246" t="s">
        <v>1493</v>
      </c>
      <c r="B960" s="1246" t="s">
        <v>432</v>
      </c>
      <c r="C960" s="1247">
        <v>6</v>
      </c>
      <c r="E960" s="1246" t="s">
        <v>376</v>
      </c>
      <c r="F960" s="1248">
        <v>2</v>
      </c>
      <c r="G960" s="1248">
        <v>6</v>
      </c>
      <c r="H960" s="1249">
        <v>1</v>
      </c>
      <c r="I960" s="1246" t="s">
        <v>1491</v>
      </c>
      <c r="J960" s="1246" t="s">
        <v>1436</v>
      </c>
      <c r="K960" s="1284" t="str">
        <f t="shared" si="14"/>
        <v>11</v>
      </c>
      <c r="L960" s="1246" t="s">
        <v>1496</v>
      </c>
      <c r="M960" s="1250">
        <v>9</v>
      </c>
      <c r="N960" s="1251">
        <v>2</v>
      </c>
      <c r="O960" s="1252">
        <v>1</v>
      </c>
    </row>
    <row r="961" spans="1:15">
      <c r="A961" s="1246" t="s">
        <v>1493</v>
      </c>
      <c r="B961" s="1246" t="s">
        <v>432</v>
      </c>
      <c r="C961" s="1247">
        <v>6</v>
      </c>
      <c r="E961" s="1246" t="s">
        <v>373</v>
      </c>
      <c r="F961" s="1248">
        <v>2</v>
      </c>
      <c r="G961" s="1248">
        <v>8</v>
      </c>
      <c r="H961" s="1249">
        <v>1</v>
      </c>
      <c r="I961" s="1246" t="s">
        <v>1491</v>
      </c>
      <c r="J961" s="1246" t="s">
        <v>1436</v>
      </c>
      <c r="K961" s="1284" t="str">
        <f t="shared" si="14"/>
        <v>11</v>
      </c>
      <c r="L961" s="1246" t="s">
        <v>1495</v>
      </c>
      <c r="M961" s="1250">
        <v>9</v>
      </c>
      <c r="N961" s="1251">
        <v>2</v>
      </c>
      <c r="O961" s="1252">
        <v>1</v>
      </c>
    </row>
    <row r="962" spans="1:15">
      <c r="A962" s="1246" t="s">
        <v>1493</v>
      </c>
      <c r="B962" s="1246" t="s">
        <v>432</v>
      </c>
      <c r="C962" s="1247">
        <v>6</v>
      </c>
      <c r="E962" s="1246" t="s">
        <v>376</v>
      </c>
      <c r="F962" s="1248">
        <v>3</v>
      </c>
      <c r="G962" s="1248">
        <v>3</v>
      </c>
      <c r="H962" s="1249">
        <v>1</v>
      </c>
      <c r="I962" s="1246" t="s">
        <v>1491</v>
      </c>
      <c r="J962" s="1246" t="s">
        <v>1436</v>
      </c>
      <c r="K962" s="1284" t="str">
        <f t="shared" ref="K962:K1025" si="15">IF(J962="1B","10", IF(J962="2B","20",IF(J962="3B","30",IF(J962="7B",70,J962))))</f>
        <v>11</v>
      </c>
      <c r="L962" s="1246" t="s">
        <v>1496</v>
      </c>
      <c r="M962" s="1250">
        <v>9</v>
      </c>
      <c r="N962" s="1251">
        <v>3</v>
      </c>
      <c r="O962" s="1252">
        <v>1</v>
      </c>
    </row>
    <row r="963" spans="1:15">
      <c r="A963" s="1246" t="s">
        <v>1493</v>
      </c>
      <c r="B963" s="1246" t="s">
        <v>432</v>
      </c>
      <c r="C963" s="1247">
        <v>6</v>
      </c>
      <c r="E963" s="1246" t="s">
        <v>376</v>
      </c>
      <c r="F963" s="1248">
        <v>3</v>
      </c>
      <c r="G963" s="1248">
        <v>6</v>
      </c>
      <c r="H963" s="1249">
        <v>1</v>
      </c>
      <c r="I963" s="1246" t="s">
        <v>1491</v>
      </c>
      <c r="J963" s="1246" t="s">
        <v>1436</v>
      </c>
      <c r="K963" s="1284" t="str">
        <f t="shared" si="15"/>
        <v>11</v>
      </c>
      <c r="L963" s="1246" t="s">
        <v>1496</v>
      </c>
      <c r="M963" s="1250">
        <v>9</v>
      </c>
      <c r="N963" s="1251">
        <v>6</v>
      </c>
      <c r="O963" s="1252">
        <v>2</v>
      </c>
    </row>
    <row r="964" spans="1:15">
      <c r="A964" s="1246" t="s">
        <v>1493</v>
      </c>
      <c r="B964" s="1246" t="s">
        <v>432</v>
      </c>
      <c r="C964" s="1247">
        <v>6</v>
      </c>
      <c r="E964" s="1246" t="s">
        <v>376</v>
      </c>
      <c r="F964" s="1248">
        <v>3</v>
      </c>
      <c r="G964" s="1248">
        <v>9</v>
      </c>
      <c r="H964" s="1249">
        <v>1</v>
      </c>
      <c r="I964" s="1246" t="s">
        <v>1491</v>
      </c>
      <c r="J964" s="1246" t="s">
        <v>1436</v>
      </c>
      <c r="K964" s="1284" t="str">
        <f t="shared" si="15"/>
        <v>11</v>
      </c>
      <c r="L964" s="1246" t="s">
        <v>1496</v>
      </c>
      <c r="M964" s="1250">
        <v>9</v>
      </c>
      <c r="N964" s="1251">
        <v>3</v>
      </c>
      <c r="O964" s="1252">
        <v>1</v>
      </c>
    </row>
    <row r="965" spans="1:15">
      <c r="A965" s="1246" t="s">
        <v>1493</v>
      </c>
      <c r="B965" s="1246" t="s">
        <v>432</v>
      </c>
      <c r="C965" s="1247">
        <v>6</v>
      </c>
      <c r="E965" s="1246" t="s">
        <v>376</v>
      </c>
      <c r="F965" s="1248">
        <v>4</v>
      </c>
      <c r="G965" s="1248">
        <v>4</v>
      </c>
      <c r="H965" s="1249">
        <v>1</v>
      </c>
      <c r="I965" s="1246" t="s">
        <v>1491</v>
      </c>
      <c r="J965" s="1246" t="s">
        <v>1436</v>
      </c>
      <c r="K965" s="1284" t="str">
        <f t="shared" si="15"/>
        <v>11</v>
      </c>
      <c r="L965" s="1246" t="s">
        <v>1496</v>
      </c>
      <c r="M965" s="1250">
        <v>9</v>
      </c>
      <c r="N965" s="1251">
        <v>8</v>
      </c>
      <c r="O965" s="1252">
        <v>2</v>
      </c>
    </row>
    <row r="966" spans="1:15">
      <c r="A966" s="1246" t="s">
        <v>1493</v>
      </c>
      <c r="B966" s="1246" t="s">
        <v>432</v>
      </c>
      <c r="C966" s="1247">
        <v>6</v>
      </c>
      <c r="E966" s="1246" t="s">
        <v>376</v>
      </c>
      <c r="F966" s="1248">
        <v>4</v>
      </c>
      <c r="G966" s="1248">
        <v>5</v>
      </c>
      <c r="H966" s="1249">
        <v>1</v>
      </c>
      <c r="I966" s="1246" t="s">
        <v>1491</v>
      </c>
      <c r="J966" s="1246" t="s">
        <v>1442</v>
      </c>
      <c r="K966" s="1284" t="str">
        <f t="shared" si="15"/>
        <v>10</v>
      </c>
      <c r="L966" s="1246" t="s">
        <v>1542</v>
      </c>
      <c r="M966" s="1250">
        <v>6</v>
      </c>
      <c r="N966" s="1251">
        <v>4</v>
      </c>
      <c r="O966" s="1252">
        <v>1</v>
      </c>
    </row>
    <row r="967" spans="1:15">
      <c r="A967" s="1246" t="s">
        <v>1493</v>
      </c>
      <c r="B967" s="1246" t="s">
        <v>432</v>
      </c>
      <c r="C967" s="1247">
        <v>6</v>
      </c>
      <c r="E967" s="1246" t="s">
        <v>376</v>
      </c>
      <c r="F967" s="1248">
        <v>4</v>
      </c>
      <c r="G967" s="1248">
        <v>6</v>
      </c>
      <c r="H967" s="1249">
        <v>1</v>
      </c>
      <c r="I967" s="1246" t="s">
        <v>1491</v>
      </c>
      <c r="J967" s="1246" t="s">
        <v>1436</v>
      </c>
      <c r="K967" s="1284" t="str">
        <f t="shared" si="15"/>
        <v>11</v>
      </c>
      <c r="L967" s="1246" t="s">
        <v>1496</v>
      </c>
      <c r="M967" s="1250">
        <v>9</v>
      </c>
      <c r="N967" s="1251">
        <v>4</v>
      </c>
      <c r="O967" s="1252">
        <v>1</v>
      </c>
    </row>
    <row r="968" spans="1:15">
      <c r="A968" s="1246" t="s">
        <v>1493</v>
      </c>
      <c r="B968" s="1246" t="s">
        <v>432</v>
      </c>
      <c r="C968" s="1247">
        <v>6</v>
      </c>
      <c r="E968" s="1246" t="s">
        <v>376</v>
      </c>
      <c r="F968" s="1248">
        <v>4</v>
      </c>
      <c r="G968" s="1248">
        <v>8</v>
      </c>
      <c r="H968" s="1249">
        <v>1</v>
      </c>
      <c r="I968" s="1246" t="s">
        <v>1491</v>
      </c>
      <c r="J968" s="1246" t="s">
        <v>1436</v>
      </c>
      <c r="K968" s="1284" t="str">
        <f t="shared" si="15"/>
        <v>11</v>
      </c>
      <c r="L968" s="1246" t="s">
        <v>1496</v>
      </c>
      <c r="M968" s="1250">
        <v>9</v>
      </c>
      <c r="N968" s="1251">
        <v>16</v>
      </c>
      <c r="O968" s="1252">
        <v>4</v>
      </c>
    </row>
    <row r="969" spans="1:15">
      <c r="A969" s="1246" t="s">
        <v>1493</v>
      </c>
      <c r="B969" s="1246" t="s">
        <v>432</v>
      </c>
      <c r="C969" s="1247">
        <v>8</v>
      </c>
      <c r="E969" s="1246" t="s">
        <v>370</v>
      </c>
      <c r="F969" s="1248">
        <v>1</v>
      </c>
      <c r="G969" s="1248">
        <v>0</v>
      </c>
      <c r="H969" s="1249">
        <v>0</v>
      </c>
      <c r="J969" s="1246" t="s">
        <v>1442</v>
      </c>
      <c r="K969" s="1284" t="str">
        <f t="shared" si="15"/>
        <v>10</v>
      </c>
      <c r="L969" s="1246" t="s">
        <v>1534</v>
      </c>
      <c r="M969" s="1250">
        <v>4</v>
      </c>
      <c r="N969" s="1251">
        <v>3</v>
      </c>
      <c r="O969" s="1252">
        <v>3</v>
      </c>
    </row>
    <row r="970" spans="1:15">
      <c r="A970" s="1246" t="s">
        <v>1493</v>
      </c>
      <c r="B970" s="1246" t="s">
        <v>432</v>
      </c>
      <c r="C970" s="1247">
        <v>8</v>
      </c>
      <c r="E970" s="1246" t="s">
        <v>370</v>
      </c>
      <c r="F970" s="1248">
        <v>1</v>
      </c>
      <c r="G970" s="1248">
        <v>0</v>
      </c>
      <c r="H970" s="1249">
        <v>0</v>
      </c>
      <c r="J970" s="1246" t="s">
        <v>1436</v>
      </c>
      <c r="K970" s="1284" t="str">
        <f t="shared" si="15"/>
        <v>11</v>
      </c>
      <c r="L970" s="1246" t="s">
        <v>1495</v>
      </c>
      <c r="M970" s="1250">
        <v>9</v>
      </c>
      <c r="N970" s="1251">
        <v>5</v>
      </c>
      <c r="O970" s="1252">
        <v>5</v>
      </c>
    </row>
    <row r="971" spans="1:15">
      <c r="A971" s="1246" t="s">
        <v>683</v>
      </c>
      <c r="B971" s="1246" t="s">
        <v>432</v>
      </c>
      <c r="C971" s="1247">
        <v>8</v>
      </c>
      <c r="E971" s="1246" t="s">
        <v>370</v>
      </c>
      <c r="F971" s="1248">
        <v>1</v>
      </c>
      <c r="G971" s="1248">
        <v>0</v>
      </c>
      <c r="H971" s="1249">
        <v>0</v>
      </c>
      <c r="J971" s="1246" t="s">
        <v>1436</v>
      </c>
      <c r="K971" s="1284" t="str">
        <f t="shared" si="15"/>
        <v>11</v>
      </c>
      <c r="L971" s="1246" t="s">
        <v>1495</v>
      </c>
      <c r="M971" s="1250">
        <v>9</v>
      </c>
      <c r="N971" s="1251">
        <v>1</v>
      </c>
      <c r="O971" s="1252">
        <v>1</v>
      </c>
    </row>
    <row r="972" spans="1:15">
      <c r="A972" s="1246" t="s">
        <v>1493</v>
      </c>
      <c r="B972" s="1246" t="s">
        <v>432</v>
      </c>
      <c r="C972" s="1247">
        <v>8</v>
      </c>
      <c r="E972" s="1246" t="s">
        <v>370</v>
      </c>
      <c r="F972" s="1248">
        <v>1</v>
      </c>
      <c r="G972" s="1248">
        <v>0</v>
      </c>
      <c r="H972" s="1249">
        <v>0</v>
      </c>
      <c r="J972" s="1246" t="s">
        <v>1397</v>
      </c>
      <c r="K972" s="1284" t="str">
        <f t="shared" si="15"/>
        <v>10</v>
      </c>
      <c r="L972" s="1246" t="s">
        <v>1532</v>
      </c>
      <c r="M972" s="1250">
        <v>9</v>
      </c>
      <c r="N972" s="1251">
        <v>1</v>
      </c>
      <c r="O972" s="1252">
        <v>1</v>
      </c>
    </row>
    <row r="973" spans="1:15">
      <c r="A973" s="1246" t="s">
        <v>1493</v>
      </c>
      <c r="B973" s="1246" t="s">
        <v>432</v>
      </c>
      <c r="C973" s="1247">
        <v>8</v>
      </c>
      <c r="E973" s="1246" t="s">
        <v>376</v>
      </c>
      <c r="F973" s="1248">
        <v>1</v>
      </c>
      <c r="G973" s="1248">
        <v>0</v>
      </c>
      <c r="H973" s="1249">
        <v>0</v>
      </c>
      <c r="J973" s="1246" t="s">
        <v>1397</v>
      </c>
      <c r="K973" s="1284" t="str">
        <f t="shared" si="15"/>
        <v>10</v>
      </c>
      <c r="L973" s="1246" t="s">
        <v>1532</v>
      </c>
      <c r="M973" s="1250">
        <v>9</v>
      </c>
      <c r="N973" s="1251">
        <v>1</v>
      </c>
      <c r="O973" s="1252">
        <v>1</v>
      </c>
    </row>
    <row r="974" spans="1:15">
      <c r="A974" s="1246" t="s">
        <v>1493</v>
      </c>
      <c r="B974" s="1246" t="s">
        <v>432</v>
      </c>
      <c r="C974" s="1247">
        <v>8</v>
      </c>
      <c r="E974" s="1246" t="s">
        <v>373</v>
      </c>
      <c r="F974" s="1248">
        <v>1</v>
      </c>
      <c r="G974" s="1248">
        <v>1</v>
      </c>
      <c r="H974" s="1249">
        <v>1</v>
      </c>
      <c r="I974" s="1246" t="s">
        <v>1491</v>
      </c>
      <c r="J974" s="1246" t="s">
        <v>1443</v>
      </c>
      <c r="K974" s="1284" t="str">
        <f t="shared" si="15"/>
        <v>1C</v>
      </c>
      <c r="L974" s="1246" t="s">
        <v>1502</v>
      </c>
      <c r="M974" s="1250">
        <v>4</v>
      </c>
      <c r="N974" s="1251">
        <v>1</v>
      </c>
      <c r="O974" s="1252">
        <v>1</v>
      </c>
    </row>
    <row r="975" spans="1:15">
      <c r="A975" s="1246" t="s">
        <v>1493</v>
      </c>
      <c r="B975" s="1246" t="s">
        <v>432</v>
      </c>
      <c r="C975" s="1247">
        <v>8</v>
      </c>
      <c r="E975" s="1246" t="s">
        <v>370</v>
      </c>
      <c r="F975" s="1248">
        <v>1</v>
      </c>
      <c r="G975" s="1248">
        <v>1</v>
      </c>
      <c r="H975" s="1249">
        <v>1</v>
      </c>
      <c r="I975" s="1246" t="s">
        <v>1491</v>
      </c>
      <c r="J975" s="1246" t="s">
        <v>1443</v>
      </c>
      <c r="K975" s="1284" t="str">
        <f t="shared" si="15"/>
        <v>1C</v>
      </c>
      <c r="L975" s="1246" t="s">
        <v>1502</v>
      </c>
      <c r="M975" s="1250">
        <v>4</v>
      </c>
      <c r="N975" s="1251">
        <v>5</v>
      </c>
      <c r="O975" s="1252">
        <v>5</v>
      </c>
    </row>
    <row r="976" spans="1:15">
      <c r="A976" s="1246" t="s">
        <v>1493</v>
      </c>
      <c r="B976" s="1246" t="s">
        <v>432</v>
      </c>
      <c r="C976" s="1247">
        <v>8</v>
      </c>
      <c r="E976" s="1246" t="s">
        <v>370</v>
      </c>
      <c r="F976" s="1248">
        <v>1</v>
      </c>
      <c r="G976" s="1248">
        <v>1</v>
      </c>
      <c r="H976" s="1249">
        <v>1</v>
      </c>
      <c r="I976" s="1246" t="s">
        <v>1491</v>
      </c>
      <c r="J976" s="1246" t="s">
        <v>1442</v>
      </c>
      <c r="K976" s="1284" t="str">
        <f t="shared" si="15"/>
        <v>10</v>
      </c>
      <c r="L976" s="1246" t="s">
        <v>1534</v>
      </c>
      <c r="M976" s="1250">
        <v>4</v>
      </c>
      <c r="N976" s="1251">
        <v>1</v>
      </c>
      <c r="O976" s="1252">
        <v>1</v>
      </c>
    </row>
    <row r="977" spans="1:15">
      <c r="A977" s="1246" t="s">
        <v>1493</v>
      </c>
      <c r="B977" s="1246" t="s">
        <v>432</v>
      </c>
      <c r="C977" s="1247">
        <v>8</v>
      </c>
      <c r="E977" s="1246" t="s">
        <v>370</v>
      </c>
      <c r="F977" s="1248">
        <v>1</v>
      </c>
      <c r="G977" s="1248">
        <v>1</v>
      </c>
      <c r="H977" s="1249">
        <v>1</v>
      </c>
      <c r="I977" s="1246" t="s">
        <v>1491</v>
      </c>
      <c r="J977" s="1246" t="s">
        <v>1437</v>
      </c>
      <c r="K977" s="1284" t="str">
        <f t="shared" si="15"/>
        <v>12</v>
      </c>
      <c r="L977" s="1246" t="s">
        <v>1529</v>
      </c>
      <c r="M977" s="1250">
        <v>9</v>
      </c>
      <c r="N977" s="1251">
        <v>4</v>
      </c>
      <c r="O977" s="1252">
        <v>4</v>
      </c>
    </row>
    <row r="978" spans="1:15">
      <c r="A978" s="1246" t="s">
        <v>1493</v>
      </c>
      <c r="B978" s="1246" t="s">
        <v>432</v>
      </c>
      <c r="C978" s="1247">
        <v>8</v>
      </c>
      <c r="E978" s="1246" t="s">
        <v>376</v>
      </c>
      <c r="F978" s="1248">
        <v>1</v>
      </c>
      <c r="G978" s="1248">
        <v>1</v>
      </c>
      <c r="H978" s="1249">
        <v>1</v>
      </c>
      <c r="I978" s="1246" t="s">
        <v>1491</v>
      </c>
      <c r="J978" s="1246" t="s">
        <v>1437</v>
      </c>
      <c r="K978" s="1284" t="str">
        <f t="shared" si="15"/>
        <v>12</v>
      </c>
      <c r="L978" s="1246" t="s">
        <v>1529</v>
      </c>
      <c r="M978" s="1250">
        <v>9</v>
      </c>
      <c r="N978" s="1251">
        <v>2</v>
      </c>
      <c r="O978" s="1252">
        <v>2</v>
      </c>
    </row>
    <row r="979" spans="1:15">
      <c r="A979" s="1246" t="s">
        <v>1493</v>
      </c>
      <c r="B979" s="1246" t="s">
        <v>432</v>
      </c>
      <c r="C979" s="1247">
        <v>8</v>
      </c>
      <c r="E979" s="1246" t="s">
        <v>370</v>
      </c>
      <c r="F979" s="1248">
        <v>1</v>
      </c>
      <c r="G979" s="1248">
        <v>1</v>
      </c>
      <c r="H979" s="1249">
        <v>1</v>
      </c>
      <c r="I979" s="1246" t="s">
        <v>1491</v>
      </c>
      <c r="J979" s="1246" t="s">
        <v>1436</v>
      </c>
      <c r="K979" s="1284" t="str">
        <f t="shared" si="15"/>
        <v>11</v>
      </c>
      <c r="L979" s="1246" t="s">
        <v>1495</v>
      </c>
      <c r="M979" s="1250">
        <v>9</v>
      </c>
      <c r="N979" s="1251">
        <v>60</v>
      </c>
      <c r="O979" s="1252">
        <v>60</v>
      </c>
    </row>
    <row r="980" spans="1:15">
      <c r="A980" s="1246" t="s">
        <v>683</v>
      </c>
      <c r="B980" s="1246" t="s">
        <v>432</v>
      </c>
      <c r="C980" s="1247">
        <v>8</v>
      </c>
      <c r="E980" s="1246" t="s">
        <v>370</v>
      </c>
      <c r="F980" s="1248">
        <v>1</v>
      </c>
      <c r="G980" s="1248">
        <v>1</v>
      </c>
      <c r="H980" s="1249">
        <v>1</v>
      </c>
      <c r="I980" s="1246" t="s">
        <v>1491</v>
      </c>
      <c r="J980" s="1246" t="s">
        <v>1436</v>
      </c>
      <c r="K980" s="1284" t="str">
        <f t="shared" si="15"/>
        <v>11</v>
      </c>
      <c r="L980" s="1246" t="s">
        <v>1495</v>
      </c>
      <c r="M980" s="1250">
        <v>9</v>
      </c>
      <c r="N980" s="1251">
        <v>3</v>
      </c>
      <c r="O980" s="1252">
        <v>3</v>
      </c>
    </row>
    <row r="981" spans="1:15">
      <c r="A981" s="1246" t="s">
        <v>1493</v>
      </c>
      <c r="B981" s="1246" t="s">
        <v>432</v>
      </c>
      <c r="C981" s="1247">
        <v>8</v>
      </c>
      <c r="E981" s="1246" t="s">
        <v>373</v>
      </c>
      <c r="F981" s="1248">
        <v>1</v>
      </c>
      <c r="G981" s="1248">
        <v>1</v>
      </c>
      <c r="H981" s="1249">
        <v>1</v>
      </c>
      <c r="I981" s="1246" t="s">
        <v>1491</v>
      </c>
      <c r="J981" s="1246" t="s">
        <v>1436</v>
      </c>
      <c r="K981" s="1284" t="str">
        <f t="shared" si="15"/>
        <v>11</v>
      </c>
      <c r="L981" s="1246" t="s">
        <v>1495</v>
      </c>
      <c r="M981" s="1250">
        <v>9</v>
      </c>
      <c r="N981" s="1251">
        <v>5</v>
      </c>
      <c r="O981" s="1252">
        <v>5</v>
      </c>
    </row>
    <row r="982" spans="1:15">
      <c r="A982" s="1246" t="s">
        <v>1493</v>
      </c>
      <c r="B982" s="1246" t="s">
        <v>432</v>
      </c>
      <c r="C982" s="1247">
        <v>8</v>
      </c>
      <c r="E982" s="1246" t="s">
        <v>370</v>
      </c>
      <c r="F982" s="1248">
        <v>1</v>
      </c>
      <c r="G982" s="1248">
        <v>1</v>
      </c>
      <c r="H982" s="1249">
        <v>1</v>
      </c>
      <c r="I982" s="1246" t="s">
        <v>1491</v>
      </c>
      <c r="J982" s="1246" t="s">
        <v>1397</v>
      </c>
      <c r="K982" s="1284" t="str">
        <f t="shared" si="15"/>
        <v>10</v>
      </c>
      <c r="L982" s="1246" t="s">
        <v>1536</v>
      </c>
      <c r="M982" s="1250">
        <v>9</v>
      </c>
      <c r="N982" s="1251">
        <v>1</v>
      </c>
      <c r="O982" s="1252">
        <v>1</v>
      </c>
    </row>
    <row r="983" spans="1:15">
      <c r="A983" s="1246" t="s">
        <v>1493</v>
      </c>
      <c r="B983" s="1246" t="s">
        <v>432</v>
      </c>
      <c r="C983" s="1247">
        <v>8</v>
      </c>
      <c r="E983" s="1246" t="s">
        <v>370</v>
      </c>
      <c r="F983" s="1248">
        <v>1</v>
      </c>
      <c r="G983" s="1248">
        <v>1</v>
      </c>
      <c r="H983" s="1249">
        <v>1</v>
      </c>
      <c r="I983" s="1246" t="s">
        <v>1491</v>
      </c>
      <c r="J983" s="1246" t="s">
        <v>1439</v>
      </c>
      <c r="K983" s="1284" t="str">
        <f t="shared" si="15"/>
        <v>15</v>
      </c>
      <c r="L983" s="1246" t="s">
        <v>1530</v>
      </c>
      <c r="M983" s="1250">
        <v>9</v>
      </c>
      <c r="N983" s="1251">
        <v>3</v>
      </c>
      <c r="O983" s="1252">
        <v>3</v>
      </c>
    </row>
    <row r="984" spans="1:15">
      <c r="A984" s="1246" t="s">
        <v>1493</v>
      </c>
      <c r="B984" s="1246" t="s">
        <v>432</v>
      </c>
      <c r="C984" s="1247">
        <v>8</v>
      </c>
      <c r="E984" s="1246" t="s">
        <v>370</v>
      </c>
      <c r="F984" s="1248">
        <v>1</v>
      </c>
      <c r="G984" s="1248">
        <v>1</v>
      </c>
      <c r="H984" s="1249">
        <v>1</v>
      </c>
      <c r="I984" s="1246" t="s">
        <v>1491</v>
      </c>
      <c r="J984" s="1246" t="s">
        <v>1397</v>
      </c>
      <c r="K984" s="1284" t="str">
        <f t="shared" si="15"/>
        <v>10</v>
      </c>
      <c r="L984" s="1246" t="s">
        <v>1532</v>
      </c>
      <c r="M984" s="1250">
        <v>9</v>
      </c>
      <c r="N984" s="1251">
        <v>3</v>
      </c>
      <c r="O984" s="1252">
        <v>3</v>
      </c>
    </row>
    <row r="985" spans="1:15">
      <c r="A985" s="1246" t="s">
        <v>1493</v>
      </c>
      <c r="B985" s="1246" t="s">
        <v>432</v>
      </c>
      <c r="C985" s="1247">
        <v>8</v>
      </c>
      <c r="E985" s="1246" t="s">
        <v>376</v>
      </c>
      <c r="F985" s="1248">
        <v>1</v>
      </c>
      <c r="G985" s="1248">
        <v>1</v>
      </c>
      <c r="H985" s="1249">
        <v>1</v>
      </c>
      <c r="I985" s="1246" t="s">
        <v>1491</v>
      </c>
      <c r="J985" s="1246" t="s">
        <v>1397</v>
      </c>
      <c r="K985" s="1284" t="str">
        <f t="shared" si="15"/>
        <v>10</v>
      </c>
      <c r="L985" s="1246" t="s">
        <v>1532</v>
      </c>
      <c r="M985" s="1250">
        <v>9</v>
      </c>
      <c r="N985" s="1251">
        <v>3</v>
      </c>
      <c r="O985" s="1252">
        <v>3</v>
      </c>
    </row>
    <row r="986" spans="1:15">
      <c r="A986" s="1246" t="s">
        <v>1493</v>
      </c>
      <c r="B986" s="1246" t="s">
        <v>432</v>
      </c>
      <c r="C986" s="1247">
        <v>8</v>
      </c>
      <c r="E986" s="1246" t="s">
        <v>370</v>
      </c>
      <c r="F986" s="1248">
        <v>1</v>
      </c>
      <c r="G986" s="1248">
        <v>1</v>
      </c>
      <c r="H986" s="1249">
        <v>1</v>
      </c>
      <c r="I986" s="1246" t="s">
        <v>1491</v>
      </c>
      <c r="J986" s="1246" t="s">
        <v>1438</v>
      </c>
      <c r="K986" s="1284" t="str">
        <f t="shared" si="15"/>
        <v>13</v>
      </c>
      <c r="L986" s="1246" t="s">
        <v>1533</v>
      </c>
      <c r="M986" s="1250">
        <v>9</v>
      </c>
      <c r="N986" s="1251">
        <v>4</v>
      </c>
      <c r="O986" s="1252">
        <v>4</v>
      </c>
    </row>
    <row r="987" spans="1:15">
      <c r="A987" s="1246" t="s">
        <v>1493</v>
      </c>
      <c r="B987" s="1246" t="s">
        <v>432</v>
      </c>
      <c r="C987" s="1247">
        <v>8</v>
      </c>
      <c r="E987" s="1246" t="s">
        <v>376</v>
      </c>
      <c r="F987" s="1248">
        <v>1</v>
      </c>
      <c r="G987" s="1248">
        <v>1</v>
      </c>
      <c r="H987" s="1249">
        <v>1</v>
      </c>
      <c r="I987" s="1246" t="s">
        <v>1491</v>
      </c>
      <c r="J987" s="1246" t="s">
        <v>1436</v>
      </c>
      <c r="K987" s="1284" t="str">
        <f t="shared" si="15"/>
        <v>11</v>
      </c>
      <c r="L987" s="1246" t="s">
        <v>1496</v>
      </c>
      <c r="M987" s="1250">
        <v>9</v>
      </c>
      <c r="N987" s="1251">
        <v>4</v>
      </c>
      <c r="O987" s="1252">
        <v>4</v>
      </c>
    </row>
    <row r="988" spans="1:15">
      <c r="A988" s="1246" t="s">
        <v>1493</v>
      </c>
      <c r="B988" s="1246" t="s">
        <v>432</v>
      </c>
      <c r="C988" s="1247">
        <v>8</v>
      </c>
      <c r="E988" s="1246" t="s">
        <v>370</v>
      </c>
      <c r="F988" s="1248">
        <v>1</v>
      </c>
      <c r="G988" s="1248">
        <v>2</v>
      </c>
      <c r="H988" s="1249">
        <v>1</v>
      </c>
      <c r="I988" s="1246" t="s">
        <v>1491</v>
      </c>
      <c r="J988" s="1246" t="s">
        <v>1443</v>
      </c>
      <c r="K988" s="1284" t="str">
        <f t="shared" si="15"/>
        <v>1C</v>
      </c>
      <c r="L988" s="1246" t="s">
        <v>1502</v>
      </c>
      <c r="M988" s="1250">
        <v>4</v>
      </c>
      <c r="N988" s="1251">
        <v>5</v>
      </c>
      <c r="O988" s="1252">
        <v>5</v>
      </c>
    </row>
    <row r="989" spans="1:15">
      <c r="A989" s="1246" t="s">
        <v>1493</v>
      </c>
      <c r="B989" s="1246" t="s">
        <v>432</v>
      </c>
      <c r="C989" s="1247">
        <v>8</v>
      </c>
      <c r="E989" s="1246" t="s">
        <v>376</v>
      </c>
      <c r="F989" s="1248">
        <v>1</v>
      </c>
      <c r="G989" s="1248">
        <v>2</v>
      </c>
      <c r="H989" s="1249">
        <v>1</v>
      </c>
      <c r="I989" s="1246" t="s">
        <v>1491</v>
      </c>
      <c r="J989" s="1246" t="s">
        <v>1443</v>
      </c>
      <c r="K989" s="1284" t="str">
        <f t="shared" si="15"/>
        <v>1C</v>
      </c>
      <c r="L989" s="1246" t="s">
        <v>1502</v>
      </c>
      <c r="M989" s="1250">
        <v>4</v>
      </c>
      <c r="N989" s="1251">
        <v>4</v>
      </c>
      <c r="O989" s="1252">
        <v>4</v>
      </c>
    </row>
    <row r="990" spans="1:15">
      <c r="A990" s="1246" t="s">
        <v>1493</v>
      </c>
      <c r="B990" s="1246" t="s">
        <v>432</v>
      </c>
      <c r="C990" s="1247">
        <v>8</v>
      </c>
      <c r="E990" s="1246" t="s">
        <v>370</v>
      </c>
      <c r="F990" s="1248">
        <v>1</v>
      </c>
      <c r="G990" s="1248">
        <v>2</v>
      </c>
      <c r="H990" s="1249">
        <v>1</v>
      </c>
      <c r="I990" s="1246" t="s">
        <v>1491</v>
      </c>
      <c r="J990" s="1246" t="s">
        <v>1442</v>
      </c>
      <c r="K990" s="1284" t="str">
        <f t="shared" si="15"/>
        <v>10</v>
      </c>
      <c r="L990" s="1246" t="s">
        <v>1534</v>
      </c>
      <c r="M990" s="1250">
        <v>4</v>
      </c>
      <c r="N990" s="1251">
        <v>1</v>
      </c>
      <c r="O990" s="1252">
        <v>1</v>
      </c>
    </row>
    <row r="991" spans="1:15">
      <c r="A991" s="1246" t="s">
        <v>1493</v>
      </c>
      <c r="B991" s="1246" t="s">
        <v>432</v>
      </c>
      <c r="C991" s="1247">
        <v>8</v>
      </c>
      <c r="E991" s="1246" t="s">
        <v>376</v>
      </c>
      <c r="F991" s="1248">
        <v>1</v>
      </c>
      <c r="G991" s="1248">
        <v>2</v>
      </c>
      <c r="H991" s="1249">
        <v>1</v>
      </c>
      <c r="I991" s="1246" t="s">
        <v>1491</v>
      </c>
      <c r="J991" s="1246" t="s">
        <v>1442</v>
      </c>
      <c r="K991" s="1284" t="str">
        <f t="shared" si="15"/>
        <v>10</v>
      </c>
      <c r="L991" s="1246" t="s">
        <v>1542</v>
      </c>
      <c r="M991" s="1250">
        <v>6</v>
      </c>
      <c r="N991" s="1251">
        <v>2</v>
      </c>
      <c r="O991" s="1252">
        <v>2</v>
      </c>
    </row>
    <row r="992" spans="1:15">
      <c r="A992" s="1246" t="s">
        <v>1493</v>
      </c>
      <c r="B992" s="1246" t="s">
        <v>432</v>
      </c>
      <c r="C992" s="1247">
        <v>8</v>
      </c>
      <c r="E992" s="1246" t="s">
        <v>373</v>
      </c>
      <c r="F992" s="1248">
        <v>1</v>
      </c>
      <c r="G992" s="1248">
        <v>2</v>
      </c>
      <c r="H992" s="1249">
        <v>1</v>
      </c>
      <c r="I992" s="1246" t="s">
        <v>1491</v>
      </c>
      <c r="J992" s="1246" t="s">
        <v>1436</v>
      </c>
      <c r="K992" s="1284" t="str">
        <f t="shared" si="15"/>
        <v>11</v>
      </c>
      <c r="L992" s="1246" t="s">
        <v>1495</v>
      </c>
      <c r="M992" s="1250">
        <v>9</v>
      </c>
      <c r="N992" s="1251">
        <v>7</v>
      </c>
      <c r="O992" s="1252">
        <v>7</v>
      </c>
    </row>
    <row r="993" spans="1:15">
      <c r="A993" s="1246" t="s">
        <v>1493</v>
      </c>
      <c r="B993" s="1246" t="s">
        <v>432</v>
      </c>
      <c r="C993" s="1247">
        <v>8</v>
      </c>
      <c r="E993" s="1246" t="s">
        <v>370</v>
      </c>
      <c r="F993" s="1248">
        <v>1</v>
      </c>
      <c r="G993" s="1248">
        <v>2</v>
      </c>
      <c r="H993" s="1249">
        <v>1</v>
      </c>
      <c r="I993" s="1246" t="s">
        <v>1491</v>
      </c>
      <c r="J993" s="1246" t="s">
        <v>1436</v>
      </c>
      <c r="K993" s="1284" t="str">
        <f t="shared" si="15"/>
        <v>11</v>
      </c>
      <c r="L993" s="1246" t="s">
        <v>1495</v>
      </c>
      <c r="M993" s="1250">
        <v>9</v>
      </c>
      <c r="N993" s="1251">
        <v>44</v>
      </c>
      <c r="O993" s="1252">
        <v>44</v>
      </c>
    </row>
    <row r="994" spans="1:15">
      <c r="A994" s="1246" t="s">
        <v>683</v>
      </c>
      <c r="B994" s="1246" t="s">
        <v>432</v>
      </c>
      <c r="C994" s="1247">
        <v>8</v>
      </c>
      <c r="E994" s="1246" t="s">
        <v>370</v>
      </c>
      <c r="F994" s="1248">
        <v>1</v>
      </c>
      <c r="G994" s="1248">
        <v>2</v>
      </c>
      <c r="H994" s="1249">
        <v>1</v>
      </c>
      <c r="I994" s="1246" t="s">
        <v>1491</v>
      </c>
      <c r="J994" s="1246" t="s">
        <v>1436</v>
      </c>
      <c r="K994" s="1284" t="str">
        <f t="shared" si="15"/>
        <v>11</v>
      </c>
      <c r="L994" s="1246" t="s">
        <v>1495</v>
      </c>
      <c r="M994" s="1250">
        <v>9</v>
      </c>
      <c r="N994" s="1251">
        <v>2</v>
      </c>
      <c r="O994" s="1252">
        <v>2</v>
      </c>
    </row>
    <row r="995" spans="1:15">
      <c r="A995" s="1246" t="s">
        <v>1493</v>
      </c>
      <c r="B995" s="1246" t="s">
        <v>432</v>
      </c>
      <c r="C995" s="1247">
        <v>8</v>
      </c>
      <c r="E995" s="1246" t="s">
        <v>373</v>
      </c>
      <c r="F995" s="1248">
        <v>1</v>
      </c>
      <c r="G995" s="1248">
        <v>2</v>
      </c>
      <c r="H995" s="1249">
        <v>1</v>
      </c>
      <c r="I995" s="1246" t="s">
        <v>1491</v>
      </c>
      <c r="J995" s="1246" t="s">
        <v>1440</v>
      </c>
      <c r="K995" s="1284" t="str">
        <f t="shared" si="15"/>
        <v>16</v>
      </c>
      <c r="L995" s="1246" t="s">
        <v>1538</v>
      </c>
      <c r="M995" s="1250">
        <v>9</v>
      </c>
      <c r="N995" s="1251">
        <v>1</v>
      </c>
      <c r="O995" s="1252">
        <v>1</v>
      </c>
    </row>
    <row r="996" spans="1:15">
      <c r="A996" s="1246" t="s">
        <v>1493</v>
      </c>
      <c r="B996" s="1246" t="s">
        <v>432</v>
      </c>
      <c r="C996" s="1247">
        <v>8</v>
      </c>
      <c r="E996" s="1246" t="s">
        <v>370</v>
      </c>
      <c r="F996" s="1248">
        <v>1</v>
      </c>
      <c r="G996" s="1248">
        <v>2</v>
      </c>
      <c r="H996" s="1249">
        <v>1</v>
      </c>
      <c r="I996" s="1246" t="s">
        <v>1491</v>
      </c>
      <c r="J996" s="1246" t="s">
        <v>1439</v>
      </c>
      <c r="K996" s="1284" t="str">
        <f t="shared" si="15"/>
        <v>15</v>
      </c>
      <c r="L996" s="1246" t="s">
        <v>1530</v>
      </c>
      <c r="M996" s="1250">
        <v>9</v>
      </c>
      <c r="N996" s="1251">
        <v>6</v>
      </c>
      <c r="O996" s="1252">
        <v>6</v>
      </c>
    </row>
    <row r="997" spans="1:15">
      <c r="A997" s="1246" t="s">
        <v>1493</v>
      </c>
      <c r="B997" s="1246" t="s">
        <v>432</v>
      </c>
      <c r="C997" s="1247">
        <v>8</v>
      </c>
      <c r="E997" s="1246" t="s">
        <v>376</v>
      </c>
      <c r="F997" s="1248">
        <v>1</v>
      </c>
      <c r="G997" s="1248">
        <v>2</v>
      </c>
      <c r="H997" s="1249">
        <v>1</v>
      </c>
      <c r="I997" s="1246" t="s">
        <v>1491</v>
      </c>
      <c r="J997" s="1246" t="s">
        <v>1439</v>
      </c>
      <c r="K997" s="1284" t="str">
        <f t="shared" si="15"/>
        <v>15</v>
      </c>
      <c r="L997" s="1246" t="s">
        <v>1530</v>
      </c>
      <c r="M997" s="1250">
        <v>9</v>
      </c>
      <c r="N997" s="1251">
        <v>2</v>
      </c>
      <c r="O997" s="1252">
        <v>2</v>
      </c>
    </row>
    <row r="998" spans="1:15">
      <c r="A998" s="1246" t="s">
        <v>1493</v>
      </c>
      <c r="B998" s="1246" t="s">
        <v>432</v>
      </c>
      <c r="C998" s="1247">
        <v>8</v>
      </c>
      <c r="E998" s="1246" t="s">
        <v>370</v>
      </c>
      <c r="F998" s="1248">
        <v>1</v>
      </c>
      <c r="G998" s="1248">
        <v>2</v>
      </c>
      <c r="H998" s="1249">
        <v>1</v>
      </c>
      <c r="I998" s="1246" t="s">
        <v>1491</v>
      </c>
      <c r="J998" s="1246" t="s">
        <v>1397</v>
      </c>
      <c r="K998" s="1284" t="str">
        <f t="shared" si="15"/>
        <v>10</v>
      </c>
      <c r="L998" s="1246" t="s">
        <v>1532</v>
      </c>
      <c r="M998" s="1250">
        <v>9</v>
      </c>
      <c r="N998" s="1251">
        <v>3</v>
      </c>
      <c r="O998" s="1252">
        <v>3</v>
      </c>
    </row>
    <row r="999" spans="1:15">
      <c r="A999" s="1246" t="s">
        <v>1493</v>
      </c>
      <c r="B999" s="1246" t="s">
        <v>432</v>
      </c>
      <c r="C999" s="1247">
        <v>8</v>
      </c>
      <c r="E999" s="1246" t="s">
        <v>376</v>
      </c>
      <c r="F999" s="1248">
        <v>1</v>
      </c>
      <c r="G999" s="1248">
        <v>2</v>
      </c>
      <c r="H999" s="1249">
        <v>1</v>
      </c>
      <c r="I999" s="1246" t="s">
        <v>1491</v>
      </c>
      <c r="J999" s="1246" t="s">
        <v>1438</v>
      </c>
      <c r="K999" s="1284" t="str">
        <f t="shared" si="15"/>
        <v>13</v>
      </c>
      <c r="L999" s="1246" t="s">
        <v>1533</v>
      </c>
      <c r="M999" s="1250">
        <v>9</v>
      </c>
      <c r="N999" s="1251">
        <v>1</v>
      </c>
      <c r="O999" s="1252">
        <v>1</v>
      </c>
    </row>
    <row r="1000" spans="1:15">
      <c r="A1000" s="1246" t="s">
        <v>1493</v>
      </c>
      <c r="B1000" s="1246" t="s">
        <v>432</v>
      </c>
      <c r="C1000" s="1247">
        <v>8</v>
      </c>
      <c r="E1000" s="1246" t="s">
        <v>376</v>
      </c>
      <c r="F1000" s="1248">
        <v>1</v>
      </c>
      <c r="G1000" s="1248">
        <v>2</v>
      </c>
      <c r="H1000" s="1249">
        <v>1</v>
      </c>
      <c r="I1000" s="1246" t="s">
        <v>1491</v>
      </c>
      <c r="J1000" s="1246" t="s">
        <v>1436</v>
      </c>
      <c r="K1000" s="1284" t="str">
        <f t="shared" si="15"/>
        <v>11</v>
      </c>
      <c r="L1000" s="1246" t="s">
        <v>1496</v>
      </c>
      <c r="M1000" s="1250">
        <v>9</v>
      </c>
      <c r="N1000" s="1251">
        <v>5</v>
      </c>
      <c r="O1000" s="1252">
        <v>5</v>
      </c>
    </row>
    <row r="1001" spans="1:15">
      <c r="A1001" s="1246" t="s">
        <v>1493</v>
      </c>
      <c r="B1001" s="1246" t="s">
        <v>432</v>
      </c>
      <c r="C1001" s="1247">
        <v>8</v>
      </c>
      <c r="E1001" s="1246" t="s">
        <v>370</v>
      </c>
      <c r="F1001" s="1248">
        <v>1</v>
      </c>
      <c r="G1001" s="1248">
        <v>3</v>
      </c>
      <c r="H1001" s="1249">
        <v>1</v>
      </c>
      <c r="I1001" s="1246" t="s">
        <v>1491</v>
      </c>
      <c r="J1001" s="1246" t="s">
        <v>1436</v>
      </c>
      <c r="K1001" s="1284" t="str">
        <f t="shared" si="15"/>
        <v>11</v>
      </c>
      <c r="M1001" s="1250">
        <v>0</v>
      </c>
      <c r="N1001" s="1251">
        <v>1</v>
      </c>
      <c r="O1001" s="1252">
        <v>1</v>
      </c>
    </row>
    <row r="1002" spans="1:15">
      <c r="A1002" s="1246" t="s">
        <v>1493</v>
      </c>
      <c r="B1002" s="1246" t="s">
        <v>432</v>
      </c>
      <c r="C1002" s="1247">
        <v>8</v>
      </c>
      <c r="E1002" s="1246" t="s">
        <v>370</v>
      </c>
      <c r="F1002" s="1248">
        <v>1</v>
      </c>
      <c r="G1002" s="1248">
        <v>3</v>
      </c>
      <c r="H1002" s="1249">
        <v>1</v>
      </c>
      <c r="I1002" s="1246" t="s">
        <v>1491</v>
      </c>
      <c r="J1002" s="1246" t="s">
        <v>1436</v>
      </c>
      <c r="K1002" s="1284" t="str">
        <f t="shared" si="15"/>
        <v>11</v>
      </c>
      <c r="L1002" s="1246" t="s">
        <v>1495</v>
      </c>
      <c r="M1002" s="1250">
        <v>9</v>
      </c>
      <c r="N1002" s="1251">
        <v>21</v>
      </c>
      <c r="O1002" s="1252">
        <v>21</v>
      </c>
    </row>
    <row r="1003" spans="1:15">
      <c r="A1003" s="1246" t="s">
        <v>683</v>
      </c>
      <c r="B1003" s="1246" t="s">
        <v>432</v>
      </c>
      <c r="C1003" s="1247">
        <v>8</v>
      </c>
      <c r="E1003" s="1246" t="s">
        <v>370</v>
      </c>
      <c r="F1003" s="1248">
        <v>1</v>
      </c>
      <c r="G1003" s="1248">
        <v>3</v>
      </c>
      <c r="H1003" s="1249">
        <v>1</v>
      </c>
      <c r="I1003" s="1246" t="s">
        <v>1491</v>
      </c>
      <c r="J1003" s="1246" t="s">
        <v>1436</v>
      </c>
      <c r="K1003" s="1284" t="str">
        <f t="shared" si="15"/>
        <v>11</v>
      </c>
      <c r="L1003" s="1246" t="s">
        <v>1495</v>
      </c>
      <c r="M1003" s="1250">
        <v>9</v>
      </c>
      <c r="N1003" s="1251">
        <v>1</v>
      </c>
      <c r="O1003" s="1252">
        <v>1</v>
      </c>
    </row>
    <row r="1004" spans="1:15">
      <c r="A1004" s="1246" t="s">
        <v>1493</v>
      </c>
      <c r="B1004" s="1246" t="s">
        <v>432</v>
      </c>
      <c r="C1004" s="1247">
        <v>8</v>
      </c>
      <c r="E1004" s="1246" t="s">
        <v>373</v>
      </c>
      <c r="F1004" s="1248">
        <v>1</v>
      </c>
      <c r="G1004" s="1248">
        <v>3</v>
      </c>
      <c r="H1004" s="1249">
        <v>1</v>
      </c>
      <c r="I1004" s="1246" t="s">
        <v>1491</v>
      </c>
      <c r="J1004" s="1246" t="s">
        <v>1436</v>
      </c>
      <c r="K1004" s="1284" t="str">
        <f t="shared" si="15"/>
        <v>11</v>
      </c>
      <c r="L1004" s="1246" t="s">
        <v>1495</v>
      </c>
      <c r="M1004" s="1250">
        <v>9</v>
      </c>
      <c r="N1004" s="1251">
        <v>2</v>
      </c>
      <c r="O1004" s="1252">
        <v>2</v>
      </c>
    </row>
    <row r="1005" spans="1:15">
      <c r="A1005" s="1246" t="s">
        <v>1493</v>
      </c>
      <c r="B1005" s="1246" t="s">
        <v>432</v>
      </c>
      <c r="C1005" s="1247">
        <v>8</v>
      </c>
      <c r="E1005" s="1246" t="s">
        <v>370</v>
      </c>
      <c r="F1005" s="1248">
        <v>1</v>
      </c>
      <c r="G1005" s="1248">
        <v>3</v>
      </c>
      <c r="H1005" s="1249">
        <v>1</v>
      </c>
      <c r="I1005" s="1246" t="s">
        <v>1491</v>
      </c>
      <c r="J1005" s="1246" t="s">
        <v>1439</v>
      </c>
      <c r="K1005" s="1284" t="str">
        <f t="shared" si="15"/>
        <v>15</v>
      </c>
      <c r="L1005" s="1246" t="s">
        <v>1530</v>
      </c>
      <c r="M1005" s="1250">
        <v>9</v>
      </c>
      <c r="N1005" s="1251">
        <v>2</v>
      </c>
      <c r="O1005" s="1252">
        <v>2</v>
      </c>
    </row>
    <row r="1006" spans="1:15">
      <c r="A1006" s="1246" t="s">
        <v>1493</v>
      </c>
      <c r="B1006" s="1246" t="s">
        <v>432</v>
      </c>
      <c r="C1006" s="1247">
        <v>8</v>
      </c>
      <c r="E1006" s="1246" t="s">
        <v>370</v>
      </c>
      <c r="F1006" s="1248">
        <v>1</v>
      </c>
      <c r="G1006" s="1248">
        <v>3</v>
      </c>
      <c r="H1006" s="1249">
        <v>1</v>
      </c>
      <c r="I1006" s="1246" t="s">
        <v>1491</v>
      </c>
      <c r="J1006" s="1246" t="s">
        <v>1438</v>
      </c>
      <c r="K1006" s="1284" t="str">
        <f t="shared" si="15"/>
        <v>13</v>
      </c>
      <c r="L1006" s="1246" t="s">
        <v>1533</v>
      </c>
      <c r="M1006" s="1250">
        <v>9</v>
      </c>
      <c r="N1006" s="1251">
        <v>1</v>
      </c>
      <c r="O1006" s="1252">
        <v>1</v>
      </c>
    </row>
    <row r="1007" spans="1:15">
      <c r="A1007" s="1246" t="s">
        <v>1493</v>
      </c>
      <c r="B1007" s="1246" t="s">
        <v>432</v>
      </c>
      <c r="C1007" s="1247">
        <v>8</v>
      </c>
      <c r="E1007" s="1246" t="s">
        <v>376</v>
      </c>
      <c r="F1007" s="1248">
        <v>1</v>
      </c>
      <c r="G1007" s="1248">
        <v>3</v>
      </c>
      <c r="H1007" s="1249">
        <v>1</v>
      </c>
      <c r="I1007" s="1246" t="s">
        <v>1491</v>
      </c>
      <c r="J1007" s="1246" t="s">
        <v>1436</v>
      </c>
      <c r="K1007" s="1284" t="str">
        <f t="shared" si="15"/>
        <v>11</v>
      </c>
      <c r="L1007" s="1246" t="s">
        <v>1496</v>
      </c>
      <c r="M1007" s="1250">
        <v>9</v>
      </c>
      <c r="N1007" s="1251">
        <v>3</v>
      </c>
      <c r="O1007" s="1252">
        <v>3</v>
      </c>
    </row>
    <row r="1008" spans="1:15">
      <c r="A1008" s="1246" t="s">
        <v>1493</v>
      </c>
      <c r="B1008" s="1246" t="s">
        <v>432</v>
      </c>
      <c r="C1008" s="1247">
        <v>8</v>
      </c>
      <c r="E1008" s="1246" t="s">
        <v>370</v>
      </c>
      <c r="F1008" s="1248">
        <v>1</v>
      </c>
      <c r="G1008" s="1248">
        <v>4</v>
      </c>
      <c r="H1008" s="1249">
        <v>1</v>
      </c>
      <c r="I1008" s="1246" t="s">
        <v>1491</v>
      </c>
      <c r="J1008" s="1246" t="s">
        <v>1436</v>
      </c>
      <c r="K1008" s="1284" t="str">
        <f t="shared" si="15"/>
        <v>11</v>
      </c>
      <c r="L1008" s="1246" t="s">
        <v>1495</v>
      </c>
      <c r="M1008" s="1250">
        <v>9</v>
      </c>
      <c r="N1008" s="1251">
        <v>3</v>
      </c>
      <c r="O1008" s="1252">
        <v>3</v>
      </c>
    </row>
    <row r="1009" spans="1:15">
      <c r="A1009" s="1246" t="s">
        <v>1493</v>
      </c>
      <c r="B1009" s="1246" t="s">
        <v>432</v>
      </c>
      <c r="C1009" s="1247">
        <v>8</v>
      </c>
      <c r="E1009" s="1246" t="s">
        <v>370</v>
      </c>
      <c r="F1009" s="1248">
        <v>1</v>
      </c>
      <c r="G1009" s="1248">
        <v>4</v>
      </c>
      <c r="H1009" s="1249">
        <v>1</v>
      </c>
      <c r="I1009" s="1246" t="s">
        <v>1491</v>
      </c>
      <c r="J1009" s="1246" t="s">
        <v>1439</v>
      </c>
      <c r="K1009" s="1284" t="str">
        <f t="shared" si="15"/>
        <v>15</v>
      </c>
      <c r="L1009" s="1246" t="s">
        <v>1530</v>
      </c>
      <c r="M1009" s="1250">
        <v>9</v>
      </c>
      <c r="N1009" s="1251">
        <v>1</v>
      </c>
      <c r="O1009" s="1252">
        <v>1</v>
      </c>
    </row>
    <row r="1010" spans="1:15">
      <c r="A1010" s="1246" t="s">
        <v>1493</v>
      </c>
      <c r="B1010" s="1246" t="s">
        <v>432</v>
      </c>
      <c r="C1010" s="1247">
        <v>8</v>
      </c>
      <c r="E1010" s="1246" t="s">
        <v>370</v>
      </c>
      <c r="F1010" s="1248">
        <v>1</v>
      </c>
      <c r="G1010" s="1248">
        <v>4</v>
      </c>
      <c r="H1010" s="1249">
        <v>1</v>
      </c>
      <c r="I1010" s="1246" t="s">
        <v>1491</v>
      </c>
      <c r="J1010" s="1246" t="s">
        <v>1438</v>
      </c>
      <c r="K1010" s="1284" t="str">
        <f t="shared" si="15"/>
        <v>13</v>
      </c>
      <c r="L1010" s="1246" t="s">
        <v>1533</v>
      </c>
      <c r="M1010" s="1250">
        <v>9</v>
      </c>
      <c r="N1010" s="1251">
        <v>1</v>
      </c>
      <c r="O1010" s="1252">
        <v>1</v>
      </c>
    </row>
    <row r="1011" spans="1:15">
      <c r="A1011" s="1246" t="s">
        <v>1493</v>
      </c>
      <c r="B1011" s="1246" t="s">
        <v>432</v>
      </c>
      <c r="C1011" s="1247">
        <v>8</v>
      </c>
      <c r="E1011" s="1246" t="s">
        <v>373</v>
      </c>
      <c r="F1011" s="1248">
        <v>1</v>
      </c>
      <c r="G1011" s="1248">
        <v>5</v>
      </c>
      <c r="H1011" s="1249">
        <v>1</v>
      </c>
      <c r="I1011" s="1246" t="s">
        <v>1491</v>
      </c>
      <c r="J1011" s="1246" t="s">
        <v>1436</v>
      </c>
      <c r="K1011" s="1284" t="str">
        <f t="shared" si="15"/>
        <v>11</v>
      </c>
      <c r="L1011" s="1246" t="s">
        <v>1495</v>
      </c>
      <c r="M1011" s="1250">
        <v>9</v>
      </c>
      <c r="N1011" s="1251">
        <v>1</v>
      </c>
      <c r="O1011" s="1252">
        <v>1</v>
      </c>
    </row>
    <row r="1012" spans="1:15">
      <c r="A1012" s="1246" t="s">
        <v>1493</v>
      </c>
      <c r="B1012" s="1246" t="s">
        <v>432</v>
      </c>
      <c r="C1012" s="1247">
        <v>8</v>
      </c>
      <c r="E1012" s="1246" t="s">
        <v>370</v>
      </c>
      <c r="F1012" s="1248">
        <v>1</v>
      </c>
      <c r="G1012" s="1248">
        <v>5</v>
      </c>
      <c r="H1012" s="1249">
        <v>1</v>
      </c>
      <c r="I1012" s="1246" t="s">
        <v>1491</v>
      </c>
      <c r="J1012" s="1246" t="s">
        <v>1436</v>
      </c>
      <c r="K1012" s="1284" t="str">
        <f t="shared" si="15"/>
        <v>11</v>
      </c>
      <c r="L1012" s="1246" t="s">
        <v>1495</v>
      </c>
      <c r="M1012" s="1250">
        <v>9</v>
      </c>
      <c r="N1012" s="1251">
        <v>5</v>
      </c>
      <c r="O1012" s="1252">
        <v>5</v>
      </c>
    </row>
    <row r="1013" spans="1:15">
      <c r="A1013" s="1246" t="s">
        <v>1493</v>
      </c>
      <c r="B1013" s="1246" t="s">
        <v>432</v>
      </c>
      <c r="C1013" s="1247">
        <v>8</v>
      </c>
      <c r="E1013" s="1246" t="s">
        <v>370</v>
      </c>
      <c r="F1013" s="1248">
        <v>1</v>
      </c>
      <c r="G1013" s="1248">
        <v>5</v>
      </c>
      <c r="H1013" s="1249">
        <v>1</v>
      </c>
      <c r="I1013" s="1246" t="s">
        <v>1491</v>
      </c>
      <c r="J1013" s="1246" t="s">
        <v>1439</v>
      </c>
      <c r="K1013" s="1284" t="str">
        <f t="shared" si="15"/>
        <v>15</v>
      </c>
      <c r="L1013" s="1246" t="s">
        <v>1530</v>
      </c>
      <c r="M1013" s="1250">
        <v>9</v>
      </c>
      <c r="N1013" s="1251">
        <v>1</v>
      </c>
      <c r="O1013" s="1252">
        <v>1</v>
      </c>
    </row>
    <row r="1014" spans="1:15">
      <c r="A1014" s="1246" t="s">
        <v>1493</v>
      </c>
      <c r="B1014" s="1246" t="s">
        <v>432</v>
      </c>
      <c r="C1014" s="1247">
        <v>8</v>
      </c>
      <c r="E1014" s="1246" t="s">
        <v>370</v>
      </c>
      <c r="F1014" s="1248">
        <v>2</v>
      </c>
      <c r="G1014" s="1248">
        <v>2</v>
      </c>
      <c r="H1014" s="1249">
        <v>1</v>
      </c>
      <c r="I1014" s="1246" t="s">
        <v>1491</v>
      </c>
      <c r="J1014" s="1246" t="s">
        <v>1443</v>
      </c>
      <c r="K1014" s="1284" t="str">
        <f t="shared" si="15"/>
        <v>1C</v>
      </c>
      <c r="L1014" s="1246" t="s">
        <v>1502</v>
      </c>
      <c r="M1014" s="1250">
        <v>4</v>
      </c>
      <c r="N1014" s="1251">
        <v>2</v>
      </c>
      <c r="O1014" s="1252">
        <v>1</v>
      </c>
    </row>
    <row r="1015" spans="1:15">
      <c r="A1015" s="1246" t="s">
        <v>1493</v>
      </c>
      <c r="B1015" s="1246" t="s">
        <v>432</v>
      </c>
      <c r="C1015" s="1247">
        <v>8</v>
      </c>
      <c r="E1015" s="1246" t="s">
        <v>370</v>
      </c>
      <c r="F1015" s="1248">
        <v>2</v>
      </c>
      <c r="G1015" s="1248">
        <v>2</v>
      </c>
      <c r="H1015" s="1249">
        <v>1</v>
      </c>
      <c r="I1015" s="1246" t="s">
        <v>1491</v>
      </c>
      <c r="J1015" s="1246" t="s">
        <v>1436</v>
      </c>
      <c r="K1015" s="1284" t="str">
        <f t="shared" si="15"/>
        <v>11</v>
      </c>
      <c r="L1015" s="1246" t="s">
        <v>1495</v>
      </c>
      <c r="M1015" s="1250">
        <v>9</v>
      </c>
      <c r="N1015" s="1251">
        <v>2</v>
      </c>
      <c r="O1015" s="1252">
        <v>1</v>
      </c>
    </row>
    <row r="1016" spans="1:15">
      <c r="A1016" s="1246" t="s">
        <v>1493</v>
      </c>
      <c r="B1016" s="1246" t="s">
        <v>432</v>
      </c>
      <c r="C1016" s="1247">
        <v>8</v>
      </c>
      <c r="E1016" s="1246" t="s">
        <v>376</v>
      </c>
      <c r="F1016" s="1248">
        <v>2</v>
      </c>
      <c r="G1016" s="1248">
        <v>2</v>
      </c>
      <c r="H1016" s="1249">
        <v>1</v>
      </c>
      <c r="I1016" s="1246" t="s">
        <v>1491</v>
      </c>
      <c r="J1016" s="1246" t="s">
        <v>1436</v>
      </c>
      <c r="K1016" s="1284" t="str">
        <f t="shared" si="15"/>
        <v>11</v>
      </c>
      <c r="L1016" s="1246" t="s">
        <v>1496</v>
      </c>
      <c r="M1016" s="1250">
        <v>9</v>
      </c>
      <c r="N1016" s="1251">
        <v>6</v>
      </c>
      <c r="O1016" s="1252">
        <v>3</v>
      </c>
    </row>
    <row r="1017" spans="1:15">
      <c r="A1017" s="1246" t="s">
        <v>1493</v>
      </c>
      <c r="B1017" s="1246" t="s">
        <v>432</v>
      </c>
      <c r="C1017" s="1247">
        <v>8</v>
      </c>
      <c r="E1017" s="1246" t="s">
        <v>376</v>
      </c>
      <c r="F1017" s="1248">
        <v>2</v>
      </c>
      <c r="G1017" s="1248">
        <v>4</v>
      </c>
      <c r="H1017" s="1249">
        <v>1</v>
      </c>
      <c r="I1017" s="1246" t="s">
        <v>1491</v>
      </c>
      <c r="J1017" s="1246" t="s">
        <v>1442</v>
      </c>
      <c r="K1017" s="1284" t="str">
        <f t="shared" si="15"/>
        <v>10</v>
      </c>
      <c r="L1017" s="1246" t="s">
        <v>1542</v>
      </c>
      <c r="M1017" s="1250">
        <v>6</v>
      </c>
      <c r="N1017" s="1251">
        <v>2</v>
      </c>
      <c r="O1017" s="1252">
        <v>1</v>
      </c>
    </row>
    <row r="1018" spans="1:15">
      <c r="A1018" s="1246" t="s">
        <v>1493</v>
      </c>
      <c r="B1018" s="1246" t="s">
        <v>432</v>
      </c>
      <c r="C1018" s="1247">
        <v>8</v>
      </c>
      <c r="E1018" s="1246" t="s">
        <v>370</v>
      </c>
      <c r="F1018" s="1248">
        <v>2</v>
      </c>
      <c r="G1018" s="1248">
        <v>4</v>
      </c>
      <c r="H1018" s="1249">
        <v>1</v>
      </c>
      <c r="I1018" s="1246" t="s">
        <v>1491</v>
      </c>
      <c r="J1018" s="1246" t="s">
        <v>1436</v>
      </c>
      <c r="K1018" s="1284" t="str">
        <f t="shared" si="15"/>
        <v>11</v>
      </c>
      <c r="L1018" s="1246" t="s">
        <v>1495</v>
      </c>
      <c r="M1018" s="1250">
        <v>9</v>
      </c>
      <c r="N1018" s="1251">
        <v>2</v>
      </c>
      <c r="O1018" s="1252">
        <v>1</v>
      </c>
    </row>
    <row r="1019" spans="1:15">
      <c r="A1019" s="1246" t="s">
        <v>683</v>
      </c>
      <c r="B1019" s="1246" t="s">
        <v>432</v>
      </c>
      <c r="C1019" s="1247">
        <v>8</v>
      </c>
      <c r="E1019" s="1246" t="s">
        <v>370</v>
      </c>
      <c r="F1019" s="1248">
        <v>2</v>
      </c>
      <c r="G1019" s="1248">
        <v>4</v>
      </c>
      <c r="H1019" s="1249">
        <v>1</v>
      </c>
      <c r="I1019" s="1246" t="s">
        <v>1491</v>
      </c>
      <c r="J1019" s="1246" t="s">
        <v>1436</v>
      </c>
      <c r="K1019" s="1284" t="str">
        <f t="shared" si="15"/>
        <v>11</v>
      </c>
      <c r="L1019" s="1246" t="s">
        <v>1495</v>
      </c>
      <c r="M1019" s="1250">
        <v>9</v>
      </c>
      <c r="N1019" s="1251">
        <v>4</v>
      </c>
      <c r="O1019" s="1252">
        <v>2</v>
      </c>
    </row>
    <row r="1020" spans="1:15">
      <c r="A1020" s="1246" t="s">
        <v>1493</v>
      </c>
      <c r="B1020" s="1246" t="s">
        <v>432</v>
      </c>
      <c r="C1020" s="1247">
        <v>8</v>
      </c>
      <c r="E1020" s="1246" t="s">
        <v>376</v>
      </c>
      <c r="F1020" s="1248">
        <v>2</v>
      </c>
      <c r="G1020" s="1248">
        <v>4</v>
      </c>
      <c r="H1020" s="1249">
        <v>1</v>
      </c>
      <c r="I1020" s="1246" t="s">
        <v>1491</v>
      </c>
      <c r="J1020" s="1246" t="s">
        <v>1436</v>
      </c>
      <c r="K1020" s="1284" t="str">
        <f t="shared" si="15"/>
        <v>11</v>
      </c>
      <c r="L1020" s="1246" t="s">
        <v>1496</v>
      </c>
      <c r="M1020" s="1250">
        <v>9</v>
      </c>
      <c r="N1020" s="1251">
        <v>4</v>
      </c>
      <c r="O1020" s="1252">
        <v>2</v>
      </c>
    </row>
    <row r="1021" spans="1:15">
      <c r="A1021" s="1246" t="s">
        <v>1493</v>
      </c>
      <c r="B1021" s="1246" t="s">
        <v>432</v>
      </c>
      <c r="C1021" s="1247">
        <v>8</v>
      </c>
      <c r="E1021" s="1246" t="s">
        <v>370</v>
      </c>
      <c r="F1021" s="1248">
        <v>2</v>
      </c>
      <c r="G1021" s="1248">
        <v>6</v>
      </c>
      <c r="H1021" s="1249">
        <v>1</v>
      </c>
      <c r="I1021" s="1246" t="s">
        <v>1491</v>
      </c>
      <c r="J1021" s="1246" t="s">
        <v>1436</v>
      </c>
      <c r="K1021" s="1284" t="str">
        <f t="shared" si="15"/>
        <v>11</v>
      </c>
      <c r="L1021" s="1246" t="s">
        <v>1495</v>
      </c>
      <c r="M1021" s="1250">
        <v>9</v>
      </c>
      <c r="N1021" s="1251">
        <v>2</v>
      </c>
      <c r="O1021" s="1252">
        <v>1</v>
      </c>
    </row>
    <row r="1022" spans="1:15">
      <c r="A1022" s="1246" t="s">
        <v>683</v>
      </c>
      <c r="B1022" s="1246" t="s">
        <v>432</v>
      </c>
      <c r="C1022" s="1247">
        <v>8</v>
      </c>
      <c r="E1022" s="1246" t="s">
        <v>370</v>
      </c>
      <c r="F1022" s="1248">
        <v>2</v>
      </c>
      <c r="G1022" s="1248">
        <v>6</v>
      </c>
      <c r="H1022" s="1249">
        <v>1</v>
      </c>
      <c r="I1022" s="1246" t="s">
        <v>1491</v>
      </c>
      <c r="J1022" s="1246" t="s">
        <v>1436</v>
      </c>
      <c r="K1022" s="1284" t="str">
        <f t="shared" si="15"/>
        <v>11</v>
      </c>
      <c r="L1022" s="1246" t="s">
        <v>1495</v>
      </c>
      <c r="M1022" s="1250">
        <v>9</v>
      </c>
      <c r="N1022" s="1251">
        <v>2</v>
      </c>
      <c r="O1022" s="1252">
        <v>1</v>
      </c>
    </row>
    <row r="1023" spans="1:15">
      <c r="A1023" s="1246" t="s">
        <v>683</v>
      </c>
      <c r="B1023" s="1246" t="s">
        <v>432</v>
      </c>
      <c r="C1023" s="1247">
        <v>8</v>
      </c>
      <c r="E1023" s="1246" t="s">
        <v>370</v>
      </c>
      <c r="F1023" s="1248">
        <v>3</v>
      </c>
      <c r="G1023" s="1248">
        <v>3</v>
      </c>
      <c r="H1023" s="1249">
        <v>1</v>
      </c>
      <c r="I1023" s="1246" t="s">
        <v>1491</v>
      </c>
      <c r="J1023" s="1246" t="s">
        <v>1436</v>
      </c>
      <c r="K1023" s="1284" t="str">
        <f t="shared" si="15"/>
        <v>11</v>
      </c>
      <c r="L1023" s="1246" t="s">
        <v>1495</v>
      </c>
      <c r="M1023" s="1250">
        <v>9</v>
      </c>
      <c r="N1023" s="1251">
        <v>3</v>
      </c>
      <c r="O1023" s="1252">
        <v>1</v>
      </c>
    </row>
    <row r="1024" spans="1:15">
      <c r="A1024" s="1246" t="s">
        <v>1493</v>
      </c>
      <c r="B1024" s="1246" t="s">
        <v>432</v>
      </c>
      <c r="C1024" s="1247">
        <v>8</v>
      </c>
      <c r="E1024" s="1246" t="s">
        <v>376</v>
      </c>
      <c r="F1024" s="1248">
        <v>3</v>
      </c>
      <c r="G1024" s="1248">
        <v>3</v>
      </c>
      <c r="H1024" s="1249">
        <v>1</v>
      </c>
      <c r="I1024" s="1246" t="s">
        <v>1491</v>
      </c>
      <c r="J1024" s="1246" t="s">
        <v>1436</v>
      </c>
      <c r="K1024" s="1284" t="str">
        <f t="shared" si="15"/>
        <v>11</v>
      </c>
      <c r="L1024" s="1246" t="s">
        <v>1496</v>
      </c>
      <c r="M1024" s="1250">
        <v>9</v>
      </c>
      <c r="N1024" s="1251">
        <v>3</v>
      </c>
      <c r="O1024" s="1252">
        <v>1</v>
      </c>
    </row>
    <row r="1025" spans="1:15">
      <c r="A1025" s="1246" t="s">
        <v>1493</v>
      </c>
      <c r="B1025" s="1246" t="s">
        <v>432</v>
      </c>
      <c r="C1025" s="1247">
        <v>8</v>
      </c>
      <c r="E1025" s="1246" t="s">
        <v>376</v>
      </c>
      <c r="F1025" s="1248">
        <v>4</v>
      </c>
      <c r="G1025" s="1248">
        <v>4</v>
      </c>
      <c r="H1025" s="1249">
        <v>1</v>
      </c>
      <c r="I1025" s="1246" t="s">
        <v>1491</v>
      </c>
      <c r="J1025" s="1246" t="s">
        <v>1436</v>
      </c>
      <c r="K1025" s="1284" t="str">
        <f t="shared" si="15"/>
        <v>11</v>
      </c>
      <c r="L1025" s="1246" t="s">
        <v>1496</v>
      </c>
      <c r="M1025" s="1250">
        <v>9</v>
      </c>
      <c r="N1025" s="1251">
        <v>8</v>
      </c>
      <c r="O1025" s="1252">
        <v>2</v>
      </c>
    </row>
    <row r="1026" spans="1:15">
      <c r="A1026" s="1246" t="s">
        <v>1493</v>
      </c>
      <c r="B1026" s="1246" t="s">
        <v>431</v>
      </c>
      <c r="C1026" s="1247">
        <v>1</v>
      </c>
      <c r="E1026" s="1246" t="s">
        <v>1494</v>
      </c>
      <c r="F1026" s="1248">
        <v>1</v>
      </c>
      <c r="G1026" s="1248">
        <v>0</v>
      </c>
      <c r="H1026" s="1249">
        <v>0</v>
      </c>
      <c r="J1026" s="1246" t="s">
        <v>1462</v>
      </c>
      <c r="K1026" s="1284" t="str">
        <f t="shared" ref="K1026:K1089" si="16">IF(J1026="1B","10", IF(J1026="2B","20",IF(J1026="3B","30",IF(J1026="7B",70,J1026))))</f>
        <v>71</v>
      </c>
      <c r="L1026" s="1246" t="s">
        <v>1495</v>
      </c>
      <c r="M1026" s="1250">
        <v>9</v>
      </c>
      <c r="N1026" s="1251">
        <v>1</v>
      </c>
      <c r="O1026" s="1252">
        <v>1</v>
      </c>
    </row>
    <row r="1027" spans="1:15">
      <c r="A1027" s="1246" t="s">
        <v>1493</v>
      </c>
      <c r="B1027" s="1246" t="s">
        <v>431</v>
      </c>
      <c r="C1027" s="1247">
        <v>1</v>
      </c>
      <c r="E1027" s="1246" t="s">
        <v>1412</v>
      </c>
      <c r="F1027" s="1248">
        <v>1</v>
      </c>
      <c r="G1027" s="1248">
        <v>0</v>
      </c>
      <c r="H1027" s="1249">
        <v>0</v>
      </c>
      <c r="J1027" s="1246" t="s">
        <v>1400</v>
      </c>
      <c r="K1027" s="1284" t="str">
        <f t="shared" si="16"/>
        <v>70</v>
      </c>
      <c r="L1027" s="1246" t="s">
        <v>1532</v>
      </c>
      <c r="M1027" s="1250">
        <v>9</v>
      </c>
      <c r="N1027" s="1251">
        <v>1</v>
      </c>
      <c r="O1027" s="1252">
        <v>1</v>
      </c>
    </row>
    <row r="1028" spans="1:15">
      <c r="A1028" s="1246" t="s">
        <v>1493</v>
      </c>
      <c r="B1028" s="1246" t="s">
        <v>431</v>
      </c>
      <c r="C1028" s="1247">
        <v>1</v>
      </c>
      <c r="E1028" s="1246" t="s">
        <v>1494</v>
      </c>
      <c r="F1028" s="1248">
        <v>1</v>
      </c>
      <c r="G1028" s="1248">
        <v>0</v>
      </c>
      <c r="H1028" s="1249">
        <v>0</v>
      </c>
      <c r="J1028" s="1246" t="s">
        <v>1464</v>
      </c>
      <c r="K1028" s="1284" t="str">
        <f t="shared" si="16"/>
        <v>73</v>
      </c>
      <c r="L1028" s="1246" t="s">
        <v>1533</v>
      </c>
      <c r="M1028" s="1250">
        <v>9</v>
      </c>
      <c r="N1028" s="1251">
        <v>1</v>
      </c>
      <c r="O1028" s="1252">
        <v>1</v>
      </c>
    </row>
    <row r="1029" spans="1:15">
      <c r="A1029" s="1246" t="s">
        <v>1493</v>
      </c>
      <c r="B1029" s="1246" t="s">
        <v>431</v>
      </c>
      <c r="C1029" s="1247">
        <v>1</v>
      </c>
      <c r="E1029" s="1246" t="s">
        <v>279</v>
      </c>
      <c r="F1029" s="1248">
        <v>1</v>
      </c>
      <c r="G1029" s="1248">
        <v>1</v>
      </c>
      <c r="H1029" s="1249">
        <v>1</v>
      </c>
      <c r="I1029" s="1246" t="s">
        <v>1491</v>
      </c>
      <c r="J1029" s="1246" t="s">
        <v>1470</v>
      </c>
      <c r="K1029" s="1284" t="str">
        <f t="shared" si="16"/>
        <v>7C</v>
      </c>
      <c r="L1029" s="1246" t="s">
        <v>1502</v>
      </c>
      <c r="M1029" s="1250">
        <v>4</v>
      </c>
      <c r="N1029" s="1251">
        <v>1</v>
      </c>
      <c r="O1029" s="1252">
        <v>1</v>
      </c>
    </row>
    <row r="1030" spans="1:15">
      <c r="A1030" s="1246" t="s">
        <v>1493</v>
      </c>
      <c r="B1030" s="1246" t="s">
        <v>431</v>
      </c>
      <c r="C1030" s="1247">
        <v>1</v>
      </c>
      <c r="E1030" s="1246" t="s">
        <v>1494</v>
      </c>
      <c r="F1030" s="1248">
        <v>1</v>
      </c>
      <c r="G1030" s="1248">
        <v>1</v>
      </c>
      <c r="H1030" s="1249">
        <v>1</v>
      </c>
      <c r="I1030" s="1246" t="s">
        <v>1491</v>
      </c>
      <c r="J1030" s="1246" t="s">
        <v>1443</v>
      </c>
      <c r="K1030" s="1284" t="str">
        <f t="shared" si="16"/>
        <v>1C</v>
      </c>
      <c r="L1030" s="1246" t="s">
        <v>1502</v>
      </c>
      <c r="M1030" s="1250">
        <v>4</v>
      </c>
      <c r="N1030" s="1251">
        <v>1</v>
      </c>
      <c r="O1030" s="1252">
        <v>1</v>
      </c>
    </row>
    <row r="1031" spans="1:15">
      <c r="A1031" s="1246" t="s">
        <v>1493</v>
      </c>
      <c r="B1031" s="1246" t="s">
        <v>431</v>
      </c>
      <c r="C1031" s="1247">
        <v>1</v>
      </c>
      <c r="E1031" s="1246" t="s">
        <v>1494</v>
      </c>
      <c r="F1031" s="1248">
        <v>1</v>
      </c>
      <c r="G1031" s="1248">
        <v>1</v>
      </c>
      <c r="H1031" s="1249">
        <v>1</v>
      </c>
      <c r="I1031" s="1246" t="s">
        <v>1491</v>
      </c>
      <c r="J1031" s="1246" t="s">
        <v>1470</v>
      </c>
      <c r="K1031" s="1284" t="str">
        <f t="shared" si="16"/>
        <v>7C</v>
      </c>
      <c r="L1031" s="1246" t="s">
        <v>1502</v>
      </c>
      <c r="M1031" s="1250">
        <v>4</v>
      </c>
      <c r="N1031" s="1251">
        <v>12</v>
      </c>
      <c r="O1031" s="1252">
        <v>12</v>
      </c>
    </row>
    <row r="1032" spans="1:15">
      <c r="A1032" s="1246" t="s">
        <v>1493</v>
      </c>
      <c r="B1032" s="1246" t="s">
        <v>431</v>
      </c>
      <c r="C1032" s="1247">
        <v>1</v>
      </c>
      <c r="E1032" s="1246" t="s">
        <v>370</v>
      </c>
      <c r="F1032" s="1248">
        <v>1</v>
      </c>
      <c r="G1032" s="1248">
        <v>1</v>
      </c>
      <c r="H1032" s="1249">
        <v>1</v>
      </c>
      <c r="I1032" s="1246" t="s">
        <v>1491</v>
      </c>
      <c r="J1032" s="1246" t="s">
        <v>1470</v>
      </c>
      <c r="K1032" s="1284" t="str">
        <f t="shared" si="16"/>
        <v>7C</v>
      </c>
      <c r="L1032" s="1246" t="s">
        <v>1502</v>
      </c>
      <c r="M1032" s="1250">
        <v>4</v>
      </c>
      <c r="N1032" s="1251">
        <v>1</v>
      </c>
      <c r="O1032" s="1252">
        <v>1</v>
      </c>
    </row>
    <row r="1033" spans="1:15">
      <c r="A1033" s="1246" t="s">
        <v>1493</v>
      </c>
      <c r="B1033" s="1246" t="s">
        <v>431</v>
      </c>
      <c r="C1033" s="1247">
        <v>1</v>
      </c>
      <c r="E1033" s="1246" t="s">
        <v>376</v>
      </c>
      <c r="F1033" s="1248">
        <v>1</v>
      </c>
      <c r="G1033" s="1248">
        <v>1</v>
      </c>
      <c r="H1033" s="1249">
        <v>1</v>
      </c>
      <c r="I1033" s="1246" t="s">
        <v>1491</v>
      </c>
      <c r="J1033" s="1246" t="s">
        <v>1443</v>
      </c>
      <c r="K1033" s="1284" t="str">
        <f t="shared" si="16"/>
        <v>1C</v>
      </c>
      <c r="L1033" s="1246" t="s">
        <v>1502</v>
      </c>
      <c r="M1033" s="1250">
        <v>4</v>
      </c>
      <c r="N1033" s="1251">
        <v>1</v>
      </c>
      <c r="O1033" s="1252">
        <v>1</v>
      </c>
    </row>
    <row r="1034" spans="1:15">
      <c r="A1034" s="1246" t="s">
        <v>1493</v>
      </c>
      <c r="B1034" s="1246" t="s">
        <v>431</v>
      </c>
      <c r="C1034" s="1247">
        <v>1</v>
      </c>
      <c r="E1034" s="1246" t="s">
        <v>376</v>
      </c>
      <c r="F1034" s="1248">
        <v>1</v>
      </c>
      <c r="G1034" s="1248">
        <v>1</v>
      </c>
      <c r="H1034" s="1249">
        <v>1</v>
      </c>
      <c r="I1034" s="1246" t="s">
        <v>1491</v>
      </c>
      <c r="J1034" s="1246" t="s">
        <v>1470</v>
      </c>
      <c r="K1034" s="1284" t="str">
        <f t="shared" si="16"/>
        <v>7C</v>
      </c>
      <c r="L1034" s="1246" t="s">
        <v>1502</v>
      </c>
      <c r="M1034" s="1250">
        <v>4</v>
      </c>
      <c r="N1034" s="1251">
        <v>2</v>
      </c>
      <c r="O1034" s="1252">
        <v>2</v>
      </c>
    </row>
    <row r="1035" spans="1:15">
      <c r="A1035" s="1246" t="s">
        <v>1493</v>
      </c>
      <c r="B1035" s="1246" t="s">
        <v>431</v>
      </c>
      <c r="C1035" s="1247">
        <v>1</v>
      </c>
      <c r="E1035" s="1246" t="s">
        <v>1412</v>
      </c>
      <c r="F1035" s="1248">
        <v>1</v>
      </c>
      <c r="G1035" s="1248">
        <v>1</v>
      </c>
      <c r="H1035" s="1249">
        <v>1</v>
      </c>
      <c r="I1035" s="1246" t="s">
        <v>1491</v>
      </c>
      <c r="J1035" s="1246" t="s">
        <v>1469</v>
      </c>
      <c r="K1035" s="1284">
        <f t="shared" si="16"/>
        <v>70</v>
      </c>
      <c r="L1035" s="1246" t="s">
        <v>1534</v>
      </c>
      <c r="M1035" s="1250">
        <v>4</v>
      </c>
      <c r="N1035" s="1251">
        <v>1</v>
      </c>
      <c r="O1035" s="1252">
        <v>1</v>
      </c>
    </row>
    <row r="1036" spans="1:15">
      <c r="A1036" s="1246" t="s">
        <v>1493</v>
      </c>
      <c r="B1036" s="1246" t="s">
        <v>431</v>
      </c>
      <c r="C1036" s="1247">
        <v>1</v>
      </c>
      <c r="E1036" s="1246" t="s">
        <v>279</v>
      </c>
      <c r="F1036" s="1248">
        <v>1</v>
      </c>
      <c r="G1036" s="1248">
        <v>1</v>
      </c>
      <c r="H1036" s="1249">
        <v>1</v>
      </c>
      <c r="I1036" s="1246" t="s">
        <v>1491</v>
      </c>
      <c r="J1036" s="1246" t="s">
        <v>1469</v>
      </c>
      <c r="K1036" s="1284">
        <f t="shared" si="16"/>
        <v>70</v>
      </c>
      <c r="L1036" s="1246" t="s">
        <v>1534</v>
      </c>
      <c r="M1036" s="1250">
        <v>4</v>
      </c>
      <c r="N1036" s="1251">
        <v>1</v>
      </c>
      <c r="O1036" s="1252">
        <v>1</v>
      </c>
    </row>
    <row r="1037" spans="1:15">
      <c r="A1037" s="1246" t="s">
        <v>1493</v>
      </c>
      <c r="B1037" s="1246" t="s">
        <v>431</v>
      </c>
      <c r="C1037" s="1247">
        <v>1</v>
      </c>
      <c r="E1037" s="1246" t="s">
        <v>1494</v>
      </c>
      <c r="F1037" s="1248">
        <v>1</v>
      </c>
      <c r="G1037" s="1248">
        <v>1</v>
      </c>
      <c r="H1037" s="1249">
        <v>1</v>
      </c>
      <c r="I1037" s="1246" t="s">
        <v>1491</v>
      </c>
      <c r="J1037" s="1246" t="s">
        <v>1469</v>
      </c>
      <c r="K1037" s="1284">
        <f t="shared" si="16"/>
        <v>70</v>
      </c>
      <c r="L1037" s="1246" t="s">
        <v>1534</v>
      </c>
      <c r="M1037" s="1250">
        <v>4</v>
      </c>
      <c r="N1037" s="1251">
        <v>1</v>
      </c>
      <c r="O1037" s="1252">
        <v>1</v>
      </c>
    </row>
    <row r="1038" spans="1:15">
      <c r="A1038" s="1246" t="s">
        <v>1493</v>
      </c>
      <c r="B1038" s="1246" t="s">
        <v>431</v>
      </c>
      <c r="C1038" s="1247">
        <v>1</v>
      </c>
      <c r="E1038" s="1246" t="s">
        <v>1494</v>
      </c>
      <c r="F1038" s="1248">
        <v>1</v>
      </c>
      <c r="G1038" s="1248">
        <v>1</v>
      </c>
      <c r="H1038" s="1249">
        <v>1</v>
      </c>
      <c r="I1038" s="1246" t="s">
        <v>1491</v>
      </c>
      <c r="J1038" s="1246" t="s">
        <v>1463</v>
      </c>
      <c r="K1038" s="1284" t="str">
        <f t="shared" si="16"/>
        <v>72</v>
      </c>
      <c r="L1038" s="1246" t="s">
        <v>1529</v>
      </c>
      <c r="M1038" s="1250">
        <v>9</v>
      </c>
      <c r="N1038" s="1251">
        <v>1</v>
      </c>
      <c r="O1038" s="1252">
        <v>1</v>
      </c>
    </row>
    <row r="1039" spans="1:15">
      <c r="A1039" s="1246" t="s">
        <v>1493</v>
      </c>
      <c r="B1039" s="1246" t="s">
        <v>431</v>
      </c>
      <c r="C1039" s="1247">
        <v>1</v>
      </c>
      <c r="E1039" s="1246" t="s">
        <v>376</v>
      </c>
      <c r="F1039" s="1248">
        <v>1</v>
      </c>
      <c r="G1039" s="1248">
        <v>1</v>
      </c>
      <c r="H1039" s="1249">
        <v>1</v>
      </c>
      <c r="I1039" s="1246" t="s">
        <v>1491</v>
      </c>
      <c r="J1039" s="1246" t="s">
        <v>1463</v>
      </c>
      <c r="K1039" s="1284" t="str">
        <f t="shared" si="16"/>
        <v>72</v>
      </c>
      <c r="L1039" s="1246" t="s">
        <v>1529</v>
      </c>
      <c r="M1039" s="1250">
        <v>9</v>
      </c>
      <c r="N1039" s="1251">
        <v>1</v>
      </c>
      <c r="O1039" s="1252">
        <v>1</v>
      </c>
    </row>
    <row r="1040" spans="1:15">
      <c r="A1040" s="1246" t="s">
        <v>1493</v>
      </c>
      <c r="B1040" s="1246" t="s">
        <v>431</v>
      </c>
      <c r="C1040" s="1247">
        <v>1</v>
      </c>
      <c r="E1040" s="1246" t="s">
        <v>279</v>
      </c>
      <c r="F1040" s="1248">
        <v>1</v>
      </c>
      <c r="G1040" s="1248">
        <v>1</v>
      </c>
      <c r="H1040" s="1249">
        <v>1</v>
      </c>
      <c r="I1040" s="1246" t="s">
        <v>1491</v>
      </c>
      <c r="J1040" s="1246" t="s">
        <v>1462</v>
      </c>
      <c r="K1040" s="1284" t="str">
        <f t="shared" si="16"/>
        <v>71</v>
      </c>
      <c r="L1040" s="1246" t="s">
        <v>1495</v>
      </c>
      <c r="M1040" s="1250">
        <v>9</v>
      </c>
      <c r="N1040" s="1251">
        <v>1</v>
      </c>
      <c r="O1040" s="1252">
        <v>1</v>
      </c>
    </row>
    <row r="1041" spans="1:15">
      <c r="A1041" s="1246" t="s">
        <v>1493</v>
      </c>
      <c r="B1041" s="1246" t="s">
        <v>431</v>
      </c>
      <c r="C1041" s="1247">
        <v>1</v>
      </c>
      <c r="E1041" s="1246" t="s">
        <v>1494</v>
      </c>
      <c r="F1041" s="1248">
        <v>1</v>
      </c>
      <c r="G1041" s="1248">
        <v>1</v>
      </c>
      <c r="H1041" s="1249">
        <v>1</v>
      </c>
      <c r="I1041" s="1246" t="s">
        <v>1491</v>
      </c>
      <c r="J1041" s="1246" t="s">
        <v>1462</v>
      </c>
      <c r="K1041" s="1284" t="str">
        <f t="shared" si="16"/>
        <v>71</v>
      </c>
      <c r="L1041" s="1246" t="s">
        <v>1495</v>
      </c>
      <c r="M1041" s="1250">
        <v>9</v>
      </c>
      <c r="N1041" s="1251">
        <v>33</v>
      </c>
      <c r="O1041" s="1252">
        <v>33</v>
      </c>
    </row>
    <row r="1042" spans="1:15">
      <c r="A1042" s="1246" t="s">
        <v>683</v>
      </c>
      <c r="B1042" s="1246" t="s">
        <v>431</v>
      </c>
      <c r="C1042" s="1247">
        <v>1</v>
      </c>
      <c r="E1042" s="1246" t="s">
        <v>1494</v>
      </c>
      <c r="F1042" s="1248">
        <v>1</v>
      </c>
      <c r="G1042" s="1248">
        <v>1</v>
      </c>
      <c r="H1042" s="1249">
        <v>1</v>
      </c>
      <c r="I1042" s="1246" t="s">
        <v>1491</v>
      </c>
      <c r="J1042" s="1246" t="s">
        <v>1462</v>
      </c>
      <c r="K1042" s="1284" t="str">
        <f t="shared" si="16"/>
        <v>71</v>
      </c>
      <c r="L1042" s="1246" t="s">
        <v>1495</v>
      </c>
      <c r="M1042" s="1250">
        <v>9</v>
      </c>
      <c r="N1042" s="1251">
        <v>1</v>
      </c>
      <c r="O1042" s="1252">
        <v>1</v>
      </c>
    </row>
    <row r="1043" spans="1:15">
      <c r="A1043" s="1246" t="s">
        <v>1493</v>
      </c>
      <c r="B1043" s="1246" t="s">
        <v>431</v>
      </c>
      <c r="C1043" s="1247">
        <v>1</v>
      </c>
      <c r="E1043" s="1246" t="s">
        <v>1494</v>
      </c>
      <c r="F1043" s="1248">
        <v>1</v>
      </c>
      <c r="G1043" s="1248">
        <v>1</v>
      </c>
      <c r="H1043" s="1249">
        <v>1</v>
      </c>
      <c r="I1043" s="1246" t="s">
        <v>1491</v>
      </c>
      <c r="J1043" s="1246" t="s">
        <v>1400</v>
      </c>
      <c r="K1043" s="1284" t="str">
        <f t="shared" si="16"/>
        <v>70</v>
      </c>
      <c r="L1043" s="1246" t="s">
        <v>1536</v>
      </c>
      <c r="M1043" s="1250">
        <v>9</v>
      </c>
      <c r="N1043" s="1251">
        <v>1</v>
      </c>
      <c r="O1043" s="1252">
        <v>1</v>
      </c>
    </row>
    <row r="1044" spans="1:15">
      <c r="A1044" s="1246" t="s">
        <v>1493</v>
      </c>
      <c r="B1044" s="1246" t="s">
        <v>431</v>
      </c>
      <c r="C1044" s="1247">
        <v>1</v>
      </c>
      <c r="E1044" s="1246" t="s">
        <v>1494</v>
      </c>
      <c r="F1044" s="1248">
        <v>1</v>
      </c>
      <c r="G1044" s="1248">
        <v>1</v>
      </c>
      <c r="H1044" s="1249">
        <v>1</v>
      </c>
      <c r="I1044" s="1246" t="s">
        <v>1491</v>
      </c>
      <c r="J1044" s="1246" t="s">
        <v>1466</v>
      </c>
      <c r="K1044" s="1284" t="str">
        <f t="shared" si="16"/>
        <v>75</v>
      </c>
      <c r="L1044" s="1246" t="s">
        <v>1530</v>
      </c>
      <c r="M1044" s="1250">
        <v>9</v>
      </c>
      <c r="N1044" s="1251">
        <v>3</v>
      </c>
      <c r="O1044" s="1252">
        <v>3</v>
      </c>
    </row>
    <row r="1045" spans="1:15">
      <c r="A1045" s="1246" t="s">
        <v>1493</v>
      </c>
      <c r="B1045" s="1246" t="s">
        <v>431</v>
      </c>
      <c r="C1045" s="1247">
        <v>1</v>
      </c>
      <c r="E1045" s="1246" t="s">
        <v>376</v>
      </c>
      <c r="F1045" s="1248">
        <v>1</v>
      </c>
      <c r="G1045" s="1248">
        <v>1</v>
      </c>
      <c r="H1045" s="1249">
        <v>1</v>
      </c>
      <c r="I1045" s="1246" t="s">
        <v>1491</v>
      </c>
      <c r="J1045" s="1246" t="s">
        <v>1400</v>
      </c>
      <c r="K1045" s="1284" t="str">
        <f t="shared" si="16"/>
        <v>70</v>
      </c>
      <c r="L1045" s="1246" t="s">
        <v>1532</v>
      </c>
      <c r="M1045" s="1250">
        <v>9</v>
      </c>
      <c r="N1045" s="1251">
        <v>2</v>
      </c>
      <c r="O1045" s="1252">
        <v>2</v>
      </c>
    </row>
    <row r="1046" spans="1:15">
      <c r="A1046" s="1246" t="s">
        <v>1493</v>
      </c>
      <c r="B1046" s="1246" t="s">
        <v>431</v>
      </c>
      <c r="C1046" s="1247">
        <v>1</v>
      </c>
      <c r="E1046" s="1246" t="s">
        <v>1494</v>
      </c>
      <c r="F1046" s="1248">
        <v>1</v>
      </c>
      <c r="G1046" s="1248">
        <v>1</v>
      </c>
      <c r="H1046" s="1249">
        <v>1</v>
      </c>
      <c r="I1046" s="1246" t="s">
        <v>1491</v>
      </c>
      <c r="J1046" s="1246" t="s">
        <v>1400</v>
      </c>
      <c r="K1046" s="1284" t="str">
        <f t="shared" si="16"/>
        <v>70</v>
      </c>
      <c r="L1046" s="1246" t="s">
        <v>1532</v>
      </c>
      <c r="M1046" s="1250">
        <v>9</v>
      </c>
      <c r="N1046" s="1251">
        <v>3</v>
      </c>
      <c r="O1046" s="1252">
        <v>3</v>
      </c>
    </row>
    <row r="1047" spans="1:15">
      <c r="A1047" s="1246" t="s">
        <v>1493</v>
      </c>
      <c r="B1047" s="1246" t="s">
        <v>431</v>
      </c>
      <c r="C1047" s="1247">
        <v>1</v>
      </c>
      <c r="E1047" s="1246" t="s">
        <v>376</v>
      </c>
      <c r="F1047" s="1248">
        <v>1</v>
      </c>
      <c r="G1047" s="1248">
        <v>1</v>
      </c>
      <c r="H1047" s="1249">
        <v>1</v>
      </c>
      <c r="I1047" s="1246" t="s">
        <v>1491</v>
      </c>
      <c r="J1047" s="1246" t="s">
        <v>1464</v>
      </c>
      <c r="K1047" s="1284" t="str">
        <f t="shared" si="16"/>
        <v>73</v>
      </c>
      <c r="L1047" s="1246" t="s">
        <v>1533</v>
      </c>
      <c r="M1047" s="1250">
        <v>9</v>
      </c>
      <c r="N1047" s="1251">
        <v>2</v>
      </c>
      <c r="O1047" s="1252">
        <v>2</v>
      </c>
    </row>
    <row r="1048" spans="1:15">
      <c r="A1048" s="1246" t="s">
        <v>1493</v>
      </c>
      <c r="B1048" s="1246" t="s">
        <v>431</v>
      </c>
      <c r="C1048" s="1247">
        <v>1</v>
      </c>
      <c r="E1048" s="1246" t="s">
        <v>1494</v>
      </c>
      <c r="F1048" s="1248">
        <v>1</v>
      </c>
      <c r="G1048" s="1248">
        <v>1</v>
      </c>
      <c r="H1048" s="1249">
        <v>1</v>
      </c>
      <c r="I1048" s="1246" t="s">
        <v>1491</v>
      </c>
      <c r="J1048" s="1246" t="s">
        <v>1464</v>
      </c>
      <c r="K1048" s="1284" t="str">
        <f t="shared" si="16"/>
        <v>73</v>
      </c>
      <c r="L1048" s="1246" t="s">
        <v>1533</v>
      </c>
      <c r="M1048" s="1250">
        <v>9</v>
      </c>
      <c r="N1048" s="1251">
        <v>3</v>
      </c>
      <c r="O1048" s="1252">
        <v>3</v>
      </c>
    </row>
    <row r="1049" spans="1:15">
      <c r="A1049" s="1246" t="s">
        <v>1493</v>
      </c>
      <c r="B1049" s="1246" t="s">
        <v>431</v>
      </c>
      <c r="C1049" s="1247">
        <v>1</v>
      </c>
      <c r="E1049" s="1246" t="s">
        <v>376</v>
      </c>
      <c r="F1049" s="1248">
        <v>1</v>
      </c>
      <c r="G1049" s="1248">
        <v>1</v>
      </c>
      <c r="H1049" s="1249">
        <v>1</v>
      </c>
      <c r="I1049" s="1246" t="s">
        <v>1491</v>
      </c>
      <c r="J1049" s="1246" t="s">
        <v>1462</v>
      </c>
      <c r="K1049" s="1284" t="str">
        <f t="shared" si="16"/>
        <v>71</v>
      </c>
      <c r="L1049" s="1246" t="s">
        <v>1496</v>
      </c>
      <c r="M1049" s="1250">
        <v>9</v>
      </c>
      <c r="N1049" s="1251">
        <v>2</v>
      </c>
      <c r="O1049" s="1252">
        <v>2</v>
      </c>
    </row>
    <row r="1050" spans="1:15">
      <c r="A1050" s="1246" t="s">
        <v>1493</v>
      </c>
      <c r="B1050" s="1246" t="s">
        <v>431</v>
      </c>
      <c r="C1050" s="1247">
        <v>1</v>
      </c>
      <c r="E1050" s="1246" t="s">
        <v>1494</v>
      </c>
      <c r="F1050" s="1248">
        <v>1</v>
      </c>
      <c r="G1050" s="1248">
        <v>1</v>
      </c>
      <c r="H1050" s="1249">
        <v>2</v>
      </c>
      <c r="I1050" s="1246" t="s">
        <v>1491</v>
      </c>
      <c r="J1050" s="1246" t="s">
        <v>1462</v>
      </c>
      <c r="K1050" s="1284" t="str">
        <f t="shared" si="16"/>
        <v>71</v>
      </c>
      <c r="L1050" s="1246" t="s">
        <v>1495</v>
      </c>
      <c r="M1050" s="1250">
        <v>9</v>
      </c>
      <c r="N1050" s="1251">
        <v>1</v>
      </c>
      <c r="O1050" s="1252">
        <v>1</v>
      </c>
    </row>
    <row r="1051" spans="1:15">
      <c r="A1051" s="1246" t="s">
        <v>1493</v>
      </c>
      <c r="B1051" s="1246" t="s">
        <v>431</v>
      </c>
      <c r="C1051" s="1247">
        <v>1</v>
      </c>
      <c r="E1051" s="1246" t="s">
        <v>1494</v>
      </c>
      <c r="F1051" s="1248">
        <v>1</v>
      </c>
      <c r="G1051" s="1248">
        <v>1</v>
      </c>
      <c r="H1051" s="1249">
        <v>2</v>
      </c>
      <c r="I1051" s="1246" t="s">
        <v>1491</v>
      </c>
      <c r="J1051" s="1246" t="s">
        <v>1400</v>
      </c>
      <c r="K1051" s="1284" t="str">
        <f t="shared" si="16"/>
        <v>70</v>
      </c>
      <c r="L1051" s="1246" t="s">
        <v>1532</v>
      </c>
      <c r="M1051" s="1250">
        <v>9</v>
      </c>
      <c r="N1051" s="1251">
        <v>4</v>
      </c>
      <c r="O1051" s="1252">
        <v>4</v>
      </c>
    </row>
    <row r="1052" spans="1:15">
      <c r="A1052" s="1246" t="s">
        <v>1493</v>
      </c>
      <c r="B1052" s="1246" t="s">
        <v>431</v>
      </c>
      <c r="C1052" s="1247">
        <v>1</v>
      </c>
      <c r="E1052" s="1246" t="s">
        <v>1494</v>
      </c>
      <c r="F1052" s="1248">
        <v>1</v>
      </c>
      <c r="G1052" s="1248">
        <v>1</v>
      </c>
      <c r="H1052" s="1249">
        <v>2</v>
      </c>
      <c r="I1052" s="1246" t="s">
        <v>1491</v>
      </c>
      <c r="J1052" s="1246" t="s">
        <v>1464</v>
      </c>
      <c r="K1052" s="1284" t="str">
        <f t="shared" si="16"/>
        <v>73</v>
      </c>
      <c r="L1052" s="1246" t="s">
        <v>1533</v>
      </c>
      <c r="M1052" s="1250">
        <v>9</v>
      </c>
      <c r="N1052" s="1251">
        <v>4</v>
      </c>
      <c r="O1052" s="1252">
        <v>4</v>
      </c>
    </row>
    <row r="1053" spans="1:15">
      <c r="A1053" s="1246" t="s">
        <v>1493</v>
      </c>
      <c r="B1053" s="1246" t="s">
        <v>431</v>
      </c>
      <c r="C1053" s="1247">
        <v>1</v>
      </c>
      <c r="E1053" s="1246" t="s">
        <v>1494</v>
      </c>
      <c r="F1053" s="1248">
        <v>1</v>
      </c>
      <c r="G1053" s="1248">
        <v>1</v>
      </c>
      <c r="H1053" s="1249">
        <v>2</v>
      </c>
      <c r="I1053" s="1246" t="s">
        <v>1491</v>
      </c>
      <c r="J1053" s="1246" t="s">
        <v>1465</v>
      </c>
      <c r="K1053" s="1284" t="str">
        <f t="shared" si="16"/>
        <v>74</v>
      </c>
      <c r="L1053" s="1246" t="s">
        <v>1543</v>
      </c>
      <c r="M1053" s="1250">
        <v>9</v>
      </c>
      <c r="N1053" s="1251">
        <v>1</v>
      </c>
      <c r="O1053" s="1252">
        <v>1</v>
      </c>
    </row>
    <row r="1054" spans="1:15">
      <c r="A1054" s="1246" t="s">
        <v>1493</v>
      </c>
      <c r="B1054" s="1246" t="s">
        <v>431</v>
      </c>
      <c r="C1054" s="1247">
        <v>1</v>
      </c>
      <c r="E1054" s="1246" t="s">
        <v>1494</v>
      </c>
      <c r="F1054" s="1248">
        <v>1</v>
      </c>
      <c r="G1054" s="1248">
        <v>2</v>
      </c>
      <c r="H1054" s="1249">
        <v>1</v>
      </c>
      <c r="I1054" s="1246" t="s">
        <v>1491</v>
      </c>
      <c r="J1054" s="1246" t="s">
        <v>1470</v>
      </c>
      <c r="K1054" s="1284" t="str">
        <f t="shared" si="16"/>
        <v>7C</v>
      </c>
      <c r="L1054" s="1246" t="s">
        <v>1502</v>
      </c>
      <c r="M1054" s="1250">
        <v>4</v>
      </c>
      <c r="N1054" s="1251">
        <v>1</v>
      </c>
      <c r="O1054" s="1252">
        <v>1</v>
      </c>
    </row>
    <row r="1055" spans="1:15">
      <c r="A1055" s="1246" t="s">
        <v>1493</v>
      </c>
      <c r="B1055" s="1246" t="s">
        <v>431</v>
      </c>
      <c r="C1055" s="1247">
        <v>1</v>
      </c>
      <c r="E1055" s="1246" t="s">
        <v>1494</v>
      </c>
      <c r="F1055" s="1248">
        <v>1</v>
      </c>
      <c r="G1055" s="1248">
        <v>2</v>
      </c>
      <c r="H1055" s="1249">
        <v>1</v>
      </c>
      <c r="I1055" s="1246" t="s">
        <v>1491</v>
      </c>
      <c r="J1055" s="1246" t="s">
        <v>1462</v>
      </c>
      <c r="K1055" s="1284" t="str">
        <f t="shared" si="16"/>
        <v>71</v>
      </c>
      <c r="L1055" s="1246" t="s">
        <v>1495</v>
      </c>
      <c r="M1055" s="1250">
        <v>9</v>
      </c>
      <c r="N1055" s="1251">
        <v>2</v>
      </c>
      <c r="O1055" s="1252">
        <v>2</v>
      </c>
    </row>
    <row r="1056" spans="1:15">
      <c r="A1056" s="1246" t="s">
        <v>1493</v>
      </c>
      <c r="B1056" s="1246" t="s">
        <v>431</v>
      </c>
      <c r="C1056" s="1247">
        <v>1</v>
      </c>
      <c r="E1056" s="1246" t="s">
        <v>1494</v>
      </c>
      <c r="F1056" s="1248">
        <v>1</v>
      </c>
      <c r="G1056" s="1248">
        <v>2</v>
      </c>
      <c r="H1056" s="1249">
        <v>1</v>
      </c>
      <c r="I1056" s="1246" t="s">
        <v>1491</v>
      </c>
      <c r="J1056" s="1246" t="s">
        <v>1400</v>
      </c>
      <c r="K1056" s="1284" t="str">
        <f t="shared" si="16"/>
        <v>70</v>
      </c>
      <c r="L1056" s="1246" t="s">
        <v>1532</v>
      </c>
      <c r="M1056" s="1250">
        <v>9</v>
      </c>
      <c r="N1056" s="1251">
        <v>1</v>
      </c>
      <c r="O1056" s="1252">
        <v>1</v>
      </c>
    </row>
    <row r="1057" spans="1:15">
      <c r="A1057" s="1246" t="s">
        <v>1493</v>
      </c>
      <c r="B1057" s="1246" t="s">
        <v>431</v>
      </c>
      <c r="C1057" s="1247">
        <v>1</v>
      </c>
      <c r="E1057" s="1246" t="s">
        <v>1494</v>
      </c>
      <c r="F1057" s="1248">
        <v>1</v>
      </c>
      <c r="G1057" s="1248">
        <v>2</v>
      </c>
      <c r="H1057" s="1249">
        <v>1</v>
      </c>
      <c r="I1057" s="1246" t="s">
        <v>1491</v>
      </c>
      <c r="J1057" s="1246" t="s">
        <v>1464</v>
      </c>
      <c r="K1057" s="1284" t="str">
        <f t="shared" si="16"/>
        <v>73</v>
      </c>
      <c r="L1057" s="1246" t="s">
        <v>1533</v>
      </c>
      <c r="M1057" s="1250">
        <v>9</v>
      </c>
      <c r="N1057" s="1251">
        <v>1</v>
      </c>
      <c r="O1057" s="1252">
        <v>1</v>
      </c>
    </row>
    <row r="1058" spans="1:15">
      <c r="A1058" s="1246" t="s">
        <v>1493</v>
      </c>
      <c r="B1058" s="1246" t="s">
        <v>431</v>
      </c>
      <c r="C1058" s="1247">
        <v>1</v>
      </c>
      <c r="E1058" s="1246" t="s">
        <v>1412</v>
      </c>
      <c r="F1058" s="1248">
        <v>2</v>
      </c>
      <c r="G1058" s="1248">
        <v>2</v>
      </c>
      <c r="H1058" s="1249">
        <v>1</v>
      </c>
      <c r="I1058" s="1246" t="s">
        <v>1491</v>
      </c>
      <c r="J1058" s="1246" t="s">
        <v>1466</v>
      </c>
      <c r="K1058" s="1284" t="str">
        <f t="shared" si="16"/>
        <v>75</v>
      </c>
      <c r="L1058" s="1246" t="s">
        <v>1530</v>
      </c>
      <c r="M1058" s="1250">
        <v>9</v>
      </c>
      <c r="N1058" s="1251">
        <v>2</v>
      </c>
      <c r="O1058" s="1252">
        <v>1</v>
      </c>
    </row>
    <row r="1059" spans="1:15">
      <c r="A1059" s="1246" t="s">
        <v>1493</v>
      </c>
      <c r="B1059" s="1246" t="s">
        <v>431</v>
      </c>
      <c r="C1059" s="1247">
        <v>1</v>
      </c>
      <c r="E1059" s="1246" t="s">
        <v>376</v>
      </c>
      <c r="F1059" s="1248">
        <v>2</v>
      </c>
      <c r="G1059" s="1248">
        <v>4</v>
      </c>
      <c r="H1059" s="1249">
        <v>1</v>
      </c>
      <c r="I1059" s="1246" t="s">
        <v>1491</v>
      </c>
      <c r="J1059" s="1246" t="s">
        <v>1462</v>
      </c>
      <c r="K1059" s="1284" t="str">
        <f t="shared" si="16"/>
        <v>71</v>
      </c>
      <c r="L1059" s="1246" t="s">
        <v>1496</v>
      </c>
      <c r="M1059" s="1250">
        <v>9</v>
      </c>
      <c r="N1059" s="1251">
        <v>2</v>
      </c>
      <c r="O1059" s="1252">
        <v>1</v>
      </c>
    </row>
    <row r="1060" spans="1:15">
      <c r="A1060" s="1246" t="s">
        <v>1493</v>
      </c>
      <c r="B1060" s="1246" t="s">
        <v>431</v>
      </c>
      <c r="C1060" s="1247">
        <v>1</v>
      </c>
      <c r="E1060" s="1246" t="s">
        <v>376</v>
      </c>
      <c r="F1060" s="1248">
        <v>3</v>
      </c>
      <c r="G1060" s="1248">
        <v>6</v>
      </c>
      <c r="H1060" s="1249">
        <v>1</v>
      </c>
      <c r="I1060" s="1246" t="s">
        <v>1491</v>
      </c>
      <c r="J1060" s="1246" t="s">
        <v>1462</v>
      </c>
      <c r="K1060" s="1284" t="str">
        <f t="shared" si="16"/>
        <v>71</v>
      </c>
      <c r="L1060" s="1246" t="s">
        <v>1496</v>
      </c>
      <c r="M1060" s="1250">
        <v>9</v>
      </c>
      <c r="N1060" s="1251">
        <v>3</v>
      </c>
      <c r="O1060" s="1252">
        <v>1</v>
      </c>
    </row>
    <row r="1061" spans="1:15">
      <c r="A1061" s="1246" t="s">
        <v>1493</v>
      </c>
      <c r="B1061" s="1246" t="s">
        <v>431</v>
      </c>
      <c r="C1061" s="1247">
        <v>1</v>
      </c>
      <c r="E1061" s="1246" t="s">
        <v>376</v>
      </c>
      <c r="F1061" s="1248">
        <v>6</v>
      </c>
      <c r="G1061" s="1248">
        <v>6</v>
      </c>
      <c r="H1061" s="1249">
        <v>1</v>
      </c>
      <c r="I1061" s="1246" t="s">
        <v>1491</v>
      </c>
      <c r="J1061" s="1246" t="s">
        <v>1462</v>
      </c>
      <c r="K1061" s="1284" t="str">
        <f t="shared" si="16"/>
        <v>71</v>
      </c>
      <c r="L1061" s="1246" t="s">
        <v>1496</v>
      </c>
      <c r="M1061" s="1250">
        <v>9</v>
      </c>
      <c r="N1061" s="1251">
        <v>6</v>
      </c>
      <c r="O1061" s="1252">
        <v>1</v>
      </c>
    </row>
    <row r="1062" spans="1:15">
      <c r="A1062" s="1246" t="s">
        <v>1493</v>
      </c>
      <c r="B1062" s="1246" t="s">
        <v>431</v>
      </c>
      <c r="C1062" s="1247">
        <v>1</v>
      </c>
      <c r="E1062" s="1246" t="s">
        <v>376</v>
      </c>
      <c r="F1062" s="1248">
        <v>6</v>
      </c>
      <c r="G1062" s="1248">
        <v>12</v>
      </c>
      <c r="H1062" s="1249">
        <v>1</v>
      </c>
      <c r="I1062" s="1246" t="s">
        <v>1491</v>
      </c>
      <c r="J1062" s="1246" t="s">
        <v>1469</v>
      </c>
      <c r="K1062" s="1284">
        <f t="shared" si="16"/>
        <v>70</v>
      </c>
      <c r="L1062" s="1246" t="s">
        <v>1542</v>
      </c>
      <c r="M1062" s="1250">
        <v>6</v>
      </c>
      <c r="N1062" s="1251">
        <v>6</v>
      </c>
      <c r="O1062" s="1252">
        <v>1</v>
      </c>
    </row>
    <row r="1063" spans="1:15">
      <c r="A1063" s="1246" t="s">
        <v>1493</v>
      </c>
      <c r="B1063" s="1246" t="s">
        <v>431</v>
      </c>
      <c r="C1063" s="1247">
        <v>1</v>
      </c>
      <c r="E1063" s="1246" t="s">
        <v>376</v>
      </c>
      <c r="F1063" s="1248">
        <v>7</v>
      </c>
      <c r="G1063" s="1248">
        <v>14</v>
      </c>
      <c r="H1063" s="1249">
        <v>1</v>
      </c>
      <c r="I1063" s="1246" t="s">
        <v>1491</v>
      </c>
      <c r="J1063" s="1246" t="s">
        <v>1462</v>
      </c>
      <c r="K1063" s="1284" t="str">
        <f t="shared" si="16"/>
        <v>71</v>
      </c>
      <c r="L1063" s="1246" t="s">
        <v>1496</v>
      </c>
      <c r="M1063" s="1250">
        <v>9</v>
      </c>
      <c r="N1063" s="1251">
        <v>7</v>
      </c>
      <c r="O1063" s="1252">
        <v>1</v>
      </c>
    </row>
    <row r="1064" spans="1:15">
      <c r="A1064" s="1246" t="s">
        <v>1493</v>
      </c>
      <c r="B1064" s="1246" t="s">
        <v>431</v>
      </c>
      <c r="C1064" s="1247">
        <v>1.25</v>
      </c>
      <c r="E1064" s="1246" t="s">
        <v>1494</v>
      </c>
      <c r="F1064" s="1248">
        <v>1</v>
      </c>
      <c r="G1064" s="1248">
        <v>0</v>
      </c>
      <c r="H1064" s="1249">
        <v>0</v>
      </c>
      <c r="J1064" s="1246" t="s">
        <v>1462</v>
      </c>
      <c r="K1064" s="1284" t="str">
        <f t="shared" si="16"/>
        <v>71</v>
      </c>
      <c r="L1064" s="1246" t="s">
        <v>1495</v>
      </c>
      <c r="M1064" s="1250">
        <v>9</v>
      </c>
      <c r="N1064" s="1251">
        <v>1</v>
      </c>
      <c r="O1064" s="1252">
        <v>1</v>
      </c>
    </row>
    <row r="1065" spans="1:15">
      <c r="A1065" s="1246" t="s">
        <v>1493</v>
      </c>
      <c r="B1065" s="1246" t="s">
        <v>431</v>
      </c>
      <c r="C1065" s="1247">
        <v>1.25</v>
      </c>
      <c r="E1065" s="1246" t="s">
        <v>1494</v>
      </c>
      <c r="F1065" s="1248">
        <v>1</v>
      </c>
      <c r="G1065" s="1248">
        <v>1</v>
      </c>
      <c r="H1065" s="1249">
        <v>1</v>
      </c>
      <c r="I1065" s="1246" t="s">
        <v>1491</v>
      </c>
      <c r="J1065" s="1246" t="s">
        <v>1400</v>
      </c>
      <c r="K1065" s="1284" t="str">
        <f t="shared" si="16"/>
        <v>70</v>
      </c>
      <c r="L1065" s="1246" t="s">
        <v>1544</v>
      </c>
      <c r="M1065" s="1250">
        <v>9</v>
      </c>
      <c r="N1065" s="1251">
        <v>3</v>
      </c>
      <c r="O1065" s="1252">
        <v>3</v>
      </c>
    </row>
    <row r="1066" spans="1:15">
      <c r="A1066" s="1246" t="s">
        <v>1493</v>
      </c>
      <c r="B1066" s="1246" t="s">
        <v>431</v>
      </c>
      <c r="C1066" s="1247">
        <v>1.25</v>
      </c>
      <c r="E1066" s="1246" t="s">
        <v>1494</v>
      </c>
      <c r="F1066" s="1248">
        <v>1</v>
      </c>
      <c r="G1066" s="1248">
        <v>1</v>
      </c>
      <c r="H1066" s="1249">
        <v>1</v>
      </c>
      <c r="I1066" s="1246" t="s">
        <v>1491</v>
      </c>
      <c r="J1066" s="1246" t="s">
        <v>1463</v>
      </c>
      <c r="K1066" s="1284" t="str">
        <f t="shared" si="16"/>
        <v>72</v>
      </c>
      <c r="L1066" s="1246" t="s">
        <v>1529</v>
      </c>
      <c r="M1066" s="1250">
        <v>9</v>
      </c>
      <c r="N1066" s="1251">
        <v>5</v>
      </c>
      <c r="O1066" s="1252">
        <v>5</v>
      </c>
    </row>
    <row r="1067" spans="1:15">
      <c r="A1067" s="1246" t="s">
        <v>1493</v>
      </c>
      <c r="B1067" s="1246" t="s">
        <v>431</v>
      </c>
      <c r="C1067" s="1247">
        <v>1.25</v>
      </c>
      <c r="E1067" s="1246" t="s">
        <v>1412</v>
      </c>
      <c r="F1067" s="1248">
        <v>1</v>
      </c>
      <c r="G1067" s="1248">
        <v>1</v>
      </c>
      <c r="H1067" s="1249">
        <v>1</v>
      </c>
      <c r="I1067" s="1246" t="s">
        <v>1491</v>
      </c>
      <c r="J1067" s="1246" t="s">
        <v>1462</v>
      </c>
      <c r="K1067" s="1284" t="str">
        <f t="shared" si="16"/>
        <v>71</v>
      </c>
      <c r="L1067" s="1246" t="s">
        <v>1495</v>
      </c>
      <c r="M1067" s="1250">
        <v>9</v>
      </c>
      <c r="N1067" s="1251">
        <v>3</v>
      </c>
      <c r="O1067" s="1252">
        <v>3</v>
      </c>
    </row>
    <row r="1068" spans="1:15">
      <c r="A1068" s="1246" t="s">
        <v>1493</v>
      </c>
      <c r="B1068" s="1246" t="s">
        <v>431</v>
      </c>
      <c r="C1068" s="1247">
        <v>1.25</v>
      </c>
      <c r="E1068" s="1246" t="s">
        <v>279</v>
      </c>
      <c r="F1068" s="1248">
        <v>1</v>
      </c>
      <c r="G1068" s="1248">
        <v>1</v>
      </c>
      <c r="H1068" s="1249">
        <v>1</v>
      </c>
      <c r="I1068" s="1246" t="s">
        <v>1491</v>
      </c>
      <c r="J1068" s="1246" t="s">
        <v>1462</v>
      </c>
      <c r="K1068" s="1284" t="str">
        <f t="shared" si="16"/>
        <v>71</v>
      </c>
      <c r="L1068" s="1246" t="s">
        <v>1495</v>
      </c>
      <c r="M1068" s="1250">
        <v>9</v>
      </c>
      <c r="N1068" s="1251">
        <v>2</v>
      </c>
      <c r="O1068" s="1252">
        <v>2</v>
      </c>
    </row>
    <row r="1069" spans="1:15">
      <c r="A1069" s="1246" t="s">
        <v>1493</v>
      </c>
      <c r="B1069" s="1246" t="s">
        <v>431</v>
      </c>
      <c r="C1069" s="1247">
        <v>1.25</v>
      </c>
      <c r="E1069" s="1246" t="s">
        <v>1494</v>
      </c>
      <c r="F1069" s="1248">
        <v>1</v>
      </c>
      <c r="G1069" s="1248">
        <v>1</v>
      </c>
      <c r="H1069" s="1249">
        <v>1</v>
      </c>
      <c r="I1069" s="1246" t="s">
        <v>1491</v>
      </c>
      <c r="J1069" s="1246" t="s">
        <v>1462</v>
      </c>
      <c r="K1069" s="1284" t="str">
        <f t="shared" si="16"/>
        <v>71</v>
      </c>
      <c r="L1069" s="1246" t="s">
        <v>1495</v>
      </c>
      <c r="M1069" s="1250">
        <v>9</v>
      </c>
      <c r="N1069" s="1251">
        <v>37</v>
      </c>
      <c r="O1069" s="1252">
        <v>37</v>
      </c>
    </row>
    <row r="1070" spans="1:15">
      <c r="A1070" s="1246" t="s">
        <v>1493</v>
      </c>
      <c r="B1070" s="1246" t="s">
        <v>431</v>
      </c>
      <c r="C1070" s="1247">
        <v>1.25</v>
      </c>
      <c r="E1070" s="1246" t="s">
        <v>1494</v>
      </c>
      <c r="F1070" s="1248">
        <v>1</v>
      </c>
      <c r="G1070" s="1248">
        <v>1</v>
      </c>
      <c r="H1070" s="1249">
        <v>1</v>
      </c>
      <c r="I1070" s="1246" t="s">
        <v>1491</v>
      </c>
      <c r="J1070" s="1246" t="s">
        <v>1400</v>
      </c>
      <c r="K1070" s="1284" t="str">
        <f t="shared" si="16"/>
        <v>70</v>
      </c>
      <c r="L1070" s="1246" t="s">
        <v>1536</v>
      </c>
      <c r="M1070" s="1250">
        <v>9</v>
      </c>
      <c r="N1070" s="1251">
        <v>1</v>
      </c>
      <c r="O1070" s="1252">
        <v>1</v>
      </c>
    </row>
    <row r="1071" spans="1:15">
      <c r="A1071" s="1246" t="s">
        <v>1493</v>
      </c>
      <c r="B1071" s="1246" t="s">
        <v>431</v>
      </c>
      <c r="C1071" s="1247">
        <v>1.25</v>
      </c>
      <c r="E1071" s="1246" t="s">
        <v>370</v>
      </c>
      <c r="F1071" s="1248">
        <v>1</v>
      </c>
      <c r="G1071" s="1248">
        <v>1</v>
      </c>
      <c r="H1071" s="1249">
        <v>1</v>
      </c>
      <c r="I1071" s="1246" t="s">
        <v>1491</v>
      </c>
      <c r="J1071" s="1246" t="s">
        <v>1400</v>
      </c>
      <c r="K1071" s="1284" t="str">
        <f t="shared" si="16"/>
        <v>70</v>
      </c>
      <c r="L1071" s="1246" t="s">
        <v>1532</v>
      </c>
      <c r="M1071" s="1250">
        <v>9</v>
      </c>
      <c r="N1071" s="1251">
        <v>1</v>
      </c>
      <c r="O1071" s="1252">
        <v>1</v>
      </c>
    </row>
    <row r="1072" spans="1:15">
      <c r="A1072" s="1246" t="s">
        <v>1493</v>
      </c>
      <c r="B1072" s="1246" t="s">
        <v>431</v>
      </c>
      <c r="C1072" s="1247">
        <v>1.25</v>
      </c>
      <c r="E1072" s="1246" t="s">
        <v>376</v>
      </c>
      <c r="F1072" s="1248">
        <v>1</v>
      </c>
      <c r="G1072" s="1248">
        <v>1</v>
      </c>
      <c r="H1072" s="1249">
        <v>1</v>
      </c>
      <c r="I1072" s="1246" t="s">
        <v>1491</v>
      </c>
      <c r="J1072" s="1246" t="s">
        <v>1400</v>
      </c>
      <c r="K1072" s="1284" t="str">
        <f t="shared" si="16"/>
        <v>70</v>
      </c>
      <c r="L1072" s="1246" t="s">
        <v>1532</v>
      </c>
      <c r="M1072" s="1250">
        <v>9</v>
      </c>
      <c r="N1072" s="1251">
        <v>3</v>
      </c>
      <c r="O1072" s="1252">
        <v>3</v>
      </c>
    </row>
    <row r="1073" spans="1:15">
      <c r="A1073" s="1246" t="s">
        <v>1493</v>
      </c>
      <c r="B1073" s="1246" t="s">
        <v>431</v>
      </c>
      <c r="C1073" s="1247">
        <v>1.25</v>
      </c>
      <c r="E1073" s="1246" t="s">
        <v>1412</v>
      </c>
      <c r="F1073" s="1248">
        <v>1</v>
      </c>
      <c r="G1073" s="1248">
        <v>1</v>
      </c>
      <c r="H1073" s="1249">
        <v>1</v>
      </c>
      <c r="I1073" s="1246" t="s">
        <v>1491</v>
      </c>
      <c r="J1073" s="1246" t="s">
        <v>1400</v>
      </c>
      <c r="K1073" s="1284" t="str">
        <f t="shared" si="16"/>
        <v>70</v>
      </c>
      <c r="L1073" s="1246" t="s">
        <v>1532</v>
      </c>
      <c r="M1073" s="1250">
        <v>9</v>
      </c>
      <c r="N1073" s="1251">
        <v>1</v>
      </c>
      <c r="O1073" s="1252">
        <v>1</v>
      </c>
    </row>
    <row r="1074" spans="1:15">
      <c r="A1074" s="1246" t="s">
        <v>1493</v>
      </c>
      <c r="B1074" s="1246" t="s">
        <v>431</v>
      </c>
      <c r="C1074" s="1247">
        <v>1.25</v>
      </c>
      <c r="E1074" s="1246" t="s">
        <v>1494</v>
      </c>
      <c r="F1074" s="1248">
        <v>1</v>
      </c>
      <c r="G1074" s="1248">
        <v>1</v>
      </c>
      <c r="H1074" s="1249">
        <v>1</v>
      </c>
      <c r="I1074" s="1246" t="s">
        <v>1491</v>
      </c>
      <c r="J1074" s="1246" t="s">
        <v>1400</v>
      </c>
      <c r="K1074" s="1284" t="str">
        <f t="shared" si="16"/>
        <v>70</v>
      </c>
      <c r="L1074" s="1246" t="s">
        <v>1532</v>
      </c>
      <c r="M1074" s="1250">
        <v>9</v>
      </c>
      <c r="N1074" s="1251">
        <v>5</v>
      </c>
      <c r="O1074" s="1252">
        <v>5</v>
      </c>
    </row>
    <row r="1075" spans="1:15">
      <c r="A1075" s="1246" t="s">
        <v>1493</v>
      </c>
      <c r="B1075" s="1246" t="s">
        <v>431</v>
      </c>
      <c r="C1075" s="1247">
        <v>1.25</v>
      </c>
      <c r="E1075" s="1246" t="s">
        <v>376</v>
      </c>
      <c r="F1075" s="1248">
        <v>1</v>
      </c>
      <c r="G1075" s="1248">
        <v>1</v>
      </c>
      <c r="H1075" s="1249">
        <v>1</v>
      </c>
      <c r="I1075" s="1246" t="s">
        <v>1491</v>
      </c>
      <c r="J1075" s="1246" t="s">
        <v>1464</v>
      </c>
      <c r="K1075" s="1284" t="str">
        <f t="shared" si="16"/>
        <v>73</v>
      </c>
      <c r="L1075" s="1246" t="s">
        <v>1533</v>
      </c>
      <c r="M1075" s="1250">
        <v>9</v>
      </c>
      <c r="N1075" s="1251">
        <v>2</v>
      </c>
      <c r="O1075" s="1252">
        <v>2</v>
      </c>
    </row>
    <row r="1076" spans="1:15">
      <c r="A1076" s="1246" t="s">
        <v>1493</v>
      </c>
      <c r="B1076" s="1246" t="s">
        <v>431</v>
      </c>
      <c r="C1076" s="1247">
        <v>1.25</v>
      </c>
      <c r="E1076" s="1246" t="s">
        <v>1412</v>
      </c>
      <c r="F1076" s="1248">
        <v>1</v>
      </c>
      <c r="G1076" s="1248">
        <v>1</v>
      </c>
      <c r="H1076" s="1249">
        <v>1</v>
      </c>
      <c r="I1076" s="1246" t="s">
        <v>1491</v>
      </c>
      <c r="J1076" s="1246" t="s">
        <v>1464</v>
      </c>
      <c r="K1076" s="1284" t="str">
        <f t="shared" si="16"/>
        <v>73</v>
      </c>
      <c r="L1076" s="1246" t="s">
        <v>1533</v>
      </c>
      <c r="M1076" s="1250">
        <v>9</v>
      </c>
      <c r="N1076" s="1251">
        <v>1</v>
      </c>
      <c r="O1076" s="1252">
        <v>1</v>
      </c>
    </row>
    <row r="1077" spans="1:15">
      <c r="A1077" s="1246" t="s">
        <v>1493</v>
      </c>
      <c r="B1077" s="1246" t="s">
        <v>431</v>
      </c>
      <c r="C1077" s="1247">
        <v>1.25</v>
      </c>
      <c r="E1077" s="1246" t="s">
        <v>1494</v>
      </c>
      <c r="F1077" s="1248">
        <v>1</v>
      </c>
      <c r="G1077" s="1248">
        <v>1</v>
      </c>
      <c r="H1077" s="1249">
        <v>1</v>
      </c>
      <c r="I1077" s="1246" t="s">
        <v>1491</v>
      </c>
      <c r="J1077" s="1246" t="s">
        <v>1464</v>
      </c>
      <c r="K1077" s="1284" t="str">
        <f t="shared" si="16"/>
        <v>73</v>
      </c>
      <c r="L1077" s="1246" t="s">
        <v>1533</v>
      </c>
      <c r="M1077" s="1250">
        <v>9</v>
      </c>
      <c r="N1077" s="1251">
        <v>7</v>
      </c>
      <c r="O1077" s="1252">
        <v>7</v>
      </c>
    </row>
    <row r="1078" spans="1:15">
      <c r="A1078" s="1246" t="s">
        <v>1493</v>
      </c>
      <c r="B1078" s="1246" t="s">
        <v>431</v>
      </c>
      <c r="C1078" s="1247">
        <v>1.25</v>
      </c>
      <c r="E1078" s="1246" t="s">
        <v>376</v>
      </c>
      <c r="F1078" s="1248">
        <v>1</v>
      </c>
      <c r="G1078" s="1248">
        <v>1</v>
      </c>
      <c r="H1078" s="1249">
        <v>1</v>
      </c>
      <c r="I1078" s="1246" t="s">
        <v>1491</v>
      </c>
      <c r="J1078" s="1246" t="s">
        <v>1462</v>
      </c>
      <c r="K1078" s="1284" t="str">
        <f t="shared" si="16"/>
        <v>71</v>
      </c>
      <c r="L1078" s="1246" t="s">
        <v>1496</v>
      </c>
      <c r="M1078" s="1250">
        <v>9</v>
      </c>
      <c r="N1078" s="1251">
        <v>1</v>
      </c>
      <c r="O1078" s="1252">
        <v>1</v>
      </c>
    </row>
    <row r="1079" spans="1:15">
      <c r="A1079" s="1246" t="s">
        <v>1493</v>
      </c>
      <c r="B1079" s="1246" t="s">
        <v>431</v>
      </c>
      <c r="C1079" s="1247">
        <v>1.25</v>
      </c>
      <c r="E1079" s="1246" t="s">
        <v>1494</v>
      </c>
      <c r="F1079" s="1248">
        <v>1</v>
      </c>
      <c r="G1079" s="1248">
        <v>1</v>
      </c>
      <c r="H1079" s="1249">
        <v>2</v>
      </c>
      <c r="I1079" s="1246" t="s">
        <v>1491</v>
      </c>
      <c r="J1079" s="1246" t="s">
        <v>1400</v>
      </c>
      <c r="K1079" s="1284" t="str">
        <f t="shared" si="16"/>
        <v>70</v>
      </c>
      <c r="L1079" s="1246" t="s">
        <v>1532</v>
      </c>
      <c r="M1079" s="1250">
        <v>9</v>
      </c>
      <c r="N1079" s="1251">
        <v>2</v>
      </c>
      <c r="O1079" s="1252">
        <v>2</v>
      </c>
    </row>
    <row r="1080" spans="1:15">
      <c r="A1080" s="1246" t="s">
        <v>1493</v>
      </c>
      <c r="B1080" s="1246" t="s">
        <v>431</v>
      </c>
      <c r="C1080" s="1247">
        <v>1.25</v>
      </c>
      <c r="E1080" s="1246" t="s">
        <v>1494</v>
      </c>
      <c r="F1080" s="1248">
        <v>1</v>
      </c>
      <c r="G1080" s="1248">
        <v>1</v>
      </c>
      <c r="H1080" s="1249">
        <v>2</v>
      </c>
      <c r="I1080" s="1246" t="s">
        <v>1491</v>
      </c>
      <c r="J1080" s="1246" t="s">
        <v>1464</v>
      </c>
      <c r="K1080" s="1284" t="str">
        <f t="shared" si="16"/>
        <v>73</v>
      </c>
      <c r="L1080" s="1246" t="s">
        <v>1533</v>
      </c>
      <c r="M1080" s="1250">
        <v>9</v>
      </c>
      <c r="N1080" s="1251">
        <v>2</v>
      </c>
      <c r="O1080" s="1252">
        <v>2</v>
      </c>
    </row>
    <row r="1081" spans="1:15">
      <c r="A1081" s="1246" t="s">
        <v>1493</v>
      </c>
      <c r="B1081" s="1246" t="s">
        <v>431</v>
      </c>
      <c r="C1081" s="1247">
        <v>1.25</v>
      </c>
      <c r="E1081" s="1246" t="s">
        <v>376</v>
      </c>
      <c r="F1081" s="1248">
        <v>1</v>
      </c>
      <c r="G1081" s="1248">
        <v>2</v>
      </c>
      <c r="H1081" s="1249">
        <v>1</v>
      </c>
      <c r="I1081" s="1246" t="s">
        <v>1491</v>
      </c>
      <c r="J1081" s="1246" t="s">
        <v>1463</v>
      </c>
      <c r="K1081" s="1284" t="str">
        <f t="shared" si="16"/>
        <v>72</v>
      </c>
      <c r="L1081" s="1246" t="s">
        <v>1529</v>
      </c>
      <c r="M1081" s="1250">
        <v>9</v>
      </c>
      <c r="N1081" s="1251">
        <v>1</v>
      </c>
      <c r="O1081" s="1252">
        <v>1</v>
      </c>
    </row>
    <row r="1082" spans="1:15">
      <c r="A1082" s="1246" t="s">
        <v>1493</v>
      </c>
      <c r="B1082" s="1246" t="s">
        <v>431</v>
      </c>
      <c r="C1082" s="1247">
        <v>1.25</v>
      </c>
      <c r="E1082" s="1246" t="s">
        <v>1494</v>
      </c>
      <c r="F1082" s="1248">
        <v>1</v>
      </c>
      <c r="G1082" s="1248">
        <v>2</v>
      </c>
      <c r="H1082" s="1249">
        <v>1</v>
      </c>
      <c r="I1082" s="1246" t="s">
        <v>1491</v>
      </c>
      <c r="J1082" s="1246" t="s">
        <v>1462</v>
      </c>
      <c r="K1082" s="1284" t="str">
        <f t="shared" si="16"/>
        <v>71</v>
      </c>
      <c r="L1082" s="1246" t="s">
        <v>1495</v>
      </c>
      <c r="M1082" s="1250">
        <v>9</v>
      </c>
      <c r="N1082" s="1251">
        <v>2</v>
      </c>
      <c r="O1082" s="1252">
        <v>2</v>
      </c>
    </row>
    <row r="1083" spans="1:15">
      <c r="A1083" s="1246" t="s">
        <v>1493</v>
      </c>
      <c r="B1083" s="1246" t="s">
        <v>431</v>
      </c>
      <c r="C1083" s="1247">
        <v>1.25</v>
      </c>
      <c r="E1083" s="1246" t="s">
        <v>376</v>
      </c>
      <c r="F1083" s="1248">
        <v>1</v>
      </c>
      <c r="G1083" s="1248">
        <v>2</v>
      </c>
      <c r="H1083" s="1249">
        <v>1</v>
      </c>
      <c r="I1083" s="1246" t="s">
        <v>1491</v>
      </c>
      <c r="J1083" s="1246" t="s">
        <v>1400</v>
      </c>
      <c r="K1083" s="1284" t="str">
        <f t="shared" si="16"/>
        <v>70</v>
      </c>
      <c r="L1083" s="1246" t="s">
        <v>1532</v>
      </c>
      <c r="M1083" s="1250">
        <v>9</v>
      </c>
      <c r="N1083" s="1251">
        <v>1</v>
      </c>
      <c r="O1083" s="1252">
        <v>1</v>
      </c>
    </row>
    <row r="1084" spans="1:15">
      <c r="A1084" s="1246" t="s">
        <v>1493</v>
      </c>
      <c r="B1084" s="1246" t="s">
        <v>431</v>
      </c>
      <c r="C1084" s="1247">
        <v>1.25</v>
      </c>
      <c r="E1084" s="1246" t="s">
        <v>376</v>
      </c>
      <c r="F1084" s="1248">
        <v>3</v>
      </c>
      <c r="G1084" s="1248">
        <v>6</v>
      </c>
      <c r="H1084" s="1249">
        <v>1</v>
      </c>
      <c r="I1084" s="1246" t="s">
        <v>1491</v>
      </c>
      <c r="J1084" s="1246" t="s">
        <v>1464</v>
      </c>
      <c r="K1084" s="1284" t="str">
        <f t="shared" si="16"/>
        <v>73</v>
      </c>
      <c r="L1084" s="1246" t="s">
        <v>1533</v>
      </c>
      <c r="M1084" s="1250">
        <v>9</v>
      </c>
      <c r="N1084" s="1251">
        <v>3</v>
      </c>
      <c r="O1084" s="1252">
        <v>1</v>
      </c>
    </row>
    <row r="1085" spans="1:15">
      <c r="A1085" s="1246" t="s">
        <v>1493</v>
      </c>
      <c r="B1085" s="1246" t="s">
        <v>431</v>
      </c>
      <c r="C1085" s="1247">
        <v>1.25</v>
      </c>
      <c r="E1085" s="1246" t="s">
        <v>1494</v>
      </c>
      <c r="F1085" s="1248">
        <v>5</v>
      </c>
      <c r="G1085" s="1248">
        <v>15</v>
      </c>
      <c r="H1085" s="1249">
        <v>1</v>
      </c>
      <c r="I1085" s="1246" t="s">
        <v>1491</v>
      </c>
      <c r="J1085" s="1246" t="s">
        <v>1462</v>
      </c>
      <c r="K1085" s="1284" t="str">
        <f t="shared" si="16"/>
        <v>71</v>
      </c>
      <c r="L1085" s="1246" t="s">
        <v>1495</v>
      </c>
      <c r="M1085" s="1250">
        <v>9</v>
      </c>
      <c r="N1085" s="1251">
        <v>5</v>
      </c>
      <c r="O1085" s="1252">
        <v>1</v>
      </c>
    </row>
    <row r="1086" spans="1:15">
      <c r="A1086" s="1246" t="s">
        <v>1493</v>
      </c>
      <c r="B1086" s="1246" t="s">
        <v>431</v>
      </c>
      <c r="C1086" s="1247">
        <v>1.5</v>
      </c>
      <c r="E1086" s="1246" t="s">
        <v>370</v>
      </c>
      <c r="F1086" s="1248">
        <v>1</v>
      </c>
      <c r="G1086" s="1248">
        <v>0</v>
      </c>
      <c r="H1086" s="1249">
        <v>0</v>
      </c>
      <c r="J1086" s="1246" t="s">
        <v>1462</v>
      </c>
      <c r="K1086" s="1284" t="str">
        <f t="shared" si="16"/>
        <v>71</v>
      </c>
      <c r="L1086" s="1246" t="s">
        <v>1495</v>
      </c>
      <c r="M1086" s="1250">
        <v>9</v>
      </c>
      <c r="N1086" s="1251">
        <v>1</v>
      </c>
      <c r="O1086" s="1252">
        <v>1</v>
      </c>
    </row>
    <row r="1087" spans="1:15">
      <c r="A1087" s="1246" t="s">
        <v>1493</v>
      </c>
      <c r="B1087" s="1246" t="s">
        <v>431</v>
      </c>
      <c r="C1087" s="1247">
        <v>1.5</v>
      </c>
      <c r="E1087" s="1246" t="s">
        <v>1494</v>
      </c>
      <c r="F1087" s="1248">
        <v>1</v>
      </c>
      <c r="G1087" s="1248">
        <v>1</v>
      </c>
      <c r="H1087" s="1249">
        <v>1</v>
      </c>
      <c r="I1087" s="1246" t="s">
        <v>1491</v>
      </c>
      <c r="J1087" s="1246" t="s">
        <v>1470</v>
      </c>
      <c r="K1087" s="1284" t="str">
        <f t="shared" si="16"/>
        <v>7C</v>
      </c>
      <c r="L1087" s="1246" t="s">
        <v>1502</v>
      </c>
      <c r="M1087" s="1250">
        <v>4</v>
      </c>
      <c r="N1087" s="1251">
        <v>4</v>
      </c>
      <c r="O1087" s="1252">
        <v>4</v>
      </c>
    </row>
    <row r="1088" spans="1:15">
      <c r="A1088" s="1246" t="s">
        <v>1493</v>
      </c>
      <c r="B1088" s="1246" t="s">
        <v>431</v>
      </c>
      <c r="C1088" s="1247">
        <v>1.5</v>
      </c>
      <c r="E1088" s="1246" t="s">
        <v>1494</v>
      </c>
      <c r="F1088" s="1248">
        <v>1</v>
      </c>
      <c r="G1088" s="1248">
        <v>1</v>
      </c>
      <c r="H1088" s="1249">
        <v>1</v>
      </c>
      <c r="I1088" s="1246" t="s">
        <v>1491</v>
      </c>
      <c r="J1088" s="1246" t="s">
        <v>1469</v>
      </c>
      <c r="K1088" s="1284">
        <f t="shared" si="16"/>
        <v>70</v>
      </c>
      <c r="L1088" s="1246" t="s">
        <v>1534</v>
      </c>
      <c r="M1088" s="1250">
        <v>4</v>
      </c>
      <c r="N1088" s="1251">
        <v>1</v>
      </c>
      <c r="O1088" s="1252">
        <v>1</v>
      </c>
    </row>
    <row r="1089" spans="1:15">
      <c r="A1089" s="1246" t="s">
        <v>1493</v>
      </c>
      <c r="B1089" s="1246" t="s">
        <v>431</v>
      </c>
      <c r="C1089" s="1247">
        <v>1.5</v>
      </c>
      <c r="E1089" s="1246" t="s">
        <v>1494</v>
      </c>
      <c r="F1089" s="1248">
        <v>1</v>
      </c>
      <c r="G1089" s="1248">
        <v>1</v>
      </c>
      <c r="H1089" s="1249">
        <v>1</v>
      </c>
      <c r="I1089" s="1246" t="s">
        <v>1491</v>
      </c>
      <c r="J1089" s="1246" t="s">
        <v>1463</v>
      </c>
      <c r="K1089" s="1284" t="str">
        <f t="shared" si="16"/>
        <v>72</v>
      </c>
      <c r="L1089" s="1246" t="s">
        <v>1529</v>
      </c>
      <c r="M1089" s="1250">
        <v>9</v>
      </c>
      <c r="N1089" s="1251">
        <v>1</v>
      </c>
      <c r="O1089" s="1252">
        <v>1</v>
      </c>
    </row>
    <row r="1090" spans="1:15">
      <c r="A1090" s="1246" t="s">
        <v>1493</v>
      </c>
      <c r="B1090" s="1246" t="s">
        <v>431</v>
      </c>
      <c r="C1090" s="1247">
        <v>1.5</v>
      </c>
      <c r="E1090" s="1246" t="s">
        <v>1412</v>
      </c>
      <c r="F1090" s="1248">
        <v>1</v>
      </c>
      <c r="G1090" s="1248">
        <v>1</v>
      </c>
      <c r="H1090" s="1249">
        <v>1</v>
      </c>
      <c r="I1090" s="1246" t="s">
        <v>1491</v>
      </c>
      <c r="J1090" s="1246" t="s">
        <v>1462</v>
      </c>
      <c r="K1090" s="1284" t="str">
        <f t="shared" ref="K1090:K1153" si="17">IF(J1090="1B","10", IF(J1090="2B","20",IF(J1090="3B","30",IF(J1090="7B",70,J1090))))</f>
        <v>71</v>
      </c>
      <c r="L1090" s="1246" t="s">
        <v>1495</v>
      </c>
      <c r="M1090" s="1250">
        <v>9</v>
      </c>
      <c r="N1090" s="1251">
        <v>1</v>
      </c>
      <c r="O1090" s="1252">
        <v>1</v>
      </c>
    </row>
    <row r="1091" spans="1:15">
      <c r="A1091" s="1246" t="s">
        <v>1493</v>
      </c>
      <c r="B1091" s="1246" t="s">
        <v>431</v>
      </c>
      <c r="C1091" s="1247">
        <v>1.5</v>
      </c>
      <c r="E1091" s="1246" t="s">
        <v>1494</v>
      </c>
      <c r="F1091" s="1248">
        <v>1</v>
      </c>
      <c r="G1091" s="1248">
        <v>1</v>
      </c>
      <c r="H1091" s="1249">
        <v>1</v>
      </c>
      <c r="I1091" s="1246" t="s">
        <v>1491</v>
      </c>
      <c r="J1091" s="1246" t="s">
        <v>1462</v>
      </c>
      <c r="K1091" s="1284" t="str">
        <f t="shared" si="17"/>
        <v>71</v>
      </c>
      <c r="L1091" s="1246" t="s">
        <v>1495</v>
      </c>
      <c r="M1091" s="1250">
        <v>9</v>
      </c>
      <c r="N1091" s="1251">
        <v>4</v>
      </c>
      <c r="O1091" s="1252">
        <v>4</v>
      </c>
    </row>
    <row r="1092" spans="1:15">
      <c r="A1092" s="1246" t="s">
        <v>1493</v>
      </c>
      <c r="B1092" s="1246" t="s">
        <v>431</v>
      </c>
      <c r="C1092" s="1247">
        <v>1.5</v>
      </c>
      <c r="E1092" s="1246" t="s">
        <v>1494</v>
      </c>
      <c r="F1092" s="1248">
        <v>1</v>
      </c>
      <c r="G1092" s="1248">
        <v>1</v>
      </c>
      <c r="H1092" s="1249">
        <v>1</v>
      </c>
      <c r="I1092" s="1246" t="s">
        <v>1491</v>
      </c>
      <c r="J1092" s="1246" t="s">
        <v>1466</v>
      </c>
      <c r="K1092" s="1284" t="str">
        <f t="shared" si="17"/>
        <v>75</v>
      </c>
      <c r="L1092" s="1246" t="s">
        <v>1530</v>
      </c>
      <c r="M1092" s="1250">
        <v>9</v>
      </c>
      <c r="N1092" s="1251">
        <v>1</v>
      </c>
      <c r="O1092" s="1252">
        <v>1</v>
      </c>
    </row>
    <row r="1093" spans="1:15">
      <c r="A1093" s="1246" t="s">
        <v>1493</v>
      </c>
      <c r="B1093" s="1246" t="s">
        <v>431</v>
      </c>
      <c r="C1093" s="1247">
        <v>1.5</v>
      </c>
      <c r="E1093" s="1246" t="s">
        <v>1494</v>
      </c>
      <c r="F1093" s="1248">
        <v>1</v>
      </c>
      <c r="G1093" s="1248">
        <v>1</v>
      </c>
      <c r="H1093" s="1249">
        <v>1</v>
      </c>
      <c r="I1093" s="1246" t="s">
        <v>1491</v>
      </c>
      <c r="J1093" s="1246" t="s">
        <v>1400</v>
      </c>
      <c r="K1093" s="1284" t="str">
        <f t="shared" si="17"/>
        <v>70</v>
      </c>
      <c r="L1093" s="1246" t="s">
        <v>1532</v>
      </c>
      <c r="M1093" s="1250">
        <v>9</v>
      </c>
      <c r="N1093" s="1251">
        <v>2</v>
      </c>
      <c r="O1093" s="1252">
        <v>2</v>
      </c>
    </row>
    <row r="1094" spans="1:15">
      <c r="A1094" s="1246" t="s">
        <v>1493</v>
      </c>
      <c r="B1094" s="1246" t="s">
        <v>431</v>
      </c>
      <c r="C1094" s="1247">
        <v>1.5</v>
      </c>
      <c r="E1094" s="1246" t="s">
        <v>376</v>
      </c>
      <c r="F1094" s="1248">
        <v>1</v>
      </c>
      <c r="G1094" s="1248">
        <v>1</v>
      </c>
      <c r="H1094" s="1249">
        <v>1</v>
      </c>
      <c r="I1094" s="1246" t="s">
        <v>1491</v>
      </c>
      <c r="J1094" s="1246" t="s">
        <v>1462</v>
      </c>
      <c r="K1094" s="1284" t="str">
        <f t="shared" si="17"/>
        <v>71</v>
      </c>
      <c r="L1094" s="1246" t="s">
        <v>1496</v>
      </c>
      <c r="M1094" s="1250">
        <v>9</v>
      </c>
      <c r="N1094" s="1251">
        <v>1</v>
      </c>
      <c r="O1094" s="1252">
        <v>1</v>
      </c>
    </row>
    <row r="1095" spans="1:15">
      <c r="A1095" s="1246" t="s">
        <v>1493</v>
      </c>
      <c r="B1095" s="1246" t="s">
        <v>431</v>
      </c>
      <c r="C1095" s="1247">
        <v>1.5</v>
      </c>
      <c r="E1095" s="1246" t="s">
        <v>1412</v>
      </c>
      <c r="F1095" s="1248">
        <v>1</v>
      </c>
      <c r="G1095" s="1248">
        <v>1</v>
      </c>
      <c r="H1095" s="1249">
        <v>1</v>
      </c>
      <c r="I1095" s="1246" t="s">
        <v>1491</v>
      </c>
      <c r="J1095" s="1246" t="s">
        <v>1465</v>
      </c>
      <c r="K1095" s="1284" t="str">
        <f t="shared" si="17"/>
        <v>74</v>
      </c>
      <c r="L1095" s="1246" t="s">
        <v>1543</v>
      </c>
      <c r="M1095" s="1250">
        <v>9</v>
      </c>
      <c r="N1095" s="1251">
        <v>1</v>
      </c>
      <c r="O1095" s="1252">
        <v>1</v>
      </c>
    </row>
    <row r="1096" spans="1:15">
      <c r="A1096" s="1246" t="s">
        <v>1493</v>
      </c>
      <c r="B1096" s="1246" t="s">
        <v>431</v>
      </c>
      <c r="C1096" s="1247">
        <v>1.5</v>
      </c>
      <c r="E1096" s="1246" t="s">
        <v>1494</v>
      </c>
      <c r="F1096" s="1248">
        <v>1</v>
      </c>
      <c r="G1096" s="1248">
        <v>1</v>
      </c>
      <c r="H1096" s="1249">
        <v>2</v>
      </c>
      <c r="I1096" s="1246" t="s">
        <v>1491</v>
      </c>
      <c r="J1096" s="1246" t="s">
        <v>1462</v>
      </c>
      <c r="K1096" s="1284" t="str">
        <f t="shared" si="17"/>
        <v>71</v>
      </c>
      <c r="L1096" s="1246" t="s">
        <v>1495</v>
      </c>
      <c r="M1096" s="1250">
        <v>9</v>
      </c>
      <c r="N1096" s="1251">
        <v>1</v>
      </c>
      <c r="O1096" s="1252">
        <v>1</v>
      </c>
    </row>
    <row r="1097" spans="1:15">
      <c r="A1097" s="1246" t="s">
        <v>1493</v>
      </c>
      <c r="B1097" s="1246" t="s">
        <v>431</v>
      </c>
      <c r="C1097" s="1247">
        <v>1.5</v>
      </c>
      <c r="E1097" s="1246" t="s">
        <v>1494</v>
      </c>
      <c r="F1097" s="1248">
        <v>1</v>
      </c>
      <c r="G1097" s="1248">
        <v>2</v>
      </c>
      <c r="H1097" s="1249">
        <v>1</v>
      </c>
      <c r="I1097" s="1246" t="s">
        <v>1491</v>
      </c>
      <c r="J1097" s="1246" t="s">
        <v>1462</v>
      </c>
      <c r="K1097" s="1284" t="str">
        <f t="shared" si="17"/>
        <v>71</v>
      </c>
      <c r="L1097" s="1246" t="s">
        <v>1495</v>
      </c>
      <c r="M1097" s="1250">
        <v>9</v>
      </c>
      <c r="N1097" s="1251">
        <v>2</v>
      </c>
      <c r="O1097" s="1252">
        <v>2</v>
      </c>
    </row>
    <row r="1098" spans="1:15">
      <c r="A1098" s="1246" t="s">
        <v>1493</v>
      </c>
      <c r="B1098" s="1246" t="s">
        <v>431</v>
      </c>
      <c r="C1098" s="1247">
        <v>1.5</v>
      </c>
      <c r="E1098" s="1246" t="s">
        <v>279</v>
      </c>
      <c r="F1098" s="1248">
        <v>2</v>
      </c>
      <c r="G1098" s="1248">
        <v>4</v>
      </c>
      <c r="H1098" s="1249">
        <v>1</v>
      </c>
      <c r="I1098" s="1246" t="s">
        <v>1491</v>
      </c>
      <c r="J1098" s="1246" t="s">
        <v>1466</v>
      </c>
      <c r="K1098" s="1284" t="str">
        <f t="shared" si="17"/>
        <v>75</v>
      </c>
      <c r="L1098" s="1246" t="s">
        <v>1530</v>
      </c>
      <c r="M1098" s="1250">
        <v>9</v>
      </c>
      <c r="N1098" s="1251">
        <v>2</v>
      </c>
      <c r="O1098" s="1252">
        <v>1</v>
      </c>
    </row>
    <row r="1099" spans="1:15">
      <c r="A1099" s="1246" t="s">
        <v>1493</v>
      </c>
      <c r="B1099" s="1246" t="s">
        <v>431</v>
      </c>
      <c r="C1099" s="1247">
        <v>2</v>
      </c>
      <c r="E1099" s="1246" t="s">
        <v>1494</v>
      </c>
      <c r="F1099" s="1248">
        <v>1</v>
      </c>
      <c r="G1099" s="1248">
        <v>0</v>
      </c>
      <c r="H1099" s="1249">
        <v>0</v>
      </c>
      <c r="J1099" s="1246" t="s">
        <v>1400</v>
      </c>
      <c r="K1099" s="1284" t="str">
        <f t="shared" si="17"/>
        <v>70</v>
      </c>
      <c r="L1099" s="1246" t="s">
        <v>1532</v>
      </c>
      <c r="M1099" s="1250">
        <v>9</v>
      </c>
      <c r="N1099" s="1251">
        <v>1</v>
      </c>
      <c r="O1099" s="1252">
        <v>1</v>
      </c>
    </row>
    <row r="1100" spans="1:15">
      <c r="A1100" s="1246" t="s">
        <v>1493</v>
      </c>
      <c r="B1100" s="1246" t="s">
        <v>431</v>
      </c>
      <c r="C1100" s="1247">
        <v>2</v>
      </c>
      <c r="E1100" s="1246" t="s">
        <v>1412</v>
      </c>
      <c r="F1100" s="1248">
        <v>1</v>
      </c>
      <c r="G1100" s="1248">
        <v>1</v>
      </c>
      <c r="H1100" s="1249">
        <v>1</v>
      </c>
      <c r="I1100" s="1246" t="s">
        <v>1491</v>
      </c>
      <c r="J1100" s="1246" t="s">
        <v>1470</v>
      </c>
      <c r="K1100" s="1284" t="str">
        <f t="shared" si="17"/>
        <v>7C</v>
      </c>
      <c r="L1100" s="1246" t="s">
        <v>1502</v>
      </c>
      <c r="M1100" s="1250">
        <v>4</v>
      </c>
      <c r="N1100" s="1251">
        <v>3</v>
      </c>
      <c r="O1100" s="1252">
        <v>3</v>
      </c>
    </row>
    <row r="1101" spans="1:15">
      <c r="A1101" s="1246" t="s">
        <v>1493</v>
      </c>
      <c r="B1101" s="1246" t="s">
        <v>431</v>
      </c>
      <c r="C1101" s="1247">
        <v>2</v>
      </c>
      <c r="E1101" s="1246" t="s">
        <v>279</v>
      </c>
      <c r="F1101" s="1248">
        <v>1</v>
      </c>
      <c r="G1101" s="1248">
        <v>1</v>
      </c>
      <c r="H1101" s="1249">
        <v>1</v>
      </c>
      <c r="I1101" s="1246" t="s">
        <v>1491</v>
      </c>
      <c r="J1101" s="1246" t="s">
        <v>1470</v>
      </c>
      <c r="K1101" s="1284" t="str">
        <f t="shared" si="17"/>
        <v>7C</v>
      </c>
      <c r="L1101" s="1246" t="s">
        <v>1502</v>
      </c>
      <c r="M1101" s="1250">
        <v>4</v>
      </c>
      <c r="N1101" s="1251">
        <v>3</v>
      </c>
      <c r="O1101" s="1252">
        <v>3</v>
      </c>
    </row>
    <row r="1102" spans="1:15">
      <c r="A1102" s="1246" t="s">
        <v>1493</v>
      </c>
      <c r="B1102" s="1246" t="s">
        <v>431</v>
      </c>
      <c r="C1102" s="1247">
        <v>2</v>
      </c>
      <c r="E1102" s="1246" t="s">
        <v>1494</v>
      </c>
      <c r="F1102" s="1248">
        <v>1</v>
      </c>
      <c r="G1102" s="1248">
        <v>1</v>
      </c>
      <c r="H1102" s="1249">
        <v>1</v>
      </c>
      <c r="I1102" s="1246" t="s">
        <v>1491</v>
      </c>
      <c r="J1102" s="1246" t="s">
        <v>1470</v>
      </c>
      <c r="K1102" s="1284" t="str">
        <f t="shared" si="17"/>
        <v>7C</v>
      </c>
      <c r="L1102" s="1246" t="s">
        <v>1502</v>
      </c>
      <c r="M1102" s="1250">
        <v>4</v>
      </c>
      <c r="N1102" s="1251">
        <v>16</v>
      </c>
      <c r="O1102" s="1252">
        <v>16</v>
      </c>
    </row>
    <row r="1103" spans="1:15">
      <c r="A1103" s="1246" t="s">
        <v>1493</v>
      </c>
      <c r="B1103" s="1246" t="s">
        <v>431</v>
      </c>
      <c r="C1103" s="1247">
        <v>2</v>
      </c>
      <c r="E1103" s="1246" t="s">
        <v>1494</v>
      </c>
      <c r="F1103" s="1248">
        <v>1</v>
      </c>
      <c r="G1103" s="1248">
        <v>1</v>
      </c>
      <c r="H1103" s="1249">
        <v>1</v>
      </c>
      <c r="I1103" s="1246" t="s">
        <v>1491</v>
      </c>
      <c r="J1103" s="1246" t="s">
        <v>1469</v>
      </c>
      <c r="K1103" s="1284">
        <f t="shared" si="17"/>
        <v>70</v>
      </c>
      <c r="L1103" s="1246" t="s">
        <v>1534</v>
      </c>
      <c r="M1103" s="1250">
        <v>4</v>
      </c>
      <c r="N1103" s="1251">
        <v>1</v>
      </c>
      <c r="O1103" s="1252">
        <v>1</v>
      </c>
    </row>
    <row r="1104" spans="1:15">
      <c r="A1104" s="1246" t="s">
        <v>1493</v>
      </c>
      <c r="B1104" s="1246" t="s">
        <v>431</v>
      </c>
      <c r="C1104" s="1247">
        <v>2</v>
      </c>
      <c r="E1104" s="1246" t="s">
        <v>1412</v>
      </c>
      <c r="F1104" s="1248">
        <v>1</v>
      </c>
      <c r="G1104" s="1248">
        <v>1</v>
      </c>
      <c r="H1104" s="1249">
        <v>1</v>
      </c>
      <c r="I1104" s="1246" t="s">
        <v>1491</v>
      </c>
      <c r="J1104" s="1246" t="s">
        <v>1468</v>
      </c>
      <c r="K1104" s="1284" t="str">
        <f t="shared" si="17"/>
        <v>7A</v>
      </c>
      <c r="L1104" s="1246" t="s">
        <v>1545</v>
      </c>
      <c r="M1104" s="1250">
        <v>4</v>
      </c>
      <c r="N1104" s="1251">
        <v>1</v>
      </c>
      <c r="O1104" s="1252">
        <v>1</v>
      </c>
    </row>
    <row r="1105" spans="1:15">
      <c r="A1105" s="1246" t="s">
        <v>1493</v>
      </c>
      <c r="B1105" s="1246" t="s">
        <v>431</v>
      </c>
      <c r="C1105" s="1247">
        <v>2</v>
      </c>
      <c r="E1105" s="1246" t="s">
        <v>1494</v>
      </c>
      <c r="F1105" s="1248">
        <v>1</v>
      </c>
      <c r="G1105" s="1248">
        <v>1</v>
      </c>
      <c r="H1105" s="1249">
        <v>1</v>
      </c>
      <c r="I1105" s="1246" t="s">
        <v>1491</v>
      </c>
      <c r="J1105" s="1246" t="s">
        <v>1468</v>
      </c>
      <c r="K1105" s="1284" t="str">
        <f t="shared" si="17"/>
        <v>7A</v>
      </c>
      <c r="L1105" s="1246" t="s">
        <v>1545</v>
      </c>
      <c r="M1105" s="1250">
        <v>4</v>
      </c>
      <c r="N1105" s="1251">
        <v>1</v>
      </c>
      <c r="O1105" s="1252">
        <v>1</v>
      </c>
    </row>
    <row r="1106" spans="1:15">
      <c r="A1106" s="1246" t="s">
        <v>1493</v>
      </c>
      <c r="B1106" s="1246" t="s">
        <v>431</v>
      </c>
      <c r="C1106" s="1247">
        <v>2</v>
      </c>
      <c r="E1106" s="1246" t="s">
        <v>1494</v>
      </c>
      <c r="F1106" s="1248">
        <v>1</v>
      </c>
      <c r="G1106" s="1248">
        <v>1</v>
      </c>
      <c r="H1106" s="1249">
        <v>1</v>
      </c>
      <c r="I1106" s="1246" t="s">
        <v>1491</v>
      </c>
      <c r="J1106" s="1246" t="s">
        <v>1400</v>
      </c>
      <c r="K1106" s="1284" t="str">
        <f t="shared" si="17"/>
        <v>70</v>
      </c>
      <c r="L1106" s="1246" t="s">
        <v>1544</v>
      </c>
      <c r="M1106" s="1250">
        <v>9</v>
      </c>
      <c r="N1106" s="1251">
        <v>1</v>
      </c>
      <c r="O1106" s="1252">
        <v>1</v>
      </c>
    </row>
    <row r="1107" spans="1:15">
      <c r="A1107" s="1246" t="s">
        <v>1493</v>
      </c>
      <c r="B1107" s="1246" t="s">
        <v>431</v>
      </c>
      <c r="C1107" s="1247">
        <v>2</v>
      </c>
      <c r="E1107" s="1246" t="s">
        <v>1494</v>
      </c>
      <c r="F1107" s="1248">
        <v>1</v>
      </c>
      <c r="G1107" s="1248">
        <v>1</v>
      </c>
      <c r="H1107" s="1249">
        <v>1</v>
      </c>
      <c r="I1107" s="1246" t="s">
        <v>1491</v>
      </c>
      <c r="J1107" s="1246" t="s">
        <v>1464</v>
      </c>
      <c r="K1107" s="1284" t="str">
        <f t="shared" si="17"/>
        <v>73</v>
      </c>
      <c r="L1107" s="1246" t="s">
        <v>1544</v>
      </c>
      <c r="M1107" s="1250">
        <v>9</v>
      </c>
      <c r="N1107" s="1251">
        <v>1</v>
      </c>
      <c r="O1107" s="1252">
        <v>1</v>
      </c>
    </row>
    <row r="1108" spans="1:15">
      <c r="A1108" s="1246" t="s">
        <v>1493</v>
      </c>
      <c r="B1108" s="1246" t="s">
        <v>431</v>
      </c>
      <c r="C1108" s="1247">
        <v>2</v>
      </c>
      <c r="E1108" s="1246" t="s">
        <v>1494</v>
      </c>
      <c r="F1108" s="1248">
        <v>1</v>
      </c>
      <c r="G1108" s="1248">
        <v>1</v>
      </c>
      <c r="H1108" s="1249">
        <v>1</v>
      </c>
      <c r="I1108" s="1246" t="s">
        <v>1491</v>
      </c>
      <c r="J1108" s="1246" t="s">
        <v>1463</v>
      </c>
      <c r="K1108" s="1284" t="str">
        <f t="shared" si="17"/>
        <v>72</v>
      </c>
      <c r="L1108" s="1246" t="s">
        <v>1529</v>
      </c>
      <c r="M1108" s="1250">
        <v>9</v>
      </c>
      <c r="N1108" s="1251">
        <v>1</v>
      </c>
      <c r="O1108" s="1252">
        <v>1</v>
      </c>
    </row>
    <row r="1109" spans="1:15">
      <c r="A1109" s="1246" t="s">
        <v>1493</v>
      </c>
      <c r="B1109" s="1246" t="s">
        <v>431</v>
      </c>
      <c r="C1109" s="1247">
        <v>2</v>
      </c>
      <c r="E1109" s="1246" t="s">
        <v>1412</v>
      </c>
      <c r="F1109" s="1248">
        <v>1</v>
      </c>
      <c r="G1109" s="1248">
        <v>1</v>
      </c>
      <c r="H1109" s="1249">
        <v>1</v>
      </c>
      <c r="I1109" s="1246" t="s">
        <v>1491</v>
      </c>
      <c r="J1109" s="1246" t="s">
        <v>1462</v>
      </c>
      <c r="K1109" s="1284" t="str">
        <f t="shared" si="17"/>
        <v>71</v>
      </c>
      <c r="L1109" s="1246" t="s">
        <v>1495</v>
      </c>
      <c r="M1109" s="1250">
        <v>9</v>
      </c>
      <c r="N1109" s="1251">
        <v>2</v>
      </c>
      <c r="O1109" s="1252">
        <v>2</v>
      </c>
    </row>
    <row r="1110" spans="1:15">
      <c r="A1110" s="1246" t="s">
        <v>1493</v>
      </c>
      <c r="B1110" s="1246" t="s">
        <v>431</v>
      </c>
      <c r="C1110" s="1247">
        <v>2</v>
      </c>
      <c r="E1110" s="1246" t="s">
        <v>279</v>
      </c>
      <c r="F1110" s="1248">
        <v>1</v>
      </c>
      <c r="G1110" s="1248">
        <v>1</v>
      </c>
      <c r="H1110" s="1249">
        <v>1</v>
      </c>
      <c r="I1110" s="1246" t="s">
        <v>1491</v>
      </c>
      <c r="J1110" s="1246" t="s">
        <v>1462</v>
      </c>
      <c r="K1110" s="1284" t="str">
        <f t="shared" si="17"/>
        <v>71</v>
      </c>
      <c r="L1110" s="1246" t="s">
        <v>1495</v>
      </c>
      <c r="M1110" s="1250">
        <v>9</v>
      </c>
      <c r="N1110" s="1251">
        <v>1</v>
      </c>
      <c r="O1110" s="1252">
        <v>1</v>
      </c>
    </row>
    <row r="1111" spans="1:15">
      <c r="A1111" s="1246" t="s">
        <v>1493</v>
      </c>
      <c r="B1111" s="1246" t="s">
        <v>431</v>
      </c>
      <c r="C1111" s="1247">
        <v>2</v>
      </c>
      <c r="E1111" s="1246" t="s">
        <v>1494</v>
      </c>
      <c r="F1111" s="1248">
        <v>1</v>
      </c>
      <c r="G1111" s="1248">
        <v>1</v>
      </c>
      <c r="H1111" s="1249">
        <v>1</v>
      </c>
      <c r="I1111" s="1246" t="s">
        <v>1491</v>
      </c>
      <c r="J1111" s="1246" t="s">
        <v>1462</v>
      </c>
      <c r="K1111" s="1284" t="str">
        <f t="shared" si="17"/>
        <v>71</v>
      </c>
      <c r="L1111" s="1246" t="s">
        <v>1495</v>
      </c>
      <c r="M1111" s="1250">
        <v>9</v>
      </c>
      <c r="N1111" s="1251">
        <v>114</v>
      </c>
      <c r="O1111" s="1252">
        <v>114</v>
      </c>
    </row>
    <row r="1112" spans="1:15">
      <c r="A1112" s="1246" t="s">
        <v>683</v>
      </c>
      <c r="B1112" s="1246" t="s">
        <v>431</v>
      </c>
      <c r="C1112" s="1247">
        <v>2</v>
      </c>
      <c r="E1112" s="1246" t="s">
        <v>1494</v>
      </c>
      <c r="F1112" s="1248">
        <v>1</v>
      </c>
      <c r="G1112" s="1248">
        <v>1</v>
      </c>
      <c r="H1112" s="1249">
        <v>1</v>
      </c>
      <c r="I1112" s="1246" t="s">
        <v>1491</v>
      </c>
      <c r="J1112" s="1246" t="s">
        <v>1462</v>
      </c>
      <c r="K1112" s="1284" t="str">
        <f t="shared" si="17"/>
        <v>71</v>
      </c>
      <c r="L1112" s="1246" t="s">
        <v>1495</v>
      </c>
      <c r="M1112" s="1250">
        <v>9</v>
      </c>
      <c r="N1112" s="1251">
        <v>3</v>
      </c>
      <c r="O1112" s="1252">
        <v>3</v>
      </c>
    </row>
    <row r="1113" spans="1:15">
      <c r="A1113" s="1246" t="s">
        <v>1493</v>
      </c>
      <c r="B1113" s="1246" t="s">
        <v>431</v>
      </c>
      <c r="C1113" s="1247">
        <v>2</v>
      </c>
      <c r="E1113" s="1246" t="s">
        <v>370</v>
      </c>
      <c r="F1113" s="1248">
        <v>1</v>
      </c>
      <c r="G1113" s="1248">
        <v>1</v>
      </c>
      <c r="H1113" s="1249">
        <v>1</v>
      </c>
      <c r="I1113" s="1246" t="s">
        <v>1491</v>
      </c>
      <c r="J1113" s="1246" t="s">
        <v>1462</v>
      </c>
      <c r="K1113" s="1284" t="str">
        <f t="shared" si="17"/>
        <v>71</v>
      </c>
      <c r="L1113" s="1246" t="s">
        <v>1495</v>
      </c>
      <c r="M1113" s="1250">
        <v>9</v>
      </c>
      <c r="N1113" s="1251">
        <v>2</v>
      </c>
      <c r="O1113" s="1252">
        <v>2</v>
      </c>
    </row>
    <row r="1114" spans="1:15">
      <c r="A1114" s="1246" t="s">
        <v>1493</v>
      </c>
      <c r="B1114" s="1246" t="s">
        <v>431</v>
      </c>
      <c r="C1114" s="1247">
        <v>2</v>
      </c>
      <c r="E1114" s="1246" t="s">
        <v>1494</v>
      </c>
      <c r="F1114" s="1248">
        <v>1</v>
      </c>
      <c r="G1114" s="1248">
        <v>1</v>
      </c>
      <c r="H1114" s="1249">
        <v>1</v>
      </c>
      <c r="I1114" s="1246" t="s">
        <v>1491</v>
      </c>
      <c r="J1114" s="1246" t="s">
        <v>1467</v>
      </c>
      <c r="K1114" s="1284" t="str">
        <f t="shared" si="17"/>
        <v>76</v>
      </c>
      <c r="L1114" s="1246" t="s">
        <v>1538</v>
      </c>
      <c r="M1114" s="1250">
        <v>9</v>
      </c>
      <c r="N1114" s="1251">
        <v>1</v>
      </c>
      <c r="O1114" s="1252">
        <v>1</v>
      </c>
    </row>
    <row r="1115" spans="1:15">
      <c r="A1115" s="1246" t="s">
        <v>1493</v>
      </c>
      <c r="B1115" s="1246" t="s">
        <v>431</v>
      </c>
      <c r="C1115" s="1247">
        <v>2</v>
      </c>
      <c r="E1115" s="1246" t="s">
        <v>1494</v>
      </c>
      <c r="F1115" s="1248">
        <v>1</v>
      </c>
      <c r="G1115" s="1248">
        <v>1</v>
      </c>
      <c r="H1115" s="1249">
        <v>1</v>
      </c>
      <c r="I1115" s="1246" t="s">
        <v>1491</v>
      </c>
      <c r="J1115" s="1246" t="s">
        <v>1400</v>
      </c>
      <c r="K1115" s="1284" t="str">
        <f t="shared" si="17"/>
        <v>70</v>
      </c>
      <c r="L1115" s="1246" t="s">
        <v>1536</v>
      </c>
      <c r="M1115" s="1250">
        <v>9</v>
      </c>
      <c r="N1115" s="1251">
        <v>2</v>
      </c>
      <c r="O1115" s="1252">
        <v>2</v>
      </c>
    </row>
    <row r="1116" spans="1:15">
      <c r="A1116" s="1246" t="s">
        <v>1493</v>
      </c>
      <c r="B1116" s="1246" t="s">
        <v>431</v>
      </c>
      <c r="C1116" s="1247">
        <v>2</v>
      </c>
      <c r="E1116" s="1246" t="s">
        <v>1412</v>
      </c>
      <c r="F1116" s="1248">
        <v>1</v>
      </c>
      <c r="G1116" s="1248">
        <v>1</v>
      </c>
      <c r="H1116" s="1249">
        <v>1</v>
      </c>
      <c r="I1116" s="1246" t="s">
        <v>1491</v>
      </c>
      <c r="J1116" s="1246" t="s">
        <v>1466</v>
      </c>
      <c r="K1116" s="1284" t="str">
        <f t="shared" si="17"/>
        <v>75</v>
      </c>
      <c r="L1116" s="1246" t="s">
        <v>1530</v>
      </c>
      <c r="M1116" s="1250">
        <v>9</v>
      </c>
      <c r="N1116" s="1251">
        <v>2</v>
      </c>
      <c r="O1116" s="1252">
        <v>2</v>
      </c>
    </row>
    <row r="1117" spans="1:15">
      <c r="A1117" s="1246" t="s">
        <v>1493</v>
      </c>
      <c r="B1117" s="1246" t="s">
        <v>431</v>
      </c>
      <c r="C1117" s="1247">
        <v>2</v>
      </c>
      <c r="E1117" s="1246" t="s">
        <v>1494</v>
      </c>
      <c r="F1117" s="1248">
        <v>1</v>
      </c>
      <c r="G1117" s="1248">
        <v>1</v>
      </c>
      <c r="H1117" s="1249">
        <v>1</v>
      </c>
      <c r="I1117" s="1246" t="s">
        <v>1491</v>
      </c>
      <c r="J1117" s="1246" t="s">
        <v>1439</v>
      </c>
      <c r="K1117" s="1284" t="str">
        <f t="shared" si="17"/>
        <v>15</v>
      </c>
      <c r="L1117" s="1246" t="s">
        <v>1530</v>
      </c>
      <c r="M1117" s="1250">
        <v>9</v>
      </c>
      <c r="N1117" s="1251">
        <v>1</v>
      </c>
      <c r="O1117" s="1252">
        <v>1</v>
      </c>
    </row>
    <row r="1118" spans="1:15">
      <c r="A1118" s="1246" t="s">
        <v>1493</v>
      </c>
      <c r="B1118" s="1246" t="s">
        <v>431</v>
      </c>
      <c r="C1118" s="1247">
        <v>2</v>
      </c>
      <c r="E1118" s="1246" t="s">
        <v>1494</v>
      </c>
      <c r="F1118" s="1248">
        <v>1</v>
      </c>
      <c r="G1118" s="1248">
        <v>1</v>
      </c>
      <c r="H1118" s="1249">
        <v>1</v>
      </c>
      <c r="I1118" s="1246" t="s">
        <v>1491</v>
      </c>
      <c r="J1118" s="1246" t="s">
        <v>1466</v>
      </c>
      <c r="K1118" s="1284" t="str">
        <f t="shared" si="17"/>
        <v>75</v>
      </c>
      <c r="L1118" s="1246" t="s">
        <v>1530</v>
      </c>
      <c r="M1118" s="1250">
        <v>9</v>
      </c>
      <c r="N1118" s="1251">
        <v>4</v>
      </c>
      <c r="O1118" s="1252">
        <v>4</v>
      </c>
    </row>
    <row r="1119" spans="1:15">
      <c r="A1119" s="1246" t="s">
        <v>1493</v>
      </c>
      <c r="B1119" s="1246" t="s">
        <v>431</v>
      </c>
      <c r="C1119" s="1247">
        <v>2</v>
      </c>
      <c r="E1119" s="1246" t="s">
        <v>1412</v>
      </c>
      <c r="F1119" s="1248">
        <v>1</v>
      </c>
      <c r="G1119" s="1248">
        <v>1</v>
      </c>
      <c r="H1119" s="1249">
        <v>1</v>
      </c>
      <c r="I1119" s="1246" t="s">
        <v>1491</v>
      </c>
      <c r="J1119" s="1246" t="s">
        <v>1400</v>
      </c>
      <c r="K1119" s="1284" t="str">
        <f t="shared" si="17"/>
        <v>70</v>
      </c>
      <c r="L1119" s="1246" t="s">
        <v>1532</v>
      </c>
      <c r="M1119" s="1250">
        <v>9</v>
      </c>
      <c r="N1119" s="1251">
        <v>1</v>
      </c>
      <c r="O1119" s="1252">
        <v>1</v>
      </c>
    </row>
    <row r="1120" spans="1:15">
      <c r="A1120" s="1246" t="s">
        <v>1493</v>
      </c>
      <c r="B1120" s="1246" t="s">
        <v>431</v>
      </c>
      <c r="C1120" s="1247">
        <v>2</v>
      </c>
      <c r="E1120" s="1246" t="s">
        <v>1494</v>
      </c>
      <c r="F1120" s="1248">
        <v>1</v>
      </c>
      <c r="G1120" s="1248">
        <v>1</v>
      </c>
      <c r="H1120" s="1249">
        <v>1</v>
      </c>
      <c r="I1120" s="1246" t="s">
        <v>1491</v>
      </c>
      <c r="J1120" s="1246" t="s">
        <v>1400</v>
      </c>
      <c r="K1120" s="1284" t="str">
        <f t="shared" si="17"/>
        <v>70</v>
      </c>
      <c r="L1120" s="1246" t="s">
        <v>1532</v>
      </c>
      <c r="M1120" s="1250">
        <v>9</v>
      </c>
      <c r="N1120" s="1251">
        <v>10</v>
      </c>
      <c r="O1120" s="1252">
        <v>10</v>
      </c>
    </row>
    <row r="1121" spans="1:15">
      <c r="A1121" s="1246" t="s">
        <v>1493</v>
      </c>
      <c r="B1121" s="1246" t="s">
        <v>431</v>
      </c>
      <c r="C1121" s="1247">
        <v>2</v>
      </c>
      <c r="E1121" s="1246" t="s">
        <v>376</v>
      </c>
      <c r="F1121" s="1248">
        <v>1</v>
      </c>
      <c r="G1121" s="1248">
        <v>1</v>
      </c>
      <c r="H1121" s="1249">
        <v>1</v>
      </c>
      <c r="I1121" s="1246" t="s">
        <v>1491</v>
      </c>
      <c r="J1121" s="1246" t="s">
        <v>1400</v>
      </c>
      <c r="K1121" s="1284" t="str">
        <f t="shared" si="17"/>
        <v>70</v>
      </c>
      <c r="L1121" s="1246" t="s">
        <v>1532</v>
      </c>
      <c r="M1121" s="1250">
        <v>9</v>
      </c>
      <c r="N1121" s="1251">
        <v>2</v>
      </c>
      <c r="O1121" s="1252">
        <v>2</v>
      </c>
    </row>
    <row r="1122" spans="1:15">
      <c r="A1122" s="1246" t="s">
        <v>1493</v>
      </c>
      <c r="B1122" s="1246" t="s">
        <v>431</v>
      </c>
      <c r="C1122" s="1247">
        <v>2</v>
      </c>
      <c r="E1122" s="1246" t="s">
        <v>1412</v>
      </c>
      <c r="F1122" s="1248">
        <v>1</v>
      </c>
      <c r="G1122" s="1248">
        <v>1</v>
      </c>
      <c r="H1122" s="1249">
        <v>1</v>
      </c>
      <c r="I1122" s="1246" t="s">
        <v>1491</v>
      </c>
      <c r="J1122" s="1246" t="s">
        <v>1464</v>
      </c>
      <c r="K1122" s="1284" t="str">
        <f t="shared" si="17"/>
        <v>73</v>
      </c>
      <c r="L1122" s="1246" t="s">
        <v>1533</v>
      </c>
      <c r="M1122" s="1250">
        <v>9</v>
      </c>
      <c r="N1122" s="1251">
        <v>1</v>
      </c>
      <c r="O1122" s="1252">
        <v>1</v>
      </c>
    </row>
    <row r="1123" spans="1:15">
      <c r="A1123" s="1246" t="s">
        <v>1493</v>
      </c>
      <c r="B1123" s="1246" t="s">
        <v>431</v>
      </c>
      <c r="C1123" s="1247">
        <v>2</v>
      </c>
      <c r="E1123" s="1246" t="s">
        <v>1494</v>
      </c>
      <c r="F1123" s="1248">
        <v>1</v>
      </c>
      <c r="G1123" s="1248">
        <v>1</v>
      </c>
      <c r="H1123" s="1249">
        <v>1</v>
      </c>
      <c r="I1123" s="1246" t="s">
        <v>1491</v>
      </c>
      <c r="J1123" s="1246" t="s">
        <v>1464</v>
      </c>
      <c r="K1123" s="1284" t="str">
        <f t="shared" si="17"/>
        <v>73</v>
      </c>
      <c r="L1123" s="1246" t="s">
        <v>1533</v>
      </c>
      <c r="M1123" s="1250">
        <v>9</v>
      </c>
      <c r="N1123" s="1251">
        <v>13</v>
      </c>
      <c r="O1123" s="1252">
        <v>13</v>
      </c>
    </row>
    <row r="1124" spans="1:15">
      <c r="A1124" s="1246" t="s">
        <v>1493</v>
      </c>
      <c r="B1124" s="1246" t="s">
        <v>431</v>
      </c>
      <c r="C1124" s="1247">
        <v>2</v>
      </c>
      <c r="E1124" s="1246" t="s">
        <v>376</v>
      </c>
      <c r="F1124" s="1248">
        <v>1</v>
      </c>
      <c r="G1124" s="1248">
        <v>1</v>
      </c>
      <c r="H1124" s="1249">
        <v>1</v>
      </c>
      <c r="I1124" s="1246" t="s">
        <v>1491</v>
      </c>
      <c r="J1124" s="1246" t="s">
        <v>1464</v>
      </c>
      <c r="K1124" s="1284" t="str">
        <f t="shared" si="17"/>
        <v>73</v>
      </c>
      <c r="L1124" s="1246" t="s">
        <v>1533</v>
      </c>
      <c r="M1124" s="1250">
        <v>9</v>
      </c>
      <c r="N1124" s="1251">
        <v>2</v>
      </c>
      <c r="O1124" s="1252">
        <v>2</v>
      </c>
    </row>
    <row r="1125" spans="1:15">
      <c r="A1125" s="1246" t="s">
        <v>1493</v>
      </c>
      <c r="B1125" s="1246" t="s">
        <v>431</v>
      </c>
      <c r="C1125" s="1247">
        <v>2</v>
      </c>
      <c r="E1125" s="1246" t="s">
        <v>376</v>
      </c>
      <c r="F1125" s="1248">
        <v>1</v>
      </c>
      <c r="G1125" s="1248">
        <v>1</v>
      </c>
      <c r="H1125" s="1249">
        <v>1</v>
      </c>
      <c r="I1125" s="1246" t="s">
        <v>1491</v>
      </c>
      <c r="J1125" s="1246" t="s">
        <v>1462</v>
      </c>
      <c r="K1125" s="1284" t="str">
        <f t="shared" si="17"/>
        <v>71</v>
      </c>
      <c r="L1125" s="1246" t="s">
        <v>1496</v>
      </c>
      <c r="M1125" s="1250">
        <v>9</v>
      </c>
      <c r="N1125" s="1251">
        <v>13</v>
      </c>
      <c r="O1125" s="1252">
        <v>13</v>
      </c>
    </row>
    <row r="1126" spans="1:15">
      <c r="A1126" s="1246" t="s">
        <v>683</v>
      </c>
      <c r="B1126" s="1246" t="s">
        <v>431</v>
      </c>
      <c r="C1126" s="1247">
        <v>2</v>
      </c>
      <c r="E1126" s="1246" t="s">
        <v>376</v>
      </c>
      <c r="F1126" s="1248">
        <v>1</v>
      </c>
      <c r="G1126" s="1248">
        <v>1</v>
      </c>
      <c r="H1126" s="1249">
        <v>1</v>
      </c>
      <c r="I1126" s="1246" t="s">
        <v>1491</v>
      </c>
      <c r="J1126" s="1246" t="s">
        <v>1462</v>
      </c>
      <c r="K1126" s="1284" t="str">
        <f t="shared" si="17"/>
        <v>71</v>
      </c>
      <c r="L1126" s="1246" t="s">
        <v>1496</v>
      </c>
      <c r="M1126" s="1250">
        <v>9</v>
      </c>
      <c r="N1126" s="1251">
        <v>1</v>
      </c>
      <c r="O1126" s="1252">
        <v>1</v>
      </c>
    </row>
    <row r="1127" spans="1:15">
      <c r="A1127" s="1246" t="s">
        <v>1493</v>
      </c>
      <c r="B1127" s="1246" t="s">
        <v>431</v>
      </c>
      <c r="C1127" s="1247">
        <v>2</v>
      </c>
      <c r="E1127" s="1246" t="s">
        <v>1412</v>
      </c>
      <c r="F1127" s="1248">
        <v>1</v>
      </c>
      <c r="G1127" s="1248">
        <v>1</v>
      </c>
      <c r="H1127" s="1249">
        <v>1</v>
      </c>
      <c r="I1127" s="1246" t="s">
        <v>1491</v>
      </c>
      <c r="J1127" s="1246" t="s">
        <v>1465</v>
      </c>
      <c r="K1127" s="1284" t="str">
        <f t="shared" si="17"/>
        <v>74</v>
      </c>
      <c r="L1127" s="1246" t="s">
        <v>1543</v>
      </c>
      <c r="M1127" s="1250">
        <v>9</v>
      </c>
      <c r="N1127" s="1251">
        <v>1</v>
      </c>
      <c r="O1127" s="1252">
        <v>1</v>
      </c>
    </row>
    <row r="1128" spans="1:15">
      <c r="A1128" s="1246" t="s">
        <v>1493</v>
      </c>
      <c r="B1128" s="1246" t="s">
        <v>431</v>
      </c>
      <c r="C1128" s="1247">
        <v>2</v>
      </c>
      <c r="E1128" s="1246" t="s">
        <v>1494</v>
      </c>
      <c r="F1128" s="1248">
        <v>1</v>
      </c>
      <c r="G1128" s="1248">
        <v>1</v>
      </c>
      <c r="H1128" s="1249">
        <v>1</v>
      </c>
      <c r="I1128" s="1246" t="s">
        <v>1491</v>
      </c>
      <c r="J1128" s="1246" t="s">
        <v>1465</v>
      </c>
      <c r="K1128" s="1284" t="str">
        <f t="shared" si="17"/>
        <v>74</v>
      </c>
      <c r="L1128" s="1246" t="s">
        <v>1543</v>
      </c>
      <c r="M1128" s="1250">
        <v>9</v>
      </c>
      <c r="N1128" s="1251">
        <v>1</v>
      </c>
      <c r="O1128" s="1252">
        <v>1</v>
      </c>
    </row>
    <row r="1129" spans="1:15">
      <c r="A1129" s="1246" t="s">
        <v>1493</v>
      </c>
      <c r="B1129" s="1246" t="s">
        <v>431</v>
      </c>
      <c r="C1129" s="1247">
        <v>2</v>
      </c>
      <c r="E1129" s="1246" t="s">
        <v>1494</v>
      </c>
      <c r="F1129" s="1248">
        <v>1</v>
      </c>
      <c r="G1129" s="1248">
        <v>1</v>
      </c>
      <c r="H1129" s="1249">
        <v>2</v>
      </c>
      <c r="I1129" s="1246" t="s">
        <v>1491</v>
      </c>
      <c r="J1129" s="1246" t="s">
        <v>1462</v>
      </c>
      <c r="K1129" s="1284" t="str">
        <f t="shared" si="17"/>
        <v>71</v>
      </c>
      <c r="L1129" s="1246" t="s">
        <v>1495</v>
      </c>
      <c r="M1129" s="1250">
        <v>9</v>
      </c>
      <c r="N1129" s="1251">
        <v>1</v>
      </c>
      <c r="O1129" s="1252">
        <v>1</v>
      </c>
    </row>
    <row r="1130" spans="1:15">
      <c r="A1130" s="1246" t="s">
        <v>1493</v>
      </c>
      <c r="B1130" s="1246" t="s">
        <v>431</v>
      </c>
      <c r="C1130" s="1247">
        <v>2</v>
      </c>
      <c r="E1130" s="1246" t="s">
        <v>1412</v>
      </c>
      <c r="F1130" s="1248">
        <v>1</v>
      </c>
      <c r="G1130" s="1248">
        <v>1</v>
      </c>
      <c r="H1130" s="1249">
        <v>2</v>
      </c>
      <c r="I1130" s="1246" t="s">
        <v>1491</v>
      </c>
      <c r="J1130" s="1246" t="s">
        <v>1400</v>
      </c>
      <c r="K1130" s="1284" t="str">
        <f t="shared" si="17"/>
        <v>70</v>
      </c>
      <c r="L1130" s="1246" t="s">
        <v>1536</v>
      </c>
      <c r="M1130" s="1250">
        <v>9</v>
      </c>
      <c r="N1130" s="1251">
        <v>1</v>
      </c>
      <c r="O1130" s="1252">
        <v>1</v>
      </c>
    </row>
    <row r="1131" spans="1:15">
      <c r="A1131" s="1246" t="s">
        <v>1493</v>
      </c>
      <c r="B1131" s="1246" t="s">
        <v>431</v>
      </c>
      <c r="C1131" s="1247">
        <v>2</v>
      </c>
      <c r="E1131" s="1246" t="s">
        <v>1494</v>
      </c>
      <c r="F1131" s="1248">
        <v>1</v>
      </c>
      <c r="G1131" s="1248">
        <v>2</v>
      </c>
      <c r="H1131" s="1249">
        <v>1</v>
      </c>
      <c r="I1131" s="1246" t="s">
        <v>1491</v>
      </c>
      <c r="J1131" s="1246" t="s">
        <v>1465</v>
      </c>
      <c r="K1131" s="1284" t="str">
        <f t="shared" si="17"/>
        <v>74</v>
      </c>
      <c r="L1131" s="1246" t="s">
        <v>1546</v>
      </c>
      <c r="M1131" s="1250">
        <v>8</v>
      </c>
      <c r="N1131" s="1251">
        <v>1</v>
      </c>
      <c r="O1131" s="1252">
        <v>1</v>
      </c>
    </row>
    <row r="1132" spans="1:15">
      <c r="A1132" s="1246" t="s">
        <v>1493</v>
      </c>
      <c r="B1132" s="1246" t="s">
        <v>431</v>
      </c>
      <c r="C1132" s="1247">
        <v>2</v>
      </c>
      <c r="E1132" s="1246" t="s">
        <v>376</v>
      </c>
      <c r="F1132" s="1248">
        <v>1</v>
      </c>
      <c r="G1132" s="1248">
        <v>2</v>
      </c>
      <c r="H1132" s="1249">
        <v>1</v>
      </c>
      <c r="I1132" s="1246" t="s">
        <v>1491</v>
      </c>
      <c r="J1132" s="1246" t="s">
        <v>1469</v>
      </c>
      <c r="K1132" s="1284">
        <f t="shared" si="17"/>
        <v>70</v>
      </c>
      <c r="L1132" s="1246" t="s">
        <v>1542</v>
      </c>
      <c r="M1132" s="1250">
        <v>6</v>
      </c>
      <c r="N1132" s="1251">
        <v>1</v>
      </c>
      <c r="O1132" s="1252">
        <v>1</v>
      </c>
    </row>
    <row r="1133" spans="1:15">
      <c r="A1133" s="1246" t="s">
        <v>1493</v>
      </c>
      <c r="B1133" s="1246" t="s">
        <v>431</v>
      </c>
      <c r="C1133" s="1247">
        <v>2</v>
      </c>
      <c r="E1133" s="1246" t="s">
        <v>1494</v>
      </c>
      <c r="F1133" s="1248">
        <v>1</v>
      </c>
      <c r="G1133" s="1248">
        <v>2</v>
      </c>
      <c r="H1133" s="1249">
        <v>1</v>
      </c>
      <c r="I1133" s="1246" t="s">
        <v>1491</v>
      </c>
      <c r="J1133" s="1246" t="s">
        <v>1468</v>
      </c>
      <c r="K1133" s="1284" t="str">
        <f t="shared" si="17"/>
        <v>7A</v>
      </c>
      <c r="L1133" s="1246" t="s">
        <v>1545</v>
      </c>
      <c r="M1133" s="1250">
        <v>4</v>
      </c>
      <c r="N1133" s="1251">
        <v>1</v>
      </c>
      <c r="O1133" s="1252">
        <v>1</v>
      </c>
    </row>
    <row r="1134" spans="1:15">
      <c r="A1134" s="1246" t="s">
        <v>1493</v>
      </c>
      <c r="B1134" s="1246" t="s">
        <v>431</v>
      </c>
      <c r="C1134" s="1247">
        <v>2</v>
      </c>
      <c r="E1134" s="1246" t="s">
        <v>1494</v>
      </c>
      <c r="F1134" s="1248">
        <v>1</v>
      </c>
      <c r="G1134" s="1248">
        <v>2</v>
      </c>
      <c r="H1134" s="1249">
        <v>1</v>
      </c>
      <c r="I1134" s="1246" t="s">
        <v>1491</v>
      </c>
      <c r="J1134" s="1246" t="s">
        <v>1463</v>
      </c>
      <c r="K1134" s="1284" t="str">
        <f t="shared" si="17"/>
        <v>72</v>
      </c>
      <c r="L1134" s="1246" t="s">
        <v>1529</v>
      </c>
      <c r="M1134" s="1250">
        <v>9</v>
      </c>
      <c r="N1134" s="1251">
        <v>1</v>
      </c>
      <c r="O1134" s="1252">
        <v>1</v>
      </c>
    </row>
    <row r="1135" spans="1:15">
      <c r="A1135" s="1246" t="s">
        <v>1493</v>
      </c>
      <c r="B1135" s="1246" t="s">
        <v>431</v>
      </c>
      <c r="C1135" s="1247">
        <v>2</v>
      </c>
      <c r="E1135" s="1246" t="s">
        <v>1412</v>
      </c>
      <c r="F1135" s="1248">
        <v>1</v>
      </c>
      <c r="G1135" s="1248">
        <v>2</v>
      </c>
      <c r="H1135" s="1249">
        <v>1</v>
      </c>
      <c r="I1135" s="1246" t="s">
        <v>1491</v>
      </c>
      <c r="J1135" s="1246" t="s">
        <v>1462</v>
      </c>
      <c r="K1135" s="1284" t="str">
        <f t="shared" si="17"/>
        <v>71</v>
      </c>
      <c r="L1135" s="1246" t="s">
        <v>1495</v>
      </c>
      <c r="M1135" s="1250">
        <v>9</v>
      </c>
      <c r="N1135" s="1251">
        <v>2</v>
      </c>
      <c r="O1135" s="1252">
        <v>2</v>
      </c>
    </row>
    <row r="1136" spans="1:15">
      <c r="A1136" s="1246" t="s">
        <v>1493</v>
      </c>
      <c r="B1136" s="1246" t="s">
        <v>431</v>
      </c>
      <c r="C1136" s="1247">
        <v>2</v>
      </c>
      <c r="E1136" s="1246" t="s">
        <v>1494</v>
      </c>
      <c r="F1136" s="1248">
        <v>1</v>
      </c>
      <c r="G1136" s="1248">
        <v>2</v>
      </c>
      <c r="H1136" s="1249">
        <v>1</v>
      </c>
      <c r="I1136" s="1246" t="s">
        <v>1491</v>
      </c>
      <c r="J1136" s="1246" t="s">
        <v>1462</v>
      </c>
      <c r="K1136" s="1284" t="str">
        <f t="shared" si="17"/>
        <v>71</v>
      </c>
      <c r="L1136" s="1246" t="s">
        <v>1495</v>
      </c>
      <c r="M1136" s="1250">
        <v>9</v>
      </c>
      <c r="N1136" s="1251">
        <v>14</v>
      </c>
      <c r="O1136" s="1252">
        <v>14</v>
      </c>
    </row>
    <row r="1137" spans="1:15">
      <c r="A1137" s="1246" t="s">
        <v>683</v>
      </c>
      <c r="B1137" s="1246" t="s">
        <v>431</v>
      </c>
      <c r="C1137" s="1247">
        <v>2</v>
      </c>
      <c r="E1137" s="1246" t="s">
        <v>1494</v>
      </c>
      <c r="F1137" s="1248">
        <v>1</v>
      </c>
      <c r="G1137" s="1248">
        <v>2</v>
      </c>
      <c r="H1137" s="1249">
        <v>1</v>
      </c>
      <c r="I1137" s="1246" t="s">
        <v>1491</v>
      </c>
      <c r="J1137" s="1246" t="s">
        <v>1462</v>
      </c>
      <c r="K1137" s="1284" t="str">
        <f t="shared" si="17"/>
        <v>71</v>
      </c>
      <c r="L1137" s="1246" t="s">
        <v>1495</v>
      </c>
      <c r="M1137" s="1250">
        <v>9</v>
      </c>
      <c r="N1137" s="1251">
        <v>3</v>
      </c>
      <c r="O1137" s="1252">
        <v>3</v>
      </c>
    </row>
    <row r="1138" spans="1:15">
      <c r="A1138" s="1246" t="s">
        <v>1493</v>
      </c>
      <c r="B1138" s="1246" t="s">
        <v>431</v>
      </c>
      <c r="C1138" s="1247">
        <v>2</v>
      </c>
      <c r="E1138" s="1246" t="s">
        <v>1412</v>
      </c>
      <c r="F1138" s="1248">
        <v>1</v>
      </c>
      <c r="G1138" s="1248">
        <v>2</v>
      </c>
      <c r="H1138" s="1249">
        <v>1</v>
      </c>
      <c r="I1138" s="1246" t="s">
        <v>1491</v>
      </c>
      <c r="J1138" s="1246" t="s">
        <v>1466</v>
      </c>
      <c r="K1138" s="1284" t="str">
        <f t="shared" si="17"/>
        <v>75</v>
      </c>
      <c r="L1138" s="1246" t="s">
        <v>1530</v>
      </c>
      <c r="M1138" s="1250">
        <v>9</v>
      </c>
      <c r="N1138" s="1251">
        <v>1</v>
      </c>
      <c r="O1138" s="1252">
        <v>1</v>
      </c>
    </row>
    <row r="1139" spans="1:15">
      <c r="A1139" s="1246" t="s">
        <v>1493</v>
      </c>
      <c r="B1139" s="1246" t="s">
        <v>431</v>
      </c>
      <c r="C1139" s="1247">
        <v>2</v>
      </c>
      <c r="E1139" s="1246" t="s">
        <v>1494</v>
      </c>
      <c r="F1139" s="1248">
        <v>1</v>
      </c>
      <c r="G1139" s="1248">
        <v>2</v>
      </c>
      <c r="H1139" s="1249">
        <v>1</v>
      </c>
      <c r="I1139" s="1246" t="s">
        <v>1491</v>
      </c>
      <c r="J1139" s="1246" t="s">
        <v>1466</v>
      </c>
      <c r="K1139" s="1284" t="str">
        <f t="shared" si="17"/>
        <v>75</v>
      </c>
      <c r="L1139" s="1246" t="s">
        <v>1530</v>
      </c>
      <c r="M1139" s="1250">
        <v>9</v>
      </c>
      <c r="N1139" s="1251">
        <v>2</v>
      </c>
      <c r="O1139" s="1252">
        <v>2</v>
      </c>
    </row>
    <row r="1140" spans="1:15">
      <c r="A1140" s="1246" t="s">
        <v>1493</v>
      </c>
      <c r="B1140" s="1246" t="s">
        <v>431</v>
      </c>
      <c r="C1140" s="1247">
        <v>2</v>
      </c>
      <c r="E1140" s="1246" t="s">
        <v>376</v>
      </c>
      <c r="F1140" s="1248">
        <v>1</v>
      </c>
      <c r="G1140" s="1248">
        <v>2</v>
      </c>
      <c r="H1140" s="1249">
        <v>1</v>
      </c>
      <c r="I1140" s="1246" t="s">
        <v>1491</v>
      </c>
      <c r="J1140" s="1246" t="s">
        <v>1400</v>
      </c>
      <c r="K1140" s="1284" t="str">
        <f t="shared" si="17"/>
        <v>70</v>
      </c>
      <c r="L1140" s="1246" t="s">
        <v>1532</v>
      </c>
      <c r="M1140" s="1250">
        <v>9</v>
      </c>
      <c r="N1140" s="1251">
        <v>5</v>
      </c>
      <c r="O1140" s="1252">
        <v>5</v>
      </c>
    </row>
    <row r="1141" spans="1:15">
      <c r="A1141" s="1246" t="s">
        <v>1493</v>
      </c>
      <c r="B1141" s="1246" t="s">
        <v>431</v>
      </c>
      <c r="C1141" s="1247">
        <v>2</v>
      </c>
      <c r="E1141" s="1246" t="s">
        <v>1494</v>
      </c>
      <c r="F1141" s="1248">
        <v>1</v>
      </c>
      <c r="G1141" s="1248">
        <v>2</v>
      </c>
      <c r="H1141" s="1249">
        <v>1</v>
      </c>
      <c r="I1141" s="1246" t="s">
        <v>1491</v>
      </c>
      <c r="J1141" s="1246" t="s">
        <v>1464</v>
      </c>
      <c r="K1141" s="1284" t="str">
        <f t="shared" si="17"/>
        <v>73</v>
      </c>
      <c r="L1141" s="1246" t="s">
        <v>1533</v>
      </c>
      <c r="M1141" s="1250">
        <v>9</v>
      </c>
      <c r="N1141" s="1251">
        <v>2</v>
      </c>
      <c r="O1141" s="1252">
        <v>2</v>
      </c>
    </row>
    <row r="1142" spans="1:15">
      <c r="A1142" s="1246" t="s">
        <v>1493</v>
      </c>
      <c r="B1142" s="1246" t="s">
        <v>431</v>
      </c>
      <c r="C1142" s="1247">
        <v>2</v>
      </c>
      <c r="E1142" s="1246" t="s">
        <v>376</v>
      </c>
      <c r="F1142" s="1248">
        <v>1</v>
      </c>
      <c r="G1142" s="1248">
        <v>2</v>
      </c>
      <c r="H1142" s="1249">
        <v>1</v>
      </c>
      <c r="I1142" s="1246" t="s">
        <v>1491</v>
      </c>
      <c r="J1142" s="1246" t="s">
        <v>1464</v>
      </c>
      <c r="K1142" s="1284" t="str">
        <f t="shared" si="17"/>
        <v>73</v>
      </c>
      <c r="L1142" s="1246" t="s">
        <v>1533</v>
      </c>
      <c r="M1142" s="1250">
        <v>9</v>
      </c>
      <c r="N1142" s="1251">
        <v>4</v>
      </c>
      <c r="O1142" s="1252">
        <v>4</v>
      </c>
    </row>
    <row r="1143" spans="1:15">
      <c r="A1143" s="1246" t="s">
        <v>1493</v>
      </c>
      <c r="B1143" s="1246" t="s">
        <v>431</v>
      </c>
      <c r="C1143" s="1247">
        <v>2</v>
      </c>
      <c r="E1143" s="1246" t="s">
        <v>376</v>
      </c>
      <c r="F1143" s="1248">
        <v>1</v>
      </c>
      <c r="G1143" s="1248">
        <v>2</v>
      </c>
      <c r="H1143" s="1249">
        <v>1</v>
      </c>
      <c r="I1143" s="1246" t="s">
        <v>1491</v>
      </c>
      <c r="J1143" s="1246" t="s">
        <v>1462</v>
      </c>
      <c r="K1143" s="1284" t="str">
        <f t="shared" si="17"/>
        <v>71</v>
      </c>
      <c r="L1143" s="1246" t="s">
        <v>1496</v>
      </c>
      <c r="M1143" s="1250">
        <v>9</v>
      </c>
      <c r="N1143" s="1251">
        <v>6</v>
      </c>
      <c r="O1143" s="1252">
        <v>6</v>
      </c>
    </row>
    <row r="1144" spans="1:15">
      <c r="A1144" s="1246" t="s">
        <v>1493</v>
      </c>
      <c r="B1144" s="1246" t="s">
        <v>431</v>
      </c>
      <c r="C1144" s="1247">
        <v>2</v>
      </c>
      <c r="E1144" s="1246" t="s">
        <v>1494</v>
      </c>
      <c r="F1144" s="1248">
        <v>1</v>
      </c>
      <c r="G1144" s="1248">
        <v>3</v>
      </c>
      <c r="H1144" s="1249">
        <v>1</v>
      </c>
      <c r="I1144" s="1246" t="s">
        <v>1491</v>
      </c>
      <c r="J1144" s="1246" t="s">
        <v>1462</v>
      </c>
      <c r="K1144" s="1284" t="str">
        <f t="shared" si="17"/>
        <v>71</v>
      </c>
      <c r="L1144" s="1246" t="s">
        <v>1495</v>
      </c>
      <c r="M1144" s="1250">
        <v>9</v>
      </c>
      <c r="N1144" s="1251">
        <v>3</v>
      </c>
      <c r="O1144" s="1252">
        <v>3</v>
      </c>
    </row>
    <row r="1145" spans="1:15">
      <c r="A1145" s="1246" t="s">
        <v>1493</v>
      </c>
      <c r="B1145" s="1246" t="s">
        <v>431</v>
      </c>
      <c r="C1145" s="1247">
        <v>2</v>
      </c>
      <c r="E1145" s="1246" t="s">
        <v>1494</v>
      </c>
      <c r="F1145" s="1248">
        <v>1</v>
      </c>
      <c r="G1145" s="1248">
        <v>3</v>
      </c>
      <c r="H1145" s="1249">
        <v>1</v>
      </c>
      <c r="I1145" s="1246" t="s">
        <v>1491</v>
      </c>
      <c r="J1145" s="1246" t="s">
        <v>1400</v>
      </c>
      <c r="K1145" s="1284" t="str">
        <f t="shared" si="17"/>
        <v>70</v>
      </c>
      <c r="L1145" s="1246" t="s">
        <v>1536</v>
      </c>
      <c r="M1145" s="1250">
        <v>9</v>
      </c>
      <c r="N1145" s="1251">
        <v>1</v>
      </c>
      <c r="O1145" s="1252">
        <v>1</v>
      </c>
    </row>
    <row r="1146" spans="1:15">
      <c r="A1146" s="1246" t="s">
        <v>1493</v>
      </c>
      <c r="B1146" s="1246" t="s">
        <v>431</v>
      </c>
      <c r="C1146" s="1247">
        <v>2</v>
      </c>
      <c r="E1146" s="1246" t="s">
        <v>1494</v>
      </c>
      <c r="F1146" s="1248">
        <v>1</v>
      </c>
      <c r="G1146" s="1248">
        <v>3</v>
      </c>
      <c r="H1146" s="1249">
        <v>1</v>
      </c>
      <c r="I1146" s="1246" t="s">
        <v>1491</v>
      </c>
      <c r="J1146" s="1246" t="s">
        <v>1464</v>
      </c>
      <c r="K1146" s="1284" t="str">
        <f t="shared" si="17"/>
        <v>73</v>
      </c>
      <c r="L1146" s="1246" t="s">
        <v>1533</v>
      </c>
      <c r="M1146" s="1250">
        <v>9</v>
      </c>
      <c r="N1146" s="1251">
        <v>1</v>
      </c>
      <c r="O1146" s="1252">
        <v>1</v>
      </c>
    </row>
    <row r="1147" spans="1:15">
      <c r="A1147" s="1246" t="s">
        <v>1493</v>
      </c>
      <c r="B1147" s="1246" t="s">
        <v>431</v>
      </c>
      <c r="C1147" s="1247">
        <v>2</v>
      </c>
      <c r="E1147" s="1246" t="s">
        <v>376</v>
      </c>
      <c r="F1147" s="1248">
        <v>1</v>
      </c>
      <c r="G1147" s="1248">
        <v>3</v>
      </c>
      <c r="H1147" s="1249">
        <v>1</v>
      </c>
      <c r="I1147" s="1246" t="s">
        <v>1491</v>
      </c>
      <c r="J1147" s="1246" t="s">
        <v>1462</v>
      </c>
      <c r="K1147" s="1284" t="str">
        <f t="shared" si="17"/>
        <v>71</v>
      </c>
      <c r="L1147" s="1246" t="s">
        <v>1496</v>
      </c>
      <c r="M1147" s="1250">
        <v>9</v>
      </c>
      <c r="N1147" s="1251">
        <v>1</v>
      </c>
      <c r="O1147" s="1252">
        <v>1</v>
      </c>
    </row>
    <row r="1148" spans="1:15">
      <c r="A1148" s="1246" t="s">
        <v>1493</v>
      </c>
      <c r="B1148" s="1246" t="s">
        <v>431</v>
      </c>
      <c r="C1148" s="1247">
        <v>2</v>
      </c>
      <c r="E1148" s="1246" t="s">
        <v>376</v>
      </c>
      <c r="F1148" s="1248">
        <v>1</v>
      </c>
      <c r="G1148" s="1248">
        <v>4</v>
      </c>
      <c r="H1148" s="1249">
        <v>1</v>
      </c>
      <c r="I1148" s="1246" t="s">
        <v>1491</v>
      </c>
      <c r="J1148" s="1246" t="s">
        <v>1462</v>
      </c>
      <c r="K1148" s="1284" t="str">
        <f t="shared" si="17"/>
        <v>71</v>
      </c>
      <c r="L1148" s="1246" t="s">
        <v>1496</v>
      </c>
      <c r="M1148" s="1250">
        <v>9</v>
      </c>
      <c r="N1148" s="1251">
        <v>1</v>
      </c>
      <c r="O1148" s="1252">
        <v>1</v>
      </c>
    </row>
    <row r="1149" spans="1:15">
      <c r="A1149" s="1246" t="s">
        <v>1493</v>
      </c>
      <c r="B1149" s="1246" t="s">
        <v>431</v>
      </c>
      <c r="C1149" s="1247">
        <v>2</v>
      </c>
      <c r="E1149" s="1246" t="s">
        <v>1494</v>
      </c>
      <c r="F1149" s="1248">
        <v>2</v>
      </c>
      <c r="G1149" s="1248">
        <v>2</v>
      </c>
      <c r="H1149" s="1249">
        <v>1</v>
      </c>
      <c r="I1149" s="1246" t="s">
        <v>1491</v>
      </c>
      <c r="J1149" s="1246" t="s">
        <v>1470</v>
      </c>
      <c r="K1149" s="1284" t="str">
        <f t="shared" si="17"/>
        <v>7C</v>
      </c>
      <c r="L1149" s="1246" t="s">
        <v>1502</v>
      </c>
      <c r="M1149" s="1250">
        <v>4</v>
      </c>
      <c r="N1149" s="1251">
        <v>2</v>
      </c>
      <c r="O1149" s="1252">
        <v>1</v>
      </c>
    </row>
    <row r="1150" spans="1:15">
      <c r="A1150" s="1246" t="s">
        <v>1493</v>
      </c>
      <c r="B1150" s="1246" t="s">
        <v>431</v>
      </c>
      <c r="C1150" s="1247">
        <v>2</v>
      </c>
      <c r="E1150" s="1246" t="s">
        <v>1494</v>
      </c>
      <c r="F1150" s="1248">
        <v>2</v>
      </c>
      <c r="G1150" s="1248">
        <v>2</v>
      </c>
      <c r="H1150" s="1249">
        <v>1</v>
      </c>
      <c r="I1150" s="1246" t="s">
        <v>1491</v>
      </c>
      <c r="J1150" s="1246" t="s">
        <v>1462</v>
      </c>
      <c r="K1150" s="1284" t="str">
        <f t="shared" si="17"/>
        <v>71</v>
      </c>
      <c r="L1150" s="1246" t="s">
        <v>1495</v>
      </c>
      <c r="M1150" s="1250">
        <v>9</v>
      </c>
      <c r="N1150" s="1251">
        <v>2</v>
      </c>
      <c r="O1150" s="1252">
        <v>1</v>
      </c>
    </row>
    <row r="1151" spans="1:15">
      <c r="A1151" s="1246" t="s">
        <v>1493</v>
      </c>
      <c r="B1151" s="1246" t="s">
        <v>431</v>
      </c>
      <c r="C1151" s="1247">
        <v>2</v>
      </c>
      <c r="E1151" s="1246" t="s">
        <v>376</v>
      </c>
      <c r="F1151" s="1248">
        <v>2</v>
      </c>
      <c r="G1151" s="1248">
        <v>2</v>
      </c>
      <c r="H1151" s="1249">
        <v>1</v>
      </c>
      <c r="I1151" s="1246" t="s">
        <v>1491</v>
      </c>
      <c r="J1151" s="1246" t="s">
        <v>1400</v>
      </c>
      <c r="K1151" s="1284" t="str">
        <f t="shared" si="17"/>
        <v>70</v>
      </c>
      <c r="L1151" s="1246" t="s">
        <v>1532</v>
      </c>
      <c r="M1151" s="1250">
        <v>9</v>
      </c>
      <c r="N1151" s="1251">
        <v>2</v>
      </c>
      <c r="O1151" s="1252">
        <v>1</v>
      </c>
    </row>
    <row r="1152" spans="1:15">
      <c r="A1152" s="1246" t="s">
        <v>1493</v>
      </c>
      <c r="B1152" s="1246" t="s">
        <v>431</v>
      </c>
      <c r="C1152" s="1247">
        <v>2</v>
      </c>
      <c r="E1152" s="1246" t="s">
        <v>376</v>
      </c>
      <c r="F1152" s="1248">
        <v>2</v>
      </c>
      <c r="G1152" s="1248">
        <v>2</v>
      </c>
      <c r="H1152" s="1249">
        <v>1</v>
      </c>
      <c r="I1152" s="1246" t="s">
        <v>1491</v>
      </c>
      <c r="J1152" s="1246" t="s">
        <v>1462</v>
      </c>
      <c r="K1152" s="1284" t="str">
        <f t="shared" si="17"/>
        <v>71</v>
      </c>
      <c r="L1152" s="1246" t="s">
        <v>1496</v>
      </c>
      <c r="M1152" s="1250">
        <v>9</v>
      </c>
      <c r="N1152" s="1251">
        <v>6</v>
      </c>
      <c r="O1152" s="1252">
        <v>3</v>
      </c>
    </row>
    <row r="1153" spans="1:15">
      <c r="A1153" s="1246" t="s">
        <v>1493</v>
      </c>
      <c r="B1153" s="1246" t="s">
        <v>431</v>
      </c>
      <c r="C1153" s="1247">
        <v>2</v>
      </c>
      <c r="E1153" s="1246" t="s">
        <v>376</v>
      </c>
      <c r="F1153" s="1248">
        <v>2</v>
      </c>
      <c r="G1153" s="1248">
        <v>4</v>
      </c>
      <c r="H1153" s="1249">
        <v>1</v>
      </c>
      <c r="I1153" s="1246" t="s">
        <v>1491</v>
      </c>
      <c r="J1153" s="1246" t="s">
        <v>1470</v>
      </c>
      <c r="K1153" s="1284" t="str">
        <f t="shared" si="17"/>
        <v>7C</v>
      </c>
      <c r="L1153" s="1246" t="s">
        <v>1502</v>
      </c>
      <c r="M1153" s="1250">
        <v>4</v>
      </c>
      <c r="N1153" s="1251">
        <v>2</v>
      </c>
      <c r="O1153" s="1252">
        <v>1</v>
      </c>
    </row>
    <row r="1154" spans="1:15">
      <c r="A1154" s="1246" t="s">
        <v>1493</v>
      </c>
      <c r="B1154" s="1246" t="s">
        <v>431</v>
      </c>
      <c r="C1154" s="1247">
        <v>2</v>
      </c>
      <c r="E1154" s="1246" t="s">
        <v>1494</v>
      </c>
      <c r="F1154" s="1248">
        <v>2</v>
      </c>
      <c r="G1154" s="1248">
        <v>4</v>
      </c>
      <c r="H1154" s="1249">
        <v>1</v>
      </c>
      <c r="I1154" s="1246" t="s">
        <v>1491</v>
      </c>
      <c r="J1154" s="1246" t="s">
        <v>1462</v>
      </c>
      <c r="K1154" s="1284" t="str">
        <f t="shared" ref="K1154:K1217" si="18">IF(J1154="1B","10", IF(J1154="2B","20",IF(J1154="3B","30",IF(J1154="7B",70,J1154))))</f>
        <v>71</v>
      </c>
      <c r="L1154" s="1246" t="s">
        <v>1495</v>
      </c>
      <c r="M1154" s="1250">
        <v>9</v>
      </c>
      <c r="N1154" s="1251">
        <v>2</v>
      </c>
      <c r="O1154" s="1252">
        <v>1</v>
      </c>
    </row>
    <row r="1155" spans="1:15">
      <c r="A1155" s="1246" t="s">
        <v>1493</v>
      </c>
      <c r="B1155" s="1246" t="s">
        <v>431</v>
      </c>
      <c r="C1155" s="1247">
        <v>2</v>
      </c>
      <c r="E1155" s="1246" t="s">
        <v>376</v>
      </c>
      <c r="F1155" s="1248">
        <v>2</v>
      </c>
      <c r="G1155" s="1248">
        <v>4</v>
      </c>
      <c r="H1155" s="1249">
        <v>1</v>
      </c>
      <c r="I1155" s="1246" t="s">
        <v>1491</v>
      </c>
      <c r="J1155" s="1246" t="s">
        <v>1462</v>
      </c>
      <c r="K1155" s="1284" t="str">
        <f t="shared" si="18"/>
        <v>71</v>
      </c>
      <c r="L1155" s="1246" t="s">
        <v>1496</v>
      </c>
      <c r="M1155" s="1250">
        <v>9</v>
      </c>
      <c r="N1155" s="1251">
        <v>6</v>
      </c>
      <c r="O1155" s="1252">
        <v>3</v>
      </c>
    </row>
    <row r="1156" spans="1:15">
      <c r="A1156" s="1246" t="s">
        <v>1493</v>
      </c>
      <c r="B1156" s="1246" t="s">
        <v>431</v>
      </c>
      <c r="C1156" s="1247">
        <v>2</v>
      </c>
      <c r="E1156" s="1246" t="s">
        <v>1494</v>
      </c>
      <c r="F1156" s="1248">
        <v>2</v>
      </c>
      <c r="G1156" s="1248">
        <v>8</v>
      </c>
      <c r="H1156" s="1249">
        <v>1</v>
      </c>
      <c r="I1156" s="1246" t="s">
        <v>1491</v>
      </c>
      <c r="J1156" s="1246" t="s">
        <v>1462</v>
      </c>
      <c r="K1156" s="1284" t="str">
        <f t="shared" si="18"/>
        <v>71</v>
      </c>
      <c r="L1156" s="1246" t="s">
        <v>1495</v>
      </c>
      <c r="M1156" s="1250">
        <v>9</v>
      </c>
      <c r="N1156" s="1251">
        <v>4</v>
      </c>
      <c r="O1156" s="1252">
        <v>2</v>
      </c>
    </row>
    <row r="1157" spans="1:15">
      <c r="A1157" s="1246" t="s">
        <v>1493</v>
      </c>
      <c r="B1157" s="1246" t="s">
        <v>431</v>
      </c>
      <c r="C1157" s="1247">
        <v>2</v>
      </c>
      <c r="E1157" s="1246" t="s">
        <v>1494</v>
      </c>
      <c r="F1157" s="1248">
        <v>2</v>
      </c>
      <c r="G1157" s="1248">
        <v>10</v>
      </c>
      <c r="H1157" s="1249">
        <v>1</v>
      </c>
      <c r="I1157" s="1246" t="s">
        <v>1491</v>
      </c>
      <c r="J1157" s="1246" t="s">
        <v>1462</v>
      </c>
      <c r="K1157" s="1284" t="str">
        <f t="shared" si="18"/>
        <v>71</v>
      </c>
      <c r="L1157" s="1246" t="s">
        <v>1495</v>
      </c>
      <c r="M1157" s="1250">
        <v>9</v>
      </c>
      <c r="N1157" s="1251">
        <v>2</v>
      </c>
      <c r="O1157" s="1252">
        <v>1</v>
      </c>
    </row>
    <row r="1158" spans="1:15">
      <c r="A1158" s="1246" t="s">
        <v>1493</v>
      </c>
      <c r="B1158" s="1246" t="s">
        <v>431</v>
      </c>
      <c r="C1158" s="1247">
        <v>2</v>
      </c>
      <c r="E1158" s="1246" t="s">
        <v>376</v>
      </c>
      <c r="F1158" s="1248">
        <v>2</v>
      </c>
      <c r="G1158" s="1248">
        <v>10</v>
      </c>
      <c r="H1158" s="1249">
        <v>1</v>
      </c>
      <c r="I1158" s="1246" t="s">
        <v>1491</v>
      </c>
      <c r="J1158" s="1246" t="s">
        <v>1462</v>
      </c>
      <c r="K1158" s="1284" t="str">
        <f t="shared" si="18"/>
        <v>71</v>
      </c>
      <c r="L1158" s="1246" t="s">
        <v>1496</v>
      </c>
      <c r="M1158" s="1250">
        <v>9</v>
      </c>
      <c r="N1158" s="1251">
        <v>8</v>
      </c>
      <c r="O1158" s="1252">
        <v>4</v>
      </c>
    </row>
    <row r="1159" spans="1:15">
      <c r="A1159" s="1246" t="s">
        <v>1493</v>
      </c>
      <c r="B1159" s="1246" t="s">
        <v>431</v>
      </c>
      <c r="C1159" s="1247">
        <v>2</v>
      </c>
      <c r="E1159" s="1246" t="s">
        <v>376</v>
      </c>
      <c r="F1159" s="1248">
        <v>3</v>
      </c>
      <c r="G1159" s="1248">
        <v>3</v>
      </c>
      <c r="H1159" s="1249">
        <v>1</v>
      </c>
      <c r="I1159" s="1246" t="s">
        <v>1491</v>
      </c>
      <c r="J1159" s="1246" t="s">
        <v>1464</v>
      </c>
      <c r="K1159" s="1284" t="str">
        <f t="shared" si="18"/>
        <v>73</v>
      </c>
      <c r="L1159" s="1246" t="s">
        <v>1533</v>
      </c>
      <c r="M1159" s="1250">
        <v>9</v>
      </c>
      <c r="N1159" s="1251">
        <v>6</v>
      </c>
      <c r="O1159" s="1252">
        <v>2</v>
      </c>
    </row>
    <row r="1160" spans="1:15">
      <c r="A1160" s="1246" t="s">
        <v>1493</v>
      </c>
      <c r="B1160" s="1246" t="s">
        <v>431</v>
      </c>
      <c r="C1160" s="1247">
        <v>2</v>
      </c>
      <c r="E1160" s="1246" t="s">
        <v>376</v>
      </c>
      <c r="F1160" s="1248">
        <v>3</v>
      </c>
      <c r="G1160" s="1248">
        <v>3</v>
      </c>
      <c r="H1160" s="1249">
        <v>1</v>
      </c>
      <c r="I1160" s="1246" t="s">
        <v>1491</v>
      </c>
      <c r="J1160" s="1246" t="s">
        <v>1462</v>
      </c>
      <c r="K1160" s="1284" t="str">
        <f t="shared" si="18"/>
        <v>71</v>
      </c>
      <c r="L1160" s="1246" t="s">
        <v>1496</v>
      </c>
      <c r="M1160" s="1250">
        <v>9</v>
      </c>
      <c r="N1160" s="1251">
        <v>6</v>
      </c>
      <c r="O1160" s="1252">
        <v>2</v>
      </c>
    </row>
    <row r="1161" spans="1:15">
      <c r="A1161" s="1246" t="s">
        <v>1493</v>
      </c>
      <c r="B1161" s="1246" t="s">
        <v>431</v>
      </c>
      <c r="C1161" s="1247">
        <v>2</v>
      </c>
      <c r="E1161" s="1246" t="s">
        <v>376</v>
      </c>
      <c r="F1161" s="1248">
        <v>3</v>
      </c>
      <c r="G1161" s="1248">
        <v>6</v>
      </c>
      <c r="H1161" s="1249">
        <v>1</v>
      </c>
      <c r="I1161" s="1246" t="s">
        <v>1491</v>
      </c>
      <c r="J1161" s="1246" t="s">
        <v>1462</v>
      </c>
      <c r="K1161" s="1284" t="str">
        <f t="shared" si="18"/>
        <v>71</v>
      </c>
      <c r="L1161" s="1246" t="s">
        <v>1496</v>
      </c>
      <c r="M1161" s="1250">
        <v>9</v>
      </c>
      <c r="N1161" s="1251">
        <v>3</v>
      </c>
      <c r="O1161" s="1252">
        <v>1</v>
      </c>
    </row>
    <row r="1162" spans="1:15">
      <c r="A1162" s="1246" t="s">
        <v>683</v>
      </c>
      <c r="B1162" s="1246" t="s">
        <v>431</v>
      </c>
      <c r="C1162" s="1247">
        <v>2</v>
      </c>
      <c r="E1162" s="1246" t="s">
        <v>376</v>
      </c>
      <c r="F1162" s="1248">
        <v>3</v>
      </c>
      <c r="G1162" s="1248">
        <v>6</v>
      </c>
      <c r="H1162" s="1249">
        <v>1</v>
      </c>
      <c r="I1162" s="1246" t="s">
        <v>1491</v>
      </c>
      <c r="J1162" s="1246" t="s">
        <v>1462</v>
      </c>
      <c r="K1162" s="1284" t="str">
        <f t="shared" si="18"/>
        <v>71</v>
      </c>
      <c r="L1162" s="1246" t="s">
        <v>1496</v>
      </c>
      <c r="M1162" s="1250">
        <v>9</v>
      </c>
      <c r="N1162" s="1251">
        <v>3</v>
      </c>
      <c r="O1162" s="1252">
        <v>1</v>
      </c>
    </row>
    <row r="1163" spans="1:15">
      <c r="A1163" s="1246" t="s">
        <v>1493</v>
      </c>
      <c r="B1163" s="1246" t="s">
        <v>431</v>
      </c>
      <c r="C1163" s="1247">
        <v>2</v>
      </c>
      <c r="E1163" s="1246" t="s">
        <v>1494</v>
      </c>
      <c r="F1163" s="1248">
        <v>3</v>
      </c>
      <c r="G1163" s="1248">
        <v>9</v>
      </c>
      <c r="H1163" s="1249">
        <v>1</v>
      </c>
      <c r="I1163" s="1246" t="s">
        <v>1491</v>
      </c>
      <c r="J1163" s="1246" t="s">
        <v>1462</v>
      </c>
      <c r="K1163" s="1284" t="str">
        <f t="shared" si="18"/>
        <v>71</v>
      </c>
      <c r="L1163" s="1246" t="s">
        <v>1495</v>
      </c>
      <c r="M1163" s="1250">
        <v>9</v>
      </c>
      <c r="N1163" s="1251">
        <v>3</v>
      </c>
      <c r="O1163" s="1252">
        <v>1</v>
      </c>
    </row>
    <row r="1164" spans="1:15">
      <c r="A1164" s="1246" t="s">
        <v>1493</v>
      </c>
      <c r="B1164" s="1246" t="s">
        <v>431</v>
      </c>
      <c r="C1164" s="1247">
        <v>2</v>
      </c>
      <c r="E1164" s="1246" t="s">
        <v>1494</v>
      </c>
      <c r="F1164" s="1248">
        <v>4</v>
      </c>
      <c r="G1164" s="1248">
        <v>4</v>
      </c>
      <c r="H1164" s="1249">
        <v>1</v>
      </c>
      <c r="I1164" s="1246" t="s">
        <v>1491</v>
      </c>
      <c r="J1164" s="1246" t="s">
        <v>1462</v>
      </c>
      <c r="K1164" s="1284" t="str">
        <f t="shared" si="18"/>
        <v>71</v>
      </c>
      <c r="L1164" s="1246" t="s">
        <v>1495</v>
      </c>
      <c r="M1164" s="1250">
        <v>9</v>
      </c>
      <c r="N1164" s="1251">
        <v>4</v>
      </c>
      <c r="O1164" s="1252">
        <v>1</v>
      </c>
    </row>
    <row r="1165" spans="1:15">
      <c r="A1165" s="1246" t="s">
        <v>1493</v>
      </c>
      <c r="B1165" s="1246" t="s">
        <v>431</v>
      </c>
      <c r="C1165" s="1247">
        <v>2</v>
      </c>
      <c r="E1165" s="1246" t="s">
        <v>1494</v>
      </c>
      <c r="F1165" s="1248">
        <v>4</v>
      </c>
      <c r="G1165" s="1248">
        <v>8</v>
      </c>
      <c r="H1165" s="1249">
        <v>1</v>
      </c>
      <c r="I1165" s="1246" t="s">
        <v>1491</v>
      </c>
      <c r="J1165" s="1246" t="s">
        <v>1462</v>
      </c>
      <c r="K1165" s="1284" t="str">
        <f t="shared" si="18"/>
        <v>71</v>
      </c>
      <c r="L1165" s="1246" t="s">
        <v>1495</v>
      </c>
      <c r="M1165" s="1250">
        <v>9</v>
      </c>
      <c r="N1165" s="1251">
        <v>4</v>
      </c>
      <c r="O1165" s="1252">
        <v>1</v>
      </c>
    </row>
    <row r="1166" spans="1:15">
      <c r="A1166" s="1246" t="s">
        <v>1493</v>
      </c>
      <c r="B1166" s="1246" t="s">
        <v>431</v>
      </c>
      <c r="C1166" s="1247">
        <v>2</v>
      </c>
      <c r="E1166" s="1246" t="s">
        <v>376</v>
      </c>
      <c r="F1166" s="1248">
        <v>7</v>
      </c>
      <c r="G1166" s="1248">
        <v>14</v>
      </c>
      <c r="H1166" s="1249">
        <v>1</v>
      </c>
      <c r="I1166" s="1246" t="s">
        <v>1491</v>
      </c>
      <c r="J1166" s="1246" t="s">
        <v>1462</v>
      </c>
      <c r="K1166" s="1284" t="str">
        <f t="shared" si="18"/>
        <v>71</v>
      </c>
      <c r="L1166" s="1246" t="s">
        <v>1496</v>
      </c>
      <c r="M1166" s="1250">
        <v>9</v>
      </c>
      <c r="N1166" s="1251">
        <v>7</v>
      </c>
      <c r="O1166" s="1252">
        <v>1</v>
      </c>
    </row>
    <row r="1167" spans="1:15">
      <c r="A1167" s="1246" t="s">
        <v>1493</v>
      </c>
      <c r="B1167" s="1246" t="s">
        <v>431</v>
      </c>
      <c r="C1167" s="1247">
        <v>2</v>
      </c>
      <c r="E1167" s="1246" t="s">
        <v>376</v>
      </c>
      <c r="F1167" s="1248">
        <v>8</v>
      </c>
      <c r="G1167" s="1248">
        <v>16</v>
      </c>
      <c r="H1167" s="1249">
        <v>1</v>
      </c>
      <c r="I1167" s="1246" t="s">
        <v>1491</v>
      </c>
      <c r="J1167" s="1246" t="s">
        <v>1462</v>
      </c>
      <c r="K1167" s="1284" t="str">
        <f t="shared" si="18"/>
        <v>71</v>
      </c>
      <c r="L1167" s="1246" t="s">
        <v>1496</v>
      </c>
      <c r="M1167" s="1250">
        <v>9</v>
      </c>
      <c r="N1167" s="1251">
        <v>8</v>
      </c>
      <c r="O1167" s="1252">
        <v>1</v>
      </c>
    </row>
    <row r="1168" spans="1:15">
      <c r="A1168" s="1246" t="s">
        <v>1493</v>
      </c>
      <c r="B1168" s="1246" t="s">
        <v>431</v>
      </c>
      <c r="C1168" s="1247">
        <v>2</v>
      </c>
      <c r="E1168" s="1246" t="s">
        <v>376</v>
      </c>
      <c r="F1168" s="1248">
        <v>10</v>
      </c>
      <c r="G1168" s="1248">
        <v>20</v>
      </c>
      <c r="H1168" s="1249">
        <v>1</v>
      </c>
      <c r="I1168" s="1246" t="s">
        <v>1491</v>
      </c>
      <c r="J1168" s="1246" t="s">
        <v>1462</v>
      </c>
      <c r="K1168" s="1284" t="str">
        <f t="shared" si="18"/>
        <v>71</v>
      </c>
      <c r="L1168" s="1246" t="s">
        <v>1496</v>
      </c>
      <c r="M1168" s="1250">
        <v>9</v>
      </c>
      <c r="N1168" s="1251">
        <v>10</v>
      </c>
      <c r="O1168" s="1252">
        <v>1</v>
      </c>
    </row>
    <row r="1169" spans="1:15">
      <c r="A1169" s="1246" t="s">
        <v>1493</v>
      </c>
      <c r="B1169" s="1246" t="s">
        <v>431</v>
      </c>
      <c r="C1169" s="1247">
        <v>2</v>
      </c>
      <c r="E1169" s="1246" t="s">
        <v>1494</v>
      </c>
      <c r="F1169" s="1248">
        <v>22</v>
      </c>
      <c r="G1169" s="1248">
        <v>0</v>
      </c>
      <c r="H1169" s="1249">
        <v>0</v>
      </c>
      <c r="J1169" s="1246" t="s">
        <v>1442</v>
      </c>
      <c r="K1169" s="1284" t="str">
        <f t="shared" si="18"/>
        <v>10</v>
      </c>
      <c r="L1169" s="1246" t="s">
        <v>1534</v>
      </c>
      <c r="M1169" s="1250">
        <v>4</v>
      </c>
      <c r="N1169" s="1251">
        <v>22</v>
      </c>
      <c r="O1169" s="1252">
        <v>1</v>
      </c>
    </row>
    <row r="1170" spans="1:15">
      <c r="A1170" s="1246" t="s">
        <v>683</v>
      </c>
      <c r="B1170" s="1246" t="s">
        <v>431</v>
      </c>
      <c r="C1170" s="1247">
        <v>3</v>
      </c>
      <c r="E1170" s="1246" t="s">
        <v>1547</v>
      </c>
      <c r="F1170" s="1248">
        <v>1</v>
      </c>
      <c r="G1170" s="1248">
        <v>0</v>
      </c>
      <c r="H1170" s="1249">
        <v>0</v>
      </c>
      <c r="J1170" s="1246" t="s">
        <v>1465</v>
      </c>
      <c r="K1170" s="1284" t="str">
        <f t="shared" si="18"/>
        <v>74</v>
      </c>
      <c r="L1170" s="1246" t="s">
        <v>1546</v>
      </c>
      <c r="M1170" s="1250">
        <v>8</v>
      </c>
      <c r="N1170" s="1251">
        <v>1</v>
      </c>
      <c r="O1170" s="1252">
        <v>1</v>
      </c>
    </row>
    <row r="1171" spans="1:15">
      <c r="A1171" s="1246" t="s">
        <v>1493</v>
      </c>
      <c r="B1171" s="1246" t="s">
        <v>431</v>
      </c>
      <c r="C1171" s="1247">
        <v>3</v>
      </c>
      <c r="E1171" s="1246" t="s">
        <v>1547</v>
      </c>
      <c r="F1171" s="1248">
        <v>1</v>
      </c>
      <c r="G1171" s="1248">
        <v>0</v>
      </c>
      <c r="H1171" s="1249">
        <v>0</v>
      </c>
      <c r="J1171" s="1246" t="s">
        <v>1462</v>
      </c>
      <c r="K1171" s="1284" t="str">
        <f t="shared" si="18"/>
        <v>71</v>
      </c>
      <c r="L1171" s="1246" t="s">
        <v>1495</v>
      </c>
      <c r="M1171" s="1250">
        <v>9</v>
      </c>
      <c r="N1171" s="1251">
        <v>1</v>
      </c>
      <c r="O1171" s="1252">
        <v>1</v>
      </c>
    </row>
    <row r="1172" spans="1:15">
      <c r="A1172" s="1246" t="s">
        <v>1493</v>
      </c>
      <c r="B1172" s="1246" t="s">
        <v>431</v>
      </c>
      <c r="C1172" s="1247">
        <v>3</v>
      </c>
      <c r="E1172" s="1246" t="s">
        <v>1412</v>
      </c>
      <c r="F1172" s="1248">
        <v>1</v>
      </c>
      <c r="G1172" s="1248">
        <v>1</v>
      </c>
      <c r="H1172" s="1249">
        <v>1</v>
      </c>
      <c r="I1172" s="1246" t="s">
        <v>1491</v>
      </c>
      <c r="J1172" s="1246" t="s">
        <v>1470</v>
      </c>
      <c r="K1172" s="1284" t="str">
        <f t="shared" si="18"/>
        <v>7C</v>
      </c>
      <c r="L1172" s="1246" t="s">
        <v>1502</v>
      </c>
      <c r="M1172" s="1250">
        <v>4</v>
      </c>
      <c r="N1172" s="1251">
        <v>1</v>
      </c>
      <c r="O1172" s="1252">
        <v>1</v>
      </c>
    </row>
    <row r="1173" spans="1:15">
      <c r="A1173" s="1246" t="s">
        <v>1493</v>
      </c>
      <c r="B1173" s="1246" t="s">
        <v>431</v>
      </c>
      <c r="C1173" s="1247">
        <v>3</v>
      </c>
      <c r="E1173" s="1246" t="s">
        <v>1494</v>
      </c>
      <c r="F1173" s="1248">
        <v>1</v>
      </c>
      <c r="G1173" s="1248">
        <v>1</v>
      </c>
      <c r="H1173" s="1249">
        <v>1</v>
      </c>
      <c r="I1173" s="1246" t="s">
        <v>1491</v>
      </c>
      <c r="J1173" s="1246" t="s">
        <v>1470</v>
      </c>
      <c r="K1173" s="1284" t="str">
        <f t="shared" si="18"/>
        <v>7C</v>
      </c>
      <c r="L1173" s="1246" t="s">
        <v>1502</v>
      </c>
      <c r="M1173" s="1250">
        <v>4</v>
      </c>
      <c r="N1173" s="1251">
        <v>8</v>
      </c>
      <c r="O1173" s="1252">
        <v>8</v>
      </c>
    </row>
    <row r="1174" spans="1:15">
      <c r="A1174" s="1246" t="s">
        <v>1493</v>
      </c>
      <c r="B1174" s="1246" t="s">
        <v>431</v>
      </c>
      <c r="C1174" s="1247">
        <v>3</v>
      </c>
      <c r="E1174" s="1246" t="s">
        <v>370</v>
      </c>
      <c r="F1174" s="1248">
        <v>1</v>
      </c>
      <c r="G1174" s="1248">
        <v>1</v>
      </c>
      <c r="H1174" s="1249">
        <v>1</v>
      </c>
      <c r="I1174" s="1246" t="s">
        <v>1491</v>
      </c>
      <c r="J1174" s="1246" t="s">
        <v>1470</v>
      </c>
      <c r="K1174" s="1284" t="str">
        <f t="shared" si="18"/>
        <v>7C</v>
      </c>
      <c r="L1174" s="1246" t="s">
        <v>1502</v>
      </c>
      <c r="M1174" s="1250">
        <v>4</v>
      </c>
      <c r="N1174" s="1251">
        <v>1</v>
      </c>
      <c r="O1174" s="1252">
        <v>1</v>
      </c>
    </row>
    <row r="1175" spans="1:15">
      <c r="A1175" s="1246" t="s">
        <v>1493</v>
      </c>
      <c r="B1175" s="1246" t="s">
        <v>431</v>
      </c>
      <c r="C1175" s="1247">
        <v>3</v>
      </c>
      <c r="E1175" s="1246" t="s">
        <v>376</v>
      </c>
      <c r="F1175" s="1248">
        <v>1</v>
      </c>
      <c r="G1175" s="1248">
        <v>1</v>
      </c>
      <c r="H1175" s="1249">
        <v>1</v>
      </c>
      <c r="I1175" s="1246" t="s">
        <v>1491</v>
      </c>
      <c r="J1175" s="1246" t="s">
        <v>1470</v>
      </c>
      <c r="K1175" s="1284" t="str">
        <f t="shared" si="18"/>
        <v>7C</v>
      </c>
      <c r="L1175" s="1246" t="s">
        <v>1502</v>
      </c>
      <c r="M1175" s="1250">
        <v>4</v>
      </c>
      <c r="N1175" s="1251">
        <v>1</v>
      </c>
      <c r="O1175" s="1252">
        <v>1</v>
      </c>
    </row>
    <row r="1176" spans="1:15">
      <c r="A1176" s="1246" t="s">
        <v>1493</v>
      </c>
      <c r="B1176" s="1246" t="s">
        <v>431</v>
      </c>
      <c r="C1176" s="1247">
        <v>3</v>
      </c>
      <c r="E1176" s="1246" t="s">
        <v>1412</v>
      </c>
      <c r="F1176" s="1248">
        <v>1</v>
      </c>
      <c r="G1176" s="1248">
        <v>1</v>
      </c>
      <c r="H1176" s="1249">
        <v>1</v>
      </c>
      <c r="I1176" s="1246" t="s">
        <v>1491</v>
      </c>
      <c r="J1176" s="1246" t="s">
        <v>1469</v>
      </c>
      <c r="K1176" s="1284">
        <f t="shared" si="18"/>
        <v>70</v>
      </c>
      <c r="L1176" s="1246" t="s">
        <v>1534</v>
      </c>
      <c r="M1176" s="1250">
        <v>4</v>
      </c>
      <c r="N1176" s="1251">
        <v>1</v>
      </c>
      <c r="O1176" s="1252">
        <v>1</v>
      </c>
    </row>
    <row r="1177" spans="1:15">
      <c r="A1177" s="1246" t="s">
        <v>1493</v>
      </c>
      <c r="B1177" s="1246" t="s">
        <v>431</v>
      </c>
      <c r="C1177" s="1247">
        <v>3</v>
      </c>
      <c r="E1177" s="1246" t="s">
        <v>1494</v>
      </c>
      <c r="F1177" s="1248">
        <v>1</v>
      </c>
      <c r="G1177" s="1248">
        <v>1</v>
      </c>
      <c r="H1177" s="1249">
        <v>1</v>
      </c>
      <c r="I1177" s="1246" t="s">
        <v>1491</v>
      </c>
      <c r="J1177" s="1246" t="s">
        <v>1469</v>
      </c>
      <c r="K1177" s="1284">
        <f t="shared" si="18"/>
        <v>70</v>
      </c>
      <c r="L1177" s="1246" t="s">
        <v>1534</v>
      </c>
      <c r="M1177" s="1250">
        <v>4</v>
      </c>
      <c r="N1177" s="1251">
        <v>1</v>
      </c>
      <c r="O1177" s="1252">
        <v>1</v>
      </c>
    </row>
    <row r="1178" spans="1:15">
      <c r="A1178" s="1246" t="s">
        <v>1493</v>
      </c>
      <c r="B1178" s="1246" t="s">
        <v>431</v>
      </c>
      <c r="C1178" s="1247">
        <v>3</v>
      </c>
      <c r="E1178" s="1246" t="s">
        <v>1494</v>
      </c>
      <c r="F1178" s="1248">
        <v>1</v>
      </c>
      <c r="G1178" s="1248">
        <v>1</v>
      </c>
      <c r="H1178" s="1249">
        <v>1</v>
      </c>
      <c r="I1178" s="1246" t="s">
        <v>1491</v>
      </c>
      <c r="J1178" s="1246" t="s">
        <v>1400</v>
      </c>
      <c r="K1178" s="1284" t="str">
        <f t="shared" si="18"/>
        <v>70</v>
      </c>
      <c r="L1178" s="1246" t="s">
        <v>1544</v>
      </c>
      <c r="M1178" s="1250">
        <v>9</v>
      </c>
      <c r="N1178" s="1251">
        <v>1</v>
      </c>
      <c r="O1178" s="1252">
        <v>1</v>
      </c>
    </row>
    <row r="1179" spans="1:15">
      <c r="A1179" s="1246" t="s">
        <v>1493</v>
      </c>
      <c r="B1179" s="1246" t="s">
        <v>431</v>
      </c>
      <c r="C1179" s="1247">
        <v>3</v>
      </c>
      <c r="E1179" s="1246" t="s">
        <v>1494</v>
      </c>
      <c r="F1179" s="1248">
        <v>1</v>
      </c>
      <c r="G1179" s="1248">
        <v>1</v>
      </c>
      <c r="H1179" s="1249">
        <v>1</v>
      </c>
      <c r="I1179" s="1246" t="s">
        <v>1491</v>
      </c>
      <c r="J1179" s="1246" t="s">
        <v>1463</v>
      </c>
      <c r="K1179" s="1284" t="str">
        <f t="shared" si="18"/>
        <v>72</v>
      </c>
      <c r="L1179" s="1246" t="s">
        <v>1529</v>
      </c>
      <c r="M1179" s="1250">
        <v>9</v>
      </c>
      <c r="N1179" s="1251">
        <v>3</v>
      </c>
      <c r="O1179" s="1252">
        <v>3</v>
      </c>
    </row>
    <row r="1180" spans="1:15">
      <c r="A1180" s="1246" t="s">
        <v>1493</v>
      </c>
      <c r="B1180" s="1246" t="s">
        <v>431</v>
      </c>
      <c r="C1180" s="1247">
        <v>3</v>
      </c>
      <c r="E1180" s="1246" t="s">
        <v>376</v>
      </c>
      <c r="F1180" s="1248">
        <v>1</v>
      </c>
      <c r="G1180" s="1248">
        <v>1</v>
      </c>
      <c r="H1180" s="1249">
        <v>1</v>
      </c>
      <c r="I1180" s="1246" t="s">
        <v>1491</v>
      </c>
      <c r="J1180" s="1246" t="s">
        <v>1463</v>
      </c>
      <c r="K1180" s="1284" t="str">
        <f t="shared" si="18"/>
        <v>72</v>
      </c>
      <c r="L1180" s="1246" t="s">
        <v>1529</v>
      </c>
      <c r="M1180" s="1250">
        <v>9</v>
      </c>
      <c r="N1180" s="1251">
        <v>4</v>
      </c>
      <c r="O1180" s="1252">
        <v>4</v>
      </c>
    </row>
    <row r="1181" spans="1:15">
      <c r="A1181" s="1246" t="s">
        <v>1493</v>
      </c>
      <c r="B1181" s="1246" t="s">
        <v>431</v>
      </c>
      <c r="C1181" s="1247">
        <v>3</v>
      </c>
      <c r="E1181" s="1246" t="s">
        <v>370</v>
      </c>
      <c r="F1181" s="1248">
        <v>1</v>
      </c>
      <c r="G1181" s="1248">
        <v>1</v>
      </c>
      <c r="H1181" s="1249">
        <v>1</v>
      </c>
      <c r="I1181" s="1246" t="s">
        <v>1491</v>
      </c>
      <c r="J1181" s="1246" t="s">
        <v>1462</v>
      </c>
      <c r="K1181" s="1284" t="str">
        <f t="shared" si="18"/>
        <v>71</v>
      </c>
      <c r="L1181" s="1246" t="s">
        <v>1495</v>
      </c>
      <c r="M1181" s="1250">
        <v>9</v>
      </c>
      <c r="N1181" s="1251">
        <v>1</v>
      </c>
      <c r="O1181" s="1252">
        <v>1</v>
      </c>
    </row>
    <row r="1182" spans="1:15">
      <c r="A1182" s="1246" t="s">
        <v>1493</v>
      </c>
      <c r="B1182" s="1246" t="s">
        <v>431</v>
      </c>
      <c r="C1182" s="1247">
        <v>3</v>
      </c>
      <c r="E1182" s="1246" t="s">
        <v>1412</v>
      </c>
      <c r="F1182" s="1248">
        <v>1</v>
      </c>
      <c r="G1182" s="1248">
        <v>1</v>
      </c>
      <c r="H1182" s="1249">
        <v>1</v>
      </c>
      <c r="I1182" s="1246" t="s">
        <v>1491</v>
      </c>
      <c r="J1182" s="1246" t="s">
        <v>1462</v>
      </c>
      <c r="K1182" s="1284" t="str">
        <f t="shared" si="18"/>
        <v>71</v>
      </c>
      <c r="L1182" s="1246" t="s">
        <v>1495</v>
      </c>
      <c r="M1182" s="1250">
        <v>9</v>
      </c>
      <c r="N1182" s="1251">
        <v>1</v>
      </c>
      <c r="O1182" s="1252">
        <v>1</v>
      </c>
    </row>
    <row r="1183" spans="1:15">
      <c r="A1183" s="1246" t="s">
        <v>1493</v>
      </c>
      <c r="B1183" s="1246" t="s">
        <v>431</v>
      </c>
      <c r="C1183" s="1247">
        <v>3</v>
      </c>
      <c r="E1183" s="1246" t="s">
        <v>1494</v>
      </c>
      <c r="F1183" s="1248">
        <v>1</v>
      </c>
      <c r="G1183" s="1248">
        <v>1</v>
      </c>
      <c r="H1183" s="1249">
        <v>1</v>
      </c>
      <c r="I1183" s="1246" t="s">
        <v>1491</v>
      </c>
      <c r="J1183" s="1246" t="s">
        <v>1462</v>
      </c>
      <c r="K1183" s="1284" t="str">
        <f t="shared" si="18"/>
        <v>71</v>
      </c>
      <c r="L1183" s="1246" t="s">
        <v>1495</v>
      </c>
      <c r="M1183" s="1250">
        <v>9</v>
      </c>
      <c r="N1183" s="1251">
        <v>83</v>
      </c>
      <c r="O1183" s="1252">
        <v>83</v>
      </c>
    </row>
    <row r="1184" spans="1:15">
      <c r="A1184" s="1246" t="s">
        <v>683</v>
      </c>
      <c r="B1184" s="1246" t="s">
        <v>431</v>
      </c>
      <c r="C1184" s="1247">
        <v>3</v>
      </c>
      <c r="E1184" s="1246" t="s">
        <v>1547</v>
      </c>
      <c r="F1184" s="1248">
        <v>1</v>
      </c>
      <c r="G1184" s="1248">
        <v>1</v>
      </c>
      <c r="H1184" s="1249">
        <v>1</v>
      </c>
      <c r="I1184" s="1246" t="s">
        <v>1491</v>
      </c>
      <c r="J1184" s="1246" t="s">
        <v>1462</v>
      </c>
      <c r="K1184" s="1284" t="str">
        <f t="shared" si="18"/>
        <v>71</v>
      </c>
      <c r="L1184" s="1246" t="s">
        <v>1495</v>
      </c>
      <c r="M1184" s="1250">
        <v>9</v>
      </c>
      <c r="N1184" s="1251">
        <v>1</v>
      </c>
      <c r="O1184" s="1252">
        <v>1</v>
      </c>
    </row>
    <row r="1185" spans="1:15">
      <c r="A1185" s="1246" t="s">
        <v>1493</v>
      </c>
      <c r="B1185" s="1246" t="s">
        <v>431</v>
      </c>
      <c r="C1185" s="1247">
        <v>3</v>
      </c>
      <c r="E1185" s="1246" t="s">
        <v>1494</v>
      </c>
      <c r="F1185" s="1248">
        <v>1</v>
      </c>
      <c r="G1185" s="1248">
        <v>1</v>
      </c>
      <c r="H1185" s="1249">
        <v>1</v>
      </c>
      <c r="I1185" s="1246" t="s">
        <v>1491</v>
      </c>
      <c r="J1185" s="1246" t="s">
        <v>1400</v>
      </c>
      <c r="K1185" s="1284" t="str">
        <f t="shared" si="18"/>
        <v>70</v>
      </c>
      <c r="L1185" s="1246" t="s">
        <v>1536</v>
      </c>
      <c r="M1185" s="1250">
        <v>9</v>
      </c>
      <c r="N1185" s="1251">
        <v>1</v>
      </c>
      <c r="O1185" s="1252">
        <v>1</v>
      </c>
    </row>
    <row r="1186" spans="1:15">
      <c r="A1186" s="1246" t="s">
        <v>1493</v>
      </c>
      <c r="B1186" s="1246" t="s">
        <v>431</v>
      </c>
      <c r="C1186" s="1247">
        <v>3</v>
      </c>
      <c r="E1186" s="1246" t="s">
        <v>1412</v>
      </c>
      <c r="F1186" s="1248">
        <v>1</v>
      </c>
      <c r="G1186" s="1248">
        <v>1</v>
      </c>
      <c r="H1186" s="1249">
        <v>1</v>
      </c>
      <c r="I1186" s="1246" t="s">
        <v>1491</v>
      </c>
      <c r="J1186" s="1246" t="s">
        <v>1466</v>
      </c>
      <c r="K1186" s="1284" t="str">
        <f t="shared" si="18"/>
        <v>75</v>
      </c>
      <c r="L1186" s="1246" t="s">
        <v>1530</v>
      </c>
      <c r="M1186" s="1250">
        <v>9</v>
      </c>
      <c r="N1186" s="1251">
        <v>3</v>
      </c>
      <c r="O1186" s="1252">
        <v>3</v>
      </c>
    </row>
    <row r="1187" spans="1:15">
      <c r="A1187" s="1246" t="s">
        <v>1493</v>
      </c>
      <c r="B1187" s="1246" t="s">
        <v>431</v>
      </c>
      <c r="C1187" s="1247">
        <v>3</v>
      </c>
      <c r="E1187" s="1246" t="s">
        <v>1494</v>
      </c>
      <c r="F1187" s="1248">
        <v>1</v>
      </c>
      <c r="G1187" s="1248">
        <v>1</v>
      </c>
      <c r="H1187" s="1249">
        <v>1</v>
      </c>
      <c r="I1187" s="1246" t="s">
        <v>1491</v>
      </c>
      <c r="J1187" s="1246" t="s">
        <v>1466</v>
      </c>
      <c r="K1187" s="1284" t="str">
        <f t="shared" si="18"/>
        <v>75</v>
      </c>
      <c r="L1187" s="1246" t="s">
        <v>1530</v>
      </c>
      <c r="M1187" s="1250">
        <v>9</v>
      </c>
      <c r="N1187" s="1251">
        <v>1</v>
      </c>
      <c r="O1187" s="1252">
        <v>1</v>
      </c>
    </row>
    <row r="1188" spans="1:15">
      <c r="A1188" s="1246" t="s">
        <v>1493</v>
      </c>
      <c r="B1188" s="1246" t="s">
        <v>431</v>
      </c>
      <c r="C1188" s="1247">
        <v>3</v>
      </c>
      <c r="E1188" s="1246" t="s">
        <v>1412</v>
      </c>
      <c r="F1188" s="1248">
        <v>1</v>
      </c>
      <c r="G1188" s="1248">
        <v>1</v>
      </c>
      <c r="H1188" s="1249">
        <v>1</v>
      </c>
      <c r="I1188" s="1246" t="s">
        <v>1491</v>
      </c>
      <c r="J1188" s="1246" t="s">
        <v>1400</v>
      </c>
      <c r="K1188" s="1284" t="str">
        <f t="shared" si="18"/>
        <v>70</v>
      </c>
      <c r="L1188" s="1246" t="s">
        <v>1532</v>
      </c>
      <c r="M1188" s="1250">
        <v>9</v>
      </c>
      <c r="N1188" s="1251">
        <v>4</v>
      </c>
      <c r="O1188" s="1252">
        <v>4</v>
      </c>
    </row>
    <row r="1189" spans="1:15">
      <c r="A1189" s="1246" t="s">
        <v>1493</v>
      </c>
      <c r="B1189" s="1246" t="s">
        <v>431</v>
      </c>
      <c r="C1189" s="1247">
        <v>3</v>
      </c>
      <c r="E1189" s="1246" t="s">
        <v>1494</v>
      </c>
      <c r="F1189" s="1248">
        <v>1</v>
      </c>
      <c r="G1189" s="1248">
        <v>1</v>
      </c>
      <c r="H1189" s="1249">
        <v>1</v>
      </c>
      <c r="I1189" s="1246" t="s">
        <v>1491</v>
      </c>
      <c r="J1189" s="1246" t="s">
        <v>1400</v>
      </c>
      <c r="K1189" s="1284" t="str">
        <f t="shared" si="18"/>
        <v>70</v>
      </c>
      <c r="L1189" s="1246" t="s">
        <v>1532</v>
      </c>
      <c r="M1189" s="1250">
        <v>9</v>
      </c>
      <c r="N1189" s="1251">
        <v>6</v>
      </c>
      <c r="O1189" s="1252">
        <v>6</v>
      </c>
    </row>
    <row r="1190" spans="1:15">
      <c r="A1190" s="1246" t="s">
        <v>1493</v>
      </c>
      <c r="B1190" s="1246" t="s">
        <v>431</v>
      </c>
      <c r="C1190" s="1247">
        <v>3</v>
      </c>
      <c r="E1190" s="1246" t="s">
        <v>376</v>
      </c>
      <c r="F1190" s="1248">
        <v>1</v>
      </c>
      <c r="G1190" s="1248">
        <v>1</v>
      </c>
      <c r="H1190" s="1249">
        <v>1</v>
      </c>
      <c r="I1190" s="1246" t="s">
        <v>1491</v>
      </c>
      <c r="J1190" s="1246" t="s">
        <v>1400</v>
      </c>
      <c r="K1190" s="1284" t="str">
        <f t="shared" si="18"/>
        <v>70</v>
      </c>
      <c r="L1190" s="1246" t="s">
        <v>1532</v>
      </c>
      <c r="M1190" s="1250">
        <v>9</v>
      </c>
      <c r="N1190" s="1251">
        <v>11</v>
      </c>
      <c r="O1190" s="1252">
        <v>11</v>
      </c>
    </row>
    <row r="1191" spans="1:15">
      <c r="A1191" s="1246" t="s">
        <v>1493</v>
      </c>
      <c r="B1191" s="1246" t="s">
        <v>431</v>
      </c>
      <c r="C1191" s="1247">
        <v>3</v>
      </c>
      <c r="E1191" s="1246" t="s">
        <v>1494</v>
      </c>
      <c r="F1191" s="1248">
        <v>1</v>
      </c>
      <c r="G1191" s="1248">
        <v>1</v>
      </c>
      <c r="H1191" s="1249">
        <v>1</v>
      </c>
      <c r="I1191" s="1246" t="s">
        <v>1491</v>
      </c>
      <c r="J1191" s="1246" t="s">
        <v>1464</v>
      </c>
      <c r="K1191" s="1284" t="str">
        <f t="shared" si="18"/>
        <v>73</v>
      </c>
      <c r="L1191" s="1246" t="s">
        <v>1533</v>
      </c>
      <c r="M1191" s="1250">
        <v>9</v>
      </c>
      <c r="N1191" s="1251">
        <v>5</v>
      </c>
      <c r="O1191" s="1252">
        <v>5</v>
      </c>
    </row>
    <row r="1192" spans="1:15">
      <c r="A1192" s="1246" t="s">
        <v>1493</v>
      </c>
      <c r="B1192" s="1246" t="s">
        <v>431</v>
      </c>
      <c r="C1192" s="1247">
        <v>3</v>
      </c>
      <c r="E1192" s="1246" t="s">
        <v>376</v>
      </c>
      <c r="F1192" s="1248">
        <v>1</v>
      </c>
      <c r="G1192" s="1248">
        <v>1</v>
      </c>
      <c r="H1192" s="1249">
        <v>1</v>
      </c>
      <c r="I1192" s="1246" t="s">
        <v>1491</v>
      </c>
      <c r="J1192" s="1246" t="s">
        <v>1462</v>
      </c>
      <c r="K1192" s="1284" t="str">
        <f t="shared" si="18"/>
        <v>71</v>
      </c>
      <c r="L1192" s="1246" t="s">
        <v>1496</v>
      </c>
      <c r="M1192" s="1250">
        <v>9</v>
      </c>
      <c r="N1192" s="1251">
        <v>12</v>
      </c>
      <c r="O1192" s="1252">
        <v>12</v>
      </c>
    </row>
    <row r="1193" spans="1:15">
      <c r="A1193" s="1246" t="s">
        <v>1493</v>
      </c>
      <c r="B1193" s="1246" t="s">
        <v>431</v>
      </c>
      <c r="C1193" s="1247">
        <v>3</v>
      </c>
      <c r="D1193" s="1246" t="s">
        <v>1412</v>
      </c>
      <c r="E1193" s="1246" t="s">
        <v>376</v>
      </c>
      <c r="F1193" s="1248">
        <v>1</v>
      </c>
      <c r="G1193" s="1248">
        <v>1</v>
      </c>
      <c r="H1193" s="1249">
        <v>1</v>
      </c>
      <c r="I1193" s="1246" t="s">
        <v>1491</v>
      </c>
      <c r="J1193" s="1246" t="s">
        <v>1462</v>
      </c>
      <c r="K1193" s="1284" t="str">
        <f t="shared" si="18"/>
        <v>71</v>
      </c>
      <c r="L1193" s="1246" t="s">
        <v>1496</v>
      </c>
      <c r="M1193" s="1250">
        <v>9</v>
      </c>
      <c r="N1193" s="1251">
        <v>1</v>
      </c>
      <c r="O1193" s="1252">
        <v>1</v>
      </c>
    </row>
    <row r="1194" spans="1:15">
      <c r="A1194" s="1246" t="s">
        <v>1493</v>
      </c>
      <c r="B1194" s="1246" t="s">
        <v>431</v>
      </c>
      <c r="C1194" s="1247">
        <v>3</v>
      </c>
      <c r="E1194" s="1246" t="s">
        <v>1412</v>
      </c>
      <c r="F1194" s="1248">
        <v>1</v>
      </c>
      <c r="G1194" s="1248">
        <v>1</v>
      </c>
      <c r="H1194" s="1249">
        <v>1</v>
      </c>
      <c r="I1194" s="1246" t="s">
        <v>1491</v>
      </c>
      <c r="J1194" s="1246" t="s">
        <v>1465</v>
      </c>
      <c r="K1194" s="1284" t="str">
        <f t="shared" si="18"/>
        <v>74</v>
      </c>
      <c r="L1194" s="1246" t="s">
        <v>1543</v>
      </c>
      <c r="M1194" s="1250">
        <v>9</v>
      </c>
      <c r="N1194" s="1251">
        <v>1</v>
      </c>
      <c r="O1194" s="1252">
        <v>1</v>
      </c>
    </row>
    <row r="1195" spans="1:15">
      <c r="A1195" s="1246" t="s">
        <v>1493</v>
      </c>
      <c r="B1195" s="1246" t="s">
        <v>431</v>
      </c>
      <c r="C1195" s="1247">
        <v>3</v>
      </c>
      <c r="E1195" s="1246" t="s">
        <v>1494</v>
      </c>
      <c r="F1195" s="1248">
        <v>1</v>
      </c>
      <c r="G1195" s="1248">
        <v>1</v>
      </c>
      <c r="H1195" s="1249">
        <v>1</v>
      </c>
      <c r="I1195" s="1246" t="s">
        <v>1491</v>
      </c>
      <c r="J1195" s="1246" t="s">
        <v>1465</v>
      </c>
      <c r="K1195" s="1284" t="str">
        <f t="shared" si="18"/>
        <v>74</v>
      </c>
      <c r="L1195" s="1246" t="s">
        <v>1543</v>
      </c>
      <c r="M1195" s="1250">
        <v>9</v>
      </c>
      <c r="N1195" s="1251">
        <v>1</v>
      </c>
      <c r="O1195" s="1252">
        <v>1</v>
      </c>
    </row>
    <row r="1196" spans="1:15">
      <c r="A1196" s="1246" t="s">
        <v>1493</v>
      </c>
      <c r="B1196" s="1246" t="s">
        <v>431</v>
      </c>
      <c r="C1196" s="1247">
        <v>3</v>
      </c>
      <c r="E1196" s="1246" t="s">
        <v>1494</v>
      </c>
      <c r="F1196" s="1248">
        <v>1</v>
      </c>
      <c r="G1196" s="1248">
        <v>1</v>
      </c>
      <c r="H1196" s="1249">
        <v>2</v>
      </c>
      <c r="I1196" s="1246" t="s">
        <v>1491</v>
      </c>
      <c r="J1196" s="1246" t="s">
        <v>1463</v>
      </c>
      <c r="K1196" s="1284" t="str">
        <f t="shared" si="18"/>
        <v>72</v>
      </c>
      <c r="L1196" s="1246" t="s">
        <v>1529</v>
      </c>
      <c r="M1196" s="1250">
        <v>9</v>
      </c>
      <c r="N1196" s="1251">
        <v>1</v>
      </c>
      <c r="O1196" s="1252">
        <v>1</v>
      </c>
    </row>
    <row r="1197" spans="1:15">
      <c r="A1197" s="1246" t="s">
        <v>1493</v>
      </c>
      <c r="B1197" s="1246" t="s">
        <v>431</v>
      </c>
      <c r="C1197" s="1247">
        <v>3</v>
      </c>
      <c r="E1197" s="1246" t="s">
        <v>1494</v>
      </c>
      <c r="F1197" s="1248">
        <v>1</v>
      </c>
      <c r="G1197" s="1248">
        <v>1</v>
      </c>
      <c r="H1197" s="1249">
        <v>2</v>
      </c>
      <c r="I1197" s="1246" t="s">
        <v>1491</v>
      </c>
      <c r="J1197" s="1246" t="s">
        <v>1464</v>
      </c>
      <c r="K1197" s="1284" t="str">
        <f t="shared" si="18"/>
        <v>73</v>
      </c>
      <c r="L1197" s="1246" t="s">
        <v>1533</v>
      </c>
      <c r="M1197" s="1250">
        <v>9</v>
      </c>
      <c r="N1197" s="1251">
        <v>1</v>
      </c>
      <c r="O1197" s="1252">
        <v>1</v>
      </c>
    </row>
    <row r="1198" spans="1:15">
      <c r="A1198" s="1246" t="s">
        <v>1493</v>
      </c>
      <c r="B1198" s="1246" t="s">
        <v>431</v>
      </c>
      <c r="C1198" s="1247">
        <v>3</v>
      </c>
      <c r="E1198" s="1246" t="s">
        <v>1412</v>
      </c>
      <c r="F1198" s="1248">
        <v>1</v>
      </c>
      <c r="G1198" s="1248">
        <v>2</v>
      </c>
      <c r="H1198" s="1249">
        <v>1</v>
      </c>
      <c r="I1198" s="1246" t="s">
        <v>1491</v>
      </c>
      <c r="J1198" s="1246" t="s">
        <v>1463</v>
      </c>
      <c r="K1198" s="1284" t="str">
        <f t="shared" si="18"/>
        <v>72</v>
      </c>
      <c r="L1198" s="1246" t="s">
        <v>1529</v>
      </c>
      <c r="M1198" s="1250">
        <v>9</v>
      </c>
      <c r="N1198" s="1251">
        <v>1</v>
      </c>
      <c r="O1198" s="1252">
        <v>1</v>
      </c>
    </row>
    <row r="1199" spans="1:15">
      <c r="A1199" s="1246" t="s">
        <v>1493</v>
      </c>
      <c r="B1199" s="1246" t="s">
        <v>431</v>
      </c>
      <c r="C1199" s="1247">
        <v>3</v>
      </c>
      <c r="E1199" s="1246" t="s">
        <v>1494</v>
      </c>
      <c r="F1199" s="1248">
        <v>1</v>
      </c>
      <c r="G1199" s="1248">
        <v>2</v>
      </c>
      <c r="H1199" s="1249">
        <v>1</v>
      </c>
      <c r="I1199" s="1246" t="s">
        <v>1491</v>
      </c>
      <c r="J1199" s="1246" t="s">
        <v>1463</v>
      </c>
      <c r="K1199" s="1284" t="str">
        <f t="shared" si="18"/>
        <v>72</v>
      </c>
      <c r="L1199" s="1246" t="s">
        <v>1529</v>
      </c>
      <c r="M1199" s="1250">
        <v>9</v>
      </c>
      <c r="N1199" s="1251">
        <v>1</v>
      </c>
      <c r="O1199" s="1252">
        <v>1</v>
      </c>
    </row>
    <row r="1200" spans="1:15">
      <c r="A1200" s="1246" t="s">
        <v>1493</v>
      </c>
      <c r="B1200" s="1246" t="s">
        <v>431</v>
      </c>
      <c r="C1200" s="1247">
        <v>3</v>
      </c>
      <c r="E1200" s="1246" t="s">
        <v>376</v>
      </c>
      <c r="F1200" s="1248">
        <v>1</v>
      </c>
      <c r="G1200" s="1248">
        <v>2</v>
      </c>
      <c r="H1200" s="1249">
        <v>1</v>
      </c>
      <c r="I1200" s="1246" t="s">
        <v>1491</v>
      </c>
      <c r="J1200" s="1246" t="s">
        <v>1463</v>
      </c>
      <c r="K1200" s="1284" t="str">
        <f t="shared" si="18"/>
        <v>72</v>
      </c>
      <c r="L1200" s="1246" t="s">
        <v>1529</v>
      </c>
      <c r="M1200" s="1250">
        <v>9</v>
      </c>
      <c r="N1200" s="1251">
        <v>1</v>
      </c>
      <c r="O1200" s="1252">
        <v>1</v>
      </c>
    </row>
    <row r="1201" spans="1:15">
      <c r="A1201" s="1246" t="s">
        <v>1493</v>
      </c>
      <c r="B1201" s="1246" t="s">
        <v>431</v>
      </c>
      <c r="C1201" s="1247">
        <v>3</v>
      </c>
      <c r="E1201" s="1246" t="s">
        <v>376</v>
      </c>
      <c r="F1201" s="1248">
        <v>1</v>
      </c>
      <c r="G1201" s="1248">
        <v>2</v>
      </c>
      <c r="H1201" s="1249">
        <v>1</v>
      </c>
      <c r="I1201" s="1246" t="s">
        <v>1491</v>
      </c>
      <c r="J1201" s="1246" t="s">
        <v>1462</v>
      </c>
      <c r="K1201" s="1284" t="str">
        <f t="shared" si="18"/>
        <v>71</v>
      </c>
      <c r="L1201" s="1246" t="s">
        <v>1495</v>
      </c>
      <c r="M1201" s="1250">
        <v>9</v>
      </c>
      <c r="N1201" s="1251">
        <v>1</v>
      </c>
      <c r="O1201" s="1252">
        <v>1</v>
      </c>
    </row>
    <row r="1202" spans="1:15">
      <c r="A1202" s="1246" t="s">
        <v>1493</v>
      </c>
      <c r="B1202" s="1246" t="s">
        <v>431</v>
      </c>
      <c r="C1202" s="1247">
        <v>3</v>
      </c>
      <c r="E1202" s="1246" t="s">
        <v>1412</v>
      </c>
      <c r="F1202" s="1248">
        <v>1</v>
      </c>
      <c r="G1202" s="1248">
        <v>2</v>
      </c>
      <c r="H1202" s="1249">
        <v>1</v>
      </c>
      <c r="I1202" s="1246" t="s">
        <v>1491</v>
      </c>
      <c r="J1202" s="1246" t="s">
        <v>1462</v>
      </c>
      <c r="K1202" s="1284" t="str">
        <f t="shared" si="18"/>
        <v>71</v>
      </c>
      <c r="L1202" s="1246" t="s">
        <v>1495</v>
      </c>
      <c r="M1202" s="1250">
        <v>9</v>
      </c>
      <c r="N1202" s="1251">
        <v>1</v>
      </c>
      <c r="O1202" s="1252">
        <v>1</v>
      </c>
    </row>
    <row r="1203" spans="1:15">
      <c r="A1203" s="1246" t="s">
        <v>1493</v>
      </c>
      <c r="B1203" s="1246" t="s">
        <v>431</v>
      </c>
      <c r="C1203" s="1247">
        <v>3</v>
      </c>
      <c r="E1203" s="1246" t="s">
        <v>1494</v>
      </c>
      <c r="F1203" s="1248">
        <v>1</v>
      </c>
      <c r="G1203" s="1248">
        <v>2</v>
      </c>
      <c r="H1203" s="1249">
        <v>1</v>
      </c>
      <c r="I1203" s="1246" t="s">
        <v>1491</v>
      </c>
      <c r="J1203" s="1246" t="s">
        <v>1462</v>
      </c>
      <c r="K1203" s="1284" t="str">
        <f t="shared" si="18"/>
        <v>71</v>
      </c>
      <c r="L1203" s="1246" t="s">
        <v>1495</v>
      </c>
      <c r="M1203" s="1250">
        <v>9</v>
      </c>
      <c r="N1203" s="1251">
        <v>21</v>
      </c>
      <c r="O1203" s="1252">
        <v>21</v>
      </c>
    </row>
    <row r="1204" spans="1:15">
      <c r="A1204" s="1246" t="s">
        <v>683</v>
      </c>
      <c r="B1204" s="1246" t="s">
        <v>431</v>
      </c>
      <c r="C1204" s="1247">
        <v>3</v>
      </c>
      <c r="E1204" s="1246" t="s">
        <v>1494</v>
      </c>
      <c r="F1204" s="1248">
        <v>1</v>
      </c>
      <c r="G1204" s="1248">
        <v>2</v>
      </c>
      <c r="H1204" s="1249">
        <v>1</v>
      </c>
      <c r="I1204" s="1246" t="s">
        <v>1491</v>
      </c>
      <c r="J1204" s="1246" t="s">
        <v>1462</v>
      </c>
      <c r="K1204" s="1284" t="str">
        <f t="shared" si="18"/>
        <v>71</v>
      </c>
      <c r="L1204" s="1246" t="s">
        <v>1495</v>
      </c>
      <c r="M1204" s="1250">
        <v>9</v>
      </c>
      <c r="N1204" s="1251">
        <v>1</v>
      </c>
      <c r="O1204" s="1252">
        <v>1</v>
      </c>
    </row>
    <row r="1205" spans="1:15">
      <c r="A1205" s="1246" t="s">
        <v>1493</v>
      </c>
      <c r="B1205" s="1246" t="s">
        <v>431</v>
      </c>
      <c r="C1205" s="1247">
        <v>3</v>
      </c>
      <c r="E1205" s="1246" t="s">
        <v>1494</v>
      </c>
      <c r="F1205" s="1248">
        <v>1</v>
      </c>
      <c r="G1205" s="1248">
        <v>2</v>
      </c>
      <c r="H1205" s="1249">
        <v>1</v>
      </c>
      <c r="I1205" s="1246" t="s">
        <v>1491</v>
      </c>
      <c r="J1205" s="1246" t="s">
        <v>1466</v>
      </c>
      <c r="K1205" s="1284" t="str">
        <f t="shared" si="18"/>
        <v>75</v>
      </c>
      <c r="L1205" s="1246" t="s">
        <v>1530</v>
      </c>
      <c r="M1205" s="1250">
        <v>9</v>
      </c>
      <c r="N1205" s="1251">
        <v>2</v>
      </c>
      <c r="O1205" s="1252">
        <v>2</v>
      </c>
    </row>
    <row r="1206" spans="1:15">
      <c r="A1206" s="1246" t="s">
        <v>683</v>
      </c>
      <c r="B1206" s="1246" t="s">
        <v>431</v>
      </c>
      <c r="C1206" s="1247">
        <v>3</v>
      </c>
      <c r="E1206" s="1246" t="s">
        <v>1494</v>
      </c>
      <c r="F1206" s="1248">
        <v>1</v>
      </c>
      <c r="G1206" s="1248">
        <v>2</v>
      </c>
      <c r="H1206" s="1249">
        <v>1</v>
      </c>
      <c r="I1206" s="1246" t="s">
        <v>1491</v>
      </c>
      <c r="J1206" s="1246" t="s">
        <v>1466</v>
      </c>
      <c r="K1206" s="1284" t="str">
        <f t="shared" si="18"/>
        <v>75</v>
      </c>
      <c r="L1206" s="1246" t="s">
        <v>1530</v>
      </c>
      <c r="M1206" s="1250">
        <v>9</v>
      </c>
      <c r="N1206" s="1251">
        <v>1</v>
      </c>
      <c r="O1206" s="1252">
        <v>1</v>
      </c>
    </row>
    <row r="1207" spans="1:15">
      <c r="A1207" s="1246" t="s">
        <v>1493</v>
      </c>
      <c r="B1207" s="1246" t="s">
        <v>431</v>
      </c>
      <c r="C1207" s="1247">
        <v>3</v>
      </c>
      <c r="E1207" s="1246" t="s">
        <v>376</v>
      </c>
      <c r="F1207" s="1248">
        <v>1</v>
      </c>
      <c r="G1207" s="1248">
        <v>2</v>
      </c>
      <c r="H1207" s="1249">
        <v>1</v>
      </c>
      <c r="I1207" s="1246" t="s">
        <v>1491</v>
      </c>
      <c r="J1207" s="1246" t="s">
        <v>1400</v>
      </c>
      <c r="K1207" s="1284" t="str">
        <f t="shared" si="18"/>
        <v>70</v>
      </c>
      <c r="L1207" s="1246" t="s">
        <v>1532</v>
      </c>
      <c r="M1207" s="1250">
        <v>9</v>
      </c>
      <c r="N1207" s="1251">
        <v>1</v>
      </c>
      <c r="O1207" s="1252">
        <v>1</v>
      </c>
    </row>
    <row r="1208" spans="1:15">
      <c r="A1208" s="1246" t="s">
        <v>1493</v>
      </c>
      <c r="B1208" s="1246" t="s">
        <v>431</v>
      </c>
      <c r="C1208" s="1247">
        <v>3</v>
      </c>
      <c r="E1208" s="1246" t="s">
        <v>1494</v>
      </c>
      <c r="F1208" s="1248">
        <v>1</v>
      </c>
      <c r="G1208" s="1248">
        <v>2</v>
      </c>
      <c r="H1208" s="1249">
        <v>1</v>
      </c>
      <c r="I1208" s="1246" t="s">
        <v>1491</v>
      </c>
      <c r="J1208" s="1246" t="s">
        <v>1464</v>
      </c>
      <c r="K1208" s="1284" t="str">
        <f t="shared" si="18"/>
        <v>73</v>
      </c>
      <c r="L1208" s="1246" t="s">
        <v>1533</v>
      </c>
      <c r="M1208" s="1250">
        <v>9</v>
      </c>
      <c r="N1208" s="1251">
        <v>5</v>
      </c>
      <c r="O1208" s="1252">
        <v>5</v>
      </c>
    </row>
    <row r="1209" spans="1:15">
      <c r="A1209" s="1246" t="s">
        <v>1493</v>
      </c>
      <c r="B1209" s="1246" t="s">
        <v>431</v>
      </c>
      <c r="C1209" s="1247">
        <v>3</v>
      </c>
      <c r="E1209" s="1246" t="s">
        <v>376</v>
      </c>
      <c r="F1209" s="1248">
        <v>1</v>
      </c>
      <c r="G1209" s="1248">
        <v>2</v>
      </c>
      <c r="H1209" s="1249">
        <v>1</v>
      </c>
      <c r="I1209" s="1246" t="s">
        <v>1491</v>
      </c>
      <c r="J1209" s="1246" t="s">
        <v>1464</v>
      </c>
      <c r="K1209" s="1284" t="str">
        <f t="shared" si="18"/>
        <v>73</v>
      </c>
      <c r="L1209" s="1246" t="s">
        <v>1533</v>
      </c>
      <c r="M1209" s="1250">
        <v>9</v>
      </c>
      <c r="N1209" s="1251">
        <v>3</v>
      </c>
      <c r="O1209" s="1252">
        <v>3</v>
      </c>
    </row>
    <row r="1210" spans="1:15">
      <c r="A1210" s="1246" t="s">
        <v>1493</v>
      </c>
      <c r="B1210" s="1246" t="s">
        <v>431</v>
      </c>
      <c r="C1210" s="1247">
        <v>3</v>
      </c>
      <c r="E1210" s="1246" t="s">
        <v>376</v>
      </c>
      <c r="F1210" s="1248">
        <v>1</v>
      </c>
      <c r="G1210" s="1248">
        <v>2</v>
      </c>
      <c r="H1210" s="1249">
        <v>1</v>
      </c>
      <c r="I1210" s="1246" t="s">
        <v>1491</v>
      </c>
      <c r="J1210" s="1246" t="s">
        <v>1462</v>
      </c>
      <c r="K1210" s="1284" t="str">
        <f t="shared" si="18"/>
        <v>71</v>
      </c>
      <c r="L1210" s="1246" t="s">
        <v>1496</v>
      </c>
      <c r="M1210" s="1250">
        <v>9</v>
      </c>
      <c r="N1210" s="1251">
        <v>4</v>
      </c>
      <c r="O1210" s="1252">
        <v>4</v>
      </c>
    </row>
    <row r="1211" spans="1:15">
      <c r="A1211" s="1246" t="s">
        <v>1493</v>
      </c>
      <c r="B1211" s="1246" t="s">
        <v>431</v>
      </c>
      <c r="C1211" s="1247">
        <v>3</v>
      </c>
      <c r="E1211" s="1246" t="s">
        <v>376</v>
      </c>
      <c r="F1211" s="1248">
        <v>1</v>
      </c>
      <c r="G1211" s="1248">
        <v>3</v>
      </c>
      <c r="H1211" s="1249">
        <v>1</v>
      </c>
      <c r="I1211" s="1246" t="s">
        <v>1491</v>
      </c>
      <c r="J1211" s="1246" t="s">
        <v>1469</v>
      </c>
      <c r="K1211" s="1284">
        <f t="shared" si="18"/>
        <v>70</v>
      </c>
      <c r="L1211" s="1246" t="s">
        <v>1542</v>
      </c>
      <c r="M1211" s="1250">
        <v>6</v>
      </c>
      <c r="N1211" s="1251">
        <v>1</v>
      </c>
      <c r="O1211" s="1252">
        <v>1</v>
      </c>
    </row>
    <row r="1212" spans="1:15">
      <c r="A1212" s="1246" t="s">
        <v>1493</v>
      </c>
      <c r="B1212" s="1246" t="s">
        <v>431</v>
      </c>
      <c r="C1212" s="1247">
        <v>3</v>
      </c>
      <c r="E1212" s="1246" t="s">
        <v>1412</v>
      </c>
      <c r="F1212" s="1248">
        <v>1</v>
      </c>
      <c r="G1212" s="1248">
        <v>3</v>
      </c>
      <c r="H1212" s="1249">
        <v>1</v>
      </c>
      <c r="I1212" s="1246" t="s">
        <v>1491</v>
      </c>
      <c r="J1212" s="1246" t="s">
        <v>1462</v>
      </c>
      <c r="K1212" s="1284" t="str">
        <f t="shared" si="18"/>
        <v>71</v>
      </c>
      <c r="L1212" s="1246" t="s">
        <v>1495</v>
      </c>
      <c r="M1212" s="1250">
        <v>9</v>
      </c>
      <c r="N1212" s="1251">
        <v>1</v>
      </c>
      <c r="O1212" s="1252">
        <v>1</v>
      </c>
    </row>
    <row r="1213" spans="1:15">
      <c r="A1213" s="1246" t="s">
        <v>1493</v>
      </c>
      <c r="B1213" s="1246" t="s">
        <v>431</v>
      </c>
      <c r="C1213" s="1247">
        <v>3</v>
      </c>
      <c r="E1213" s="1246" t="s">
        <v>1494</v>
      </c>
      <c r="F1213" s="1248">
        <v>1</v>
      </c>
      <c r="G1213" s="1248">
        <v>3</v>
      </c>
      <c r="H1213" s="1249">
        <v>1</v>
      </c>
      <c r="I1213" s="1246" t="s">
        <v>1491</v>
      </c>
      <c r="J1213" s="1246" t="s">
        <v>1462</v>
      </c>
      <c r="K1213" s="1284" t="str">
        <f t="shared" si="18"/>
        <v>71</v>
      </c>
      <c r="L1213" s="1246" t="s">
        <v>1495</v>
      </c>
      <c r="M1213" s="1250">
        <v>9</v>
      </c>
      <c r="N1213" s="1251">
        <v>5</v>
      </c>
      <c r="O1213" s="1252">
        <v>5</v>
      </c>
    </row>
    <row r="1214" spans="1:15">
      <c r="A1214" s="1246" t="s">
        <v>1493</v>
      </c>
      <c r="B1214" s="1246" t="s">
        <v>431</v>
      </c>
      <c r="C1214" s="1247">
        <v>3</v>
      </c>
      <c r="E1214" s="1246" t="s">
        <v>370</v>
      </c>
      <c r="F1214" s="1248">
        <v>1</v>
      </c>
      <c r="G1214" s="1248">
        <v>3</v>
      </c>
      <c r="H1214" s="1249">
        <v>1</v>
      </c>
      <c r="I1214" s="1246" t="s">
        <v>1491</v>
      </c>
      <c r="J1214" s="1246" t="s">
        <v>1462</v>
      </c>
      <c r="K1214" s="1284" t="str">
        <f t="shared" si="18"/>
        <v>71</v>
      </c>
      <c r="L1214" s="1246" t="s">
        <v>1495</v>
      </c>
      <c r="M1214" s="1250">
        <v>9</v>
      </c>
      <c r="N1214" s="1251">
        <v>1</v>
      </c>
      <c r="O1214" s="1252">
        <v>1</v>
      </c>
    </row>
    <row r="1215" spans="1:15">
      <c r="A1215" s="1246" t="s">
        <v>1493</v>
      </c>
      <c r="B1215" s="1246" t="s">
        <v>431</v>
      </c>
      <c r="C1215" s="1247">
        <v>3</v>
      </c>
      <c r="E1215" s="1246" t="s">
        <v>376</v>
      </c>
      <c r="F1215" s="1248">
        <v>1</v>
      </c>
      <c r="G1215" s="1248">
        <v>3</v>
      </c>
      <c r="H1215" s="1249">
        <v>1</v>
      </c>
      <c r="I1215" s="1246" t="s">
        <v>1491</v>
      </c>
      <c r="J1215" s="1246" t="s">
        <v>1462</v>
      </c>
      <c r="K1215" s="1284" t="str">
        <f t="shared" si="18"/>
        <v>71</v>
      </c>
      <c r="L1215" s="1246" t="s">
        <v>1496</v>
      </c>
      <c r="M1215" s="1250">
        <v>9</v>
      </c>
      <c r="N1215" s="1251">
        <v>1</v>
      </c>
      <c r="O1215" s="1252">
        <v>1</v>
      </c>
    </row>
    <row r="1216" spans="1:15">
      <c r="A1216" s="1246" t="s">
        <v>1493</v>
      </c>
      <c r="B1216" s="1246" t="s">
        <v>431</v>
      </c>
      <c r="C1216" s="1247">
        <v>3</v>
      </c>
      <c r="E1216" s="1246" t="s">
        <v>1494</v>
      </c>
      <c r="F1216" s="1248">
        <v>1</v>
      </c>
      <c r="G1216" s="1248">
        <v>4</v>
      </c>
      <c r="H1216" s="1249">
        <v>1</v>
      </c>
      <c r="I1216" s="1246" t="s">
        <v>1491</v>
      </c>
      <c r="J1216" s="1246" t="s">
        <v>1462</v>
      </c>
      <c r="K1216" s="1284" t="str">
        <f t="shared" si="18"/>
        <v>71</v>
      </c>
      <c r="L1216" s="1246" t="s">
        <v>1495</v>
      </c>
      <c r="M1216" s="1250">
        <v>9</v>
      </c>
      <c r="N1216" s="1251">
        <v>1</v>
      </c>
      <c r="O1216" s="1252">
        <v>1</v>
      </c>
    </row>
    <row r="1217" spans="1:15">
      <c r="A1217" s="1246" t="s">
        <v>1493</v>
      </c>
      <c r="B1217" s="1246" t="s">
        <v>431</v>
      </c>
      <c r="C1217" s="1247">
        <v>3</v>
      </c>
      <c r="E1217" s="1246" t="s">
        <v>1494</v>
      </c>
      <c r="F1217" s="1248">
        <v>1</v>
      </c>
      <c r="G1217" s="1248">
        <v>5</v>
      </c>
      <c r="H1217" s="1249">
        <v>1</v>
      </c>
      <c r="I1217" s="1246" t="s">
        <v>1491</v>
      </c>
      <c r="J1217" s="1246" t="s">
        <v>1462</v>
      </c>
      <c r="K1217" s="1284" t="str">
        <f t="shared" si="18"/>
        <v>71</v>
      </c>
      <c r="L1217" s="1246" t="s">
        <v>1495</v>
      </c>
      <c r="M1217" s="1250">
        <v>9</v>
      </c>
      <c r="N1217" s="1251">
        <v>2</v>
      </c>
      <c r="O1217" s="1252">
        <v>2</v>
      </c>
    </row>
    <row r="1218" spans="1:15">
      <c r="A1218" s="1246" t="s">
        <v>1493</v>
      </c>
      <c r="B1218" s="1246" t="s">
        <v>431</v>
      </c>
      <c r="C1218" s="1247">
        <v>3</v>
      </c>
      <c r="E1218" s="1246" t="s">
        <v>376</v>
      </c>
      <c r="F1218" s="1248">
        <v>1</v>
      </c>
      <c r="G1218" s="1248">
        <v>5</v>
      </c>
      <c r="H1218" s="1249">
        <v>1</v>
      </c>
      <c r="I1218" s="1246" t="s">
        <v>1491</v>
      </c>
      <c r="J1218" s="1246" t="s">
        <v>1462</v>
      </c>
      <c r="K1218" s="1284" t="str">
        <f t="shared" ref="K1218:K1281" si="19">IF(J1218="1B","10", IF(J1218="2B","20",IF(J1218="3B","30",IF(J1218="7B",70,J1218))))</f>
        <v>71</v>
      </c>
      <c r="L1218" s="1246" t="s">
        <v>1496</v>
      </c>
      <c r="M1218" s="1250">
        <v>9</v>
      </c>
      <c r="N1218" s="1251">
        <v>1</v>
      </c>
      <c r="O1218" s="1252">
        <v>1</v>
      </c>
    </row>
    <row r="1219" spans="1:15">
      <c r="A1219" s="1246" t="s">
        <v>1493</v>
      </c>
      <c r="B1219" s="1246" t="s">
        <v>431</v>
      </c>
      <c r="C1219" s="1247">
        <v>3</v>
      </c>
      <c r="E1219" s="1246" t="s">
        <v>1494</v>
      </c>
      <c r="F1219" s="1248">
        <v>2</v>
      </c>
      <c r="G1219" s="1248">
        <v>2</v>
      </c>
      <c r="H1219" s="1249">
        <v>1</v>
      </c>
      <c r="I1219" s="1246" t="s">
        <v>1491</v>
      </c>
      <c r="J1219" s="1246" t="s">
        <v>1470</v>
      </c>
      <c r="K1219" s="1284" t="str">
        <f t="shared" si="19"/>
        <v>7C</v>
      </c>
      <c r="L1219" s="1246" t="s">
        <v>1502</v>
      </c>
      <c r="M1219" s="1250">
        <v>4</v>
      </c>
      <c r="N1219" s="1251">
        <v>2</v>
      </c>
      <c r="O1219" s="1252">
        <v>1</v>
      </c>
    </row>
    <row r="1220" spans="1:15">
      <c r="A1220" s="1246" t="s">
        <v>1493</v>
      </c>
      <c r="B1220" s="1246" t="s">
        <v>431</v>
      </c>
      <c r="C1220" s="1247">
        <v>3</v>
      </c>
      <c r="E1220" s="1246" t="s">
        <v>1494</v>
      </c>
      <c r="F1220" s="1248">
        <v>2</v>
      </c>
      <c r="G1220" s="1248">
        <v>2</v>
      </c>
      <c r="H1220" s="1249">
        <v>1</v>
      </c>
      <c r="I1220" s="1246" t="s">
        <v>1491</v>
      </c>
      <c r="J1220" s="1246" t="s">
        <v>1462</v>
      </c>
      <c r="K1220" s="1284" t="str">
        <f t="shared" si="19"/>
        <v>71</v>
      </c>
      <c r="L1220" s="1246" t="s">
        <v>1495</v>
      </c>
      <c r="M1220" s="1250">
        <v>9</v>
      </c>
      <c r="N1220" s="1251">
        <v>4</v>
      </c>
      <c r="O1220" s="1252">
        <v>2</v>
      </c>
    </row>
    <row r="1221" spans="1:15">
      <c r="A1221" s="1246" t="s">
        <v>1493</v>
      </c>
      <c r="B1221" s="1246" t="s">
        <v>431</v>
      </c>
      <c r="C1221" s="1247">
        <v>3</v>
      </c>
      <c r="E1221" s="1246" t="s">
        <v>376</v>
      </c>
      <c r="F1221" s="1248">
        <v>2</v>
      </c>
      <c r="G1221" s="1248">
        <v>2</v>
      </c>
      <c r="H1221" s="1249">
        <v>1</v>
      </c>
      <c r="I1221" s="1246" t="s">
        <v>1491</v>
      </c>
      <c r="J1221" s="1246" t="s">
        <v>1400</v>
      </c>
      <c r="K1221" s="1284" t="str">
        <f t="shared" si="19"/>
        <v>70</v>
      </c>
      <c r="L1221" s="1246" t="s">
        <v>1532</v>
      </c>
      <c r="M1221" s="1250">
        <v>9</v>
      </c>
      <c r="N1221" s="1251">
        <v>4</v>
      </c>
      <c r="O1221" s="1252">
        <v>2</v>
      </c>
    </row>
    <row r="1222" spans="1:15">
      <c r="A1222" s="1246" t="s">
        <v>1493</v>
      </c>
      <c r="B1222" s="1246" t="s">
        <v>431</v>
      </c>
      <c r="C1222" s="1247">
        <v>3</v>
      </c>
      <c r="E1222" s="1246" t="s">
        <v>376</v>
      </c>
      <c r="F1222" s="1248">
        <v>2</v>
      </c>
      <c r="G1222" s="1248">
        <v>2</v>
      </c>
      <c r="H1222" s="1249">
        <v>1</v>
      </c>
      <c r="I1222" s="1246" t="s">
        <v>1491</v>
      </c>
      <c r="J1222" s="1246" t="s">
        <v>1462</v>
      </c>
      <c r="K1222" s="1284" t="str">
        <f t="shared" si="19"/>
        <v>71</v>
      </c>
      <c r="L1222" s="1246" t="s">
        <v>1496</v>
      </c>
      <c r="M1222" s="1250">
        <v>9</v>
      </c>
      <c r="N1222" s="1251">
        <v>10</v>
      </c>
      <c r="O1222" s="1252">
        <v>5</v>
      </c>
    </row>
    <row r="1223" spans="1:15">
      <c r="A1223" s="1246" t="s">
        <v>683</v>
      </c>
      <c r="B1223" s="1246" t="s">
        <v>431</v>
      </c>
      <c r="C1223" s="1247">
        <v>3</v>
      </c>
      <c r="E1223" s="1246" t="s">
        <v>376</v>
      </c>
      <c r="F1223" s="1248">
        <v>2</v>
      </c>
      <c r="G1223" s="1248">
        <v>3</v>
      </c>
      <c r="H1223" s="1249">
        <v>1</v>
      </c>
      <c r="I1223" s="1246" t="s">
        <v>1491</v>
      </c>
      <c r="J1223" s="1246" t="s">
        <v>1462</v>
      </c>
      <c r="K1223" s="1284" t="str">
        <f t="shared" si="19"/>
        <v>71</v>
      </c>
      <c r="L1223" s="1246" t="s">
        <v>1495</v>
      </c>
      <c r="M1223" s="1250">
        <v>9</v>
      </c>
      <c r="N1223" s="1251">
        <v>2</v>
      </c>
      <c r="O1223" s="1252">
        <v>1</v>
      </c>
    </row>
    <row r="1224" spans="1:15">
      <c r="A1224" s="1246" t="s">
        <v>1493</v>
      </c>
      <c r="B1224" s="1246" t="s">
        <v>431</v>
      </c>
      <c r="C1224" s="1247">
        <v>3</v>
      </c>
      <c r="E1224" s="1246" t="s">
        <v>376</v>
      </c>
      <c r="F1224" s="1248">
        <v>2</v>
      </c>
      <c r="G1224" s="1248">
        <v>3</v>
      </c>
      <c r="H1224" s="1249">
        <v>1</v>
      </c>
      <c r="I1224" s="1246" t="s">
        <v>1491</v>
      </c>
      <c r="J1224" s="1246" t="s">
        <v>1462</v>
      </c>
      <c r="K1224" s="1284" t="str">
        <f t="shared" si="19"/>
        <v>71</v>
      </c>
      <c r="L1224" s="1246" t="s">
        <v>1496</v>
      </c>
      <c r="M1224" s="1250">
        <v>9</v>
      </c>
      <c r="N1224" s="1251">
        <v>2</v>
      </c>
      <c r="O1224" s="1252">
        <v>1</v>
      </c>
    </row>
    <row r="1225" spans="1:15">
      <c r="A1225" s="1246" t="s">
        <v>1493</v>
      </c>
      <c r="B1225" s="1246" t="s">
        <v>431</v>
      </c>
      <c r="C1225" s="1247">
        <v>3</v>
      </c>
      <c r="E1225" s="1246" t="s">
        <v>376</v>
      </c>
      <c r="F1225" s="1248">
        <v>2</v>
      </c>
      <c r="G1225" s="1248">
        <v>4</v>
      </c>
      <c r="H1225" s="1249">
        <v>1</v>
      </c>
      <c r="I1225" s="1246" t="s">
        <v>1491</v>
      </c>
      <c r="J1225" s="1246" t="s">
        <v>1470</v>
      </c>
      <c r="K1225" s="1284" t="str">
        <f t="shared" si="19"/>
        <v>7C</v>
      </c>
      <c r="L1225" s="1246" t="s">
        <v>1502</v>
      </c>
      <c r="M1225" s="1250">
        <v>4</v>
      </c>
      <c r="N1225" s="1251">
        <v>2</v>
      </c>
      <c r="O1225" s="1252">
        <v>1</v>
      </c>
    </row>
    <row r="1226" spans="1:15">
      <c r="A1226" s="1246" t="s">
        <v>683</v>
      </c>
      <c r="B1226" s="1246" t="s">
        <v>431</v>
      </c>
      <c r="C1226" s="1247">
        <v>3</v>
      </c>
      <c r="E1226" s="1246" t="s">
        <v>1494</v>
      </c>
      <c r="F1226" s="1248">
        <v>2</v>
      </c>
      <c r="G1226" s="1248">
        <v>4</v>
      </c>
      <c r="H1226" s="1249">
        <v>1</v>
      </c>
      <c r="I1226" s="1246" t="s">
        <v>1491</v>
      </c>
      <c r="J1226" s="1246" t="s">
        <v>1462</v>
      </c>
      <c r="K1226" s="1284" t="str">
        <f t="shared" si="19"/>
        <v>71</v>
      </c>
      <c r="L1226" s="1246" t="s">
        <v>1495</v>
      </c>
      <c r="M1226" s="1250">
        <v>9</v>
      </c>
      <c r="N1226" s="1251">
        <v>2</v>
      </c>
      <c r="O1226" s="1252">
        <v>1</v>
      </c>
    </row>
    <row r="1227" spans="1:15">
      <c r="A1227" s="1246" t="s">
        <v>1493</v>
      </c>
      <c r="B1227" s="1246" t="s">
        <v>431</v>
      </c>
      <c r="C1227" s="1247">
        <v>3</v>
      </c>
      <c r="E1227" s="1246" t="s">
        <v>376</v>
      </c>
      <c r="F1227" s="1248">
        <v>2</v>
      </c>
      <c r="G1227" s="1248">
        <v>4</v>
      </c>
      <c r="H1227" s="1249">
        <v>1</v>
      </c>
      <c r="I1227" s="1246" t="s">
        <v>1491</v>
      </c>
      <c r="J1227" s="1246" t="s">
        <v>1468</v>
      </c>
      <c r="K1227" s="1284" t="str">
        <f t="shared" si="19"/>
        <v>7A</v>
      </c>
      <c r="L1227" s="1246" t="s">
        <v>1531</v>
      </c>
      <c r="M1227" s="1250">
        <v>9</v>
      </c>
      <c r="N1227" s="1251">
        <v>2</v>
      </c>
      <c r="O1227" s="1252">
        <v>1</v>
      </c>
    </row>
    <row r="1228" spans="1:15">
      <c r="A1228" s="1246" t="s">
        <v>1493</v>
      </c>
      <c r="B1228" s="1246" t="s">
        <v>431</v>
      </c>
      <c r="C1228" s="1247">
        <v>3</v>
      </c>
      <c r="E1228" s="1246" t="s">
        <v>376</v>
      </c>
      <c r="F1228" s="1248">
        <v>2</v>
      </c>
      <c r="G1228" s="1248">
        <v>4</v>
      </c>
      <c r="H1228" s="1249">
        <v>1</v>
      </c>
      <c r="I1228" s="1246" t="s">
        <v>1491</v>
      </c>
      <c r="J1228" s="1246" t="s">
        <v>1462</v>
      </c>
      <c r="K1228" s="1284" t="str">
        <f t="shared" si="19"/>
        <v>71</v>
      </c>
      <c r="L1228" s="1246" t="s">
        <v>1496</v>
      </c>
      <c r="M1228" s="1250">
        <v>9</v>
      </c>
      <c r="N1228" s="1251">
        <v>4</v>
      </c>
      <c r="O1228" s="1252">
        <v>2</v>
      </c>
    </row>
    <row r="1229" spans="1:15">
      <c r="A1229" s="1246" t="s">
        <v>1493</v>
      </c>
      <c r="B1229" s="1246" t="s">
        <v>431</v>
      </c>
      <c r="C1229" s="1247">
        <v>3</v>
      </c>
      <c r="E1229" s="1246" t="s">
        <v>1494</v>
      </c>
      <c r="F1229" s="1248">
        <v>2</v>
      </c>
      <c r="G1229" s="1248">
        <v>6</v>
      </c>
      <c r="H1229" s="1249">
        <v>1</v>
      </c>
      <c r="I1229" s="1246" t="s">
        <v>1491</v>
      </c>
      <c r="J1229" s="1246" t="s">
        <v>1462</v>
      </c>
      <c r="K1229" s="1284" t="str">
        <f t="shared" si="19"/>
        <v>71</v>
      </c>
      <c r="L1229" s="1246" t="s">
        <v>1495</v>
      </c>
      <c r="M1229" s="1250">
        <v>9</v>
      </c>
      <c r="N1229" s="1251">
        <v>2</v>
      </c>
      <c r="O1229" s="1252">
        <v>1</v>
      </c>
    </row>
    <row r="1230" spans="1:15">
      <c r="A1230" s="1246" t="s">
        <v>1493</v>
      </c>
      <c r="B1230" s="1246" t="s">
        <v>431</v>
      </c>
      <c r="C1230" s="1247">
        <v>3</v>
      </c>
      <c r="E1230" s="1246" t="s">
        <v>376</v>
      </c>
      <c r="F1230" s="1248">
        <v>3</v>
      </c>
      <c r="G1230" s="1248">
        <v>0</v>
      </c>
      <c r="H1230" s="1249">
        <v>0</v>
      </c>
      <c r="J1230" s="1246" t="s">
        <v>1462</v>
      </c>
      <c r="K1230" s="1284" t="str">
        <f t="shared" si="19"/>
        <v>71</v>
      </c>
      <c r="L1230" s="1246" t="s">
        <v>1496</v>
      </c>
      <c r="M1230" s="1250">
        <v>9</v>
      </c>
      <c r="N1230" s="1251">
        <v>3</v>
      </c>
      <c r="O1230" s="1252">
        <v>1</v>
      </c>
    </row>
    <row r="1231" spans="1:15">
      <c r="A1231" s="1246" t="s">
        <v>1493</v>
      </c>
      <c r="B1231" s="1246" t="s">
        <v>431</v>
      </c>
      <c r="C1231" s="1247">
        <v>3</v>
      </c>
      <c r="E1231" s="1246" t="s">
        <v>376</v>
      </c>
      <c r="F1231" s="1248">
        <v>3</v>
      </c>
      <c r="G1231" s="1248">
        <v>3</v>
      </c>
      <c r="H1231" s="1249">
        <v>1</v>
      </c>
      <c r="I1231" s="1246" t="s">
        <v>1491</v>
      </c>
      <c r="J1231" s="1246" t="s">
        <v>1463</v>
      </c>
      <c r="K1231" s="1284" t="str">
        <f t="shared" si="19"/>
        <v>72</v>
      </c>
      <c r="L1231" s="1246" t="s">
        <v>1529</v>
      </c>
      <c r="M1231" s="1250">
        <v>9</v>
      </c>
      <c r="N1231" s="1251">
        <v>6</v>
      </c>
      <c r="O1231" s="1252">
        <v>2</v>
      </c>
    </row>
    <row r="1232" spans="1:15">
      <c r="A1232" s="1246" t="s">
        <v>1493</v>
      </c>
      <c r="B1232" s="1246" t="s">
        <v>431</v>
      </c>
      <c r="C1232" s="1247">
        <v>3</v>
      </c>
      <c r="E1232" s="1246" t="s">
        <v>376</v>
      </c>
      <c r="F1232" s="1248">
        <v>3</v>
      </c>
      <c r="G1232" s="1248">
        <v>3</v>
      </c>
      <c r="H1232" s="1249">
        <v>1</v>
      </c>
      <c r="I1232" s="1246" t="s">
        <v>1491</v>
      </c>
      <c r="J1232" s="1246" t="s">
        <v>1462</v>
      </c>
      <c r="K1232" s="1284" t="str">
        <f t="shared" si="19"/>
        <v>71</v>
      </c>
      <c r="L1232" s="1246" t="s">
        <v>1496</v>
      </c>
      <c r="M1232" s="1250">
        <v>9</v>
      </c>
      <c r="N1232" s="1251">
        <v>9</v>
      </c>
      <c r="O1232" s="1252">
        <v>3</v>
      </c>
    </row>
    <row r="1233" spans="1:15">
      <c r="A1233" s="1246" t="s">
        <v>683</v>
      </c>
      <c r="B1233" s="1246" t="s">
        <v>431</v>
      </c>
      <c r="C1233" s="1247">
        <v>3</v>
      </c>
      <c r="E1233" s="1246" t="s">
        <v>1494</v>
      </c>
      <c r="F1233" s="1248">
        <v>3</v>
      </c>
      <c r="G1233" s="1248">
        <v>6</v>
      </c>
      <c r="H1233" s="1249">
        <v>1</v>
      </c>
      <c r="I1233" s="1246" t="s">
        <v>1491</v>
      </c>
      <c r="J1233" s="1246" t="s">
        <v>1462</v>
      </c>
      <c r="K1233" s="1284" t="str">
        <f t="shared" si="19"/>
        <v>71</v>
      </c>
      <c r="L1233" s="1246" t="s">
        <v>1495</v>
      </c>
      <c r="M1233" s="1250">
        <v>9</v>
      </c>
      <c r="N1233" s="1251">
        <v>3</v>
      </c>
      <c r="O1233" s="1252">
        <v>1</v>
      </c>
    </row>
    <row r="1234" spans="1:15">
      <c r="A1234" s="1246" t="s">
        <v>1493</v>
      </c>
      <c r="B1234" s="1246" t="s">
        <v>431</v>
      </c>
      <c r="C1234" s="1247">
        <v>3</v>
      </c>
      <c r="E1234" s="1246" t="s">
        <v>376</v>
      </c>
      <c r="F1234" s="1248">
        <v>3</v>
      </c>
      <c r="G1234" s="1248">
        <v>6</v>
      </c>
      <c r="H1234" s="1249">
        <v>1</v>
      </c>
      <c r="I1234" s="1246" t="s">
        <v>1491</v>
      </c>
      <c r="J1234" s="1246" t="s">
        <v>1462</v>
      </c>
      <c r="K1234" s="1284" t="str">
        <f t="shared" si="19"/>
        <v>71</v>
      </c>
      <c r="L1234" s="1246" t="s">
        <v>1496</v>
      </c>
      <c r="M1234" s="1250">
        <v>9</v>
      </c>
      <c r="N1234" s="1251">
        <v>3</v>
      </c>
      <c r="O1234" s="1252">
        <v>1</v>
      </c>
    </row>
    <row r="1235" spans="1:15">
      <c r="A1235" s="1246" t="s">
        <v>1493</v>
      </c>
      <c r="B1235" s="1246" t="s">
        <v>431</v>
      </c>
      <c r="C1235" s="1247">
        <v>3</v>
      </c>
      <c r="E1235" s="1246" t="s">
        <v>376</v>
      </c>
      <c r="F1235" s="1248">
        <v>4</v>
      </c>
      <c r="G1235" s="1248">
        <v>4</v>
      </c>
      <c r="H1235" s="1249">
        <v>1</v>
      </c>
      <c r="I1235" s="1246" t="s">
        <v>1491</v>
      </c>
      <c r="J1235" s="1246" t="s">
        <v>1462</v>
      </c>
      <c r="K1235" s="1284" t="str">
        <f t="shared" si="19"/>
        <v>71</v>
      </c>
      <c r="L1235" s="1246" t="s">
        <v>1496</v>
      </c>
      <c r="M1235" s="1250">
        <v>9</v>
      </c>
      <c r="N1235" s="1251">
        <v>4</v>
      </c>
      <c r="O1235" s="1252">
        <v>1</v>
      </c>
    </row>
    <row r="1236" spans="1:15">
      <c r="A1236" s="1246" t="s">
        <v>1493</v>
      </c>
      <c r="B1236" s="1246" t="s">
        <v>431</v>
      </c>
      <c r="C1236" s="1247">
        <v>3</v>
      </c>
      <c r="E1236" s="1246" t="s">
        <v>376</v>
      </c>
      <c r="F1236" s="1248">
        <v>4</v>
      </c>
      <c r="G1236" s="1248">
        <v>20</v>
      </c>
      <c r="H1236" s="1249">
        <v>1</v>
      </c>
      <c r="I1236" s="1246" t="s">
        <v>1491</v>
      </c>
      <c r="J1236" s="1246" t="s">
        <v>1462</v>
      </c>
      <c r="K1236" s="1284" t="str">
        <f t="shared" si="19"/>
        <v>71</v>
      </c>
      <c r="L1236" s="1246" t="s">
        <v>1495</v>
      </c>
      <c r="M1236" s="1250">
        <v>9</v>
      </c>
      <c r="N1236" s="1251">
        <v>4</v>
      </c>
      <c r="O1236" s="1252">
        <v>1</v>
      </c>
    </row>
    <row r="1237" spans="1:15">
      <c r="A1237" s="1246" t="s">
        <v>1493</v>
      </c>
      <c r="B1237" s="1246" t="s">
        <v>431</v>
      </c>
      <c r="C1237" s="1247">
        <v>3</v>
      </c>
      <c r="E1237" s="1246" t="s">
        <v>376</v>
      </c>
      <c r="F1237" s="1248">
        <v>5</v>
      </c>
      <c r="G1237" s="1248">
        <v>5</v>
      </c>
      <c r="H1237" s="1249">
        <v>1</v>
      </c>
      <c r="I1237" s="1246" t="s">
        <v>1491</v>
      </c>
      <c r="J1237" s="1246" t="s">
        <v>1462</v>
      </c>
      <c r="K1237" s="1284" t="str">
        <f t="shared" si="19"/>
        <v>71</v>
      </c>
      <c r="L1237" s="1246" t="s">
        <v>1496</v>
      </c>
      <c r="M1237" s="1250">
        <v>9</v>
      </c>
      <c r="N1237" s="1251">
        <v>10</v>
      </c>
      <c r="O1237" s="1252">
        <v>2</v>
      </c>
    </row>
    <row r="1238" spans="1:15">
      <c r="A1238" s="1246" t="s">
        <v>1493</v>
      </c>
      <c r="B1238" s="1246" t="s">
        <v>431</v>
      </c>
      <c r="C1238" s="1247">
        <v>3</v>
      </c>
      <c r="E1238" s="1246" t="s">
        <v>376</v>
      </c>
      <c r="F1238" s="1248">
        <v>6</v>
      </c>
      <c r="G1238" s="1248">
        <v>6</v>
      </c>
      <c r="H1238" s="1249">
        <v>1</v>
      </c>
      <c r="I1238" s="1246" t="s">
        <v>1491</v>
      </c>
      <c r="J1238" s="1246" t="s">
        <v>1462</v>
      </c>
      <c r="K1238" s="1284" t="str">
        <f t="shared" si="19"/>
        <v>71</v>
      </c>
      <c r="L1238" s="1246" t="s">
        <v>1496</v>
      </c>
      <c r="M1238" s="1250">
        <v>9</v>
      </c>
      <c r="N1238" s="1251">
        <v>12</v>
      </c>
      <c r="O1238" s="1252">
        <v>2</v>
      </c>
    </row>
    <row r="1239" spans="1:15">
      <c r="A1239" s="1246" t="s">
        <v>1493</v>
      </c>
      <c r="B1239" s="1246" t="s">
        <v>431</v>
      </c>
      <c r="C1239" s="1247">
        <v>3</v>
      </c>
      <c r="E1239" s="1246" t="s">
        <v>376</v>
      </c>
      <c r="F1239" s="1248">
        <v>6</v>
      </c>
      <c r="G1239" s="1248">
        <v>12</v>
      </c>
      <c r="H1239" s="1249">
        <v>1</v>
      </c>
      <c r="I1239" s="1246" t="s">
        <v>1491</v>
      </c>
      <c r="J1239" s="1246" t="s">
        <v>1462</v>
      </c>
      <c r="K1239" s="1284" t="str">
        <f t="shared" si="19"/>
        <v>71</v>
      </c>
      <c r="L1239" s="1246" t="s">
        <v>1496</v>
      </c>
      <c r="M1239" s="1250">
        <v>9</v>
      </c>
      <c r="N1239" s="1251">
        <v>6</v>
      </c>
      <c r="O1239" s="1252">
        <v>1</v>
      </c>
    </row>
    <row r="1240" spans="1:15">
      <c r="A1240" s="1246" t="s">
        <v>683</v>
      </c>
      <c r="B1240" s="1246" t="s">
        <v>431</v>
      </c>
      <c r="C1240" s="1247">
        <v>3</v>
      </c>
      <c r="E1240" s="1246" t="s">
        <v>376</v>
      </c>
      <c r="F1240" s="1248">
        <v>6</v>
      </c>
      <c r="G1240" s="1248">
        <v>12</v>
      </c>
      <c r="H1240" s="1249">
        <v>1</v>
      </c>
      <c r="I1240" s="1246" t="s">
        <v>1491</v>
      </c>
      <c r="J1240" s="1246" t="s">
        <v>1462</v>
      </c>
      <c r="K1240" s="1284" t="str">
        <f t="shared" si="19"/>
        <v>71</v>
      </c>
      <c r="L1240" s="1246" t="s">
        <v>1496</v>
      </c>
      <c r="M1240" s="1250">
        <v>9</v>
      </c>
      <c r="N1240" s="1251">
        <v>6</v>
      </c>
      <c r="O1240" s="1252">
        <v>1</v>
      </c>
    </row>
    <row r="1241" spans="1:15">
      <c r="A1241" s="1246" t="s">
        <v>1493</v>
      </c>
      <c r="B1241" s="1246" t="s">
        <v>431</v>
      </c>
      <c r="C1241" s="1247">
        <v>4</v>
      </c>
      <c r="E1241" s="1246" t="s">
        <v>1412</v>
      </c>
      <c r="F1241" s="1248">
        <v>1</v>
      </c>
      <c r="G1241" s="1248">
        <v>0</v>
      </c>
      <c r="H1241" s="1249">
        <v>0</v>
      </c>
      <c r="J1241" s="1246" t="s">
        <v>1462</v>
      </c>
      <c r="K1241" s="1284" t="str">
        <f t="shared" si="19"/>
        <v>71</v>
      </c>
      <c r="L1241" s="1246" t="s">
        <v>1495</v>
      </c>
      <c r="M1241" s="1250">
        <v>9</v>
      </c>
      <c r="N1241" s="1251">
        <v>1</v>
      </c>
      <c r="O1241" s="1252">
        <v>1</v>
      </c>
    </row>
    <row r="1242" spans="1:15">
      <c r="A1242" s="1246" t="s">
        <v>1493</v>
      </c>
      <c r="B1242" s="1246" t="s">
        <v>431</v>
      </c>
      <c r="C1242" s="1247">
        <v>4</v>
      </c>
      <c r="E1242" s="1246" t="s">
        <v>1547</v>
      </c>
      <c r="F1242" s="1248">
        <v>1</v>
      </c>
      <c r="G1242" s="1248">
        <v>0</v>
      </c>
      <c r="H1242" s="1249">
        <v>0</v>
      </c>
      <c r="J1242" s="1246" t="s">
        <v>1462</v>
      </c>
      <c r="K1242" s="1284" t="str">
        <f t="shared" si="19"/>
        <v>71</v>
      </c>
      <c r="L1242" s="1246" t="s">
        <v>1495</v>
      </c>
      <c r="M1242" s="1250">
        <v>9</v>
      </c>
      <c r="N1242" s="1251">
        <v>1</v>
      </c>
      <c r="O1242" s="1252">
        <v>1</v>
      </c>
    </row>
    <row r="1243" spans="1:15">
      <c r="A1243" s="1246" t="s">
        <v>1493</v>
      </c>
      <c r="B1243" s="1246" t="s">
        <v>431</v>
      </c>
      <c r="C1243" s="1247">
        <v>4</v>
      </c>
      <c r="E1243" s="1246" t="s">
        <v>1494</v>
      </c>
      <c r="F1243" s="1248">
        <v>1</v>
      </c>
      <c r="G1243" s="1248">
        <v>0</v>
      </c>
      <c r="H1243" s="1249">
        <v>0</v>
      </c>
      <c r="J1243" s="1246" t="s">
        <v>1462</v>
      </c>
      <c r="K1243" s="1284" t="str">
        <f t="shared" si="19"/>
        <v>71</v>
      </c>
      <c r="L1243" s="1246" t="s">
        <v>1495</v>
      </c>
      <c r="M1243" s="1250">
        <v>9</v>
      </c>
      <c r="N1243" s="1251">
        <v>4</v>
      </c>
      <c r="O1243" s="1252">
        <v>4</v>
      </c>
    </row>
    <row r="1244" spans="1:15">
      <c r="A1244" s="1246" t="s">
        <v>1493</v>
      </c>
      <c r="B1244" s="1246" t="s">
        <v>431</v>
      </c>
      <c r="C1244" s="1247">
        <v>4</v>
      </c>
      <c r="E1244" s="1246" t="s">
        <v>1494</v>
      </c>
      <c r="F1244" s="1248">
        <v>1</v>
      </c>
      <c r="G1244" s="1248">
        <v>0</v>
      </c>
      <c r="H1244" s="1249">
        <v>0</v>
      </c>
      <c r="J1244" s="1246" t="s">
        <v>1400</v>
      </c>
      <c r="K1244" s="1284" t="str">
        <f t="shared" si="19"/>
        <v>70</v>
      </c>
      <c r="L1244" s="1246" t="s">
        <v>1532</v>
      </c>
      <c r="M1244" s="1250">
        <v>9</v>
      </c>
      <c r="N1244" s="1251">
        <v>2</v>
      </c>
      <c r="O1244" s="1252">
        <v>2</v>
      </c>
    </row>
    <row r="1245" spans="1:15">
      <c r="A1245" s="1246" t="s">
        <v>683</v>
      </c>
      <c r="B1245" s="1246" t="s">
        <v>431</v>
      </c>
      <c r="C1245" s="1247">
        <v>4</v>
      </c>
      <c r="E1245" s="1246" t="s">
        <v>1412</v>
      </c>
      <c r="F1245" s="1248">
        <v>1</v>
      </c>
      <c r="G1245" s="1248">
        <v>0</v>
      </c>
      <c r="H1245" s="1249">
        <v>0</v>
      </c>
      <c r="J1245" s="1246" t="s">
        <v>1464</v>
      </c>
      <c r="K1245" s="1284" t="str">
        <f t="shared" si="19"/>
        <v>73</v>
      </c>
      <c r="L1245" s="1246" t="s">
        <v>1533</v>
      </c>
      <c r="M1245" s="1250">
        <v>9</v>
      </c>
      <c r="N1245" s="1251">
        <v>1</v>
      </c>
      <c r="O1245" s="1252">
        <v>1</v>
      </c>
    </row>
    <row r="1246" spans="1:15">
      <c r="A1246" s="1246" t="s">
        <v>1493</v>
      </c>
      <c r="B1246" s="1246" t="s">
        <v>431</v>
      </c>
      <c r="C1246" s="1247">
        <v>4</v>
      </c>
      <c r="E1246" s="1246" t="s">
        <v>1494</v>
      </c>
      <c r="F1246" s="1248">
        <v>1</v>
      </c>
      <c r="G1246" s="1248">
        <v>1</v>
      </c>
      <c r="H1246" s="1249">
        <v>1</v>
      </c>
      <c r="I1246" s="1246" t="s">
        <v>1491</v>
      </c>
      <c r="J1246" s="1246" t="s">
        <v>1466</v>
      </c>
      <c r="K1246" s="1284" t="str">
        <f t="shared" si="19"/>
        <v>75</v>
      </c>
      <c r="M1246" s="1250">
        <v>0</v>
      </c>
      <c r="N1246" s="1251">
        <v>1</v>
      </c>
      <c r="O1246" s="1252">
        <v>1</v>
      </c>
    </row>
    <row r="1247" spans="1:15">
      <c r="A1247" s="1246" t="s">
        <v>1493</v>
      </c>
      <c r="B1247" s="1246" t="s">
        <v>431</v>
      </c>
      <c r="C1247" s="1247">
        <v>4</v>
      </c>
      <c r="E1247" s="1246" t="s">
        <v>1412</v>
      </c>
      <c r="F1247" s="1248">
        <v>1</v>
      </c>
      <c r="G1247" s="1248">
        <v>1</v>
      </c>
      <c r="H1247" s="1249">
        <v>1</v>
      </c>
      <c r="I1247" s="1246" t="s">
        <v>1491</v>
      </c>
      <c r="J1247" s="1246" t="s">
        <v>1400</v>
      </c>
      <c r="K1247" s="1284" t="str">
        <f t="shared" si="19"/>
        <v>70</v>
      </c>
      <c r="L1247" s="1246" t="s">
        <v>1548</v>
      </c>
      <c r="M1247" s="1250">
        <v>8</v>
      </c>
      <c r="N1247" s="1251">
        <v>1</v>
      </c>
      <c r="O1247" s="1252">
        <v>1</v>
      </c>
    </row>
    <row r="1248" spans="1:15">
      <c r="A1248" s="1246" t="s">
        <v>1493</v>
      </c>
      <c r="B1248" s="1246" t="s">
        <v>431</v>
      </c>
      <c r="C1248" s="1247">
        <v>4</v>
      </c>
      <c r="E1248" s="1246" t="s">
        <v>1412</v>
      </c>
      <c r="F1248" s="1248">
        <v>1</v>
      </c>
      <c r="G1248" s="1248">
        <v>1</v>
      </c>
      <c r="H1248" s="1249">
        <v>1</v>
      </c>
      <c r="I1248" s="1246" t="s">
        <v>1491</v>
      </c>
      <c r="J1248" s="1246" t="s">
        <v>1470</v>
      </c>
      <c r="K1248" s="1284" t="str">
        <f t="shared" si="19"/>
        <v>7C</v>
      </c>
      <c r="L1248" s="1246" t="s">
        <v>1502</v>
      </c>
      <c r="M1248" s="1250">
        <v>4</v>
      </c>
      <c r="N1248" s="1251">
        <v>5</v>
      </c>
      <c r="O1248" s="1252">
        <v>5</v>
      </c>
    </row>
    <row r="1249" spans="1:15">
      <c r="A1249" s="1246" t="s">
        <v>1493</v>
      </c>
      <c r="B1249" s="1246" t="s">
        <v>431</v>
      </c>
      <c r="C1249" s="1247">
        <v>4</v>
      </c>
      <c r="E1249" s="1246" t="s">
        <v>1494</v>
      </c>
      <c r="F1249" s="1248">
        <v>1</v>
      </c>
      <c r="G1249" s="1248">
        <v>1</v>
      </c>
      <c r="H1249" s="1249">
        <v>1</v>
      </c>
      <c r="I1249" s="1246" t="s">
        <v>1491</v>
      </c>
      <c r="J1249" s="1246" t="s">
        <v>1470</v>
      </c>
      <c r="K1249" s="1284" t="str">
        <f t="shared" si="19"/>
        <v>7C</v>
      </c>
      <c r="L1249" s="1246" t="s">
        <v>1502</v>
      </c>
      <c r="M1249" s="1250">
        <v>4</v>
      </c>
      <c r="N1249" s="1251">
        <v>6</v>
      </c>
      <c r="O1249" s="1252">
        <v>6</v>
      </c>
    </row>
    <row r="1250" spans="1:15">
      <c r="A1250" s="1246" t="s">
        <v>1493</v>
      </c>
      <c r="B1250" s="1246" t="s">
        <v>431</v>
      </c>
      <c r="C1250" s="1247">
        <v>4</v>
      </c>
      <c r="E1250" s="1246" t="s">
        <v>1494</v>
      </c>
      <c r="F1250" s="1248">
        <v>1</v>
      </c>
      <c r="G1250" s="1248">
        <v>1</v>
      </c>
      <c r="H1250" s="1249">
        <v>1</v>
      </c>
      <c r="I1250" s="1246" t="s">
        <v>1491</v>
      </c>
      <c r="J1250" s="1246" t="s">
        <v>1469</v>
      </c>
      <c r="K1250" s="1284">
        <f t="shared" si="19"/>
        <v>70</v>
      </c>
      <c r="L1250" s="1246" t="s">
        <v>1534</v>
      </c>
      <c r="M1250" s="1250">
        <v>4</v>
      </c>
      <c r="N1250" s="1251">
        <v>2</v>
      </c>
      <c r="O1250" s="1252">
        <v>2</v>
      </c>
    </row>
    <row r="1251" spans="1:15">
      <c r="A1251" s="1246" t="s">
        <v>1493</v>
      </c>
      <c r="B1251" s="1246" t="s">
        <v>431</v>
      </c>
      <c r="C1251" s="1247">
        <v>4</v>
      </c>
      <c r="E1251" s="1246" t="s">
        <v>376</v>
      </c>
      <c r="F1251" s="1248">
        <v>1</v>
      </c>
      <c r="G1251" s="1248">
        <v>1</v>
      </c>
      <c r="H1251" s="1249">
        <v>1</v>
      </c>
      <c r="I1251" s="1246" t="s">
        <v>1491</v>
      </c>
      <c r="J1251" s="1246" t="s">
        <v>1469</v>
      </c>
      <c r="K1251" s="1284">
        <f t="shared" si="19"/>
        <v>70</v>
      </c>
      <c r="L1251" s="1246" t="s">
        <v>1542</v>
      </c>
      <c r="M1251" s="1250">
        <v>6</v>
      </c>
      <c r="N1251" s="1251">
        <v>1</v>
      </c>
      <c r="O1251" s="1252">
        <v>1</v>
      </c>
    </row>
    <row r="1252" spans="1:15">
      <c r="A1252" s="1246" t="s">
        <v>1493</v>
      </c>
      <c r="B1252" s="1246" t="s">
        <v>431</v>
      </c>
      <c r="C1252" s="1247">
        <v>4</v>
      </c>
      <c r="E1252" s="1246" t="s">
        <v>1412</v>
      </c>
      <c r="F1252" s="1248">
        <v>1</v>
      </c>
      <c r="G1252" s="1248">
        <v>1</v>
      </c>
      <c r="H1252" s="1249">
        <v>1</v>
      </c>
      <c r="I1252" s="1246" t="s">
        <v>1491</v>
      </c>
      <c r="J1252" s="1246" t="s">
        <v>1468</v>
      </c>
      <c r="K1252" s="1284" t="str">
        <f t="shared" si="19"/>
        <v>7A</v>
      </c>
      <c r="L1252" s="1246" t="s">
        <v>1545</v>
      </c>
      <c r="M1252" s="1250">
        <v>4</v>
      </c>
      <c r="N1252" s="1251">
        <v>1</v>
      </c>
      <c r="O1252" s="1252">
        <v>1</v>
      </c>
    </row>
    <row r="1253" spans="1:15">
      <c r="A1253" s="1246" t="s">
        <v>1493</v>
      </c>
      <c r="B1253" s="1246" t="s">
        <v>431</v>
      </c>
      <c r="C1253" s="1247">
        <v>4</v>
      </c>
      <c r="E1253" s="1246" t="s">
        <v>1494</v>
      </c>
      <c r="F1253" s="1248">
        <v>1</v>
      </c>
      <c r="G1253" s="1248">
        <v>1</v>
      </c>
      <c r="H1253" s="1249">
        <v>1</v>
      </c>
      <c r="I1253" s="1246" t="s">
        <v>1491</v>
      </c>
      <c r="J1253" s="1246" t="s">
        <v>1468</v>
      </c>
      <c r="K1253" s="1284" t="str">
        <f t="shared" si="19"/>
        <v>7A</v>
      </c>
      <c r="L1253" s="1246" t="s">
        <v>1545</v>
      </c>
      <c r="M1253" s="1250">
        <v>4</v>
      </c>
      <c r="N1253" s="1251">
        <v>2</v>
      </c>
      <c r="O1253" s="1252">
        <v>2</v>
      </c>
    </row>
    <row r="1254" spans="1:15">
      <c r="A1254" s="1246" t="s">
        <v>1493</v>
      </c>
      <c r="B1254" s="1246" t="s">
        <v>431</v>
      </c>
      <c r="C1254" s="1247">
        <v>4</v>
      </c>
      <c r="E1254" s="1246" t="s">
        <v>1412</v>
      </c>
      <c r="F1254" s="1248">
        <v>1</v>
      </c>
      <c r="G1254" s="1248">
        <v>1</v>
      </c>
      <c r="H1254" s="1249">
        <v>1</v>
      </c>
      <c r="I1254" s="1246" t="s">
        <v>1491</v>
      </c>
      <c r="J1254" s="1246" t="s">
        <v>1400</v>
      </c>
      <c r="K1254" s="1284" t="str">
        <f t="shared" si="19"/>
        <v>70</v>
      </c>
      <c r="L1254" s="1246" t="s">
        <v>1544</v>
      </c>
      <c r="M1254" s="1250">
        <v>9</v>
      </c>
      <c r="N1254" s="1251">
        <v>1</v>
      </c>
      <c r="O1254" s="1252">
        <v>1</v>
      </c>
    </row>
    <row r="1255" spans="1:15">
      <c r="A1255" s="1246" t="s">
        <v>1493</v>
      </c>
      <c r="B1255" s="1246" t="s">
        <v>431</v>
      </c>
      <c r="C1255" s="1247">
        <v>4</v>
      </c>
      <c r="E1255" s="1246" t="s">
        <v>1494</v>
      </c>
      <c r="F1255" s="1248">
        <v>1</v>
      </c>
      <c r="G1255" s="1248">
        <v>1</v>
      </c>
      <c r="H1255" s="1249">
        <v>1</v>
      </c>
      <c r="I1255" s="1246" t="s">
        <v>1491</v>
      </c>
      <c r="J1255" s="1246" t="s">
        <v>1400</v>
      </c>
      <c r="K1255" s="1284" t="str">
        <f t="shared" si="19"/>
        <v>70</v>
      </c>
      <c r="L1255" s="1246" t="s">
        <v>1544</v>
      </c>
      <c r="M1255" s="1250">
        <v>9</v>
      </c>
      <c r="N1255" s="1251">
        <v>1</v>
      </c>
      <c r="O1255" s="1252">
        <v>1</v>
      </c>
    </row>
    <row r="1256" spans="1:15">
      <c r="A1256" s="1246" t="s">
        <v>1493</v>
      </c>
      <c r="B1256" s="1246" t="s">
        <v>431</v>
      </c>
      <c r="C1256" s="1247">
        <v>4</v>
      </c>
      <c r="E1256" s="1246" t="s">
        <v>1494</v>
      </c>
      <c r="F1256" s="1248">
        <v>1</v>
      </c>
      <c r="G1256" s="1248">
        <v>1</v>
      </c>
      <c r="H1256" s="1249">
        <v>1</v>
      </c>
      <c r="I1256" s="1246" t="s">
        <v>1491</v>
      </c>
      <c r="J1256" s="1246" t="s">
        <v>1463</v>
      </c>
      <c r="K1256" s="1284" t="str">
        <f t="shared" si="19"/>
        <v>72</v>
      </c>
      <c r="L1256" s="1246" t="s">
        <v>1529</v>
      </c>
      <c r="M1256" s="1250">
        <v>9</v>
      </c>
      <c r="N1256" s="1251">
        <v>1</v>
      </c>
      <c r="O1256" s="1252">
        <v>1</v>
      </c>
    </row>
    <row r="1257" spans="1:15">
      <c r="A1257" s="1246" t="s">
        <v>1493</v>
      </c>
      <c r="B1257" s="1246" t="s">
        <v>431</v>
      </c>
      <c r="C1257" s="1247">
        <v>4</v>
      </c>
      <c r="E1257" s="1246" t="s">
        <v>376</v>
      </c>
      <c r="F1257" s="1248">
        <v>1</v>
      </c>
      <c r="G1257" s="1248">
        <v>1</v>
      </c>
      <c r="H1257" s="1249">
        <v>1</v>
      </c>
      <c r="I1257" s="1246" t="s">
        <v>1491</v>
      </c>
      <c r="J1257" s="1246" t="s">
        <v>1463</v>
      </c>
      <c r="K1257" s="1284" t="str">
        <f t="shared" si="19"/>
        <v>72</v>
      </c>
      <c r="L1257" s="1246" t="s">
        <v>1529</v>
      </c>
      <c r="M1257" s="1250">
        <v>9</v>
      </c>
      <c r="N1257" s="1251">
        <v>1</v>
      </c>
      <c r="O1257" s="1252">
        <v>1</v>
      </c>
    </row>
    <row r="1258" spans="1:15">
      <c r="A1258" s="1246" t="s">
        <v>1493</v>
      </c>
      <c r="B1258" s="1246" t="s">
        <v>431</v>
      </c>
      <c r="C1258" s="1247">
        <v>4</v>
      </c>
      <c r="E1258" s="1246" t="s">
        <v>370</v>
      </c>
      <c r="F1258" s="1248">
        <v>1</v>
      </c>
      <c r="G1258" s="1248">
        <v>1</v>
      </c>
      <c r="H1258" s="1249">
        <v>1</v>
      </c>
      <c r="I1258" s="1246" t="s">
        <v>1491</v>
      </c>
      <c r="J1258" s="1246" t="s">
        <v>1462</v>
      </c>
      <c r="K1258" s="1284" t="str">
        <f t="shared" si="19"/>
        <v>71</v>
      </c>
      <c r="L1258" s="1246" t="s">
        <v>1495</v>
      </c>
      <c r="M1258" s="1250">
        <v>9</v>
      </c>
      <c r="N1258" s="1251">
        <v>4</v>
      </c>
      <c r="O1258" s="1252">
        <v>4</v>
      </c>
    </row>
    <row r="1259" spans="1:15">
      <c r="A1259" s="1246" t="s">
        <v>1493</v>
      </c>
      <c r="B1259" s="1246" t="s">
        <v>431</v>
      </c>
      <c r="C1259" s="1247">
        <v>4</v>
      </c>
      <c r="E1259" s="1246" t="s">
        <v>1412</v>
      </c>
      <c r="F1259" s="1248">
        <v>1</v>
      </c>
      <c r="G1259" s="1248">
        <v>1</v>
      </c>
      <c r="H1259" s="1249">
        <v>1</v>
      </c>
      <c r="I1259" s="1246" t="s">
        <v>1491</v>
      </c>
      <c r="J1259" s="1246" t="s">
        <v>1462</v>
      </c>
      <c r="K1259" s="1284" t="str">
        <f t="shared" si="19"/>
        <v>71</v>
      </c>
      <c r="L1259" s="1246" t="s">
        <v>1495</v>
      </c>
      <c r="M1259" s="1250">
        <v>9</v>
      </c>
      <c r="N1259" s="1251">
        <v>8</v>
      </c>
      <c r="O1259" s="1252">
        <v>8</v>
      </c>
    </row>
    <row r="1260" spans="1:15">
      <c r="A1260" s="1246" t="s">
        <v>1493</v>
      </c>
      <c r="B1260" s="1246" t="s">
        <v>431</v>
      </c>
      <c r="C1260" s="1247">
        <v>4</v>
      </c>
      <c r="E1260" s="1246" t="s">
        <v>279</v>
      </c>
      <c r="F1260" s="1248">
        <v>1</v>
      </c>
      <c r="G1260" s="1248">
        <v>1</v>
      </c>
      <c r="H1260" s="1249">
        <v>1</v>
      </c>
      <c r="I1260" s="1246" t="s">
        <v>1491</v>
      </c>
      <c r="J1260" s="1246" t="s">
        <v>1462</v>
      </c>
      <c r="K1260" s="1284" t="str">
        <f t="shared" si="19"/>
        <v>71</v>
      </c>
      <c r="L1260" s="1246" t="s">
        <v>1495</v>
      </c>
      <c r="M1260" s="1250">
        <v>9</v>
      </c>
      <c r="N1260" s="1251">
        <v>2</v>
      </c>
      <c r="O1260" s="1252">
        <v>2</v>
      </c>
    </row>
    <row r="1261" spans="1:15">
      <c r="A1261" s="1246" t="s">
        <v>1493</v>
      </c>
      <c r="B1261" s="1246" t="s">
        <v>431</v>
      </c>
      <c r="C1261" s="1247">
        <v>4</v>
      </c>
      <c r="E1261" s="1246" t="s">
        <v>1494</v>
      </c>
      <c r="F1261" s="1248">
        <v>1</v>
      </c>
      <c r="G1261" s="1248">
        <v>1</v>
      </c>
      <c r="H1261" s="1249">
        <v>1</v>
      </c>
      <c r="I1261" s="1246" t="s">
        <v>1491</v>
      </c>
      <c r="J1261" s="1246" t="s">
        <v>1462</v>
      </c>
      <c r="K1261" s="1284" t="str">
        <f t="shared" si="19"/>
        <v>71</v>
      </c>
      <c r="L1261" s="1246" t="s">
        <v>1495</v>
      </c>
      <c r="M1261" s="1250">
        <v>9</v>
      </c>
      <c r="N1261" s="1251">
        <v>99</v>
      </c>
      <c r="O1261" s="1252">
        <v>99</v>
      </c>
    </row>
    <row r="1262" spans="1:15">
      <c r="A1262" s="1246" t="s">
        <v>683</v>
      </c>
      <c r="B1262" s="1246" t="s">
        <v>431</v>
      </c>
      <c r="C1262" s="1247">
        <v>4</v>
      </c>
      <c r="E1262" s="1246" t="s">
        <v>1494</v>
      </c>
      <c r="F1262" s="1248">
        <v>1</v>
      </c>
      <c r="G1262" s="1248">
        <v>1</v>
      </c>
      <c r="H1262" s="1249">
        <v>1</v>
      </c>
      <c r="I1262" s="1246" t="s">
        <v>1491</v>
      </c>
      <c r="J1262" s="1246" t="s">
        <v>1462</v>
      </c>
      <c r="K1262" s="1284" t="str">
        <f t="shared" si="19"/>
        <v>71</v>
      </c>
      <c r="L1262" s="1246" t="s">
        <v>1495</v>
      </c>
      <c r="M1262" s="1250">
        <v>9</v>
      </c>
      <c r="N1262" s="1251">
        <v>1</v>
      </c>
      <c r="O1262" s="1252">
        <v>1</v>
      </c>
    </row>
    <row r="1263" spans="1:15">
      <c r="A1263" s="1246" t="s">
        <v>1493</v>
      </c>
      <c r="B1263" s="1246" t="s">
        <v>431</v>
      </c>
      <c r="C1263" s="1247">
        <v>4</v>
      </c>
      <c r="E1263" s="1246" t="s">
        <v>1494</v>
      </c>
      <c r="F1263" s="1248">
        <v>1</v>
      </c>
      <c r="G1263" s="1248">
        <v>1</v>
      </c>
      <c r="H1263" s="1249">
        <v>1</v>
      </c>
      <c r="I1263" s="1246" t="s">
        <v>1491</v>
      </c>
      <c r="J1263" s="1246" t="s">
        <v>1400</v>
      </c>
      <c r="K1263" s="1284" t="str">
        <f t="shared" si="19"/>
        <v>70</v>
      </c>
      <c r="L1263" s="1246" t="s">
        <v>1536</v>
      </c>
      <c r="M1263" s="1250">
        <v>9</v>
      </c>
      <c r="N1263" s="1251">
        <v>1</v>
      </c>
      <c r="O1263" s="1252">
        <v>1</v>
      </c>
    </row>
    <row r="1264" spans="1:15">
      <c r="A1264" s="1246" t="s">
        <v>1493</v>
      </c>
      <c r="B1264" s="1246" t="s">
        <v>431</v>
      </c>
      <c r="C1264" s="1247">
        <v>4</v>
      </c>
      <c r="E1264" s="1246" t="s">
        <v>376</v>
      </c>
      <c r="F1264" s="1248">
        <v>1</v>
      </c>
      <c r="G1264" s="1248">
        <v>1</v>
      </c>
      <c r="H1264" s="1249">
        <v>1</v>
      </c>
      <c r="I1264" s="1246" t="s">
        <v>1491</v>
      </c>
      <c r="J1264" s="1246" t="s">
        <v>1466</v>
      </c>
      <c r="K1264" s="1284" t="str">
        <f t="shared" si="19"/>
        <v>75</v>
      </c>
      <c r="L1264" s="1246" t="s">
        <v>1530</v>
      </c>
      <c r="M1264" s="1250">
        <v>9</v>
      </c>
      <c r="N1264" s="1251">
        <v>1</v>
      </c>
      <c r="O1264" s="1252">
        <v>1</v>
      </c>
    </row>
    <row r="1265" spans="1:15">
      <c r="A1265" s="1246" t="s">
        <v>1493</v>
      </c>
      <c r="B1265" s="1246" t="s">
        <v>431</v>
      </c>
      <c r="C1265" s="1247">
        <v>4</v>
      </c>
      <c r="E1265" s="1246" t="s">
        <v>1412</v>
      </c>
      <c r="F1265" s="1248">
        <v>1</v>
      </c>
      <c r="G1265" s="1248">
        <v>1</v>
      </c>
      <c r="H1265" s="1249">
        <v>1</v>
      </c>
      <c r="I1265" s="1246" t="s">
        <v>1491</v>
      </c>
      <c r="J1265" s="1246" t="s">
        <v>1466</v>
      </c>
      <c r="K1265" s="1284" t="str">
        <f t="shared" si="19"/>
        <v>75</v>
      </c>
      <c r="L1265" s="1246" t="s">
        <v>1530</v>
      </c>
      <c r="M1265" s="1250">
        <v>9</v>
      </c>
      <c r="N1265" s="1251">
        <v>1</v>
      </c>
      <c r="O1265" s="1252">
        <v>1</v>
      </c>
    </row>
    <row r="1266" spans="1:15">
      <c r="A1266" s="1246" t="s">
        <v>1493</v>
      </c>
      <c r="B1266" s="1246" t="s">
        <v>431</v>
      </c>
      <c r="C1266" s="1247">
        <v>4</v>
      </c>
      <c r="E1266" s="1246" t="s">
        <v>1494</v>
      </c>
      <c r="F1266" s="1248">
        <v>1</v>
      </c>
      <c r="G1266" s="1248">
        <v>1</v>
      </c>
      <c r="H1266" s="1249">
        <v>1</v>
      </c>
      <c r="I1266" s="1246" t="s">
        <v>1491</v>
      </c>
      <c r="J1266" s="1246" t="s">
        <v>1466</v>
      </c>
      <c r="K1266" s="1284" t="str">
        <f t="shared" si="19"/>
        <v>75</v>
      </c>
      <c r="L1266" s="1246" t="s">
        <v>1530</v>
      </c>
      <c r="M1266" s="1250">
        <v>9</v>
      </c>
      <c r="N1266" s="1251">
        <v>3</v>
      </c>
      <c r="O1266" s="1252">
        <v>3</v>
      </c>
    </row>
    <row r="1267" spans="1:15">
      <c r="A1267" s="1246" t="s">
        <v>1493</v>
      </c>
      <c r="B1267" s="1246" t="s">
        <v>431</v>
      </c>
      <c r="C1267" s="1247">
        <v>4</v>
      </c>
      <c r="E1267" s="1246" t="s">
        <v>1412</v>
      </c>
      <c r="F1267" s="1248">
        <v>1</v>
      </c>
      <c r="G1267" s="1248">
        <v>1</v>
      </c>
      <c r="H1267" s="1249">
        <v>1</v>
      </c>
      <c r="I1267" s="1246" t="s">
        <v>1491</v>
      </c>
      <c r="J1267" s="1246" t="s">
        <v>1400</v>
      </c>
      <c r="K1267" s="1284" t="str">
        <f t="shared" si="19"/>
        <v>70</v>
      </c>
      <c r="L1267" s="1246" t="s">
        <v>1532</v>
      </c>
      <c r="M1267" s="1250">
        <v>9</v>
      </c>
      <c r="N1267" s="1251">
        <v>1</v>
      </c>
      <c r="O1267" s="1252">
        <v>1</v>
      </c>
    </row>
    <row r="1268" spans="1:15">
      <c r="A1268" s="1246" t="s">
        <v>1493</v>
      </c>
      <c r="B1268" s="1246" t="s">
        <v>431</v>
      </c>
      <c r="C1268" s="1247">
        <v>4</v>
      </c>
      <c r="E1268" s="1246" t="s">
        <v>279</v>
      </c>
      <c r="F1268" s="1248">
        <v>1</v>
      </c>
      <c r="G1268" s="1248">
        <v>1</v>
      </c>
      <c r="H1268" s="1249">
        <v>1</v>
      </c>
      <c r="I1268" s="1246" t="s">
        <v>1491</v>
      </c>
      <c r="J1268" s="1246" t="s">
        <v>1400</v>
      </c>
      <c r="K1268" s="1284" t="str">
        <f t="shared" si="19"/>
        <v>70</v>
      </c>
      <c r="L1268" s="1246" t="s">
        <v>1532</v>
      </c>
      <c r="M1268" s="1250">
        <v>9</v>
      </c>
      <c r="N1268" s="1251">
        <v>1</v>
      </c>
      <c r="O1268" s="1252">
        <v>1</v>
      </c>
    </row>
    <row r="1269" spans="1:15">
      <c r="A1269" s="1246" t="s">
        <v>1493</v>
      </c>
      <c r="B1269" s="1246" t="s">
        <v>431</v>
      </c>
      <c r="C1269" s="1247">
        <v>4</v>
      </c>
      <c r="E1269" s="1246" t="s">
        <v>1494</v>
      </c>
      <c r="F1269" s="1248">
        <v>1</v>
      </c>
      <c r="G1269" s="1248">
        <v>1</v>
      </c>
      <c r="H1269" s="1249">
        <v>1</v>
      </c>
      <c r="I1269" s="1246" t="s">
        <v>1491</v>
      </c>
      <c r="J1269" s="1246" t="s">
        <v>1400</v>
      </c>
      <c r="K1269" s="1284" t="str">
        <f t="shared" si="19"/>
        <v>70</v>
      </c>
      <c r="L1269" s="1246" t="s">
        <v>1532</v>
      </c>
      <c r="M1269" s="1250">
        <v>9</v>
      </c>
      <c r="N1269" s="1251">
        <v>4</v>
      </c>
      <c r="O1269" s="1252">
        <v>4</v>
      </c>
    </row>
    <row r="1270" spans="1:15">
      <c r="A1270" s="1246" t="s">
        <v>1493</v>
      </c>
      <c r="B1270" s="1246" t="s">
        <v>431</v>
      </c>
      <c r="C1270" s="1247">
        <v>4</v>
      </c>
      <c r="E1270" s="1246" t="s">
        <v>376</v>
      </c>
      <c r="F1270" s="1248">
        <v>1</v>
      </c>
      <c r="G1270" s="1248">
        <v>1</v>
      </c>
      <c r="H1270" s="1249">
        <v>1</v>
      </c>
      <c r="I1270" s="1246" t="s">
        <v>1491</v>
      </c>
      <c r="J1270" s="1246" t="s">
        <v>1400</v>
      </c>
      <c r="K1270" s="1284" t="str">
        <f t="shared" si="19"/>
        <v>70</v>
      </c>
      <c r="L1270" s="1246" t="s">
        <v>1532</v>
      </c>
      <c r="M1270" s="1250">
        <v>9</v>
      </c>
      <c r="N1270" s="1251">
        <v>9</v>
      </c>
      <c r="O1270" s="1252">
        <v>9</v>
      </c>
    </row>
    <row r="1271" spans="1:15">
      <c r="A1271" s="1246" t="s">
        <v>1493</v>
      </c>
      <c r="B1271" s="1246" t="s">
        <v>431</v>
      </c>
      <c r="C1271" s="1247">
        <v>4</v>
      </c>
      <c r="E1271" s="1246" t="s">
        <v>279</v>
      </c>
      <c r="F1271" s="1248">
        <v>1</v>
      </c>
      <c r="G1271" s="1248">
        <v>1</v>
      </c>
      <c r="H1271" s="1249">
        <v>1</v>
      </c>
      <c r="I1271" s="1246" t="s">
        <v>1491</v>
      </c>
      <c r="J1271" s="1246" t="s">
        <v>1464</v>
      </c>
      <c r="K1271" s="1284" t="str">
        <f t="shared" si="19"/>
        <v>73</v>
      </c>
      <c r="L1271" s="1246" t="s">
        <v>1533</v>
      </c>
      <c r="M1271" s="1250">
        <v>9</v>
      </c>
      <c r="N1271" s="1251">
        <v>1</v>
      </c>
      <c r="O1271" s="1252">
        <v>1</v>
      </c>
    </row>
    <row r="1272" spans="1:15">
      <c r="A1272" s="1246" t="s">
        <v>1493</v>
      </c>
      <c r="B1272" s="1246" t="s">
        <v>431</v>
      </c>
      <c r="C1272" s="1247">
        <v>4</v>
      </c>
      <c r="E1272" s="1246" t="s">
        <v>1494</v>
      </c>
      <c r="F1272" s="1248">
        <v>1</v>
      </c>
      <c r="G1272" s="1248">
        <v>1</v>
      </c>
      <c r="H1272" s="1249">
        <v>1</v>
      </c>
      <c r="I1272" s="1246" t="s">
        <v>1491</v>
      </c>
      <c r="J1272" s="1246" t="s">
        <v>1464</v>
      </c>
      <c r="K1272" s="1284" t="str">
        <f t="shared" si="19"/>
        <v>73</v>
      </c>
      <c r="L1272" s="1246" t="s">
        <v>1533</v>
      </c>
      <c r="M1272" s="1250">
        <v>9</v>
      </c>
      <c r="N1272" s="1251">
        <v>8</v>
      </c>
      <c r="O1272" s="1252">
        <v>8</v>
      </c>
    </row>
    <row r="1273" spans="1:15">
      <c r="A1273" s="1246" t="s">
        <v>683</v>
      </c>
      <c r="B1273" s="1246" t="s">
        <v>431</v>
      </c>
      <c r="C1273" s="1247">
        <v>4</v>
      </c>
      <c r="E1273" s="1246" t="s">
        <v>279</v>
      </c>
      <c r="F1273" s="1248">
        <v>1</v>
      </c>
      <c r="G1273" s="1248">
        <v>1</v>
      </c>
      <c r="H1273" s="1249">
        <v>1</v>
      </c>
      <c r="I1273" s="1246" t="s">
        <v>1491</v>
      </c>
      <c r="J1273" s="1246" t="s">
        <v>1464</v>
      </c>
      <c r="K1273" s="1284" t="str">
        <f t="shared" si="19"/>
        <v>73</v>
      </c>
      <c r="L1273" s="1246" t="s">
        <v>1533</v>
      </c>
      <c r="M1273" s="1250">
        <v>9</v>
      </c>
      <c r="N1273" s="1251">
        <v>1</v>
      </c>
      <c r="O1273" s="1252">
        <v>1</v>
      </c>
    </row>
    <row r="1274" spans="1:15">
      <c r="A1274" s="1246" t="s">
        <v>683</v>
      </c>
      <c r="B1274" s="1246" t="s">
        <v>431</v>
      </c>
      <c r="C1274" s="1247">
        <v>4</v>
      </c>
      <c r="E1274" s="1246" t="s">
        <v>1494</v>
      </c>
      <c r="F1274" s="1248">
        <v>1</v>
      </c>
      <c r="G1274" s="1248">
        <v>1</v>
      </c>
      <c r="H1274" s="1249">
        <v>1</v>
      </c>
      <c r="I1274" s="1246" t="s">
        <v>1491</v>
      </c>
      <c r="J1274" s="1246" t="s">
        <v>1464</v>
      </c>
      <c r="K1274" s="1284" t="str">
        <f t="shared" si="19"/>
        <v>73</v>
      </c>
      <c r="L1274" s="1246" t="s">
        <v>1533</v>
      </c>
      <c r="M1274" s="1250">
        <v>9</v>
      </c>
      <c r="N1274" s="1251">
        <v>1</v>
      </c>
      <c r="O1274" s="1252">
        <v>1</v>
      </c>
    </row>
    <row r="1275" spans="1:15">
      <c r="A1275" s="1246" t="s">
        <v>1493</v>
      </c>
      <c r="B1275" s="1246" t="s">
        <v>431</v>
      </c>
      <c r="C1275" s="1247">
        <v>4</v>
      </c>
      <c r="E1275" s="1246" t="s">
        <v>376</v>
      </c>
      <c r="F1275" s="1248">
        <v>1</v>
      </c>
      <c r="G1275" s="1248">
        <v>1</v>
      </c>
      <c r="H1275" s="1249">
        <v>1</v>
      </c>
      <c r="I1275" s="1246" t="s">
        <v>1491</v>
      </c>
      <c r="J1275" s="1246" t="s">
        <v>1464</v>
      </c>
      <c r="K1275" s="1284" t="str">
        <f t="shared" si="19"/>
        <v>73</v>
      </c>
      <c r="L1275" s="1246" t="s">
        <v>1533</v>
      </c>
      <c r="M1275" s="1250">
        <v>9</v>
      </c>
      <c r="N1275" s="1251">
        <v>1</v>
      </c>
      <c r="O1275" s="1252">
        <v>1</v>
      </c>
    </row>
    <row r="1276" spans="1:15">
      <c r="A1276" s="1246" t="s">
        <v>683</v>
      </c>
      <c r="B1276" s="1246" t="s">
        <v>431</v>
      </c>
      <c r="C1276" s="1247">
        <v>4</v>
      </c>
      <c r="E1276" s="1246" t="s">
        <v>1494</v>
      </c>
      <c r="F1276" s="1248">
        <v>1</v>
      </c>
      <c r="G1276" s="1248">
        <v>1</v>
      </c>
      <c r="H1276" s="1249">
        <v>1</v>
      </c>
      <c r="I1276" s="1246" t="s">
        <v>1491</v>
      </c>
      <c r="J1276" s="1246" t="s">
        <v>1462</v>
      </c>
      <c r="K1276" s="1284" t="str">
        <f t="shared" si="19"/>
        <v>71</v>
      </c>
      <c r="L1276" s="1246" t="s">
        <v>1496</v>
      </c>
      <c r="M1276" s="1250">
        <v>9</v>
      </c>
      <c r="N1276" s="1251">
        <v>1</v>
      </c>
      <c r="O1276" s="1252">
        <v>1</v>
      </c>
    </row>
    <row r="1277" spans="1:15">
      <c r="A1277" s="1246" t="s">
        <v>1493</v>
      </c>
      <c r="B1277" s="1246" t="s">
        <v>431</v>
      </c>
      <c r="C1277" s="1247">
        <v>4</v>
      </c>
      <c r="E1277" s="1246" t="s">
        <v>376</v>
      </c>
      <c r="F1277" s="1248">
        <v>1</v>
      </c>
      <c r="G1277" s="1248">
        <v>1</v>
      </c>
      <c r="H1277" s="1249">
        <v>1</v>
      </c>
      <c r="I1277" s="1246" t="s">
        <v>1491</v>
      </c>
      <c r="J1277" s="1246" t="s">
        <v>1462</v>
      </c>
      <c r="K1277" s="1284" t="str">
        <f t="shared" si="19"/>
        <v>71</v>
      </c>
      <c r="L1277" s="1246" t="s">
        <v>1496</v>
      </c>
      <c r="M1277" s="1250">
        <v>9</v>
      </c>
      <c r="N1277" s="1251">
        <v>14</v>
      </c>
      <c r="O1277" s="1252">
        <v>14</v>
      </c>
    </row>
    <row r="1278" spans="1:15">
      <c r="A1278" s="1246" t="s">
        <v>1493</v>
      </c>
      <c r="B1278" s="1246" t="s">
        <v>431</v>
      </c>
      <c r="C1278" s="1247">
        <v>4</v>
      </c>
      <c r="E1278" s="1246" t="s">
        <v>1412</v>
      </c>
      <c r="F1278" s="1248">
        <v>1</v>
      </c>
      <c r="G1278" s="1248">
        <v>1</v>
      </c>
      <c r="H1278" s="1249">
        <v>1</v>
      </c>
      <c r="I1278" s="1246" t="s">
        <v>1491</v>
      </c>
      <c r="J1278" s="1246" t="s">
        <v>1465</v>
      </c>
      <c r="K1278" s="1284" t="str">
        <f t="shared" si="19"/>
        <v>74</v>
      </c>
      <c r="L1278" s="1246" t="s">
        <v>1543</v>
      </c>
      <c r="M1278" s="1250">
        <v>9</v>
      </c>
      <c r="N1278" s="1251">
        <v>1</v>
      </c>
      <c r="O1278" s="1252">
        <v>1</v>
      </c>
    </row>
    <row r="1279" spans="1:15">
      <c r="A1279" s="1246" t="s">
        <v>683</v>
      </c>
      <c r="B1279" s="1246" t="s">
        <v>431</v>
      </c>
      <c r="C1279" s="1247">
        <v>4</v>
      </c>
      <c r="E1279" s="1246" t="s">
        <v>1494</v>
      </c>
      <c r="F1279" s="1248">
        <v>1</v>
      </c>
      <c r="G1279" s="1248">
        <v>1</v>
      </c>
      <c r="H1279" s="1249">
        <v>1</v>
      </c>
      <c r="I1279" s="1246" t="s">
        <v>1491</v>
      </c>
      <c r="J1279" s="1246" t="s">
        <v>1465</v>
      </c>
      <c r="K1279" s="1284" t="str">
        <f t="shared" si="19"/>
        <v>74</v>
      </c>
      <c r="L1279" s="1246" t="s">
        <v>1543</v>
      </c>
      <c r="M1279" s="1250">
        <v>9</v>
      </c>
      <c r="N1279" s="1251">
        <v>1</v>
      </c>
      <c r="O1279" s="1252">
        <v>1</v>
      </c>
    </row>
    <row r="1280" spans="1:15">
      <c r="A1280" s="1246" t="s">
        <v>1493</v>
      </c>
      <c r="B1280" s="1246" t="s">
        <v>431</v>
      </c>
      <c r="C1280" s="1247">
        <v>4</v>
      </c>
      <c r="E1280" s="1246" t="s">
        <v>1494</v>
      </c>
      <c r="F1280" s="1248">
        <v>1</v>
      </c>
      <c r="G1280" s="1248">
        <v>1</v>
      </c>
      <c r="H1280" s="1249">
        <v>2</v>
      </c>
      <c r="I1280" s="1246" t="s">
        <v>1491</v>
      </c>
      <c r="J1280" s="1246" t="s">
        <v>1462</v>
      </c>
      <c r="K1280" s="1284" t="str">
        <f t="shared" si="19"/>
        <v>71</v>
      </c>
      <c r="L1280" s="1246" t="s">
        <v>1495</v>
      </c>
      <c r="M1280" s="1250">
        <v>9</v>
      </c>
      <c r="N1280" s="1251">
        <v>1</v>
      </c>
      <c r="O1280" s="1252">
        <v>1</v>
      </c>
    </row>
    <row r="1281" spans="1:15">
      <c r="A1281" s="1246" t="s">
        <v>1493</v>
      </c>
      <c r="B1281" s="1246" t="s">
        <v>431</v>
      </c>
      <c r="C1281" s="1247">
        <v>4</v>
      </c>
      <c r="E1281" s="1246" t="s">
        <v>1412</v>
      </c>
      <c r="F1281" s="1248">
        <v>1</v>
      </c>
      <c r="G1281" s="1248">
        <v>1</v>
      </c>
      <c r="H1281" s="1249">
        <v>2</v>
      </c>
      <c r="I1281" s="1246" t="s">
        <v>1491</v>
      </c>
      <c r="J1281" s="1246" t="s">
        <v>1400</v>
      </c>
      <c r="K1281" s="1284" t="str">
        <f t="shared" si="19"/>
        <v>70</v>
      </c>
      <c r="L1281" s="1246" t="s">
        <v>1532</v>
      </c>
      <c r="M1281" s="1250">
        <v>9</v>
      </c>
      <c r="N1281" s="1251">
        <v>1</v>
      </c>
      <c r="O1281" s="1252">
        <v>1</v>
      </c>
    </row>
    <row r="1282" spans="1:15">
      <c r="A1282" s="1246" t="s">
        <v>1493</v>
      </c>
      <c r="B1282" s="1246" t="s">
        <v>431</v>
      </c>
      <c r="C1282" s="1247">
        <v>4</v>
      </c>
      <c r="E1282" s="1246" t="s">
        <v>376</v>
      </c>
      <c r="F1282" s="1248">
        <v>1</v>
      </c>
      <c r="G1282" s="1248">
        <v>1</v>
      </c>
      <c r="H1282" s="1249">
        <v>2</v>
      </c>
      <c r="I1282" s="1246" t="s">
        <v>1491</v>
      </c>
      <c r="J1282" s="1246" t="s">
        <v>1462</v>
      </c>
      <c r="K1282" s="1284" t="str">
        <f t="shared" ref="K1282:K1345" si="20">IF(J1282="1B","10", IF(J1282="2B","20",IF(J1282="3B","30",IF(J1282="7B",70,J1282))))</f>
        <v>71</v>
      </c>
      <c r="L1282" s="1246" t="s">
        <v>1496</v>
      </c>
      <c r="M1282" s="1250">
        <v>9</v>
      </c>
      <c r="N1282" s="1251">
        <v>1</v>
      </c>
      <c r="O1282" s="1252">
        <v>1</v>
      </c>
    </row>
    <row r="1283" spans="1:15">
      <c r="A1283" s="1246" t="s">
        <v>1493</v>
      </c>
      <c r="B1283" s="1246" t="s">
        <v>431</v>
      </c>
      <c r="C1283" s="1247">
        <v>4</v>
      </c>
      <c r="E1283" s="1246" t="s">
        <v>1494</v>
      </c>
      <c r="F1283" s="1248">
        <v>1</v>
      </c>
      <c r="G1283" s="1248">
        <v>2</v>
      </c>
      <c r="H1283" s="1249">
        <v>1</v>
      </c>
      <c r="I1283" s="1246" t="s">
        <v>1491</v>
      </c>
      <c r="J1283" s="1246" t="s">
        <v>1470</v>
      </c>
      <c r="K1283" s="1284" t="str">
        <f t="shared" si="20"/>
        <v>7C</v>
      </c>
      <c r="L1283" s="1246" t="s">
        <v>1502</v>
      </c>
      <c r="M1283" s="1250">
        <v>4</v>
      </c>
      <c r="N1283" s="1251">
        <v>1</v>
      </c>
      <c r="O1283" s="1252">
        <v>1</v>
      </c>
    </row>
    <row r="1284" spans="1:15">
      <c r="A1284" s="1246" t="s">
        <v>1493</v>
      </c>
      <c r="B1284" s="1246" t="s">
        <v>431</v>
      </c>
      <c r="C1284" s="1247">
        <v>4</v>
      </c>
      <c r="E1284" s="1246" t="s">
        <v>376</v>
      </c>
      <c r="F1284" s="1248">
        <v>1</v>
      </c>
      <c r="G1284" s="1248">
        <v>2</v>
      </c>
      <c r="H1284" s="1249">
        <v>1</v>
      </c>
      <c r="I1284" s="1246" t="s">
        <v>1491</v>
      </c>
      <c r="J1284" s="1246" t="s">
        <v>1470</v>
      </c>
      <c r="K1284" s="1284" t="str">
        <f t="shared" si="20"/>
        <v>7C</v>
      </c>
      <c r="L1284" s="1246" t="s">
        <v>1502</v>
      </c>
      <c r="M1284" s="1250">
        <v>4</v>
      </c>
      <c r="N1284" s="1251">
        <v>1</v>
      </c>
      <c r="O1284" s="1252">
        <v>1</v>
      </c>
    </row>
    <row r="1285" spans="1:15">
      <c r="A1285" s="1246" t="s">
        <v>1493</v>
      </c>
      <c r="B1285" s="1246" t="s">
        <v>431</v>
      </c>
      <c r="C1285" s="1247">
        <v>4</v>
      </c>
      <c r="E1285" s="1246" t="s">
        <v>1494</v>
      </c>
      <c r="F1285" s="1248">
        <v>1</v>
      </c>
      <c r="G1285" s="1248">
        <v>2</v>
      </c>
      <c r="H1285" s="1249">
        <v>1</v>
      </c>
      <c r="I1285" s="1246" t="s">
        <v>1491</v>
      </c>
      <c r="J1285" s="1246" t="s">
        <v>1469</v>
      </c>
      <c r="K1285" s="1284">
        <f t="shared" si="20"/>
        <v>70</v>
      </c>
      <c r="L1285" s="1246" t="s">
        <v>1534</v>
      </c>
      <c r="M1285" s="1250">
        <v>4</v>
      </c>
      <c r="N1285" s="1251">
        <v>1</v>
      </c>
      <c r="O1285" s="1252">
        <v>1</v>
      </c>
    </row>
    <row r="1286" spans="1:15">
      <c r="A1286" s="1246" t="s">
        <v>1493</v>
      </c>
      <c r="B1286" s="1246" t="s">
        <v>431</v>
      </c>
      <c r="C1286" s="1247">
        <v>4</v>
      </c>
      <c r="E1286" s="1246" t="s">
        <v>1412</v>
      </c>
      <c r="F1286" s="1248">
        <v>1</v>
      </c>
      <c r="G1286" s="1248">
        <v>2</v>
      </c>
      <c r="H1286" s="1249">
        <v>1</v>
      </c>
      <c r="I1286" s="1246" t="s">
        <v>1491</v>
      </c>
      <c r="J1286" s="1246" t="s">
        <v>1463</v>
      </c>
      <c r="K1286" s="1284" t="str">
        <f t="shared" si="20"/>
        <v>72</v>
      </c>
      <c r="L1286" s="1246" t="s">
        <v>1529</v>
      </c>
      <c r="M1286" s="1250">
        <v>9</v>
      </c>
      <c r="N1286" s="1251">
        <v>1</v>
      </c>
      <c r="O1286" s="1252">
        <v>1</v>
      </c>
    </row>
    <row r="1287" spans="1:15">
      <c r="A1287" s="1246" t="s">
        <v>1493</v>
      </c>
      <c r="B1287" s="1246" t="s">
        <v>431</v>
      </c>
      <c r="C1287" s="1247">
        <v>4</v>
      </c>
      <c r="E1287" s="1246" t="s">
        <v>1494</v>
      </c>
      <c r="F1287" s="1248">
        <v>1</v>
      </c>
      <c r="G1287" s="1248">
        <v>2</v>
      </c>
      <c r="H1287" s="1249">
        <v>1</v>
      </c>
      <c r="I1287" s="1246" t="s">
        <v>1491</v>
      </c>
      <c r="J1287" s="1246" t="s">
        <v>1463</v>
      </c>
      <c r="K1287" s="1284" t="str">
        <f t="shared" si="20"/>
        <v>72</v>
      </c>
      <c r="L1287" s="1246" t="s">
        <v>1529</v>
      </c>
      <c r="M1287" s="1250">
        <v>9</v>
      </c>
      <c r="N1287" s="1251">
        <v>2</v>
      </c>
      <c r="O1287" s="1252">
        <v>2</v>
      </c>
    </row>
    <row r="1288" spans="1:15">
      <c r="A1288" s="1246" t="s">
        <v>1493</v>
      </c>
      <c r="B1288" s="1246" t="s">
        <v>431</v>
      </c>
      <c r="C1288" s="1247">
        <v>4</v>
      </c>
      <c r="E1288" s="1246" t="s">
        <v>370</v>
      </c>
      <c r="F1288" s="1248">
        <v>1</v>
      </c>
      <c r="G1288" s="1248">
        <v>2</v>
      </c>
      <c r="H1288" s="1249">
        <v>1</v>
      </c>
      <c r="I1288" s="1246" t="s">
        <v>1491</v>
      </c>
      <c r="J1288" s="1246" t="s">
        <v>1463</v>
      </c>
      <c r="K1288" s="1284" t="str">
        <f t="shared" si="20"/>
        <v>72</v>
      </c>
      <c r="L1288" s="1246" t="s">
        <v>1529</v>
      </c>
      <c r="M1288" s="1250">
        <v>9</v>
      </c>
      <c r="N1288" s="1251">
        <v>1</v>
      </c>
      <c r="O1288" s="1252">
        <v>1</v>
      </c>
    </row>
    <row r="1289" spans="1:15">
      <c r="A1289" s="1246" t="s">
        <v>1493</v>
      </c>
      <c r="B1289" s="1246" t="s">
        <v>431</v>
      </c>
      <c r="C1289" s="1247">
        <v>4</v>
      </c>
      <c r="E1289" s="1246" t="s">
        <v>376</v>
      </c>
      <c r="F1289" s="1248">
        <v>1</v>
      </c>
      <c r="G1289" s="1248">
        <v>2</v>
      </c>
      <c r="H1289" s="1249">
        <v>1</v>
      </c>
      <c r="I1289" s="1246" t="s">
        <v>1491</v>
      </c>
      <c r="J1289" s="1246" t="s">
        <v>1463</v>
      </c>
      <c r="K1289" s="1284" t="str">
        <f t="shared" si="20"/>
        <v>72</v>
      </c>
      <c r="L1289" s="1246" t="s">
        <v>1529</v>
      </c>
      <c r="M1289" s="1250">
        <v>9</v>
      </c>
      <c r="N1289" s="1251">
        <v>1</v>
      </c>
      <c r="O1289" s="1252">
        <v>1</v>
      </c>
    </row>
    <row r="1290" spans="1:15">
      <c r="A1290" s="1246" t="s">
        <v>1493</v>
      </c>
      <c r="B1290" s="1246" t="s">
        <v>431</v>
      </c>
      <c r="C1290" s="1247">
        <v>4</v>
      </c>
      <c r="E1290" s="1246" t="s">
        <v>1412</v>
      </c>
      <c r="F1290" s="1248">
        <v>1</v>
      </c>
      <c r="G1290" s="1248">
        <v>2</v>
      </c>
      <c r="H1290" s="1249">
        <v>1</v>
      </c>
      <c r="I1290" s="1246" t="s">
        <v>1491</v>
      </c>
      <c r="J1290" s="1246" t="s">
        <v>1462</v>
      </c>
      <c r="K1290" s="1284" t="str">
        <f t="shared" si="20"/>
        <v>71</v>
      </c>
      <c r="L1290" s="1246" t="s">
        <v>1495</v>
      </c>
      <c r="M1290" s="1250">
        <v>9</v>
      </c>
      <c r="N1290" s="1251">
        <v>5</v>
      </c>
      <c r="O1290" s="1252">
        <v>5</v>
      </c>
    </row>
    <row r="1291" spans="1:15">
      <c r="A1291" s="1246" t="s">
        <v>1493</v>
      </c>
      <c r="B1291" s="1246" t="s">
        <v>431</v>
      </c>
      <c r="C1291" s="1247">
        <v>4</v>
      </c>
      <c r="E1291" s="1246" t="s">
        <v>279</v>
      </c>
      <c r="F1291" s="1248">
        <v>1</v>
      </c>
      <c r="G1291" s="1248">
        <v>2</v>
      </c>
      <c r="H1291" s="1249">
        <v>1</v>
      </c>
      <c r="I1291" s="1246" t="s">
        <v>1491</v>
      </c>
      <c r="J1291" s="1246" t="s">
        <v>1462</v>
      </c>
      <c r="K1291" s="1284" t="str">
        <f t="shared" si="20"/>
        <v>71</v>
      </c>
      <c r="L1291" s="1246" t="s">
        <v>1495</v>
      </c>
      <c r="M1291" s="1250">
        <v>9</v>
      </c>
      <c r="N1291" s="1251">
        <v>1</v>
      </c>
      <c r="O1291" s="1252">
        <v>1</v>
      </c>
    </row>
    <row r="1292" spans="1:15">
      <c r="A1292" s="1246" t="s">
        <v>1493</v>
      </c>
      <c r="B1292" s="1246" t="s">
        <v>431</v>
      </c>
      <c r="C1292" s="1247">
        <v>4</v>
      </c>
      <c r="E1292" s="1246" t="s">
        <v>1494</v>
      </c>
      <c r="F1292" s="1248">
        <v>1</v>
      </c>
      <c r="G1292" s="1248">
        <v>2</v>
      </c>
      <c r="H1292" s="1249">
        <v>1</v>
      </c>
      <c r="I1292" s="1246" t="s">
        <v>1491</v>
      </c>
      <c r="J1292" s="1246" t="s">
        <v>1462</v>
      </c>
      <c r="K1292" s="1284" t="str">
        <f t="shared" si="20"/>
        <v>71</v>
      </c>
      <c r="L1292" s="1246" t="s">
        <v>1495</v>
      </c>
      <c r="M1292" s="1250">
        <v>9</v>
      </c>
      <c r="N1292" s="1251">
        <v>40</v>
      </c>
      <c r="O1292" s="1252">
        <v>40</v>
      </c>
    </row>
    <row r="1293" spans="1:15">
      <c r="A1293" s="1246" t="s">
        <v>683</v>
      </c>
      <c r="B1293" s="1246" t="s">
        <v>431</v>
      </c>
      <c r="C1293" s="1247">
        <v>4</v>
      </c>
      <c r="E1293" s="1246" t="s">
        <v>1494</v>
      </c>
      <c r="F1293" s="1248">
        <v>1</v>
      </c>
      <c r="G1293" s="1248">
        <v>2</v>
      </c>
      <c r="H1293" s="1249">
        <v>1</v>
      </c>
      <c r="I1293" s="1246" t="s">
        <v>1491</v>
      </c>
      <c r="J1293" s="1246" t="s">
        <v>1462</v>
      </c>
      <c r="K1293" s="1284" t="str">
        <f t="shared" si="20"/>
        <v>71</v>
      </c>
      <c r="L1293" s="1246" t="s">
        <v>1495</v>
      </c>
      <c r="M1293" s="1250">
        <v>9</v>
      </c>
      <c r="N1293" s="1251">
        <v>4</v>
      </c>
      <c r="O1293" s="1252">
        <v>4</v>
      </c>
    </row>
    <row r="1294" spans="1:15">
      <c r="A1294" s="1246" t="s">
        <v>1493</v>
      </c>
      <c r="B1294" s="1246" t="s">
        <v>431</v>
      </c>
      <c r="C1294" s="1247">
        <v>4</v>
      </c>
      <c r="E1294" s="1246" t="s">
        <v>376</v>
      </c>
      <c r="F1294" s="1248">
        <v>1</v>
      </c>
      <c r="G1294" s="1248">
        <v>2</v>
      </c>
      <c r="H1294" s="1249">
        <v>1</v>
      </c>
      <c r="I1294" s="1246" t="s">
        <v>1491</v>
      </c>
      <c r="J1294" s="1246" t="s">
        <v>1466</v>
      </c>
      <c r="K1294" s="1284" t="str">
        <f t="shared" si="20"/>
        <v>75</v>
      </c>
      <c r="L1294" s="1246" t="s">
        <v>1530</v>
      </c>
      <c r="M1294" s="1250">
        <v>9</v>
      </c>
      <c r="N1294" s="1251">
        <v>3</v>
      </c>
      <c r="O1294" s="1252">
        <v>3</v>
      </c>
    </row>
    <row r="1295" spans="1:15">
      <c r="A1295" s="1246" t="s">
        <v>1493</v>
      </c>
      <c r="B1295" s="1246" t="s">
        <v>431</v>
      </c>
      <c r="C1295" s="1247">
        <v>4</v>
      </c>
      <c r="E1295" s="1246" t="s">
        <v>1494</v>
      </c>
      <c r="F1295" s="1248">
        <v>1</v>
      </c>
      <c r="G1295" s="1248">
        <v>2</v>
      </c>
      <c r="H1295" s="1249">
        <v>1</v>
      </c>
      <c r="I1295" s="1246" t="s">
        <v>1491</v>
      </c>
      <c r="J1295" s="1246" t="s">
        <v>1466</v>
      </c>
      <c r="K1295" s="1284" t="str">
        <f t="shared" si="20"/>
        <v>75</v>
      </c>
      <c r="L1295" s="1246" t="s">
        <v>1530</v>
      </c>
      <c r="M1295" s="1250">
        <v>9</v>
      </c>
      <c r="N1295" s="1251">
        <v>2</v>
      </c>
      <c r="O1295" s="1252">
        <v>2</v>
      </c>
    </row>
    <row r="1296" spans="1:15">
      <c r="A1296" s="1246" t="s">
        <v>1493</v>
      </c>
      <c r="B1296" s="1246" t="s">
        <v>431</v>
      </c>
      <c r="C1296" s="1247">
        <v>4</v>
      </c>
      <c r="E1296" s="1246" t="s">
        <v>1412</v>
      </c>
      <c r="F1296" s="1248">
        <v>1</v>
      </c>
      <c r="G1296" s="1248">
        <v>2</v>
      </c>
      <c r="H1296" s="1249">
        <v>1</v>
      </c>
      <c r="I1296" s="1246" t="s">
        <v>1491</v>
      </c>
      <c r="J1296" s="1246" t="s">
        <v>1400</v>
      </c>
      <c r="K1296" s="1284" t="str">
        <f t="shared" si="20"/>
        <v>70</v>
      </c>
      <c r="L1296" s="1246" t="s">
        <v>1532</v>
      </c>
      <c r="M1296" s="1250">
        <v>9</v>
      </c>
      <c r="N1296" s="1251">
        <v>1</v>
      </c>
      <c r="O1296" s="1252">
        <v>1</v>
      </c>
    </row>
    <row r="1297" spans="1:15">
      <c r="A1297" s="1246" t="s">
        <v>1493</v>
      </c>
      <c r="B1297" s="1246" t="s">
        <v>431</v>
      </c>
      <c r="C1297" s="1247">
        <v>4</v>
      </c>
      <c r="E1297" s="1246" t="s">
        <v>1494</v>
      </c>
      <c r="F1297" s="1248">
        <v>1</v>
      </c>
      <c r="G1297" s="1248">
        <v>2</v>
      </c>
      <c r="H1297" s="1249">
        <v>1</v>
      </c>
      <c r="I1297" s="1246" t="s">
        <v>1491</v>
      </c>
      <c r="J1297" s="1246" t="s">
        <v>1400</v>
      </c>
      <c r="K1297" s="1284" t="str">
        <f t="shared" si="20"/>
        <v>70</v>
      </c>
      <c r="L1297" s="1246" t="s">
        <v>1532</v>
      </c>
      <c r="M1297" s="1250">
        <v>9</v>
      </c>
      <c r="N1297" s="1251">
        <v>2</v>
      </c>
      <c r="O1297" s="1252">
        <v>2</v>
      </c>
    </row>
    <row r="1298" spans="1:15">
      <c r="A1298" s="1246" t="s">
        <v>1493</v>
      </c>
      <c r="B1298" s="1246" t="s">
        <v>431</v>
      </c>
      <c r="C1298" s="1247">
        <v>4</v>
      </c>
      <c r="E1298" s="1246" t="s">
        <v>376</v>
      </c>
      <c r="F1298" s="1248">
        <v>1</v>
      </c>
      <c r="G1298" s="1248">
        <v>2</v>
      </c>
      <c r="H1298" s="1249">
        <v>1</v>
      </c>
      <c r="I1298" s="1246" t="s">
        <v>1491</v>
      </c>
      <c r="J1298" s="1246" t="s">
        <v>1400</v>
      </c>
      <c r="K1298" s="1284" t="str">
        <f t="shared" si="20"/>
        <v>70</v>
      </c>
      <c r="L1298" s="1246" t="s">
        <v>1532</v>
      </c>
      <c r="M1298" s="1250">
        <v>9</v>
      </c>
      <c r="N1298" s="1251">
        <v>3</v>
      </c>
      <c r="O1298" s="1252">
        <v>3</v>
      </c>
    </row>
    <row r="1299" spans="1:15">
      <c r="A1299" s="1246" t="s">
        <v>1493</v>
      </c>
      <c r="B1299" s="1246" t="s">
        <v>431</v>
      </c>
      <c r="C1299" s="1247">
        <v>4</v>
      </c>
      <c r="E1299" s="1246" t="s">
        <v>1494</v>
      </c>
      <c r="F1299" s="1248">
        <v>1</v>
      </c>
      <c r="G1299" s="1248">
        <v>2</v>
      </c>
      <c r="H1299" s="1249">
        <v>1</v>
      </c>
      <c r="I1299" s="1246" t="s">
        <v>1491</v>
      </c>
      <c r="J1299" s="1246" t="s">
        <v>1464</v>
      </c>
      <c r="K1299" s="1284" t="str">
        <f t="shared" si="20"/>
        <v>73</v>
      </c>
      <c r="L1299" s="1246" t="s">
        <v>1533</v>
      </c>
      <c r="M1299" s="1250">
        <v>9</v>
      </c>
      <c r="N1299" s="1251">
        <v>4</v>
      </c>
      <c r="O1299" s="1252">
        <v>4</v>
      </c>
    </row>
    <row r="1300" spans="1:15">
      <c r="A1300" s="1246" t="s">
        <v>683</v>
      </c>
      <c r="B1300" s="1246" t="s">
        <v>431</v>
      </c>
      <c r="C1300" s="1247">
        <v>4</v>
      </c>
      <c r="E1300" s="1246" t="s">
        <v>1494</v>
      </c>
      <c r="F1300" s="1248">
        <v>1</v>
      </c>
      <c r="G1300" s="1248">
        <v>2</v>
      </c>
      <c r="H1300" s="1249">
        <v>1</v>
      </c>
      <c r="I1300" s="1246" t="s">
        <v>1491</v>
      </c>
      <c r="J1300" s="1246" t="s">
        <v>1464</v>
      </c>
      <c r="K1300" s="1284" t="str">
        <f t="shared" si="20"/>
        <v>73</v>
      </c>
      <c r="L1300" s="1246" t="s">
        <v>1533</v>
      </c>
      <c r="M1300" s="1250">
        <v>9</v>
      </c>
      <c r="N1300" s="1251">
        <v>1</v>
      </c>
      <c r="O1300" s="1252">
        <v>1</v>
      </c>
    </row>
    <row r="1301" spans="1:15">
      <c r="A1301" s="1246" t="s">
        <v>1493</v>
      </c>
      <c r="B1301" s="1246" t="s">
        <v>431</v>
      </c>
      <c r="C1301" s="1247">
        <v>4</v>
      </c>
      <c r="E1301" s="1246" t="s">
        <v>376</v>
      </c>
      <c r="F1301" s="1248">
        <v>1</v>
      </c>
      <c r="G1301" s="1248">
        <v>2</v>
      </c>
      <c r="H1301" s="1249">
        <v>1</v>
      </c>
      <c r="I1301" s="1246" t="s">
        <v>1491</v>
      </c>
      <c r="J1301" s="1246" t="s">
        <v>1464</v>
      </c>
      <c r="K1301" s="1284" t="str">
        <f t="shared" si="20"/>
        <v>73</v>
      </c>
      <c r="L1301" s="1246" t="s">
        <v>1533</v>
      </c>
      <c r="M1301" s="1250">
        <v>9</v>
      </c>
      <c r="N1301" s="1251">
        <v>1</v>
      </c>
      <c r="O1301" s="1252">
        <v>1</v>
      </c>
    </row>
    <row r="1302" spans="1:15">
      <c r="A1302" s="1246" t="s">
        <v>1493</v>
      </c>
      <c r="B1302" s="1246" t="s">
        <v>431</v>
      </c>
      <c r="C1302" s="1247">
        <v>4</v>
      </c>
      <c r="E1302" s="1246" t="s">
        <v>279</v>
      </c>
      <c r="F1302" s="1248">
        <v>1</v>
      </c>
      <c r="G1302" s="1248">
        <v>2</v>
      </c>
      <c r="H1302" s="1249">
        <v>1</v>
      </c>
      <c r="I1302" s="1246" t="s">
        <v>1491</v>
      </c>
      <c r="J1302" s="1246" t="s">
        <v>1462</v>
      </c>
      <c r="K1302" s="1284" t="str">
        <f t="shared" si="20"/>
        <v>71</v>
      </c>
      <c r="L1302" s="1246" t="s">
        <v>1496</v>
      </c>
      <c r="M1302" s="1250">
        <v>9</v>
      </c>
      <c r="N1302" s="1251">
        <v>1</v>
      </c>
      <c r="O1302" s="1252">
        <v>1</v>
      </c>
    </row>
    <row r="1303" spans="1:15">
      <c r="A1303" s="1246" t="s">
        <v>1493</v>
      </c>
      <c r="B1303" s="1246" t="s">
        <v>431</v>
      </c>
      <c r="C1303" s="1247">
        <v>4</v>
      </c>
      <c r="E1303" s="1246" t="s">
        <v>376</v>
      </c>
      <c r="F1303" s="1248">
        <v>1</v>
      </c>
      <c r="G1303" s="1248">
        <v>2</v>
      </c>
      <c r="H1303" s="1249">
        <v>1</v>
      </c>
      <c r="I1303" s="1246" t="s">
        <v>1491</v>
      </c>
      <c r="J1303" s="1246" t="s">
        <v>1462</v>
      </c>
      <c r="K1303" s="1284" t="str">
        <f t="shared" si="20"/>
        <v>71</v>
      </c>
      <c r="L1303" s="1246" t="s">
        <v>1496</v>
      </c>
      <c r="M1303" s="1250">
        <v>9</v>
      </c>
      <c r="N1303" s="1251">
        <v>11</v>
      </c>
      <c r="O1303" s="1252">
        <v>11</v>
      </c>
    </row>
    <row r="1304" spans="1:15">
      <c r="A1304" s="1246" t="s">
        <v>1493</v>
      </c>
      <c r="B1304" s="1246" t="s">
        <v>431</v>
      </c>
      <c r="C1304" s="1247">
        <v>4</v>
      </c>
      <c r="E1304" s="1246" t="s">
        <v>1494</v>
      </c>
      <c r="F1304" s="1248">
        <v>1</v>
      </c>
      <c r="G1304" s="1248">
        <v>2</v>
      </c>
      <c r="H1304" s="1249">
        <v>1</v>
      </c>
      <c r="I1304" s="1246" t="s">
        <v>1491</v>
      </c>
      <c r="J1304" s="1246" t="s">
        <v>1465</v>
      </c>
      <c r="K1304" s="1284" t="str">
        <f t="shared" si="20"/>
        <v>74</v>
      </c>
      <c r="L1304" s="1246" t="s">
        <v>1543</v>
      </c>
      <c r="M1304" s="1250">
        <v>9</v>
      </c>
      <c r="N1304" s="1251">
        <v>1</v>
      </c>
      <c r="O1304" s="1252">
        <v>1</v>
      </c>
    </row>
    <row r="1305" spans="1:15">
      <c r="A1305" s="1246" t="s">
        <v>1493</v>
      </c>
      <c r="B1305" s="1246" t="s">
        <v>431</v>
      </c>
      <c r="C1305" s="1247">
        <v>4</v>
      </c>
      <c r="E1305" s="1246" t="s">
        <v>1412</v>
      </c>
      <c r="F1305" s="1248">
        <v>1</v>
      </c>
      <c r="G1305" s="1248">
        <v>3</v>
      </c>
      <c r="H1305" s="1249">
        <v>1</v>
      </c>
      <c r="I1305" s="1246" t="s">
        <v>1491</v>
      </c>
      <c r="J1305" s="1246" t="s">
        <v>1462</v>
      </c>
      <c r="K1305" s="1284" t="str">
        <f t="shared" si="20"/>
        <v>71</v>
      </c>
      <c r="L1305" s="1246" t="s">
        <v>1495</v>
      </c>
      <c r="M1305" s="1250">
        <v>9</v>
      </c>
      <c r="N1305" s="1251">
        <v>2</v>
      </c>
      <c r="O1305" s="1252">
        <v>2</v>
      </c>
    </row>
    <row r="1306" spans="1:15">
      <c r="A1306" s="1246" t="s">
        <v>1493</v>
      </c>
      <c r="B1306" s="1246" t="s">
        <v>431</v>
      </c>
      <c r="C1306" s="1247">
        <v>4</v>
      </c>
      <c r="E1306" s="1246" t="s">
        <v>1494</v>
      </c>
      <c r="F1306" s="1248">
        <v>1</v>
      </c>
      <c r="G1306" s="1248">
        <v>3</v>
      </c>
      <c r="H1306" s="1249">
        <v>1</v>
      </c>
      <c r="I1306" s="1246" t="s">
        <v>1491</v>
      </c>
      <c r="J1306" s="1246" t="s">
        <v>1462</v>
      </c>
      <c r="K1306" s="1284" t="str">
        <f t="shared" si="20"/>
        <v>71</v>
      </c>
      <c r="L1306" s="1246" t="s">
        <v>1495</v>
      </c>
      <c r="M1306" s="1250">
        <v>9</v>
      </c>
      <c r="N1306" s="1251">
        <v>29</v>
      </c>
      <c r="O1306" s="1252">
        <v>29</v>
      </c>
    </row>
    <row r="1307" spans="1:15">
      <c r="A1307" s="1246" t="s">
        <v>683</v>
      </c>
      <c r="B1307" s="1246" t="s">
        <v>431</v>
      </c>
      <c r="C1307" s="1247">
        <v>4</v>
      </c>
      <c r="E1307" s="1246" t="s">
        <v>1494</v>
      </c>
      <c r="F1307" s="1248">
        <v>1</v>
      </c>
      <c r="G1307" s="1248">
        <v>3</v>
      </c>
      <c r="H1307" s="1249">
        <v>1</v>
      </c>
      <c r="I1307" s="1246" t="s">
        <v>1491</v>
      </c>
      <c r="J1307" s="1246" t="s">
        <v>1462</v>
      </c>
      <c r="K1307" s="1284" t="str">
        <f t="shared" si="20"/>
        <v>71</v>
      </c>
      <c r="L1307" s="1246" t="s">
        <v>1495</v>
      </c>
      <c r="M1307" s="1250">
        <v>9</v>
      </c>
      <c r="N1307" s="1251">
        <v>1</v>
      </c>
      <c r="O1307" s="1252">
        <v>1</v>
      </c>
    </row>
    <row r="1308" spans="1:15">
      <c r="A1308" s="1246" t="s">
        <v>1493</v>
      </c>
      <c r="B1308" s="1246" t="s">
        <v>431</v>
      </c>
      <c r="C1308" s="1247">
        <v>4</v>
      </c>
      <c r="E1308" s="1246" t="s">
        <v>1494</v>
      </c>
      <c r="F1308" s="1248">
        <v>1</v>
      </c>
      <c r="G1308" s="1248">
        <v>3</v>
      </c>
      <c r="H1308" s="1249">
        <v>1</v>
      </c>
      <c r="I1308" s="1246" t="s">
        <v>1491</v>
      </c>
      <c r="J1308" s="1246" t="s">
        <v>1464</v>
      </c>
      <c r="K1308" s="1284" t="str">
        <f t="shared" si="20"/>
        <v>73</v>
      </c>
      <c r="L1308" s="1246" t="s">
        <v>1533</v>
      </c>
      <c r="M1308" s="1250">
        <v>9</v>
      </c>
      <c r="N1308" s="1251">
        <v>2</v>
      </c>
      <c r="O1308" s="1252">
        <v>2</v>
      </c>
    </row>
    <row r="1309" spans="1:15">
      <c r="A1309" s="1246" t="s">
        <v>1493</v>
      </c>
      <c r="B1309" s="1246" t="s">
        <v>431</v>
      </c>
      <c r="C1309" s="1247">
        <v>4</v>
      </c>
      <c r="E1309" s="1246" t="s">
        <v>376</v>
      </c>
      <c r="F1309" s="1248">
        <v>1</v>
      </c>
      <c r="G1309" s="1248">
        <v>3</v>
      </c>
      <c r="H1309" s="1249">
        <v>1</v>
      </c>
      <c r="I1309" s="1246" t="s">
        <v>1491</v>
      </c>
      <c r="J1309" s="1246" t="s">
        <v>1462</v>
      </c>
      <c r="K1309" s="1284" t="str">
        <f t="shared" si="20"/>
        <v>71</v>
      </c>
      <c r="L1309" s="1246" t="s">
        <v>1496</v>
      </c>
      <c r="M1309" s="1250">
        <v>9</v>
      </c>
      <c r="N1309" s="1251">
        <v>4</v>
      </c>
      <c r="O1309" s="1252">
        <v>4</v>
      </c>
    </row>
    <row r="1310" spans="1:15">
      <c r="A1310" s="1246" t="s">
        <v>683</v>
      </c>
      <c r="B1310" s="1246" t="s">
        <v>431</v>
      </c>
      <c r="C1310" s="1247">
        <v>4</v>
      </c>
      <c r="E1310" s="1246" t="s">
        <v>376</v>
      </c>
      <c r="F1310" s="1248">
        <v>1</v>
      </c>
      <c r="G1310" s="1248">
        <v>3</v>
      </c>
      <c r="H1310" s="1249">
        <v>1</v>
      </c>
      <c r="I1310" s="1246" t="s">
        <v>1491</v>
      </c>
      <c r="J1310" s="1246" t="s">
        <v>1462</v>
      </c>
      <c r="K1310" s="1284" t="str">
        <f t="shared" si="20"/>
        <v>71</v>
      </c>
      <c r="L1310" s="1246" t="s">
        <v>1496</v>
      </c>
      <c r="M1310" s="1250">
        <v>9</v>
      </c>
      <c r="N1310" s="1251">
        <v>1</v>
      </c>
      <c r="O1310" s="1252">
        <v>1</v>
      </c>
    </row>
    <row r="1311" spans="1:15">
      <c r="A1311" s="1246" t="s">
        <v>1493</v>
      </c>
      <c r="B1311" s="1246" t="s">
        <v>431</v>
      </c>
      <c r="C1311" s="1247">
        <v>4</v>
      </c>
      <c r="E1311" s="1246" t="s">
        <v>1412</v>
      </c>
      <c r="F1311" s="1248">
        <v>1</v>
      </c>
      <c r="G1311" s="1248">
        <v>4</v>
      </c>
      <c r="H1311" s="1249">
        <v>1</v>
      </c>
      <c r="I1311" s="1246" t="s">
        <v>1491</v>
      </c>
      <c r="J1311" s="1246" t="s">
        <v>1462</v>
      </c>
      <c r="K1311" s="1284" t="str">
        <f t="shared" si="20"/>
        <v>71</v>
      </c>
      <c r="L1311" s="1246" t="s">
        <v>1495</v>
      </c>
      <c r="M1311" s="1250">
        <v>9</v>
      </c>
      <c r="N1311" s="1251">
        <v>1</v>
      </c>
      <c r="O1311" s="1252">
        <v>1</v>
      </c>
    </row>
    <row r="1312" spans="1:15">
      <c r="A1312" s="1246" t="s">
        <v>1493</v>
      </c>
      <c r="B1312" s="1246" t="s">
        <v>431</v>
      </c>
      <c r="C1312" s="1247">
        <v>4</v>
      </c>
      <c r="E1312" s="1246" t="s">
        <v>1494</v>
      </c>
      <c r="F1312" s="1248">
        <v>1</v>
      </c>
      <c r="G1312" s="1248">
        <v>4</v>
      </c>
      <c r="H1312" s="1249">
        <v>1</v>
      </c>
      <c r="I1312" s="1246" t="s">
        <v>1491</v>
      </c>
      <c r="J1312" s="1246" t="s">
        <v>1462</v>
      </c>
      <c r="K1312" s="1284" t="str">
        <f t="shared" si="20"/>
        <v>71</v>
      </c>
      <c r="L1312" s="1246" t="s">
        <v>1495</v>
      </c>
      <c r="M1312" s="1250">
        <v>9</v>
      </c>
      <c r="N1312" s="1251">
        <v>4</v>
      </c>
      <c r="O1312" s="1252">
        <v>4</v>
      </c>
    </row>
    <row r="1313" spans="1:15">
      <c r="A1313" s="1246" t="s">
        <v>1493</v>
      </c>
      <c r="B1313" s="1246" t="s">
        <v>431</v>
      </c>
      <c r="C1313" s="1247">
        <v>4</v>
      </c>
      <c r="E1313" s="1246" t="s">
        <v>370</v>
      </c>
      <c r="F1313" s="1248">
        <v>1</v>
      </c>
      <c r="G1313" s="1248">
        <v>4</v>
      </c>
      <c r="H1313" s="1249">
        <v>1</v>
      </c>
      <c r="I1313" s="1246" t="s">
        <v>1491</v>
      </c>
      <c r="J1313" s="1246" t="s">
        <v>1462</v>
      </c>
      <c r="K1313" s="1284" t="str">
        <f t="shared" si="20"/>
        <v>71</v>
      </c>
      <c r="L1313" s="1246" t="s">
        <v>1495</v>
      </c>
      <c r="M1313" s="1250">
        <v>9</v>
      </c>
      <c r="N1313" s="1251">
        <v>1</v>
      </c>
      <c r="O1313" s="1252">
        <v>1</v>
      </c>
    </row>
    <row r="1314" spans="1:15">
      <c r="A1314" s="1246" t="s">
        <v>1493</v>
      </c>
      <c r="B1314" s="1246" t="s">
        <v>431</v>
      </c>
      <c r="C1314" s="1247">
        <v>4</v>
      </c>
      <c r="E1314" s="1246" t="s">
        <v>376</v>
      </c>
      <c r="F1314" s="1248">
        <v>1</v>
      </c>
      <c r="G1314" s="1248">
        <v>4</v>
      </c>
      <c r="H1314" s="1249">
        <v>1</v>
      </c>
      <c r="I1314" s="1246" t="s">
        <v>1491</v>
      </c>
      <c r="J1314" s="1246" t="s">
        <v>1462</v>
      </c>
      <c r="K1314" s="1284" t="str">
        <f t="shared" si="20"/>
        <v>71</v>
      </c>
      <c r="L1314" s="1246" t="s">
        <v>1496</v>
      </c>
      <c r="M1314" s="1250">
        <v>9</v>
      </c>
      <c r="N1314" s="1251">
        <v>1</v>
      </c>
      <c r="O1314" s="1252">
        <v>1</v>
      </c>
    </row>
    <row r="1315" spans="1:15">
      <c r="A1315" s="1246" t="s">
        <v>1493</v>
      </c>
      <c r="B1315" s="1246" t="s">
        <v>431</v>
      </c>
      <c r="C1315" s="1247">
        <v>4</v>
      </c>
      <c r="E1315" s="1246" t="s">
        <v>370</v>
      </c>
      <c r="F1315" s="1248">
        <v>1</v>
      </c>
      <c r="G1315" s="1248">
        <v>5</v>
      </c>
      <c r="H1315" s="1249">
        <v>1</v>
      </c>
      <c r="I1315" s="1246" t="s">
        <v>1491</v>
      </c>
      <c r="J1315" s="1246" t="s">
        <v>1462</v>
      </c>
      <c r="K1315" s="1284" t="str">
        <f t="shared" si="20"/>
        <v>71</v>
      </c>
      <c r="L1315" s="1246" t="s">
        <v>1495</v>
      </c>
      <c r="M1315" s="1250">
        <v>9</v>
      </c>
      <c r="N1315" s="1251">
        <v>1</v>
      </c>
      <c r="O1315" s="1252">
        <v>1</v>
      </c>
    </row>
    <row r="1316" spans="1:15">
      <c r="A1316" s="1246" t="s">
        <v>1493</v>
      </c>
      <c r="B1316" s="1246" t="s">
        <v>431</v>
      </c>
      <c r="C1316" s="1247">
        <v>4</v>
      </c>
      <c r="E1316" s="1246" t="s">
        <v>1494</v>
      </c>
      <c r="F1316" s="1248">
        <v>1</v>
      </c>
      <c r="G1316" s="1248">
        <v>5</v>
      </c>
      <c r="H1316" s="1249">
        <v>1</v>
      </c>
      <c r="I1316" s="1246" t="s">
        <v>1491</v>
      </c>
      <c r="J1316" s="1246" t="s">
        <v>1462</v>
      </c>
      <c r="K1316" s="1284" t="str">
        <f t="shared" si="20"/>
        <v>71</v>
      </c>
      <c r="L1316" s="1246" t="s">
        <v>1495</v>
      </c>
      <c r="M1316" s="1250">
        <v>9</v>
      </c>
      <c r="N1316" s="1251">
        <v>1</v>
      </c>
      <c r="O1316" s="1252">
        <v>1</v>
      </c>
    </row>
    <row r="1317" spans="1:15">
      <c r="A1317" s="1246" t="s">
        <v>683</v>
      </c>
      <c r="B1317" s="1246" t="s">
        <v>431</v>
      </c>
      <c r="C1317" s="1247">
        <v>4</v>
      </c>
      <c r="E1317" s="1246" t="s">
        <v>1494</v>
      </c>
      <c r="F1317" s="1248">
        <v>1</v>
      </c>
      <c r="G1317" s="1248">
        <v>5</v>
      </c>
      <c r="H1317" s="1249">
        <v>1</v>
      </c>
      <c r="I1317" s="1246" t="s">
        <v>1491</v>
      </c>
      <c r="J1317" s="1246" t="s">
        <v>1462</v>
      </c>
      <c r="K1317" s="1284" t="str">
        <f t="shared" si="20"/>
        <v>71</v>
      </c>
      <c r="L1317" s="1246" t="s">
        <v>1495</v>
      </c>
      <c r="M1317" s="1250">
        <v>9</v>
      </c>
      <c r="N1317" s="1251">
        <v>3</v>
      </c>
      <c r="O1317" s="1252">
        <v>3</v>
      </c>
    </row>
    <row r="1318" spans="1:15">
      <c r="A1318" s="1246" t="s">
        <v>1493</v>
      </c>
      <c r="B1318" s="1246" t="s">
        <v>431</v>
      </c>
      <c r="C1318" s="1247">
        <v>4</v>
      </c>
      <c r="E1318" s="1246" t="s">
        <v>1494</v>
      </c>
      <c r="F1318" s="1248">
        <v>2</v>
      </c>
      <c r="G1318" s="1248">
        <v>0</v>
      </c>
      <c r="H1318" s="1249">
        <v>0</v>
      </c>
      <c r="J1318" s="1246" t="s">
        <v>1470</v>
      </c>
      <c r="K1318" s="1284" t="str">
        <f t="shared" si="20"/>
        <v>7C</v>
      </c>
      <c r="L1318" s="1246" t="s">
        <v>1502</v>
      </c>
      <c r="M1318" s="1250">
        <v>4</v>
      </c>
      <c r="N1318" s="1251">
        <v>2</v>
      </c>
      <c r="O1318" s="1252">
        <v>1</v>
      </c>
    </row>
    <row r="1319" spans="1:15">
      <c r="A1319" s="1246" t="s">
        <v>1493</v>
      </c>
      <c r="B1319" s="1246" t="s">
        <v>431</v>
      </c>
      <c r="C1319" s="1247">
        <v>4</v>
      </c>
      <c r="E1319" s="1246" t="s">
        <v>376</v>
      </c>
      <c r="F1319" s="1248">
        <v>2</v>
      </c>
      <c r="G1319" s="1248">
        <v>0</v>
      </c>
      <c r="H1319" s="1249">
        <v>0</v>
      </c>
      <c r="J1319" s="1246" t="s">
        <v>1462</v>
      </c>
      <c r="K1319" s="1284" t="str">
        <f t="shared" si="20"/>
        <v>71</v>
      </c>
      <c r="L1319" s="1246" t="s">
        <v>1496</v>
      </c>
      <c r="M1319" s="1250">
        <v>9</v>
      </c>
      <c r="N1319" s="1251">
        <v>2</v>
      </c>
      <c r="O1319" s="1252">
        <v>1</v>
      </c>
    </row>
    <row r="1320" spans="1:15">
      <c r="A1320" s="1246" t="s">
        <v>1493</v>
      </c>
      <c r="B1320" s="1246" t="s">
        <v>431</v>
      </c>
      <c r="C1320" s="1247">
        <v>4</v>
      </c>
      <c r="E1320" s="1246" t="s">
        <v>376</v>
      </c>
      <c r="F1320" s="1248">
        <v>2</v>
      </c>
      <c r="G1320" s="1248">
        <v>2</v>
      </c>
      <c r="H1320" s="1249">
        <v>1</v>
      </c>
      <c r="I1320" s="1246" t="s">
        <v>1491</v>
      </c>
      <c r="J1320" s="1246" t="s">
        <v>1470</v>
      </c>
      <c r="K1320" s="1284" t="str">
        <f t="shared" si="20"/>
        <v>7C</v>
      </c>
      <c r="L1320" s="1246" t="s">
        <v>1502</v>
      </c>
      <c r="M1320" s="1250">
        <v>4</v>
      </c>
      <c r="N1320" s="1251">
        <v>2</v>
      </c>
      <c r="O1320" s="1252">
        <v>1</v>
      </c>
    </row>
    <row r="1321" spans="1:15">
      <c r="A1321" s="1246" t="s">
        <v>1493</v>
      </c>
      <c r="B1321" s="1246" t="s">
        <v>431</v>
      </c>
      <c r="C1321" s="1247">
        <v>4</v>
      </c>
      <c r="E1321" s="1246" t="s">
        <v>279</v>
      </c>
      <c r="F1321" s="1248">
        <v>2</v>
      </c>
      <c r="G1321" s="1248">
        <v>2</v>
      </c>
      <c r="H1321" s="1249">
        <v>1</v>
      </c>
      <c r="I1321" s="1246" t="s">
        <v>1491</v>
      </c>
      <c r="J1321" s="1246" t="s">
        <v>1469</v>
      </c>
      <c r="K1321" s="1284">
        <f t="shared" si="20"/>
        <v>70</v>
      </c>
      <c r="L1321" s="1246" t="s">
        <v>1534</v>
      </c>
      <c r="M1321" s="1250">
        <v>4</v>
      </c>
      <c r="N1321" s="1251">
        <v>2</v>
      </c>
      <c r="O1321" s="1252">
        <v>1</v>
      </c>
    </row>
    <row r="1322" spans="1:15">
      <c r="A1322" s="1246" t="s">
        <v>1493</v>
      </c>
      <c r="B1322" s="1246" t="s">
        <v>431</v>
      </c>
      <c r="C1322" s="1247">
        <v>4</v>
      </c>
      <c r="E1322" s="1246" t="s">
        <v>1494</v>
      </c>
      <c r="F1322" s="1248">
        <v>2</v>
      </c>
      <c r="G1322" s="1248">
        <v>2</v>
      </c>
      <c r="H1322" s="1249">
        <v>1</v>
      </c>
      <c r="I1322" s="1246" t="s">
        <v>1491</v>
      </c>
      <c r="J1322" s="1246" t="s">
        <v>1462</v>
      </c>
      <c r="K1322" s="1284" t="str">
        <f t="shared" si="20"/>
        <v>71</v>
      </c>
      <c r="L1322" s="1246" t="s">
        <v>1495</v>
      </c>
      <c r="M1322" s="1250">
        <v>9</v>
      </c>
      <c r="N1322" s="1251">
        <v>8</v>
      </c>
      <c r="O1322" s="1252">
        <v>4</v>
      </c>
    </row>
    <row r="1323" spans="1:15">
      <c r="A1323" s="1246" t="s">
        <v>683</v>
      </c>
      <c r="B1323" s="1246" t="s">
        <v>431</v>
      </c>
      <c r="C1323" s="1247">
        <v>4</v>
      </c>
      <c r="E1323" s="1246" t="s">
        <v>1494</v>
      </c>
      <c r="F1323" s="1248">
        <v>2</v>
      </c>
      <c r="G1323" s="1248">
        <v>2</v>
      </c>
      <c r="H1323" s="1249">
        <v>1</v>
      </c>
      <c r="I1323" s="1246" t="s">
        <v>1491</v>
      </c>
      <c r="J1323" s="1246" t="s">
        <v>1462</v>
      </c>
      <c r="K1323" s="1284" t="str">
        <f t="shared" si="20"/>
        <v>71</v>
      </c>
      <c r="L1323" s="1246" t="s">
        <v>1495</v>
      </c>
      <c r="M1323" s="1250">
        <v>9</v>
      </c>
      <c r="N1323" s="1251">
        <v>2</v>
      </c>
      <c r="O1323" s="1252">
        <v>1</v>
      </c>
    </row>
    <row r="1324" spans="1:15">
      <c r="A1324" s="1246" t="s">
        <v>1493</v>
      </c>
      <c r="B1324" s="1246" t="s">
        <v>431</v>
      </c>
      <c r="C1324" s="1247">
        <v>4</v>
      </c>
      <c r="E1324" s="1246" t="s">
        <v>1494</v>
      </c>
      <c r="F1324" s="1248">
        <v>2</v>
      </c>
      <c r="G1324" s="1248">
        <v>2</v>
      </c>
      <c r="H1324" s="1249">
        <v>1</v>
      </c>
      <c r="I1324" s="1246" t="s">
        <v>1491</v>
      </c>
      <c r="J1324" s="1246" t="s">
        <v>1464</v>
      </c>
      <c r="K1324" s="1284" t="str">
        <f t="shared" si="20"/>
        <v>73</v>
      </c>
      <c r="L1324" s="1246" t="s">
        <v>1533</v>
      </c>
      <c r="M1324" s="1250">
        <v>9</v>
      </c>
      <c r="N1324" s="1251">
        <v>4</v>
      </c>
      <c r="O1324" s="1252">
        <v>2</v>
      </c>
    </row>
    <row r="1325" spans="1:15">
      <c r="A1325" s="1246" t="s">
        <v>1493</v>
      </c>
      <c r="B1325" s="1246" t="s">
        <v>431</v>
      </c>
      <c r="C1325" s="1247">
        <v>4</v>
      </c>
      <c r="E1325" s="1246" t="s">
        <v>376</v>
      </c>
      <c r="F1325" s="1248">
        <v>2</v>
      </c>
      <c r="G1325" s="1248">
        <v>2</v>
      </c>
      <c r="H1325" s="1249">
        <v>1</v>
      </c>
      <c r="I1325" s="1246" t="s">
        <v>1491</v>
      </c>
      <c r="J1325" s="1246" t="s">
        <v>1462</v>
      </c>
      <c r="K1325" s="1284" t="str">
        <f t="shared" si="20"/>
        <v>71</v>
      </c>
      <c r="L1325" s="1246" t="s">
        <v>1496</v>
      </c>
      <c r="M1325" s="1250">
        <v>9</v>
      </c>
      <c r="N1325" s="1251">
        <v>6</v>
      </c>
      <c r="O1325" s="1252">
        <v>3</v>
      </c>
    </row>
    <row r="1326" spans="1:15">
      <c r="A1326" s="1246" t="s">
        <v>1493</v>
      </c>
      <c r="B1326" s="1246" t="s">
        <v>431</v>
      </c>
      <c r="C1326" s="1247">
        <v>4</v>
      </c>
      <c r="E1326" s="1246" t="s">
        <v>1494</v>
      </c>
      <c r="F1326" s="1248">
        <v>2</v>
      </c>
      <c r="G1326" s="1248">
        <v>4</v>
      </c>
      <c r="H1326" s="1249">
        <v>1</v>
      </c>
      <c r="I1326" s="1246" t="s">
        <v>1491</v>
      </c>
      <c r="J1326" s="1246" t="s">
        <v>1462</v>
      </c>
      <c r="K1326" s="1284" t="str">
        <f t="shared" si="20"/>
        <v>71</v>
      </c>
      <c r="L1326" s="1246" t="s">
        <v>1495</v>
      </c>
      <c r="M1326" s="1250">
        <v>9</v>
      </c>
      <c r="N1326" s="1251">
        <v>10</v>
      </c>
      <c r="O1326" s="1252">
        <v>5</v>
      </c>
    </row>
    <row r="1327" spans="1:15">
      <c r="A1327" s="1246" t="s">
        <v>1493</v>
      </c>
      <c r="B1327" s="1246" t="s">
        <v>431</v>
      </c>
      <c r="C1327" s="1247">
        <v>4</v>
      </c>
      <c r="E1327" s="1246" t="s">
        <v>376</v>
      </c>
      <c r="F1327" s="1248">
        <v>2</v>
      </c>
      <c r="G1327" s="1248">
        <v>4</v>
      </c>
      <c r="H1327" s="1249">
        <v>1</v>
      </c>
      <c r="I1327" s="1246" t="s">
        <v>1491</v>
      </c>
      <c r="J1327" s="1246" t="s">
        <v>1400</v>
      </c>
      <c r="K1327" s="1284" t="str">
        <f t="shared" si="20"/>
        <v>70</v>
      </c>
      <c r="L1327" s="1246" t="s">
        <v>1532</v>
      </c>
      <c r="M1327" s="1250">
        <v>9</v>
      </c>
      <c r="N1327" s="1251">
        <v>2</v>
      </c>
      <c r="O1327" s="1252">
        <v>1</v>
      </c>
    </row>
    <row r="1328" spans="1:15">
      <c r="A1328" s="1246" t="s">
        <v>1493</v>
      </c>
      <c r="B1328" s="1246" t="s">
        <v>431</v>
      </c>
      <c r="C1328" s="1247">
        <v>4</v>
      </c>
      <c r="E1328" s="1246" t="s">
        <v>376</v>
      </c>
      <c r="F1328" s="1248">
        <v>2</v>
      </c>
      <c r="G1328" s="1248">
        <v>4</v>
      </c>
      <c r="H1328" s="1249">
        <v>1</v>
      </c>
      <c r="I1328" s="1246" t="s">
        <v>1491</v>
      </c>
      <c r="J1328" s="1246" t="s">
        <v>1462</v>
      </c>
      <c r="K1328" s="1284" t="str">
        <f t="shared" si="20"/>
        <v>71</v>
      </c>
      <c r="L1328" s="1246" t="s">
        <v>1496</v>
      </c>
      <c r="M1328" s="1250">
        <v>9</v>
      </c>
      <c r="N1328" s="1251">
        <v>10</v>
      </c>
      <c r="O1328" s="1252">
        <v>5</v>
      </c>
    </row>
    <row r="1329" spans="1:15">
      <c r="A1329" s="1246" t="s">
        <v>1493</v>
      </c>
      <c r="B1329" s="1246" t="s">
        <v>431</v>
      </c>
      <c r="C1329" s="1247">
        <v>4</v>
      </c>
      <c r="E1329" s="1246" t="s">
        <v>1494</v>
      </c>
      <c r="F1329" s="1248">
        <v>2</v>
      </c>
      <c r="G1329" s="1248">
        <v>6</v>
      </c>
      <c r="H1329" s="1249">
        <v>1</v>
      </c>
      <c r="I1329" s="1246" t="s">
        <v>1491</v>
      </c>
      <c r="J1329" s="1246" t="s">
        <v>1462</v>
      </c>
      <c r="K1329" s="1284" t="str">
        <f t="shared" si="20"/>
        <v>71</v>
      </c>
      <c r="L1329" s="1246" t="s">
        <v>1495</v>
      </c>
      <c r="M1329" s="1250">
        <v>9</v>
      </c>
      <c r="N1329" s="1251">
        <v>8</v>
      </c>
      <c r="O1329" s="1252">
        <v>4</v>
      </c>
    </row>
    <row r="1330" spans="1:15">
      <c r="A1330" s="1246" t="s">
        <v>683</v>
      </c>
      <c r="B1330" s="1246" t="s">
        <v>431</v>
      </c>
      <c r="C1330" s="1247">
        <v>4</v>
      </c>
      <c r="E1330" s="1246" t="s">
        <v>1494</v>
      </c>
      <c r="F1330" s="1248">
        <v>2</v>
      </c>
      <c r="G1330" s="1248">
        <v>6</v>
      </c>
      <c r="H1330" s="1249">
        <v>1</v>
      </c>
      <c r="I1330" s="1246" t="s">
        <v>1491</v>
      </c>
      <c r="J1330" s="1246" t="s">
        <v>1462</v>
      </c>
      <c r="K1330" s="1284" t="str">
        <f t="shared" si="20"/>
        <v>71</v>
      </c>
      <c r="L1330" s="1246" t="s">
        <v>1495</v>
      </c>
      <c r="M1330" s="1250">
        <v>9</v>
      </c>
      <c r="N1330" s="1251">
        <v>2</v>
      </c>
      <c r="O1330" s="1252">
        <v>1</v>
      </c>
    </row>
    <row r="1331" spans="1:15">
      <c r="A1331" s="1246" t="s">
        <v>1493</v>
      </c>
      <c r="B1331" s="1246" t="s">
        <v>431</v>
      </c>
      <c r="C1331" s="1247">
        <v>4</v>
      </c>
      <c r="E1331" s="1246" t="s">
        <v>376</v>
      </c>
      <c r="F1331" s="1248">
        <v>2</v>
      </c>
      <c r="G1331" s="1248">
        <v>6</v>
      </c>
      <c r="H1331" s="1249">
        <v>1</v>
      </c>
      <c r="I1331" s="1246" t="s">
        <v>1491</v>
      </c>
      <c r="J1331" s="1246" t="s">
        <v>1462</v>
      </c>
      <c r="K1331" s="1284" t="str">
        <f t="shared" si="20"/>
        <v>71</v>
      </c>
      <c r="L1331" s="1246" t="s">
        <v>1496</v>
      </c>
      <c r="M1331" s="1250">
        <v>9</v>
      </c>
      <c r="N1331" s="1251">
        <v>2</v>
      </c>
      <c r="O1331" s="1252">
        <v>1</v>
      </c>
    </row>
    <row r="1332" spans="1:15">
      <c r="A1332" s="1246" t="s">
        <v>1493</v>
      </c>
      <c r="B1332" s="1246" t="s">
        <v>431</v>
      </c>
      <c r="C1332" s="1247">
        <v>4</v>
      </c>
      <c r="E1332" s="1246" t="s">
        <v>1494</v>
      </c>
      <c r="F1332" s="1248">
        <v>2</v>
      </c>
      <c r="G1332" s="1248">
        <v>8</v>
      </c>
      <c r="H1332" s="1249">
        <v>1</v>
      </c>
      <c r="I1332" s="1246" t="s">
        <v>1491</v>
      </c>
      <c r="J1332" s="1246" t="s">
        <v>1462</v>
      </c>
      <c r="K1332" s="1284" t="str">
        <f t="shared" si="20"/>
        <v>71</v>
      </c>
      <c r="L1332" s="1246" t="s">
        <v>1495</v>
      </c>
      <c r="M1332" s="1250">
        <v>9</v>
      </c>
      <c r="N1332" s="1251">
        <v>2</v>
      </c>
      <c r="O1332" s="1252">
        <v>1</v>
      </c>
    </row>
    <row r="1333" spans="1:15">
      <c r="A1333" s="1246" t="s">
        <v>683</v>
      </c>
      <c r="B1333" s="1246" t="s">
        <v>431</v>
      </c>
      <c r="C1333" s="1247">
        <v>4</v>
      </c>
      <c r="E1333" s="1246" t="s">
        <v>1494</v>
      </c>
      <c r="F1333" s="1248">
        <v>2</v>
      </c>
      <c r="G1333" s="1248">
        <v>10</v>
      </c>
      <c r="H1333" s="1249">
        <v>1</v>
      </c>
      <c r="I1333" s="1246" t="s">
        <v>1491</v>
      </c>
      <c r="J1333" s="1246" t="s">
        <v>1462</v>
      </c>
      <c r="K1333" s="1284" t="str">
        <f t="shared" si="20"/>
        <v>71</v>
      </c>
      <c r="L1333" s="1246" t="s">
        <v>1495</v>
      </c>
      <c r="M1333" s="1250">
        <v>9</v>
      </c>
      <c r="N1333" s="1251">
        <v>8</v>
      </c>
      <c r="O1333" s="1252">
        <v>4</v>
      </c>
    </row>
    <row r="1334" spans="1:15">
      <c r="A1334" s="1246" t="s">
        <v>1493</v>
      </c>
      <c r="B1334" s="1246" t="s">
        <v>431</v>
      </c>
      <c r="C1334" s="1247">
        <v>4</v>
      </c>
      <c r="E1334" s="1246" t="s">
        <v>376</v>
      </c>
      <c r="F1334" s="1248">
        <v>2</v>
      </c>
      <c r="G1334" s="1248">
        <v>10</v>
      </c>
      <c r="H1334" s="1249">
        <v>1</v>
      </c>
      <c r="I1334" s="1246" t="s">
        <v>1491</v>
      </c>
      <c r="J1334" s="1246" t="s">
        <v>1462</v>
      </c>
      <c r="K1334" s="1284" t="str">
        <f t="shared" si="20"/>
        <v>71</v>
      </c>
      <c r="L1334" s="1246" t="s">
        <v>1496</v>
      </c>
      <c r="M1334" s="1250">
        <v>9</v>
      </c>
      <c r="N1334" s="1251">
        <v>2</v>
      </c>
      <c r="O1334" s="1252">
        <v>1</v>
      </c>
    </row>
    <row r="1335" spans="1:15">
      <c r="A1335" s="1246" t="s">
        <v>1493</v>
      </c>
      <c r="B1335" s="1246" t="s">
        <v>431</v>
      </c>
      <c r="C1335" s="1247">
        <v>4</v>
      </c>
      <c r="E1335" s="1246" t="s">
        <v>1412</v>
      </c>
      <c r="F1335" s="1248">
        <v>3</v>
      </c>
      <c r="G1335" s="1248">
        <v>3</v>
      </c>
      <c r="H1335" s="1249">
        <v>1</v>
      </c>
      <c r="I1335" s="1246" t="s">
        <v>1491</v>
      </c>
      <c r="J1335" s="1246" t="s">
        <v>1470</v>
      </c>
      <c r="K1335" s="1284" t="str">
        <f t="shared" si="20"/>
        <v>7C</v>
      </c>
      <c r="L1335" s="1246" t="s">
        <v>1502</v>
      </c>
      <c r="M1335" s="1250">
        <v>4</v>
      </c>
      <c r="N1335" s="1251">
        <v>3</v>
      </c>
      <c r="O1335" s="1252">
        <v>1</v>
      </c>
    </row>
    <row r="1336" spans="1:15">
      <c r="A1336" s="1246" t="s">
        <v>1493</v>
      </c>
      <c r="B1336" s="1246" t="s">
        <v>431</v>
      </c>
      <c r="C1336" s="1247">
        <v>4</v>
      </c>
      <c r="E1336" s="1246" t="s">
        <v>376</v>
      </c>
      <c r="F1336" s="1248">
        <v>3</v>
      </c>
      <c r="G1336" s="1248">
        <v>3</v>
      </c>
      <c r="H1336" s="1249">
        <v>1</v>
      </c>
      <c r="I1336" s="1246" t="s">
        <v>1491</v>
      </c>
      <c r="J1336" s="1246" t="s">
        <v>1462</v>
      </c>
      <c r="K1336" s="1284" t="str">
        <f t="shared" si="20"/>
        <v>71</v>
      </c>
      <c r="L1336" s="1246" t="s">
        <v>1495</v>
      </c>
      <c r="M1336" s="1250">
        <v>9</v>
      </c>
      <c r="N1336" s="1251">
        <v>3</v>
      </c>
      <c r="O1336" s="1252">
        <v>1</v>
      </c>
    </row>
    <row r="1337" spans="1:15">
      <c r="A1337" s="1246" t="s">
        <v>1493</v>
      </c>
      <c r="B1337" s="1246" t="s">
        <v>431</v>
      </c>
      <c r="C1337" s="1247">
        <v>4</v>
      </c>
      <c r="E1337" s="1246" t="s">
        <v>376</v>
      </c>
      <c r="F1337" s="1248">
        <v>3</v>
      </c>
      <c r="G1337" s="1248">
        <v>3</v>
      </c>
      <c r="H1337" s="1249">
        <v>1</v>
      </c>
      <c r="I1337" s="1246" t="s">
        <v>1491</v>
      </c>
      <c r="J1337" s="1246" t="s">
        <v>1462</v>
      </c>
      <c r="K1337" s="1284" t="str">
        <f t="shared" si="20"/>
        <v>71</v>
      </c>
      <c r="L1337" s="1246" t="s">
        <v>1496</v>
      </c>
      <c r="M1337" s="1250">
        <v>9</v>
      </c>
      <c r="N1337" s="1251">
        <v>15</v>
      </c>
      <c r="O1337" s="1252">
        <v>5</v>
      </c>
    </row>
    <row r="1338" spans="1:15">
      <c r="A1338" s="1246" t="s">
        <v>1493</v>
      </c>
      <c r="B1338" s="1246" t="s">
        <v>431</v>
      </c>
      <c r="C1338" s="1247">
        <v>4</v>
      </c>
      <c r="E1338" s="1246" t="s">
        <v>1494</v>
      </c>
      <c r="F1338" s="1248">
        <v>3</v>
      </c>
      <c r="G1338" s="1248">
        <v>6</v>
      </c>
      <c r="H1338" s="1249">
        <v>1</v>
      </c>
      <c r="I1338" s="1246" t="s">
        <v>1491</v>
      </c>
      <c r="J1338" s="1246" t="s">
        <v>1462</v>
      </c>
      <c r="K1338" s="1284" t="str">
        <f t="shared" si="20"/>
        <v>71</v>
      </c>
      <c r="L1338" s="1246" t="s">
        <v>1495</v>
      </c>
      <c r="M1338" s="1250">
        <v>9</v>
      </c>
      <c r="N1338" s="1251">
        <v>3</v>
      </c>
      <c r="O1338" s="1252">
        <v>1</v>
      </c>
    </row>
    <row r="1339" spans="1:15">
      <c r="A1339" s="1246" t="s">
        <v>1493</v>
      </c>
      <c r="B1339" s="1246" t="s">
        <v>431</v>
      </c>
      <c r="C1339" s="1247">
        <v>4</v>
      </c>
      <c r="E1339" s="1246" t="s">
        <v>376</v>
      </c>
      <c r="F1339" s="1248">
        <v>3</v>
      </c>
      <c r="G1339" s="1248">
        <v>6</v>
      </c>
      <c r="H1339" s="1249">
        <v>1</v>
      </c>
      <c r="I1339" s="1246" t="s">
        <v>1491</v>
      </c>
      <c r="J1339" s="1246" t="s">
        <v>1466</v>
      </c>
      <c r="K1339" s="1284" t="str">
        <f t="shared" si="20"/>
        <v>75</v>
      </c>
      <c r="L1339" s="1246" t="s">
        <v>1530</v>
      </c>
      <c r="M1339" s="1250">
        <v>9</v>
      </c>
      <c r="N1339" s="1251">
        <v>3</v>
      </c>
      <c r="O1339" s="1252">
        <v>1</v>
      </c>
    </row>
    <row r="1340" spans="1:15">
      <c r="A1340" s="1246" t="s">
        <v>683</v>
      </c>
      <c r="B1340" s="1246" t="s">
        <v>431</v>
      </c>
      <c r="C1340" s="1247">
        <v>4</v>
      </c>
      <c r="E1340" s="1246" t="s">
        <v>1494</v>
      </c>
      <c r="F1340" s="1248">
        <v>3</v>
      </c>
      <c r="G1340" s="1248">
        <v>6</v>
      </c>
      <c r="H1340" s="1249">
        <v>1</v>
      </c>
      <c r="I1340" s="1246" t="s">
        <v>1491</v>
      </c>
      <c r="J1340" s="1246" t="s">
        <v>1464</v>
      </c>
      <c r="K1340" s="1284" t="str">
        <f t="shared" si="20"/>
        <v>73</v>
      </c>
      <c r="L1340" s="1246" t="s">
        <v>1533</v>
      </c>
      <c r="M1340" s="1250">
        <v>9</v>
      </c>
      <c r="N1340" s="1251">
        <v>3</v>
      </c>
      <c r="O1340" s="1252">
        <v>1</v>
      </c>
    </row>
    <row r="1341" spans="1:15">
      <c r="A1341" s="1246" t="s">
        <v>1493</v>
      </c>
      <c r="B1341" s="1246" t="s">
        <v>431</v>
      </c>
      <c r="C1341" s="1247">
        <v>4</v>
      </c>
      <c r="E1341" s="1246" t="s">
        <v>1494</v>
      </c>
      <c r="F1341" s="1248">
        <v>3</v>
      </c>
      <c r="G1341" s="1248">
        <v>9</v>
      </c>
      <c r="H1341" s="1249">
        <v>1</v>
      </c>
      <c r="I1341" s="1246" t="s">
        <v>1491</v>
      </c>
      <c r="J1341" s="1246" t="s">
        <v>1462</v>
      </c>
      <c r="K1341" s="1284" t="str">
        <f t="shared" si="20"/>
        <v>71</v>
      </c>
      <c r="L1341" s="1246" t="s">
        <v>1495</v>
      </c>
      <c r="M1341" s="1250">
        <v>9</v>
      </c>
      <c r="N1341" s="1251">
        <v>12</v>
      </c>
      <c r="O1341" s="1252">
        <v>4</v>
      </c>
    </row>
    <row r="1342" spans="1:15">
      <c r="A1342" s="1246" t="s">
        <v>683</v>
      </c>
      <c r="B1342" s="1246" t="s">
        <v>431</v>
      </c>
      <c r="C1342" s="1247">
        <v>4</v>
      </c>
      <c r="E1342" s="1246" t="s">
        <v>1412</v>
      </c>
      <c r="F1342" s="1248">
        <v>3</v>
      </c>
      <c r="G1342" s="1248">
        <v>9</v>
      </c>
      <c r="H1342" s="1249">
        <v>1</v>
      </c>
      <c r="I1342" s="1246" t="s">
        <v>1491</v>
      </c>
      <c r="J1342" s="1246" t="s">
        <v>1462</v>
      </c>
      <c r="K1342" s="1284" t="str">
        <f t="shared" si="20"/>
        <v>71</v>
      </c>
      <c r="L1342" s="1246" t="s">
        <v>1495</v>
      </c>
      <c r="M1342" s="1250">
        <v>9</v>
      </c>
      <c r="N1342" s="1251">
        <v>3</v>
      </c>
      <c r="O1342" s="1252">
        <v>1</v>
      </c>
    </row>
    <row r="1343" spans="1:15">
      <c r="A1343" s="1246" t="s">
        <v>1493</v>
      </c>
      <c r="B1343" s="1246" t="s">
        <v>431</v>
      </c>
      <c r="C1343" s="1247">
        <v>4</v>
      </c>
      <c r="E1343" s="1246" t="s">
        <v>1494</v>
      </c>
      <c r="F1343" s="1248">
        <v>3</v>
      </c>
      <c r="G1343" s="1248">
        <v>15</v>
      </c>
      <c r="H1343" s="1249">
        <v>1</v>
      </c>
      <c r="I1343" s="1246" t="s">
        <v>1491</v>
      </c>
      <c r="J1343" s="1246" t="s">
        <v>1462</v>
      </c>
      <c r="K1343" s="1284" t="str">
        <f t="shared" si="20"/>
        <v>71</v>
      </c>
      <c r="L1343" s="1246" t="s">
        <v>1495</v>
      </c>
      <c r="M1343" s="1250">
        <v>9</v>
      </c>
      <c r="N1343" s="1251">
        <v>3</v>
      </c>
      <c r="O1343" s="1252">
        <v>1</v>
      </c>
    </row>
    <row r="1344" spans="1:15">
      <c r="A1344" s="1246" t="s">
        <v>683</v>
      </c>
      <c r="B1344" s="1246" t="s">
        <v>431</v>
      </c>
      <c r="C1344" s="1247">
        <v>4</v>
      </c>
      <c r="E1344" s="1246" t="s">
        <v>1494</v>
      </c>
      <c r="F1344" s="1248">
        <v>3</v>
      </c>
      <c r="G1344" s="1248">
        <v>15</v>
      </c>
      <c r="H1344" s="1249">
        <v>1</v>
      </c>
      <c r="I1344" s="1246" t="s">
        <v>1491</v>
      </c>
      <c r="J1344" s="1246" t="s">
        <v>1462</v>
      </c>
      <c r="K1344" s="1284" t="str">
        <f t="shared" si="20"/>
        <v>71</v>
      </c>
      <c r="L1344" s="1246" t="s">
        <v>1495</v>
      </c>
      <c r="M1344" s="1250">
        <v>9</v>
      </c>
      <c r="N1344" s="1251">
        <v>3</v>
      </c>
      <c r="O1344" s="1252">
        <v>1</v>
      </c>
    </row>
    <row r="1345" spans="1:15">
      <c r="A1345" s="1246" t="s">
        <v>1493</v>
      </c>
      <c r="B1345" s="1246" t="s">
        <v>431</v>
      </c>
      <c r="C1345" s="1247">
        <v>4</v>
      </c>
      <c r="E1345" s="1246" t="s">
        <v>376</v>
      </c>
      <c r="F1345" s="1248">
        <v>4</v>
      </c>
      <c r="G1345" s="1248">
        <v>4</v>
      </c>
      <c r="H1345" s="1249">
        <v>1</v>
      </c>
      <c r="I1345" s="1246" t="s">
        <v>1491</v>
      </c>
      <c r="J1345" s="1246" t="s">
        <v>1462</v>
      </c>
      <c r="K1345" s="1284" t="str">
        <f t="shared" si="20"/>
        <v>71</v>
      </c>
      <c r="L1345" s="1246" t="s">
        <v>1496</v>
      </c>
      <c r="M1345" s="1250">
        <v>9</v>
      </c>
      <c r="N1345" s="1251">
        <v>8</v>
      </c>
      <c r="O1345" s="1252">
        <v>2</v>
      </c>
    </row>
    <row r="1346" spans="1:15">
      <c r="A1346" s="1246" t="s">
        <v>683</v>
      </c>
      <c r="B1346" s="1246" t="s">
        <v>431</v>
      </c>
      <c r="C1346" s="1247">
        <v>4</v>
      </c>
      <c r="E1346" s="1246" t="s">
        <v>376</v>
      </c>
      <c r="F1346" s="1248">
        <v>4</v>
      </c>
      <c r="G1346" s="1248">
        <v>4</v>
      </c>
      <c r="H1346" s="1249">
        <v>1</v>
      </c>
      <c r="I1346" s="1246" t="s">
        <v>1491</v>
      </c>
      <c r="J1346" s="1246" t="s">
        <v>1462</v>
      </c>
      <c r="K1346" s="1284" t="str">
        <f t="shared" ref="K1346:K1409" si="21">IF(J1346="1B","10", IF(J1346="2B","20",IF(J1346="3B","30",IF(J1346="7B",70,J1346))))</f>
        <v>71</v>
      </c>
      <c r="L1346" s="1246" t="s">
        <v>1496</v>
      </c>
      <c r="M1346" s="1250">
        <v>9</v>
      </c>
      <c r="N1346" s="1251">
        <v>4</v>
      </c>
      <c r="O1346" s="1252">
        <v>1</v>
      </c>
    </row>
    <row r="1347" spans="1:15">
      <c r="A1347" s="1246" t="s">
        <v>683</v>
      </c>
      <c r="B1347" s="1246" t="s">
        <v>431</v>
      </c>
      <c r="C1347" s="1247">
        <v>4</v>
      </c>
      <c r="E1347" s="1246" t="s">
        <v>376</v>
      </c>
      <c r="F1347" s="1248">
        <v>4</v>
      </c>
      <c r="G1347" s="1248">
        <v>5</v>
      </c>
      <c r="H1347" s="1249">
        <v>1</v>
      </c>
      <c r="I1347" s="1246" t="s">
        <v>1491</v>
      </c>
      <c r="J1347" s="1246" t="s">
        <v>1462</v>
      </c>
      <c r="K1347" s="1284" t="str">
        <f t="shared" si="21"/>
        <v>71</v>
      </c>
      <c r="L1347" s="1246" t="s">
        <v>1495</v>
      </c>
      <c r="M1347" s="1250">
        <v>9</v>
      </c>
      <c r="N1347" s="1251">
        <v>4</v>
      </c>
      <c r="O1347" s="1252">
        <v>1</v>
      </c>
    </row>
    <row r="1348" spans="1:15">
      <c r="A1348" s="1246" t="s">
        <v>1493</v>
      </c>
      <c r="B1348" s="1246" t="s">
        <v>431</v>
      </c>
      <c r="C1348" s="1247">
        <v>4</v>
      </c>
      <c r="E1348" s="1246" t="s">
        <v>376</v>
      </c>
      <c r="F1348" s="1248">
        <v>4</v>
      </c>
      <c r="G1348" s="1248">
        <v>8</v>
      </c>
      <c r="H1348" s="1249">
        <v>1</v>
      </c>
      <c r="I1348" s="1246" t="s">
        <v>1491</v>
      </c>
      <c r="J1348" s="1246" t="s">
        <v>1470</v>
      </c>
      <c r="K1348" s="1284" t="str">
        <f t="shared" si="21"/>
        <v>7C</v>
      </c>
      <c r="L1348" s="1246" t="s">
        <v>1502</v>
      </c>
      <c r="M1348" s="1250">
        <v>4</v>
      </c>
      <c r="N1348" s="1251">
        <v>4</v>
      </c>
      <c r="O1348" s="1252">
        <v>1</v>
      </c>
    </row>
    <row r="1349" spans="1:15">
      <c r="A1349" s="1246" t="s">
        <v>1493</v>
      </c>
      <c r="B1349" s="1246" t="s">
        <v>431</v>
      </c>
      <c r="C1349" s="1247">
        <v>4</v>
      </c>
      <c r="E1349" s="1246" t="s">
        <v>376</v>
      </c>
      <c r="F1349" s="1248">
        <v>4</v>
      </c>
      <c r="G1349" s="1248">
        <v>8</v>
      </c>
      <c r="H1349" s="1249">
        <v>1</v>
      </c>
      <c r="I1349" s="1246" t="s">
        <v>1491</v>
      </c>
      <c r="J1349" s="1246" t="s">
        <v>1462</v>
      </c>
      <c r="K1349" s="1284" t="str">
        <f t="shared" si="21"/>
        <v>71</v>
      </c>
      <c r="L1349" s="1246" t="s">
        <v>1496</v>
      </c>
      <c r="M1349" s="1250">
        <v>9</v>
      </c>
      <c r="N1349" s="1251">
        <v>4</v>
      </c>
      <c r="O1349" s="1252">
        <v>1</v>
      </c>
    </row>
    <row r="1350" spans="1:15">
      <c r="A1350" s="1246" t="s">
        <v>1493</v>
      </c>
      <c r="B1350" s="1246" t="s">
        <v>431</v>
      </c>
      <c r="C1350" s="1247">
        <v>4</v>
      </c>
      <c r="E1350" s="1246" t="s">
        <v>1494</v>
      </c>
      <c r="F1350" s="1248">
        <v>4</v>
      </c>
      <c r="G1350" s="1248">
        <v>12</v>
      </c>
      <c r="H1350" s="1249">
        <v>1</v>
      </c>
      <c r="I1350" s="1246" t="s">
        <v>1491</v>
      </c>
      <c r="J1350" s="1246" t="s">
        <v>1462</v>
      </c>
      <c r="K1350" s="1284" t="str">
        <f t="shared" si="21"/>
        <v>71</v>
      </c>
      <c r="L1350" s="1246" t="s">
        <v>1495</v>
      </c>
      <c r="M1350" s="1250">
        <v>9</v>
      </c>
      <c r="N1350" s="1251">
        <v>4</v>
      </c>
      <c r="O1350" s="1252">
        <v>1</v>
      </c>
    </row>
    <row r="1351" spans="1:15">
      <c r="A1351" s="1246" t="s">
        <v>1493</v>
      </c>
      <c r="B1351" s="1246" t="s">
        <v>431</v>
      </c>
      <c r="C1351" s="1247">
        <v>4</v>
      </c>
      <c r="E1351" s="1246" t="s">
        <v>1494</v>
      </c>
      <c r="F1351" s="1248">
        <v>5</v>
      </c>
      <c r="G1351" s="1248">
        <v>10</v>
      </c>
      <c r="H1351" s="1249">
        <v>1</v>
      </c>
      <c r="I1351" s="1246" t="s">
        <v>1491</v>
      </c>
      <c r="J1351" s="1246" t="s">
        <v>1464</v>
      </c>
      <c r="K1351" s="1284" t="str">
        <f t="shared" si="21"/>
        <v>73</v>
      </c>
      <c r="L1351" s="1246" t="s">
        <v>1533</v>
      </c>
      <c r="M1351" s="1250">
        <v>9</v>
      </c>
      <c r="N1351" s="1251">
        <v>5</v>
      </c>
      <c r="O1351" s="1252">
        <v>1</v>
      </c>
    </row>
    <row r="1352" spans="1:15">
      <c r="A1352" s="1246" t="s">
        <v>1493</v>
      </c>
      <c r="B1352" s="1246" t="s">
        <v>431</v>
      </c>
      <c r="C1352" s="1247">
        <v>4</v>
      </c>
      <c r="E1352" s="1246" t="s">
        <v>376</v>
      </c>
      <c r="F1352" s="1248">
        <v>5</v>
      </c>
      <c r="G1352" s="1248">
        <v>10</v>
      </c>
      <c r="H1352" s="1249">
        <v>1</v>
      </c>
      <c r="I1352" s="1246" t="s">
        <v>1491</v>
      </c>
      <c r="J1352" s="1246" t="s">
        <v>1462</v>
      </c>
      <c r="K1352" s="1284" t="str">
        <f t="shared" si="21"/>
        <v>71</v>
      </c>
      <c r="L1352" s="1246" t="s">
        <v>1496</v>
      </c>
      <c r="M1352" s="1250">
        <v>9</v>
      </c>
      <c r="N1352" s="1251">
        <v>5</v>
      </c>
      <c r="O1352" s="1252">
        <v>1</v>
      </c>
    </row>
    <row r="1353" spans="1:15">
      <c r="A1353" s="1246" t="s">
        <v>1493</v>
      </c>
      <c r="B1353" s="1246" t="s">
        <v>431</v>
      </c>
      <c r="C1353" s="1247">
        <v>4</v>
      </c>
      <c r="E1353" s="1246" t="s">
        <v>376</v>
      </c>
      <c r="F1353" s="1248">
        <v>6</v>
      </c>
      <c r="G1353" s="1248">
        <v>12</v>
      </c>
      <c r="H1353" s="1249">
        <v>1</v>
      </c>
      <c r="I1353" s="1246" t="s">
        <v>1491</v>
      </c>
      <c r="J1353" s="1246" t="s">
        <v>1462</v>
      </c>
      <c r="K1353" s="1284" t="str">
        <f t="shared" si="21"/>
        <v>71</v>
      </c>
      <c r="L1353" s="1246" t="s">
        <v>1496</v>
      </c>
      <c r="M1353" s="1250">
        <v>9</v>
      </c>
      <c r="N1353" s="1251">
        <v>6</v>
      </c>
      <c r="O1353" s="1252">
        <v>1</v>
      </c>
    </row>
    <row r="1354" spans="1:15">
      <c r="A1354" s="1246" t="s">
        <v>1493</v>
      </c>
      <c r="B1354" s="1246" t="s">
        <v>431</v>
      </c>
      <c r="C1354" s="1247">
        <v>4</v>
      </c>
      <c r="E1354" s="1246" t="s">
        <v>279</v>
      </c>
      <c r="F1354" s="1248">
        <v>11</v>
      </c>
      <c r="G1354" s="1248">
        <v>11</v>
      </c>
      <c r="H1354" s="1249">
        <v>1</v>
      </c>
      <c r="I1354" s="1246" t="s">
        <v>1491</v>
      </c>
      <c r="J1354" s="1246" t="s">
        <v>1470</v>
      </c>
      <c r="K1354" s="1284" t="str">
        <f t="shared" si="21"/>
        <v>7C</v>
      </c>
      <c r="L1354" s="1246" t="s">
        <v>1502</v>
      </c>
      <c r="M1354" s="1250">
        <v>4</v>
      </c>
      <c r="N1354" s="1251">
        <v>11</v>
      </c>
      <c r="O1354" s="1252">
        <v>1</v>
      </c>
    </row>
    <row r="1355" spans="1:15">
      <c r="A1355" s="1246" t="s">
        <v>1493</v>
      </c>
      <c r="B1355" s="1246" t="s">
        <v>431</v>
      </c>
      <c r="C1355" s="1247">
        <v>6</v>
      </c>
      <c r="E1355" s="1246" t="s">
        <v>1494</v>
      </c>
      <c r="F1355" s="1248">
        <v>1</v>
      </c>
      <c r="G1355" s="1248">
        <v>0</v>
      </c>
      <c r="H1355" s="1249">
        <v>0</v>
      </c>
      <c r="J1355" s="1246" t="s">
        <v>1462</v>
      </c>
      <c r="K1355" s="1284" t="str">
        <f t="shared" si="21"/>
        <v>71</v>
      </c>
      <c r="L1355" s="1246" t="s">
        <v>1495</v>
      </c>
      <c r="M1355" s="1250">
        <v>9</v>
      </c>
      <c r="N1355" s="1251">
        <v>3</v>
      </c>
      <c r="O1355" s="1252">
        <v>3</v>
      </c>
    </row>
    <row r="1356" spans="1:15">
      <c r="A1356" s="1246" t="s">
        <v>1493</v>
      </c>
      <c r="B1356" s="1246" t="s">
        <v>431</v>
      </c>
      <c r="C1356" s="1247">
        <v>6</v>
      </c>
      <c r="E1356" s="1246" t="s">
        <v>1412</v>
      </c>
      <c r="F1356" s="1248">
        <v>1</v>
      </c>
      <c r="G1356" s="1248">
        <v>1</v>
      </c>
      <c r="H1356" s="1249">
        <v>1</v>
      </c>
      <c r="I1356" s="1246" t="s">
        <v>1491</v>
      </c>
      <c r="J1356" s="1246" t="s">
        <v>1470</v>
      </c>
      <c r="K1356" s="1284" t="str">
        <f t="shared" si="21"/>
        <v>7C</v>
      </c>
      <c r="L1356" s="1246" t="s">
        <v>1502</v>
      </c>
      <c r="M1356" s="1250">
        <v>4</v>
      </c>
      <c r="N1356" s="1251">
        <v>2</v>
      </c>
      <c r="O1356" s="1252">
        <v>2</v>
      </c>
    </row>
    <row r="1357" spans="1:15">
      <c r="A1357" s="1246" t="s">
        <v>1493</v>
      </c>
      <c r="B1357" s="1246" t="s">
        <v>431</v>
      </c>
      <c r="C1357" s="1247">
        <v>6</v>
      </c>
      <c r="E1357" s="1246" t="s">
        <v>1494</v>
      </c>
      <c r="F1357" s="1248">
        <v>1</v>
      </c>
      <c r="G1357" s="1248">
        <v>1</v>
      </c>
      <c r="H1357" s="1249">
        <v>1</v>
      </c>
      <c r="I1357" s="1246" t="s">
        <v>1491</v>
      </c>
      <c r="J1357" s="1246" t="s">
        <v>1470</v>
      </c>
      <c r="K1357" s="1284" t="str">
        <f t="shared" si="21"/>
        <v>7C</v>
      </c>
      <c r="L1357" s="1246" t="s">
        <v>1502</v>
      </c>
      <c r="M1357" s="1250">
        <v>4</v>
      </c>
      <c r="N1357" s="1251">
        <v>4</v>
      </c>
      <c r="O1357" s="1252">
        <v>4</v>
      </c>
    </row>
    <row r="1358" spans="1:15">
      <c r="A1358" s="1246" t="s">
        <v>1493</v>
      </c>
      <c r="B1358" s="1246" t="s">
        <v>431</v>
      </c>
      <c r="C1358" s="1247">
        <v>6</v>
      </c>
      <c r="E1358" s="1246" t="s">
        <v>1494</v>
      </c>
      <c r="F1358" s="1248">
        <v>1</v>
      </c>
      <c r="G1358" s="1248">
        <v>1</v>
      </c>
      <c r="H1358" s="1249">
        <v>1</v>
      </c>
      <c r="I1358" s="1246" t="s">
        <v>1491</v>
      </c>
      <c r="J1358" s="1246" t="s">
        <v>1469</v>
      </c>
      <c r="K1358" s="1284">
        <f t="shared" si="21"/>
        <v>70</v>
      </c>
      <c r="L1358" s="1246" t="s">
        <v>1534</v>
      </c>
      <c r="M1358" s="1250">
        <v>4</v>
      </c>
      <c r="N1358" s="1251">
        <v>2</v>
      </c>
      <c r="O1358" s="1252">
        <v>2</v>
      </c>
    </row>
    <row r="1359" spans="1:15">
      <c r="A1359" s="1246" t="s">
        <v>1493</v>
      </c>
      <c r="B1359" s="1246" t="s">
        <v>431</v>
      </c>
      <c r="C1359" s="1247">
        <v>6</v>
      </c>
      <c r="E1359" s="1246" t="s">
        <v>1412</v>
      </c>
      <c r="F1359" s="1248">
        <v>1</v>
      </c>
      <c r="G1359" s="1248">
        <v>1</v>
      </c>
      <c r="H1359" s="1249">
        <v>1</v>
      </c>
      <c r="I1359" s="1246" t="s">
        <v>1491</v>
      </c>
      <c r="J1359" s="1246" t="s">
        <v>1468</v>
      </c>
      <c r="K1359" s="1284" t="str">
        <f t="shared" si="21"/>
        <v>7A</v>
      </c>
      <c r="L1359" s="1246" t="s">
        <v>1545</v>
      </c>
      <c r="M1359" s="1250">
        <v>4</v>
      </c>
      <c r="N1359" s="1251">
        <v>1</v>
      </c>
      <c r="O1359" s="1252">
        <v>1</v>
      </c>
    </row>
    <row r="1360" spans="1:15">
      <c r="A1360" s="1246" t="s">
        <v>1493</v>
      </c>
      <c r="B1360" s="1246" t="s">
        <v>431</v>
      </c>
      <c r="C1360" s="1247">
        <v>6</v>
      </c>
      <c r="E1360" s="1246" t="s">
        <v>1494</v>
      </c>
      <c r="F1360" s="1248">
        <v>1</v>
      </c>
      <c r="G1360" s="1248">
        <v>1</v>
      </c>
      <c r="H1360" s="1249">
        <v>1</v>
      </c>
      <c r="I1360" s="1246" t="s">
        <v>1491</v>
      </c>
      <c r="J1360" s="1246" t="s">
        <v>1400</v>
      </c>
      <c r="K1360" s="1284" t="str">
        <f t="shared" si="21"/>
        <v>70</v>
      </c>
      <c r="L1360" s="1246" t="s">
        <v>1544</v>
      </c>
      <c r="M1360" s="1250">
        <v>9</v>
      </c>
      <c r="N1360" s="1251">
        <v>1</v>
      </c>
      <c r="O1360" s="1252">
        <v>1</v>
      </c>
    </row>
    <row r="1361" spans="1:15">
      <c r="A1361" s="1246" t="s">
        <v>1493</v>
      </c>
      <c r="B1361" s="1246" t="s">
        <v>431</v>
      </c>
      <c r="C1361" s="1247">
        <v>6</v>
      </c>
      <c r="E1361" s="1246" t="s">
        <v>1494</v>
      </c>
      <c r="F1361" s="1248">
        <v>1</v>
      </c>
      <c r="G1361" s="1248">
        <v>1</v>
      </c>
      <c r="H1361" s="1249">
        <v>1</v>
      </c>
      <c r="I1361" s="1246" t="s">
        <v>1491</v>
      </c>
      <c r="J1361" s="1246" t="s">
        <v>1463</v>
      </c>
      <c r="K1361" s="1284" t="str">
        <f t="shared" si="21"/>
        <v>72</v>
      </c>
      <c r="L1361" s="1246" t="s">
        <v>1529</v>
      </c>
      <c r="M1361" s="1250">
        <v>9</v>
      </c>
      <c r="N1361" s="1251">
        <v>2</v>
      </c>
      <c r="O1361" s="1252">
        <v>2</v>
      </c>
    </row>
    <row r="1362" spans="1:15">
      <c r="A1362" s="1246" t="s">
        <v>683</v>
      </c>
      <c r="B1362" s="1246" t="s">
        <v>431</v>
      </c>
      <c r="C1362" s="1247">
        <v>6</v>
      </c>
      <c r="E1362" s="1246" t="s">
        <v>1494</v>
      </c>
      <c r="F1362" s="1248">
        <v>1</v>
      </c>
      <c r="G1362" s="1248">
        <v>1</v>
      </c>
      <c r="H1362" s="1249">
        <v>1</v>
      </c>
      <c r="I1362" s="1246" t="s">
        <v>1491</v>
      </c>
      <c r="J1362" s="1246" t="s">
        <v>1463</v>
      </c>
      <c r="K1362" s="1284" t="str">
        <f t="shared" si="21"/>
        <v>72</v>
      </c>
      <c r="L1362" s="1246" t="s">
        <v>1529</v>
      </c>
      <c r="M1362" s="1250">
        <v>9</v>
      </c>
      <c r="N1362" s="1251">
        <v>1</v>
      </c>
      <c r="O1362" s="1252">
        <v>1</v>
      </c>
    </row>
    <row r="1363" spans="1:15">
      <c r="A1363" s="1246" t="s">
        <v>1493</v>
      </c>
      <c r="B1363" s="1246" t="s">
        <v>431</v>
      </c>
      <c r="C1363" s="1247">
        <v>6</v>
      </c>
      <c r="E1363" s="1246" t="s">
        <v>376</v>
      </c>
      <c r="F1363" s="1248">
        <v>1</v>
      </c>
      <c r="G1363" s="1248">
        <v>1</v>
      </c>
      <c r="H1363" s="1249">
        <v>1</v>
      </c>
      <c r="I1363" s="1246" t="s">
        <v>1491</v>
      </c>
      <c r="J1363" s="1246" t="s">
        <v>1463</v>
      </c>
      <c r="K1363" s="1284" t="str">
        <f t="shared" si="21"/>
        <v>72</v>
      </c>
      <c r="L1363" s="1246" t="s">
        <v>1529</v>
      </c>
      <c r="M1363" s="1250">
        <v>9</v>
      </c>
      <c r="N1363" s="1251">
        <v>1</v>
      </c>
      <c r="O1363" s="1252">
        <v>1</v>
      </c>
    </row>
    <row r="1364" spans="1:15">
      <c r="A1364" s="1246" t="s">
        <v>1493</v>
      </c>
      <c r="B1364" s="1246" t="s">
        <v>431</v>
      </c>
      <c r="C1364" s="1247">
        <v>6</v>
      </c>
      <c r="E1364" s="1246" t="s">
        <v>370</v>
      </c>
      <c r="F1364" s="1248">
        <v>1</v>
      </c>
      <c r="G1364" s="1248">
        <v>1</v>
      </c>
      <c r="H1364" s="1249">
        <v>1</v>
      </c>
      <c r="I1364" s="1246" t="s">
        <v>1491</v>
      </c>
      <c r="J1364" s="1246" t="s">
        <v>1462</v>
      </c>
      <c r="K1364" s="1284" t="str">
        <f t="shared" si="21"/>
        <v>71</v>
      </c>
      <c r="L1364" s="1246" t="s">
        <v>1495</v>
      </c>
      <c r="M1364" s="1250">
        <v>9</v>
      </c>
      <c r="N1364" s="1251">
        <v>2</v>
      </c>
      <c r="O1364" s="1252">
        <v>2</v>
      </c>
    </row>
    <row r="1365" spans="1:15">
      <c r="A1365" s="1246" t="s">
        <v>1493</v>
      </c>
      <c r="B1365" s="1246" t="s">
        <v>431</v>
      </c>
      <c r="C1365" s="1247">
        <v>6</v>
      </c>
      <c r="E1365" s="1246" t="s">
        <v>376</v>
      </c>
      <c r="F1365" s="1248">
        <v>1</v>
      </c>
      <c r="G1365" s="1248">
        <v>1</v>
      </c>
      <c r="H1365" s="1249">
        <v>1</v>
      </c>
      <c r="I1365" s="1246" t="s">
        <v>1491</v>
      </c>
      <c r="J1365" s="1246" t="s">
        <v>1462</v>
      </c>
      <c r="K1365" s="1284" t="str">
        <f t="shared" si="21"/>
        <v>71</v>
      </c>
      <c r="L1365" s="1246" t="s">
        <v>1495</v>
      </c>
      <c r="M1365" s="1250">
        <v>9</v>
      </c>
      <c r="N1365" s="1251">
        <v>1</v>
      </c>
      <c r="O1365" s="1252">
        <v>1</v>
      </c>
    </row>
    <row r="1366" spans="1:15">
      <c r="A1366" s="1246" t="s">
        <v>1493</v>
      </c>
      <c r="B1366" s="1246" t="s">
        <v>431</v>
      </c>
      <c r="C1366" s="1247">
        <v>6</v>
      </c>
      <c r="E1366" s="1246" t="s">
        <v>1412</v>
      </c>
      <c r="F1366" s="1248">
        <v>1</v>
      </c>
      <c r="G1366" s="1248">
        <v>1</v>
      </c>
      <c r="H1366" s="1249">
        <v>1</v>
      </c>
      <c r="I1366" s="1246" t="s">
        <v>1491</v>
      </c>
      <c r="J1366" s="1246" t="s">
        <v>1462</v>
      </c>
      <c r="K1366" s="1284" t="str">
        <f t="shared" si="21"/>
        <v>71</v>
      </c>
      <c r="L1366" s="1246" t="s">
        <v>1495</v>
      </c>
      <c r="M1366" s="1250">
        <v>9</v>
      </c>
      <c r="N1366" s="1251">
        <v>7</v>
      </c>
      <c r="O1366" s="1252">
        <v>7</v>
      </c>
    </row>
    <row r="1367" spans="1:15">
      <c r="A1367" s="1246" t="s">
        <v>1493</v>
      </c>
      <c r="B1367" s="1246" t="s">
        <v>431</v>
      </c>
      <c r="C1367" s="1247">
        <v>6</v>
      </c>
      <c r="E1367" s="1246" t="s">
        <v>1494</v>
      </c>
      <c r="F1367" s="1248">
        <v>1</v>
      </c>
      <c r="G1367" s="1248">
        <v>1</v>
      </c>
      <c r="H1367" s="1249">
        <v>1</v>
      </c>
      <c r="I1367" s="1246" t="s">
        <v>1491</v>
      </c>
      <c r="J1367" s="1246" t="s">
        <v>1462</v>
      </c>
      <c r="K1367" s="1284" t="str">
        <f t="shared" si="21"/>
        <v>71</v>
      </c>
      <c r="L1367" s="1246" t="s">
        <v>1495</v>
      </c>
      <c r="M1367" s="1250">
        <v>9</v>
      </c>
      <c r="N1367" s="1251">
        <v>58</v>
      </c>
      <c r="O1367" s="1252">
        <v>58</v>
      </c>
    </row>
    <row r="1368" spans="1:15">
      <c r="A1368" s="1246" t="s">
        <v>683</v>
      </c>
      <c r="B1368" s="1246" t="s">
        <v>431</v>
      </c>
      <c r="C1368" s="1247">
        <v>6</v>
      </c>
      <c r="E1368" s="1246" t="s">
        <v>1494</v>
      </c>
      <c r="F1368" s="1248">
        <v>1</v>
      </c>
      <c r="G1368" s="1248">
        <v>1</v>
      </c>
      <c r="H1368" s="1249">
        <v>1</v>
      </c>
      <c r="I1368" s="1246" t="s">
        <v>1491</v>
      </c>
      <c r="J1368" s="1246" t="s">
        <v>1462</v>
      </c>
      <c r="K1368" s="1284" t="str">
        <f t="shared" si="21"/>
        <v>71</v>
      </c>
      <c r="L1368" s="1246" t="s">
        <v>1495</v>
      </c>
      <c r="M1368" s="1250">
        <v>9</v>
      </c>
      <c r="N1368" s="1251">
        <v>1</v>
      </c>
      <c r="O1368" s="1252">
        <v>1</v>
      </c>
    </row>
    <row r="1369" spans="1:15">
      <c r="A1369" s="1246" t="s">
        <v>1493</v>
      </c>
      <c r="B1369" s="1246" t="s">
        <v>431</v>
      </c>
      <c r="C1369" s="1247">
        <v>6</v>
      </c>
      <c r="E1369" s="1246" t="s">
        <v>1494</v>
      </c>
      <c r="F1369" s="1248">
        <v>1</v>
      </c>
      <c r="G1369" s="1248">
        <v>1</v>
      </c>
      <c r="H1369" s="1249">
        <v>1</v>
      </c>
      <c r="I1369" s="1246" t="s">
        <v>1491</v>
      </c>
      <c r="J1369" s="1246" t="s">
        <v>1467</v>
      </c>
      <c r="K1369" s="1284" t="str">
        <f t="shared" si="21"/>
        <v>76</v>
      </c>
      <c r="L1369" s="1246" t="s">
        <v>1538</v>
      </c>
      <c r="M1369" s="1250">
        <v>9</v>
      </c>
      <c r="N1369" s="1251">
        <v>1</v>
      </c>
      <c r="O1369" s="1252">
        <v>1</v>
      </c>
    </row>
    <row r="1370" spans="1:15">
      <c r="A1370" s="1246" t="s">
        <v>1493</v>
      </c>
      <c r="B1370" s="1246" t="s">
        <v>431</v>
      </c>
      <c r="C1370" s="1247">
        <v>6</v>
      </c>
      <c r="E1370" s="1246" t="s">
        <v>1494</v>
      </c>
      <c r="F1370" s="1248">
        <v>1</v>
      </c>
      <c r="G1370" s="1248">
        <v>1</v>
      </c>
      <c r="H1370" s="1249">
        <v>1</v>
      </c>
      <c r="I1370" s="1246" t="s">
        <v>1491</v>
      </c>
      <c r="J1370" s="1246" t="s">
        <v>1400</v>
      </c>
      <c r="K1370" s="1284" t="str">
        <f t="shared" si="21"/>
        <v>70</v>
      </c>
      <c r="L1370" s="1246" t="s">
        <v>1536</v>
      </c>
      <c r="M1370" s="1250">
        <v>9</v>
      </c>
      <c r="N1370" s="1251">
        <v>1</v>
      </c>
      <c r="O1370" s="1252">
        <v>1</v>
      </c>
    </row>
    <row r="1371" spans="1:15">
      <c r="A1371" s="1246" t="s">
        <v>1493</v>
      </c>
      <c r="B1371" s="1246" t="s">
        <v>431</v>
      </c>
      <c r="C1371" s="1247">
        <v>6</v>
      </c>
      <c r="E1371" s="1246" t="s">
        <v>1494</v>
      </c>
      <c r="F1371" s="1248">
        <v>1</v>
      </c>
      <c r="G1371" s="1248">
        <v>1</v>
      </c>
      <c r="H1371" s="1249">
        <v>1</v>
      </c>
      <c r="I1371" s="1246" t="s">
        <v>1491</v>
      </c>
      <c r="J1371" s="1246" t="s">
        <v>1466</v>
      </c>
      <c r="K1371" s="1284" t="str">
        <f t="shared" si="21"/>
        <v>75</v>
      </c>
      <c r="L1371" s="1246" t="s">
        <v>1530</v>
      </c>
      <c r="M1371" s="1250">
        <v>9</v>
      </c>
      <c r="N1371" s="1251">
        <v>2</v>
      </c>
      <c r="O1371" s="1252">
        <v>2</v>
      </c>
    </row>
    <row r="1372" spans="1:15">
      <c r="A1372" s="1246" t="s">
        <v>1493</v>
      </c>
      <c r="B1372" s="1246" t="s">
        <v>431</v>
      </c>
      <c r="C1372" s="1247">
        <v>6</v>
      </c>
      <c r="E1372" s="1246" t="s">
        <v>376</v>
      </c>
      <c r="F1372" s="1248">
        <v>1</v>
      </c>
      <c r="G1372" s="1248">
        <v>1</v>
      </c>
      <c r="H1372" s="1249">
        <v>1</v>
      </c>
      <c r="I1372" s="1246" t="s">
        <v>1491</v>
      </c>
      <c r="J1372" s="1246" t="s">
        <v>1468</v>
      </c>
      <c r="K1372" s="1284" t="str">
        <f t="shared" si="21"/>
        <v>7A</v>
      </c>
      <c r="L1372" s="1246" t="s">
        <v>1531</v>
      </c>
      <c r="M1372" s="1250">
        <v>9</v>
      </c>
      <c r="N1372" s="1251">
        <v>1</v>
      </c>
      <c r="O1372" s="1252">
        <v>1</v>
      </c>
    </row>
    <row r="1373" spans="1:15">
      <c r="A1373" s="1246" t="s">
        <v>1493</v>
      </c>
      <c r="B1373" s="1246" t="s">
        <v>431</v>
      </c>
      <c r="C1373" s="1247">
        <v>6</v>
      </c>
      <c r="E1373" s="1246" t="s">
        <v>376</v>
      </c>
      <c r="F1373" s="1248">
        <v>1</v>
      </c>
      <c r="G1373" s="1248">
        <v>1</v>
      </c>
      <c r="H1373" s="1249">
        <v>1</v>
      </c>
      <c r="I1373" s="1246" t="s">
        <v>1491</v>
      </c>
      <c r="J1373" s="1246" t="s">
        <v>1400</v>
      </c>
      <c r="K1373" s="1284" t="str">
        <f t="shared" si="21"/>
        <v>70</v>
      </c>
      <c r="L1373" s="1246" t="s">
        <v>1532</v>
      </c>
      <c r="M1373" s="1250">
        <v>9</v>
      </c>
      <c r="N1373" s="1251">
        <v>3</v>
      </c>
      <c r="O1373" s="1252">
        <v>3</v>
      </c>
    </row>
    <row r="1374" spans="1:15">
      <c r="A1374" s="1246" t="s">
        <v>1493</v>
      </c>
      <c r="B1374" s="1246" t="s">
        <v>431</v>
      </c>
      <c r="C1374" s="1247">
        <v>6</v>
      </c>
      <c r="E1374" s="1246" t="s">
        <v>1412</v>
      </c>
      <c r="F1374" s="1248">
        <v>1</v>
      </c>
      <c r="G1374" s="1248">
        <v>1</v>
      </c>
      <c r="H1374" s="1249">
        <v>1</v>
      </c>
      <c r="I1374" s="1246" t="s">
        <v>1491</v>
      </c>
      <c r="J1374" s="1246" t="s">
        <v>1400</v>
      </c>
      <c r="K1374" s="1284" t="str">
        <f t="shared" si="21"/>
        <v>70</v>
      </c>
      <c r="L1374" s="1246" t="s">
        <v>1532</v>
      </c>
      <c r="M1374" s="1250">
        <v>9</v>
      </c>
      <c r="N1374" s="1251">
        <v>1</v>
      </c>
      <c r="O1374" s="1252">
        <v>1</v>
      </c>
    </row>
    <row r="1375" spans="1:15">
      <c r="A1375" s="1246" t="s">
        <v>1493</v>
      </c>
      <c r="B1375" s="1246" t="s">
        <v>431</v>
      </c>
      <c r="C1375" s="1247">
        <v>6</v>
      </c>
      <c r="E1375" s="1246" t="s">
        <v>1494</v>
      </c>
      <c r="F1375" s="1248">
        <v>1</v>
      </c>
      <c r="G1375" s="1248">
        <v>1</v>
      </c>
      <c r="H1375" s="1249">
        <v>1</v>
      </c>
      <c r="I1375" s="1246" t="s">
        <v>1491</v>
      </c>
      <c r="J1375" s="1246" t="s">
        <v>1400</v>
      </c>
      <c r="K1375" s="1284" t="str">
        <f t="shared" si="21"/>
        <v>70</v>
      </c>
      <c r="L1375" s="1246" t="s">
        <v>1532</v>
      </c>
      <c r="M1375" s="1250">
        <v>9</v>
      </c>
      <c r="N1375" s="1251">
        <v>3</v>
      </c>
      <c r="O1375" s="1252">
        <v>3</v>
      </c>
    </row>
    <row r="1376" spans="1:15">
      <c r="A1376" s="1246" t="s">
        <v>1493</v>
      </c>
      <c r="B1376" s="1246" t="s">
        <v>431</v>
      </c>
      <c r="C1376" s="1247">
        <v>6</v>
      </c>
      <c r="E1376" s="1246" t="s">
        <v>1494</v>
      </c>
      <c r="F1376" s="1248">
        <v>1</v>
      </c>
      <c r="G1376" s="1248">
        <v>1</v>
      </c>
      <c r="H1376" s="1249">
        <v>1</v>
      </c>
      <c r="I1376" s="1246" t="s">
        <v>1491</v>
      </c>
      <c r="J1376" s="1246" t="s">
        <v>1464</v>
      </c>
      <c r="K1376" s="1284" t="str">
        <f t="shared" si="21"/>
        <v>73</v>
      </c>
      <c r="L1376" s="1246" t="s">
        <v>1533</v>
      </c>
      <c r="M1376" s="1250">
        <v>9</v>
      </c>
      <c r="N1376" s="1251">
        <v>7</v>
      </c>
      <c r="O1376" s="1252">
        <v>7</v>
      </c>
    </row>
    <row r="1377" spans="1:15">
      <c r="A1377" s="1246" t="s">
        <v>1493</v>
      </c>
      <c r="B1377" s="1246" t="s">
        <v>431</v>
      </c>
      <c r="C1377" s="1247">
        <v>6</v>
      </c>
      <c r="E1377" s="1246" t="s">
        <v>376</v>
      </c>
      <c r="F1377" s="1248">
        <v>1</v>
      </c>
      <c r="G1377" s="1248">
        <v>1</v>
      </c>
      <c r="H1377" s="1249">
        <v>1</v>
      </c>
      <c r="I1377" s="1246" t="s">
        <v>1491</v>
      </c>
      <c r="J1377" s="1246" t="s">
        <v>1462</v>
      </c>
      <c r="K1377" s="1284" t="str">
        <f t="shared" si="21"/>
        <v>71</v>
      </c>
      <c r="L1377" s="1246" t="s">
        <v>1496</v>
      </c>
      <c r="M1377" s="1250">
        <v>9</v>
      </c>
      <c r="N1377" s="1251">
        <v>5</v>
      </c>
      <c r="O1377" s="1252">
        <v>5</v>
      </c>
    </row>
    <row r="1378" spans="1:15">
      <c r="A1378" s="1246" t="s">
        <v>683</v>
      </c>
      <c r="B1378" s="1246" t="s">
        <v>431</v>
      </c>
      <c r="C1378" s="1247">
        <v>6</v>
      </c>
      <c r="E1378" s="1246" t="s">
        <v>1494</v>
      </c>
      <c r="F1378" s="1248">
        <v>1</v>
      </c>
      <c r="G1378" s="1248">
        <v>1</v>
      </c>
      <c r="H1378" s="1249">
        <v>1</v>
      </c>
      <c r="I1378" s="1246" t="s">
        <v>1491</v>
      </c>
      <c r="J1378" s="1246" t="s">
        <v>1465</v>
      </c>
      <c r="K1378" s="1284" t="str">
        <f t="shared" si="21"/>
        <v>74</v>
      </c>
      <c r="L1378" s="1246" t="s">
        <v>1543</v>
      </c>
      <c r="M1378" s="1250">
        <v>9</v>
      </c>
      <c r="N1378" s="1251">
        <v>1</v>
      </c>
      <c r="O1378" s="1252">
        <v>1</v>
      </c>
    </row>
    <row r="1379" spans="1:15">
      <c r="A1379" s="1246" t="s">
        <v>1493</v>
      </c>
      <c r="B1379" s="1246" t="s">
        <v>431</v>
      </c>
      <c r="C1379" s="1247">
        <v>6</v>
      </c>
      <c r="E1379" s="1246" t="s">
        <v>1412</v>
      </c>
      <c r="F1379" s="1248">
        <v>1</v>
      </c>
      <c r="G1379" s="1248">
        <v>1</v>
      </c>
      <c r="H1379" s="1249">
        <v>2</v>
      </c>
      <c r="I1379" s="1246" t="s">
        <v>1491</v>
      </c>
      <c r="J1379" s="1246" t="s">
        <v>1400</v>
      </c>
      <c r="K1379" s="1284" t="str">
        <f t="shared" si="21"/>
        <v>70</v>
      </c>
      <c r="L1379" s="1246" t="s">
        <v>1544</v>
      </c>
      <c r="M1379" s="1250">
        <v>9</v>
      </c>
      <c r="N1379" s="1251">
        <v>1</v>
      </c>
      <c r="O1379" s="1252">
        <v>1</v>
      </c>
    </row>
    <row r="1380" spans="1:15">
      <c r="A1380" s="1246" t="s">
        <v>1493</v>
      </c>
      <c r="B1380" s="1246" t="s">
        <v>431</v>
      </c>
      <c r="C1380" s="1247">
        <v>6</v>
      </c>
      <c r="E1380" s="1246" t="s">
        <v>1494</v>
      </c>
      <c r="F1380" s="1248">
        <v>1</v>
      </c>
      <c r="G1380" s="1248">
        <v>1</v>
      </c>
      <c r="H1380" s="1249">
        <v>2</v>
      </c>
      <c r="I1380" s="1246" t="s">
        <v>1491</v>
      </c>
      <c r="J1380" s="1246" t="s">
        <v>1400</v>
      </c>
      <c r="K1380" s="1284" t="str">
        <f t="shared" si="21"/>
        <v>70</v>
      </c>
      <c r="L1380" s="1246" t="s">
        <v>1536</v>
      </c>
      <c r="M1380" s="1250">
        <v>9</v>
      </c>
      <c r="N1380" s="1251">
        <v>1</v>
      </c>
      <c r="O1380" s="1252">
        <v>1</v>
      </c>
    </row>
    <row r="1381" spans="1:15">
      <c r="A1381" s="1246" t="s">
        <v>1493</v>
      </c>
      <c r="B1381" s="1246" t="s">
        <v>431</v>
      </c>
      <c r="C1381" s="1247">
        <v>6</v>
      </c>
      <c r="E1381" s="1246" t="s">
        <v>1412</v>
      </c>
      <c r="F1381" s="1248">
        <v>1</v>
      </c>
      <c r="G1381" s="1248">
        <v>1</v>
      </c>
      <c r="H1381" s="1249">
        <v>2</v>
      </c>
      <c r="I1381" s="1246" t="s">
        <v>1491</v>
      </c>
      <c r="J1381" s="1246" t="s">
        <v>1400</v>
      </c>
      <c r="K1381" s="1284" t="str">
        <f t="shared" si="21"/>
        <v>70</v>
      </c>
      <c r="L1381" s="1246" t="s">
        <v>1532</v>
      </c>
      <c r="M1381" s="1250">
        <v>9</v>
      </c>
      <c r="N1381" s="1251">
        <v>1</v>
      </c>
      <c r="O1381" s="1252">
        <v>1</v>
      </c>
    </row>
    <row r="1382" spans="1:15">
      <c r="A1382" s="1246" t="s">
        <v>1493</v>
      </c>
      <c r="B1382" s="1246" t="s">
        <v>431</v>
      </c>
      <c r="C1382" s="1247">
        <v>6</v>
      </c>
      <c r="E1382" s="1246" t="s">
        <v>1494</v>
      </c>
      <c r="F1382" s="1248">
        <v>1</v>
      </c>
      <c r="G1382" s="1248">
        <v>1</v>
      </c>
      <c r="H1382" s="1249">
        <v>2</v>
      </c>
      <c r="I1382" s="1246" t="s">
        <v>1491</v>
      </c>
      <c r="J1382" s="1246" t="s">
        <v>1464</v>
      </c>
      <c r="K1382" s="1284" t="str">
        <f t="shared" si="21"/>
        <v>73</v>
      </c>
      <c r="L1382" s="1246" t="s">
        <v>1533</v>
      </c>
      <c r="M1382" s="1250">
        <v>9</v>
      </c>
      <c r="N1382" s="1251">
        <v>1</v>
      </c>
      <c r="O1382" s="1252">
        <v>1</v>
      </c>
    </row>
    <row r="1383" spans="1:15">
      <c r="A1383" s="1246" t="s">
        <v>1493</v>
      </c>
      <c r="B1383" s="1246" t="s">
        <v>431</v>
      </c>
      <c r="C1383" s="1247">
        <v>6</v>
      </c>
      <c r="E1383" s="1246" t="s">
        <v>1494</v>
      </c>
      <c r="F1383" s="1248">
        <v>1</v>
      </c>
      <c r="G1383" s="1248">
        <v>2</v>
      </c>
      <c r="H1383" s="1249">
        <v>1</v>
      </c>
      <c r="I1383" s="1246" t="s">
        <v>1491</v>
      </c>
      <c r="J1383" s="1246" t="s">
        <v>1469</v>
      </c>
      <c r="K1383" s="1284">
        <f t="shared" si="21"/>
        <v>70</v>
      </c>
      <c r="L1383" s="1246" t="s">
        <v>1534</v>
      </c>
      <c r="M1383" s="1250">
        <v>4</v>
      </c>
      <c r="N1383" s="1251">
        <v>1</v>
      </c>
      <c r="O1383" s="1252">
        <v>1</v>
      </c>
    </row>
    <row r="1384" spans="1:15">
      <c r="A1384" s="1246" t="s">
        <v>1493</v>
      </c>
      <c r="B1384" s="1246" t="s">
        <v>431</v>
      </c>
      <c r="C1384" s="1247">
        <v>6</v>
      </c>
      <c r="E1384" s="1246" t="s">
        <v>1494</v>
      </c>
      <c r="F1384" s="1248">
        <v>1</v>
      </c>
      <c r="G1384" s="1248">
        <v>2</v>
      </c>
      <c r="H1384" s="1249">
        <v>1</v>
      </c>
      <c r="I1384" s="1246" t="s">
        <v>1491</v>
      </c>
      <c r="J1384" s="1246" t="s">
        <v>1468</v>
      </c>
      <c r="K1384" s="1284" t="str">
        <f t="shared" si="21"/>
        <v>7A</v>
      </c>
      <c r="L1384" s="1246" t="s">
        <v>1545</v>
      </c>
      <c r="M1384" s="1250">
        <v>4</v>
      </c>
      <c r="N1384" s="1251">
        <v>1</v>
      </c>
      <c r="O1384" s="1252">
        <v>1</v>
      </c>
    </row>
    <row r="1385" spans="1:15">
      <c r="A1385" s="1246" t="s">
        <v>683</v>
      </c>
      <c r="B1385" s="1246" t="s">
        <v>431</v>
      </c>
      <c r="C1385" s="1247">
        <v>6</v>
      </c>
      <c r="E1385" s="1246" t="s">
        <v>1494</v>
      </c>
      <c r="F1385" s="1248">
        <v>1</v>
      </c>
      <c r="G1385" s="1248">
        <v>2</v>
      </c>
      <c r="H1385" s="1249">
        <v>1</v>
      </c>
      <c r="I1385" s="1246" t="s">
        <v>1491</v>
      </c>
      <c r="J1385" s="1246" t="s">
        <v>1462</v>
      </c>
      <c r="K1385" s="1284" t="str">
        <f t="shared" si="21"/>
        <v>71</v>
      </c>
      <c r="L1385" s="1246" t="s">
        <v>1495</v>
      </c>
      <c r="M1385" s="1250">
        <v>9</v>
      </c>
      <c r="N1385" s="1251">
        <v>1</v>
      </c>
      <c r="O1385" s="1252">
        <v>1</v>
      </c>
    </row>
    <row r="1386" spans="1:15">
      <c r="A1386" s="1246" t="s">
        <v>1493</v>
      </c>
      <c r="B1386" s="1246" t="s">
        <v>431</v>
      </c>
      <c r="C1386" s="1247">
        <v>6</v>
      </c>
      <c r="E1386" s="1246" t="s">
        <v>1412</v>
      </c>
      <c r="F1386" s="1248">
        <v>1</v>
      </c>
      <c r="G1386" s="1248">
        <v>2</v>
      </c>
      <c r="H1386" s="1249">
        <v>1</v>
      </c>
      <c r="I1386" s="1246" t="s">
        <v>1491</v>
      </c>
      <c r="J1386" s="1246" t="s">
        <v>1462</v>
      </c>
      <c r="K1386" s="1284" t="str">
        <f t="shared" si="21"/>
        <v>71</v>
      </c>
      <c r="L1386" s="1246" t="s">
        <v>1495</v>
      </c>
      <c r="M1386" s="1250">
        <v>9</v>
      </c>
      <c r="N1386" s="1251">
        <v>5</v>
      </c>
      <c r="O1386" s="1252">
        <v>5</v>
      </c>
    </row>
    <row r="1387" spans="1:15">
      <c r="A1387" s="1246" t="s">
        <v>1493</v>
      </c>
      <c r="B1387" s="1246" t="s">
        <v>431</v>
      </c>
      <c r="C1387" s="1247">
        <v>6</v>
      </c>
      <c r="E1387" s="1246" t="s">
        <v>1535</v>
      </c>
      <c r="F1387" s="1248">
        <v>1</v>
      </c>
      <c r="G1387" s="1248">
        <v>2</v>
      </c>
      <c r="H1387" s="1249">
        <v>1</v>
      </c>
      <c r="I1387" s="1246" t="s">
        <v>1491</v>
      </c>
      <c r="J1387" s="1246" t="s">
        <v>1462</v>
      </c>
      <c r="K1387" s="1284" t="str">
        <f t="shared" si="21"/>
        <v>71</v>
      </c>
      <c r="L1387" s="1246" t="s">
        <v>1495</v>
      </c>
      <c r="M1387" s="1250">
        <v>9</v>
      </c>
      <c r="N1387" s="1251">
        <v>1</v>
      </c>
      <c r="O1387" s="1252">
        <v>1</v>
      </c>
    </row>
    <row r="1388" spans="1:15">
      <c r="A1388" s="1246" t="s">
        <v>1493</v>
      </c>
      <c r="B1388" s="1246" t="s">
        <v>431</v>
      </c>
      <c r="C1388" s="1247">
        <v>6</v>
      </c>
      <c r="E1388" s="1246" t="s">
        <v>1494</v>
      </c>
      <c r="F1388" s="1248">
        <v>1</v>
      </c>
      <c r="G1388" s="1248">
        <v>2</v>
      </c>
      <c r="H1388" s="1249">
        <v>1</v>
      </c>
      <c r="I1388" s="1246" t="s">
        <v>1491</v>
      </c>
      <c r="J1388" s="1246" t="s">
        <v>1462</v>
      </c>
      <c r="K1388" s="1284" t="str">
        <f t="shared" si="21"/>
        <v>71</v>
      </c>
      <c r="L1388" s="1246" t="s">
        <v>1495</v>
      </c>
      <c r="M1388" s="1250">
        <v>9</v>
      </c>
      <c r="N1388" s="1251">
        <v>29</v>
      </c>
      <c r="O1388" s="1252">
        <v>29</v>
      </c>
    </row>
    <row r="1389" spans="1:15">
      <c r="A1389" s="1246" t="s">
        <v>1493</v>
      </c>
      <c r="B1389" s="1246" t="s">
        <v>431</v>
      </c>
      <c r="C1389" s="1247">
        <v>6</v>
      </c>
      <c r="E1389" s="1246" t="s">
        <v>1494</v>
      </c>
      <c r="F1389" s="1248">
        <v>1</v>
      </c>
      <c r="G1389" s="1248">
        <v>2</v>
      </c>
      <c r="H1389" s="1249">
        <v>1</v>
      </c>
      <c r="I1389" s="1246" t="s">
        <v>1491</v>
      </c>
      <c r="J1389" s="1246" t="s">
        <v>1467</v>
      </c>
      <c r="K1389" s="1284" t="str">
        <f t="shared" si="21"/>
        <v>76</v>
      </c>
      <c r="L1389" s="1246" t="s">
        <v>1538</v>
      </c>
      <c r="M1389" s="1250">
        <v>9</v>
      </c>
      <c r="N1389" s="1251">
        <v>1</v>
      </c>
      <c r="O1389" s="1252">
        <v>1</v>
      </c>
    </row>
    <row r="1390" spans="1:15">
      <c r="A1390" s="1246" t="s">
        <v>1493</v>
      </c>
      <c r="B1390" s="1246" t="s">
        <v>431</v>
      </c>
      <c r="C1390" s="1247">
        <v>6</v>
      </c>
      <c r="E1390" s="1246" t="s">
        <v>1494</v>
      </c>
      <c r="F1390" s="1248">
        <v>1</v>
      </c>
      <c r="G1390" s="1248">
        <v>2</v>
      </c>
      <c r="H1390" s="1249">
        <v>1</v>
      </c>
      <c r="I1390" s="1246" t="s">
        <v>1491</v>
      </c>
      <c r="J1390" s="1246" t="s">
        <v>1466</v>
      </c>
      <c r="K1390" s="1284" t="str">
        <f t="shared" si="21"/>
        <v>75</v>
      </c>
      <c r="L1390" s="1246" t="s">
        <v>1530</v>
      </c>
      <c r="M1390" s="1250">
        <v>9</v>
      </c>
      <c r="N1390" s="1251">
        <v>3</v>
      </c>
      <c r="O1390" s="1252">
        <v>3</v>
      </c>
    </row>
    <row r="1391" spans="1:15">
      <c r="A1391" s="1246" t="s">
        <v>1493</v>
      </c>
      <c r="B1391" s="1246" t="s">
        <v>431</v>
      </c>
      <c r="C1391" s="1247">
        <v>6</v>
      </c>
      <c r="E1391" s="1246" t="s">
        <v>1494</v>
      </c>
      <c r="F1391" s="1248">
        <v>1</v>
      </c>
      <c r="G1391" s="1248">
        <v>2</v>
      </c>
      <c r="H1391" s="1249">
        <v>1</v>
      </c>
      <c r="I1391" s="1246" t="s">
        <v>1491</v>
      </c>
      <c r="J1391" s="1246" t="s">
        <v>1400</v>
      </c>
      <c r="K1391" s="1284" t="str">
        <f t="shared" si="21"/>
        <v>70</v>
      </c>
      <c r="L1391" s="1246" t="s">
        <v>1532</v>
      </c>
      <c r="M1391" s="1250">
        <v>9</v>
      </c>
      <c r="N1391" s="1251">
        <v>2</v>
      </c>
      <c r="O1391" s="1252">
        <v>2</v>
      </c>
    </row>
    <row r="1392" spans="1:15">
      <c r="A1392" s="1246" t="s">
        <v>1493</v>
      </c>
      <c r="B1392" s="1246" t="s">
        <v>431</v>
      </c>
      <c r="C1392" s="1247">
        <v>6</v>
      </c>
      <c r="E1392" s="1246" t="s">
        <v>1494</v>
      </c>
      <c r="F1392" s="1248">
        <v>1</v>
      </c>
      <c r="G1392" s="1248">
        <v>2</v>
      </c>
      <c r="H1392" s="1249">
        <v>1</v>
      </c>
      <c r="I1392" s="1246" t="s">
        <v>1491</v>
      </c>
      <c r="J1392" s="1246" t="s">
        <v>1464</v>
      </c>
      <c r="K1392" s="1284" t="str">
        <f t="shared" si="21"/>
        <v>73</v>
      </c>
      <c r="L1392" s="1246" t="s">
        <v>1533</v>
      </c>
      <c r="M1392" s="1250">
        <v>9</v>
      </c>
      <c r="N1392" s="1251">
        <v>2</v>
      </c>
      <c r="O1392" s="1252">
        <v>2</v>
      </c>
    </row>
    <row r="1393" spans="1:15">
      <c r="A1393" s="1246" t="s">
        <v>1493</v>
      </c>
      <c r="B1393" s="1246" t="s">
        <v>431</v>
      </c>
      <c r="C1393" s="1247">
        <v>6</v>
      </c>
      <c r="E1393" s="1246" t="s">
        <v>376</v>
      </c>
      <c r="F1393" s="1248">
        <v>1</v>
      </c>
      <c r="G1393" s="1248">
        <v>2</v>
      </c>
      <c r="H1393" s="1249">
        <v>1</v>
      </c>
      <c r="I1393" s="1246" t="s">
        <v>1491</v>
      </c>
      <c r="J1393" s="1246" t="s">
        <v>1462</v>
      </c>
      <c r="K1393" s="1284" t="str">
        <f t="shared" si="21"/>
        <v>71</v>
      </c>
      <c r="L1393" s="1246" t="s">
        <v>1496</v>
      </c>
      <c r="M1393" s="1250">
        <v>9</v>
      </c>
      <c r="N1393" s="1251">
        <v>3</v>
      </c>
      <c r="O1393" s="1252">
        <v>3</v>
      </c>
    </row>
    <row r="1394" spans="1:15">
      <c r="A1394" s="1246" t="s">
        <v>1493</v>
      </c>
      <c r="B1394" s="1246" t="s">
        <v>431</v>
      </c>
      <c r="C1394" s="1247">
        <v>6</v>
      </c>
      <c r="E1394" s="1246" t="s">
        <v>370</v>
      </c>
      <c r="F1394" s="1248">
        <v>1</v>
      </c>
      <c r="G1394" s="1248">
        <v>3</v>
      </c>
      <c r="H1394" s="1249">
        <v>1</v>
      </c>
      <c r="I1394" s="1246" t="s">
        <v>1491</v>
      </c>
      <c r="J1394" s="1246" t="s">
        <v>1462</v>
      </c>
      <c r="K1394" s="1284" t="str">
        <f t="shared" si="21"/>
        <v>71</v>
      </c>
      <c r="L1394" s="1246" t="s">
        <v>1495</v>
      </c>
      <c r="M1394" s="1250">
        <v>9</v>
      </c>
      <c r="N1394" s="1251">
        <v>1</v>
      </c>
      <c r="O1394" s="1252">
        <v>1</v>
      </c>
    </row>
    <row r="1395" spans="1:15">
      <c r="A1395" s="1246" t="s">
        <v>1493</v>
      </c>
      <c r="B1395" s="1246" t="s">
        <v>431</v>
      </c>
      <c r="C1395" s="1247">
        <v>6</v>
      </c>
      <c r="E1395" s="1246" t="s">
        <v>1412</v>
      </c>
      <c r="F1395" s="1248">
        <v>1</v>
      </c>
      <c r="G1395" s="1248">
        <v>3</v>
      </c>
      <c r="H1395" s="1249">
        <v>1</v>
      </c>
      <c r="I1395" s="1246" t="s">
        <v>1491</v>
      </c>
      <c r="J1395" s="1246" t="s">
        <v>1462</v>
      </c>
      <c r="K1395" s="1284" t="str">
        <f t="shared" si="21"/>
        <v>71</v>
      </c>
      <c r="L1395" s="1246" t="s">
        <v>1495</v>
      </c>
      <c r="M1395" s="1250">
        <v>9</v>
      </c>
      <c r="N1395" s="1251">
        <v>1</v>
      </c>
      <c r="O1395" s="1252">
        <v>1</v>
      </c>
    </row>
    <row r="1396" spans="1:15">
      <c r="A1396" s="1246" t="s">
        <v>1493</v>
      </c>
      <c r="B1396" s="1246" t="s">
        <v>431</v>
      </c>
      <c r="C1396" s="1247">
        <v>6</v>
      </c>
      <c r="E1396" s="1246" t="s">
        <v>1494</v>
      </c>
      <c r="F1396" s="1248">
        <v>1</v>
      </c>
      <c r="G1396" s="1248">
        <v>3</v>
      </c>
      <c r="H1396" s="1249">
        <v>1</v>
      </c>
      <c r="I1396" s="1246" t="s">
        <v>1491</v>
      </c>
      <c r="J1396" s="1246" t="s">
        <v>1462</v>
      </c>
      <c r="K1396" s="1284" t="str">
        <f t="shared" si="21"/>
        <v>71</v>
      </c>
      <c r="L1396" s="1246" t="s">
        <v>1495</v>
      </c>
      <c r="M1396" s="1250">
        <v>9</v>
      </c>
      <c r="N1396" s="1251">
        <v>7</v>
      </c>
      <c r="O1396" s="1252">
        <v>7</v>
      </c>
    </row>
    <row r="1397" spans="1:15">
      <c r="A1397" s="1246" t="s">
        <v>683</v>
      </c>
      <c r="B1397" s="1246" t="s">
        <v>431</v>
      </c>
      <c r="C1397" s="1247">
        <v>6</v>
      </c>
      <c r="E1397" s="1246" t="s">
        <v>1494</v>
      </c>
      <c r="F1397" s="1248">
        <v>1</v>
      </c>
      <c r="G1397" s="1248">
        <v>3</v>
      </c>
      <c r="H1397" s="1249">
        <v>1</v>
      </c>
      <c r="I1397" s="1246" t="s">
        <v>1491</v>
      </c>
      <c r="J1397" s="1246" t="s">
        <v>1462</v>
      </c>
      <c r="K1397" s="1284" t="str">
        <f t="shared" si="21"/>
        <v>71</v>
      </c>
      <c r="L1397" s="1246" t="s">
        <v>1495</v>
      </c>
      <c r="M1397" s="1250">
        <v>9</v>
      </c>
      <c r="N1397" s="1251">
        <v>2</v>
      </c>
      <c r="O1397" s="1252">
        <v>2</v>
      </c>
    </row>
    <row r="1398" spans="1:15">
      <c r="A1398" s="1246" t="s">
        <v>1493</v>
      </c>
      <c r="B1398" s="1246" t="s">
        <v>431</v>
      </c>
      <c r="C1398" s="1247">
        <v>6</v>
      </c>
      <c r="E1398" s="1246" t="s">
        <v>1412</v>
      </c>
      <c r="F1398" s="1248">
        <v>1</v>
      </c>
      <c r="G1398" s="1248">
        <v>4</v>
      </c>
      <c r="H1398" s="1249">
        <v>1</v>
      </c>
      <c r="I1398" s="1246" t="s">
        <v>1491</v>
      </c>
      <c r="J1398" s="1246" t="s">
        <v>1462</v>
      </c>
      <c r="K1398" s="1284" t="str">
        <f t="shared" si="21"/>
        <v>71</v>
      </c>
      <c r="L1398" s="1246" t="s">
        <v>1495</v>
      </c>
      <c r="M1398" s="1250">
        <v>9</v>
      </c>
      <c r="N1398" s="1251">
        <v>1</v>
      </c>
      <c r="O1398" s="1252">
        <v>1</v>
      </c>
    </row>
    <row r="1399" spans="1:15">
      <c r="A1399" s="1246" t="s">
        <v>1493</v>
      </c>
      <c r="B1399" s="1246" t="s">
        <v>431</v>
      </c>
      <c r="C1399" s="1247">
        <v>6</v>
      </c>
      <c r="E1399" s="1246" t="s">
        <v>1494</v>
      </c>
      <c r="F1399" s="1248">
        <v>1</v>
      </c>
      <c r="G1399" s="1248">
        <v>4</v>
      </c>
      <c r="H1399" s="1249">
        <v>1</v>
      </c>
      <c r="I1399" s="1246" t="s">
        <v>1491</v>
      </c>
      <c r="J1399" s="1246" t="s">
        <v>1439</v>
      </c>
      <c r="K1399" s="1284" t="str">
        <f t="shared" si="21"/>
        <v>15</v>
      </c>
      <c r="L1399" s="1246" t="s">
        <v>1530</v>
      </c>
      <c r="M1399" s="1250">
        <v>9</v>
      </c>
      <c r="N1399" s="1251">
        <v>2</v>
      </c>
      <c r="O1399" s="1252">
        <v>2</v>
      </c>
    </row>
    <row r="1400" spans="1:15">
      <c r="A1400" s="1246" t="s">
        <v>1493</v>
      </c>
      <c r="B1400" s="1246" t="s">
        <v>431</v>
      </c>
      <c r="C1400" s="1247">
        <v>6</v>
      </c>
      <c r="E1400" s="1246" t="s">
        <v>376</v>
      </c>
      <c r="F1400" s="1248">
        <v>2</v>
      </c>
      <c r="G1400" s="1248">
        <v>2</v>
      </c>
      <c r="H1400" s="1249">
        <v>1</v>
      </c>
      <c r="I1400" s="1246" t="s">
        <v>1491</v>
      </c>
      <c r="J1400" s="1246" t="s">
        <v>1463</v>
      </c>
      <c r="K1400" s="1284" t="str">
        <f t="shared" si="21"/>
        <v>72</v>
      </c>
      <c r="L1400" s="1246" t="s">
        <v>1529</v>
      </c>
      <c r="M1400" s="1250">
        <v>9</v>
      </c>
      <c r="N1400" s="1251">
        <v>2</v>
      </c>
      <c r="O1400" s="1252">
        <v>1</v>
      </c>
    </row>
    <row r="1401" spans="1:15">
      <c r="A1401" s="1246" t="s">
        <v>1493</v>
      </c>
      <c r="B1401" s="1246" t="s">
        <v>431</v>
      </c>
      <c r="C1401" s="1247">
        <v>6</v>
      </c>
      <c r="E1401" s="1246" t="s">
        <v>1494</v>
      </c>
      <c r="F1401" s="1248">
        <v>2</v>
      </c>
      <c r="G1401" s="1248">
        <v>2</v>
      </c>
      <c r="H1401" s="1249">
        <v>1</v>
      </c>
      <c r="I1401" s="1246" t="s">
        <v>1491</v>
      </c>
      <c r="J1401" s="1246" t="s">
        <v>1462</v>
      </c>
      <c r="K1401" s="1284" t="str">
        <f t="shared" si="21"/>
        <v>71</v>
      </c>
      <c r="L1401" s="1246" t="s">
        <v>1495</v>
      </c>
      <c r="M1401" s="1250">
        <v>9</v>
      </c>
      <c r="N1401" s="1251">
        <v>4</v>
      </c>
      <c r="O1401" s="1252">
        <v>2</v>
      </c>
    </row>
    <row r="1402" spans="1:15">
      <c r="A1402" s="1246" t="s">
        <v>683</v>
      </c>
      <c r="B1402" s="1246" t="s">
        <v>431</v>
      </c>
      <c r="C1402" s="1247">
        <v>6</v>
      </c>
      <c r="E1402" s="1246" t="s">
        <v>1494</v>
      </c>
      <c r="F1402" s="1248">
        <v>2</v>
      </c>
      <c r="G1402" s="1248">
        <v>4</v>
      </c>
      <c r="H1402" s="1249">
        <v>1</v>
      </c>
      <c r="I1402" s="1246" t="s">
        <v>1491</v>
      </c>
      <c r="J1402" s="1246" t="s">
        <v>1464</v>
      </c>
      <c r="K1402" s="1284" t="str">
        <f t="shared" si="21"/>
        <v>73</v>
      </c>
      <c r="L1402" s="1246" t="s">
        <v>1533</v>
      </c>
      <c r="M1402" s="1250">
        <v>9</v>
      </c>
      <c r="N1402" s="1251">
        <v>2</v>
      </c>
      <c r="O1402" s="1252">
        <v>1</v>
      </c>
    </row>
    <row r="1403" spans="1:15">
      <c r="A1403" s="1246" t="s">
        <v>1493</v>
      </c>
      <c r="B1403" s="1246" t="s">
        <v>431</v>
      </c>
      <c r="C1403" s="1247">
        <v>6</v>
      </c>
      <c r="E1403" s="1246" t="s">
        <v>1494</v>
      </c>
      <c r="F1403" s="1248">
        <v>3</v>
      </c>
      <c r="G1403" s="1248">
        <v>6</v>
      </c>
      <c r="H1403" s="1249">
        <v>1</v>
      </c>
      <c r="I1403" s="1246" t="s">
        <v>1491</v>
      </c>
      <c r="J1403" s="1246" t="s">
        <v>1462</v>
      </c>
      <c r="K1403" s="1284" t="str">
        <f t="shared" si="21"/>
        <v>71</v>
      </c>
      <c r="L1403" s="1246" t="s">
        <v>1495</v>
      </c>
      <c r="M1403" s="1250">
        <v>9</v>
      </c>
      <c r="N1403" s="1251">
        <v>3</v>
      </c>
      <c r="O1403" s="1252">
        <v>1</v>
      </c>
    </row>
    <row r="1404" spans="1:15">
      <c r="A1404" s="1246" t="s">
        <v>683</v>
      </c>
      <c r="B1404" s="1246" t="s">
        <v>431</v>
      </c>
      <c r="C1404" s="1247">
        <v>8</v>
      </c>
      <c r="E1404" s="1246" t="s">
        <v>1412</v>
      </c>
      <c r="F1404" s="1248">
        <v>1</v>
      </c>
      <c r="G1404" s="1248">
        <v>0</v>
      </c>
      <c r="H1404" s="1249">
        <v>0</v>
      </c>
      <c r="J1404" s="1246" t="s">
        <v>1400</v>
      </c>
      <c r="K1404" s="1284" t="str">
        <f t="shared" si="21"/>
        <v>70</v>
      </c>
      <c r="L1404" s="1246" t="s">
        <v>1544</v>
      </c>
      <c r="M1404" s="1250">
        <v>9</v>
      </c>
      <c r="N1404" s="1251">
        <v>1</v>
      </c>
      <c r="O1404" s="1252">
        <v>1</v>
      </c>
    </row>
    <row r="1405" spans="1:15">
      <c r="A1405" s="1246" t="s">
        <v>1493</v>
      </c>
      <c r="B1405" s="1246" t="s">
        <v>431</v>
      </c>
      <c r="C1405" s="1247">
        <v>8</v>
      </c>
      <c r="E1405" s="1246" t="s">
        <v>1547</v>
      </c>
      <c r="F1405" s="1248">
        <v>1</v>
      </c>
      <c r="G1405" s="1248">
        <v>0</v>
      </c>
      <c r="H1405" s="1249">
        <v>0</v>
      </c>
      <c r="J1405" s="1246" t="s">
        <v>1462</v>
      </c>
      <c r="K1405" s="1284" t="str">
        <f t="shared" si="21"/>
        <v>71</v>
      </c>
      <c r="L1405" s="1246" t="s">
        <v>1495</v>
      </c>
      <c r="M1405" s="1250">
        <v>9</v>
      </c>
      <c r="N1405" s="1251">
        <v>1</v>
      </c>
      <c r="O1405" s="1252">
        <v>1</v>
      </c>
    </row>
    <row r="1406" spans="1:15">
      <c r="A1406" s="1246" t="s">
        <v>1493</v>
      </c>
      <c r="B1406" s="1246" t="s">
        <v>431</v>
      </c>
      <c r="C1406" s="1247">
        <v>8</v>
      </c>
      <c r="E1406" s="1246" t="s">
        <v>1494</v>
      </c>
      <c r="F1406" s="1248">
        <v>1</v>
      </c>
      <c r="G1406" s="1248">
        <v>0</v>
      </c>
      <c r="H1406" s="1249">
        <v>0</v>
      </c>
      <c r="J1406" s="1246" t="s">
        <v>1462</v>
      </c>
      <c r="K1406" s="1284" t="str">
        <f t="shared" si="21"/>
        <v>71</v>
      </c>
      <c r="L1406" s="1246" t="s">
        <v>1495</v>
      </c>
      <c r="M1406" s="1250">
        <v>9</v>
      </c>
      <c r="N1406" s="1251">
        <v>3</v>
      </c>
      <c r="O1406" s="1252">
        <v>3</v>
      </c>
    </row>
    <row r="1407" spans="1:15">
      <c r="A1407" s="1246" t="s">
        <v>1493</v>
      </c>
      <c r="B1407" s="1246" t="s">
        <v>431</v>
      </c>
      <c r="C1407" s="1247">
        <v>8</v>
      </c>
      <c r="E1407" s="1246" t="s">
        <v>1494</v>
      </c>
      <c r="F1407" s="1248">
        <v>1</v>
      </c>
      <c r="G1407" s="1248">
        <v>0</v>
      </c>
      <c r="H1407" s="1249">
        <v>0</v>
      </c>
      <c r="J1407" s="1246" t="s">
        <v>1400</v>
      </c>
      <c r="K1407" s="1284" t="str">
        <f t="shared" si="21"/>
        <v>70</v>
      </c>
      <c r="L1407" s="1246" t="s">
        <v>1532</v>
      </c>
      <c r="M1407" s="1250">
        <v>9</v>
      </c>
      <c r="N1407" s="1251">
        <v>1</v>
      </c>
      <c r="O1407" s="1252">
        <v>1</v>
      </c>
    </row>
    <row r="1408" spans="1:15">
      <c r="A1408" s="1246" t="s">
        <v>1493</v>
      </c>
      <c r="B1408" s="1246" t="s">
        <v>431</v>
      </c>
      <c r="C1408" s="1247">
        <v>8</v>
      </c>
      <c r="E1408" s="1246" t="s">
        <v>1412</v>
      </c>
      <c r="F1408" s="1248">
        <v>1</v>
      </c>
      <c r="G1408" s="1248">
        <v>1</v>
      </c>
      <c r="H1408" s="1249">
        <v>1</v>
      </c>
      <c r="I1408" s="1246" t="s">
        <v>1491</v>
      </c>
      <c r="J1408" s="1246" t="s">
        <v>1470</v>
      </c>
      <c r="K1408" s="1284" t="str">
        <f t="shared" si="21"/>
        <v>7C</v>
      </c>
      <c r="L1408" s="1246" t="s">
        <v>1502</v>
      </c>
      <c r="M1408" s="1250">
        <v>4</v>
      </c>
      <c r="N1408" s="1251">
        <v>1</v>
      </c>
      <c r="O1408" s="1252">
        <v>1</v>
      </c>
    </row>
    <row r="1409" spans="1:15">
      <c r="A1409" s="1246" t="s">
        <v>1493</v>
      </c>
      <c r="B1409" s="1246" t="s">
        <v>431</v>
      </c>
      <c r="C1409" s="1247">
        <v>8</v>
      </c>
      <c r="E1409" s="1246" t="s">
        <v>1494</v>
      </c>
      <c r="F1409" s="1248">
        <v>1</v>
      </c>
      <c r="G1409" s="1248">
        <v>1</v>
      </c>
      <c r="H1409" s="1249">
        <v>1</v>
      </c>
      <c r="I1409" s="1246" t="s">
        <v>1491</v>
      </c>
      <c r="J1409" s="1246" t="s">
        <v>1443</v>
      </c>
      <c r="K1409" s="1284" t="str">
        <f t="shared" si="21"/>
        <v>1C</v>
      </c>
      <c r="L1409" s="1246" t="s">
        <v>1502</v>
      </c>
      <c r="M1409" s="1250">
        <v>4</v>
      </c>
      <c r="N1409" s="1251">
        <v>1</v>
      </c>
      <c r="O1409" s="1252">
        <v>1</v>
      </c>
    </row>
    <row r="1410" spans="1:15">
      <c r="A1410" s="1246" t="s">
        <v>1493</v>
      </c>
      <c r="B1410" s="1246" t="s">
        <v>431</v>
      </c>
      <c r="C1410" s="1247">
        <v>8</v>
      </c>
      <c r="E1410" s="1246" t="s">
        <v>1494</v>
      </c>
      <c r="F1410" s="1248">
        <v>1</v>
      </c>
      <c r="G1410" s="1248">
        <v>1</v>
      </c>
      <c r="H1410" s="1249">
        <v>1</v>
      </c>
      <c r="I1410" s="1246" t="s">
        <v>1491</v>
      </c>
      <c r="J1410" s="1246" t="s">
        <v>1470</v>
      </c>
      <c r="K1410" s="1284" t="str">
        <f t="shared" ref="K1410:K1473" si="22">IF(J1410="1B","10", IF(J1410="2B","20",IF(J1410="3B","30",IF(J1410="7B",70,J1410))))</f>
        <v>7C</v>
      </c>
      <c r="L1410" s="1246" t="s">
        <v>1502</v>
      </c>
      <c r="M1410" s="1250">
        <v>4</v>
      </c>
      <c r="N1410" s="1251">
        <v>2</v>
      </c>
      <c r="O1410" s="1252">
        <v>2</v>
      </c>
    </row>
    <row r="1411" spans="1:15">
      <c r="A1411" s="1246" t="s">
        <v>1493</v>
      </c>
      <c r="B1411" s="1246" t="s">
        <v>431</v>
      </c>
      <c r="C1411" s="1247">
        <v>8</v>
      </c>
      <c r="E1411" s="1246" t="s">
        <v>1412</v>
      </c>
      <c r="F1411" s="1248">
        <v>1</v>
      </c>
      <c r="G1411" s="1248">
        <v>1</v>
      </c>
      <c r="H1411" s="1249">
        <v>1</v>
      </c>
      <c r="I1411" s="1246" t="s">
        <v>1491</v>
      </c>
      <c r="J1411" s="1246" t="s">
        <v>1400</v>
      </c>
      <c r="K1411" s="1284" t="str">
        <f t="shared" si="22"/>
        <v>70</v>
      </c>
      <c r="L1411" s="1246" t="s">
        <v>1544</v>
      </c>
      <c r="M1411" s="1250">
        <v>9</v>
      </c>
      <c r="N1411" s="1251">
        <v>2</v>
      </c>
      <c r="O1411" s="1252">
        <v>2</v>
      </c>
    </row>
    <row r="1412" spans="1:15">
      <c r="A1412" s="1246" t="s">
        <v>1493</v>
      </c>
      <c r="B1412" s="1246" t="s">
        <v>431</v>
      </c>
      <c r="C1412" s="1247">
        <v>8</v>
      </c>
      <c r="E1412" s="1246" t="s">
        <v>1412</v>
      </c>
      <c r="F1412" s="1248">
        <v>1</v>
      </c>
      <c r="G1412" s="1248">
        <v>1</v>
      </c>
      <c r="H1412" s="1249">
        <v>1</v>
      </c>
      <c r="I1412" s="1246" t="s">
        <v>1491</v>
      </c>
      <c r="J1412" s="1246" t="s">
        <v>1462</v>
      </c>
      <c r="K1412" s="1284" t="str">
        <f t="shared" si="22"/>
        <v>71</v>
      </c>
      <c r="L1412" s="1246" t="s">
        <v>1495</v>
      </c>
      <c r="M1412" s="1250">
        <v>9</v>
      </c>
      <c r="N1412" s="1251">
        <v>7</v>
      </c>
      <c r="O1412" s="1252">
        <v>7</v>
      </c>
    </row>
    <row r="1413" spans="1:15">
      <c r="A1413" s="1246" t="s">
        <v>1493</v>
      </c>
      <c r="B1413" s="1246" t="s">
        <v>431</v>
      </c>
      <c r="C1413" s="1247">
        <v>8</v>
      </c>
      <c r="E1413" s="1246" t="s">
        <v>279</v>
      </c>
      <c r="F1413" s="1248">
        <v>1</v>
      </c>
      <c r="G1413" s="1248">
        <v>1</v>
      </c>
      <c r="H1413" s="1249">
        <v>1</v>
      </c>
      <c r="I1413" s="1246" t="s">
        <v>1491</v>
      </c>
      <c r="J1413" s="1246" t="s">
        <v>1462</v>
      </c>
      <c r="K1413" s="1284" t="str">
        <f t="shared" si="22"/>
        <v>71</v>
      </c>
      <c r="L1413" s="1246" t="s">
        <v>1495</v>
      </c>
      <c r="M1413" s="1250">
        <v>9</v>
      </c>
      <c r="N1413" s="1251">
        <v>1</v>
      </c>
      <c r="O1413" s="1252">
        <v>1</v>
      </c>
    </row>
    <row r="1414" spans="1:15">
      <c r="A1414" s="1246" t="s">
        <v>1493</v>
      </c>
      <c r="B1414" s="1246" t="s">
        <v>431</v>
      </c>
      <c r="C1414" s="1247">
        <v>8</v>
      </c>
      <c r="E1414" s="1246" t="s">
        <v>1494</v>
      </c>
      <c r="F1414" s="1248">
        <v>1</v>
      </c>
      <c r="G1414" s="1248">
        <v>1</v>
      </c>
      <c r="H1414" s="1249">
        <v>1</v>
      </c>
      <c r="I1414" s="1246" t="s">
        <v>1491</v>
      </c>
      <c r="J1414" s="1246" t="s">
        <v>1462</v>
      </c>
      <c r="K1414" s="1284" t="str">
        <f t="shared" si="22"/>
        <v>71</v>
      </c>
      <c r="L1414" s="1246" t="s">
        <v>1495</v>
      </c>
      <c r="M1414" s="1250">
        <v>9</v>
      </c>
      <c r="N1414" s="1251">
        <v>35</v>
      </c>
      <c r="O1414" s="1252">
        <v>35</v>
      </c>
    </row>
    <row r="1415" spans="1:15">
      <c r="A1415" s="1246" t="s">
        <v>683</v>
      </c>
      <c r="B1415" s="1246" t="s">
        <v>431</v>
      </c>
      <c r="C1415" s="1247">
        <v>8</v>
      </c>
      <c r="E1415" s="1246" t="s">
        <v>1412</v>
      </c>
      <c r="F1415" s="1248">
        <v>1</v>
      </c>
      <c r="G1415" s="1248">
        <v>1</v>
      </c>
      <c r="H1415" s="1249">
        <v>1</v>
      </c>
      <c r="I1415" s="1246" t="s">
        <v>1491</v>
      </c>
      <c r="J1415" s="1246" t="s">
        <v>1462</v>
      </c>
      <c r="K1415" s="1284" t="str">
        <f t="shared" si="22"/>
        <v>71</v>
      </c>
      <c r="L1415" s="1246" t="s">
        <v>1495</v>
      </c>
      <c r="M1415" s="1250">
        <v>9</v>
      </c>
      <c r="N1415" s="1251">
        <v>1</v>
      </c>
      <c r="O1415" s="1252">
        <v>1</v>
      </c>
    </row>
    <row r="1416" spans="1:15">
      <c r="A1416" s="1246" t="s">
        <v>683</v>
      </c>
      <c r="B1416" s="1246" t="s">
        <v>431</v>
      </c>
      <c r="C1416" s="1247">
        <v>8</v>
      </c>
      <c r="E1416" s="1246" t="s">
        <v>1494</v>
      </c>
      <c r="F1416" s="1248">
        <v>1</v>
      </c>
      <c r="G1416" s="1248">
        <v>1</v>
      </c>
      <c r="H1416" s="1249">
        <v>1</v>
      </c>
      <c r="I1416" s="1246" t="s">
        <v>1491</v>
      </c>
      <c r="J1416" s="1246" t="s">
        <v>1462</v>
      </c>
      <c r="K1416" s="1284" t="str">
        <f t="shared" si="22"/>
        <v>71</v>
      </c>
      <c r="L1416" s="1246" t="s">
        <v>1495</v>
      </c>
      <c r="M1416" s="1250">
        <v>9</v>
      </c>
      <c r="N1416" s="1251">
        <v>4</v>
      </c>
      <c r="O1416" s="1252">
        <v>4</v>
      </c>
    </row>
    <row r="1417" spans="1:15">
      <c r="A1417" s="1246" t="s">
        <v>1493</v>
      </c>
      <c r="B1417" s="1246" t="s">
        <v>431</v>
      </c>
      <c r="C1417" s="1247">
        <v>8</v>
      </c>
      <c r="E1417" s="1246" t="s">
        <v>1494</v>
      </c>
      <c r="F1417" s="1248">
        <v>1</v>
      </c>
      <c r="G1417" s="1248">
        <v>1</v>
      </c>
      <c r="H1417" s="1249">
        <v>1</v>
      </c>
      <c r="I1417" s="1246" t="s">
        <v>1491</v>
      </c>
      <c r="J1417" s="1246" t="s">
        <v>1467</v>
      </c>
      <c r="K1417" s="1284" t="str">
        <f t="shared" si="22"/>
        <v>76</v>
      </c>
      <c r="L1417" s="1246" t="s">
        <v>1538</v>
      </c>
      <c r="M1417" s="1250">
        <v>9</v>
      </c>
      <c r="N1417" s="1251">
        <v>1</v>
      </c>
      <c r="O1417" s="1252">
        <v>1</v>
      </c>
    </row>
    <row r="1418" spans="1:15">
      <c r="A1418" s="1246" t="s">
        <v>1493</v>
      </c>
      <c r="B1418" s="1246" t="s">
        <v>431</v>
      </c>
      <c r="C1418" s="1247">
        <v>8</v>
      </c>
      <c r="E1418" s="1246" t="s">
        <v>1494</v>
      </c>
      <c r="F1418" s="1248">
        <v>1</v>
      </c>
      <c r="G1418" s="1248">
        <v>1</v>
      </c>
      <c r="H1418" s="1249">
        <v>1</v>
      </c>
      <c r="I1418" s="1246" t="s">
        <v>1491</v>
      </c>
      <c r="J1418" s="1246" t="s">
        <v>1466</v>
      </c>
      <c r="K1418" s="1284" t="str">
        <f t="shared" si="22"/>
        <v>75</v>
      </c>
      <c r="L1418" s="1246" t="s">
        <v>1530</v>
      </c>
      <c r="M1418" s="1250">
        <v>9</v>
      </c>
      <c r="N1418" s="1251">
        <v>2</v>
      </c>
      <c r="O1418" s="1252">
        <v>2</v>
      </c>
    </row>
    <row r="1419" spans="1:15">
      <c r="A1419" s="1246" t="s">
        <v>1493</v>
      </c>
      <c r="B1419" s="1246" t="s">
        <v>431</v>
      </c>
      <c r="C1419" s="1247">
        <v>8</v>
      </c>
      <c r="E1419" s="1246" t="s">
        <v>1412</v>
      </c>
      <c r="F1419" s="1248">
        <v>1</v>
      </c>
      <c r="G1419" s="1248">
        <v>1</v>
      </c>
      <c r="H1419" s="1249">
        <v>1</v>
      </c>
      <c r="I1419" s="1246" t="s">
        <v>1491</v>
      </c>
      <c r="J1419" s="1246" t="s">
        <v>1400</v>
      </c>
      <c r="K1419" s="1284" t="str">
        <f t="shared" si="22"/>
        <v>70</v>
      </c>
      <c r="L1419" s="1246" t="s">
        <v>1532</v>
      </c>
      <c r="M1419" s="1250">
        <v>9</v>
      </c>
      <c r="N1419" s="1251">
        <v>1</v>
      </c>
      <c r="O1419" s="1252">
        <v>1</v>
      </c>
    </row>
    <row r="1420" spans="1:15">
      <c r="A1420" s="1246" t="s">
        <v>1493</v>
      </c>
      <c r="B1420" s="1246" t="s">
        <v>431</v>
      </c>
      <c r="C1420" s="1247">
        <v>8</v>
      </c>
      <c r="E1420" s="1246" t="s">
        <v>376</v>
      </c>
      <c r="F1420" s="1248">
        <v>1</v>
      </c>
      <c r="G1420" s="1248">
        <v>1</v>
      </c>
      <c r="H1420" s="1249">
        <v>1</v>
      </c>
      <c r="I1420" s="1246" t="s">
        <v>1491</v>
      </c>
      <c r="J1420" s="1246" t="s">
        <v>1397</v>
      </c>
      <c r="K1420" s="1284" t="str">
        <f t="shared" si="22"/>
        <v>10</v>
      </c>
      <c r="L1420" s="1246" t="s">
        <v>1532</v>
      </c>
      <c r="M1420" s="1250">
        <v>9</v>
      </c>
      <c r="N1420" s="1251">
        <v>1</v>
      </c>
      <c r="O1420" s="1252">
        <v>1</v>
      </c>
    </row>
    <row r="1421" spans="1:15">
      <c r="A1421" s="1246" t="s">
        <v>1493</v>
      </c>
      <c r="B1421" s="1246" t="s">
        <v>431</v>
      </c>
      <c r="C1421" s="1247">
        <v>8</v>
      </c>
      <c r="E1421" s="1246" t="s">
        <v>1494</v>
      </c>
      <c r="F1421" s="1248">
        <v>1</v>
      </c>
      <c r="G1421" s="1248">
        <v>1</v>
      </c>
      <c r="H1421" s="1249">
        <v>1</v>
      </c>
      <c r="I1421" s="1246" t="s">
        <v>1491</v>
      </c>
      <c r="J1421" s="1246" t="s">
        <v>1464</v>
      </c>
      <c r="K1421" s="1284" t="str">
        <f t="shared" si="22"/>
        <v>73</v>
      </c>
      <c r="L1421" s="1246" t="s">
        <v>1533</v>
      </c>
      <c r="M1421" s="1250">
        <v>9</v>
      </c>
      <c r="N1421" s="1251">
        <v>2</v>
      </c>
      <c r="O1421" s="1252">
        <v>2</v>
      </c>
    </row>
    <row r="1422" spans="1:15">
      <c r="A1422" s="1246" t="s">
        <v>1493</v>
      </c>
      <c r="B1422" s="1246" t="s">
        <v>431</v>
      </c>
      <c r="C1422" s="1247">
        <v>8</v>
      </c>
      <c r="E1422" s="1246" t="s">
        <v>376</v>
      </c>
      <c r="F1422" s="1248">
        <v>1</v>
      </c>
      <c r="G1422" s="1248">
        <v>1</v>
      </c>
      <c r="H1422" s="1249">
        <v>1</v>
      </c>
      <c r="I1422" s="1246" t="s">
        <v>1491</v>
      </c>
      <c r="J1422" s="1246" t="s">
        <v>1462</v>
      </c>
      <c r="K1422" s="1284" t="str">
        <f t="shared" si="22"/>
        <v>71</v>
      </c>
      <c r="L1422" s="1246" t="s">
        <v>1496</v>
      </c>
      <c r="M1422" s="1250">
        <v>9</v>
      </c>
      <c r="N1422" s="1251">
        <v>1</v>
      </c>
      <c r="O1422" s="1252">
        <v>1</v>
      </c>
    </row>
    <row r="1423" spans="1:15">
      <c r="A1423" s="1246" t="s">
        <v>1493</v>
      </c>
      <c r="B1423" s="1246" t="s">
        <v>431</v>
      </c>
      <c r="C1423" s="1247">
        <v>8</v>
      </c>
      <c r="E1423" s="1246" t="s">
        <v>1494</v>
      </c>
      <c r="F1423" s="1248">
        <v>1</v>
      </c>
      <c r="G1423" s="1248">
        <v>1</v>
      </c>
      <c r="H1423" s="1249">
        <v>1</v>
      </c>
      <c r="I1423" s="1246" t="s">
        <v>1491</v>
      </c>
      <c r="J1423" s="1246" t="s">
        <v>1462</v>
      </c>
      <c r="K1423" s="1284" t="str">
        <f t="shared" si="22"/>
        <v>71</v>
      </c>
      <c r="L1423" s="1246" t="s">
        <v>1496</v>
      </c>
      <c r="M1423" s="1250">
        <v>9</v>
      </c>
      <c r="N1423" s="1251">
        <v>1</v>
      </c>
      <c r="O1423" s="1252">
        <v>1</v>
      </c>
    </row>
    <row r="1424" spans="1:15">
      <c r="A1424" s="1246" t="s">
        <v>1493</v>
      </c>
      <c r="B1424" s="1246" t="s">
        <v>431</v>
      </c>
      <c r="C1424" s="1247">
        <v>8</v>
      </c>
      <c r="E1424" s="1246" t="s">
        <v>1412</v>
      </c>
      <c r="F1424" s="1248">
        <v>1</v>
      </c>
      <c r="G1424" s="1248">
        <v>1</v>
      </c>
      <c r="H1424" s="1249">
        <v>1</v>
      </c>
      <c r="I1424" s="1246" t="s">
        <v>1491</v>
      </c>
      <c r="J1424" s="1246" t="s">
        <v>1465</v>
      </c>
      <c r="K1424" s="1284" t="str">
        <f t="shared" si="22"/>
        <v>74</v>
      </c>
      <c r="L1424" s="1246" t="s">
        <v>1543</v>
      </c>
      <c r="M1424" s="1250">
        <v>9</v>
      </c>
      <c r="N1424" s="1251">
        <v>1</v>
      </c>
      <c r="O1424" s="1252">
        <v>1</v>
      </c>
    </row>
    <row r="1425" spans="1:15">
      <c r="A1425" s="1246" t="s">
        <v>1493</v>
      </c>
      <c r="B1425" s="1246" t="s">
        <v>431</v>
      </c>
      <c r="C1425" s="1247">
        <v>8</v>
      </c>
      <c r="E1425" s="1246" t="s">
        <v>370</v>
      </c>
      <c r="F1425" s="1248">
        <v>1</v>
      </c>
      <c r="G1425" s="1248">
        <v>1</v>
      </c>
      <c r="H1425" s="1249">
        <v>2</v>
      </c>
      <c r="I1425" s="1246" t="s">
        <v>1491</v>
      </c>
      <c r="J1425" s="1246" t="s">
        <v>1462</v>
      </c>
      <c r="K1425" s="1284" t="str">
        <f t="shared" si="22"/>
        <v>71</v>
      </c>
      <c r="L1425" s="1246" t="s">
        <v>1495</v>
      </c>
      <c r="M1425" s="1250">
        <v>9</v>
      </c>
      <c r="N1425" s="1251">
        <v>1</v>
      </c>
      <c r="O1425" s="1252">
        <v>1</v>
      </c>
    </row>
    <row r="1426" spans="1:15">
      <c r="A1426" s="1246" t="s">
        <v>683</v>
      </c>
      <c r="B1426" s="1246" t="s">
        <v>431</v>
      </c>
      <c r="C1426" s="1247">
        <v>8</v>
      </c>
      <c r="E1426" s="1246" t="s">
        <v>1494</v>
      </c>
      <c r="F1426" s="1248">
        <v>1</v>
      </c>
      <c r="G1426" s="1248">
        <v>1</v>
      </c>
      <c r="H1426" s="1249">
        <v>2</v>
      </c>
      <c r="I1426" s="1246" t="s">
        <v>1491</v>
      </c>
      <c r="J1426" s="1246" t="s">
        <v>1400</v>
      </c>
      <c r="K1426" s="1284" t="str">
        <f t="shared" si="22"/>
        <v>70</v>
      </c>
      <c r="L1426" s="1246" t="s">
        <v>1532</v>
      </c>
      <c r="M1426" s="1250">
        <v>9</v>
      </c>
      <c r="N1426" s="1251">
        <v>1</v>
      </c>
      <c r="O1426" s="1252">
        <v>1</v>
      </c>
    </row>
    <row r="1427" spans="1:15">
      <c r="A1427" s="1246" t="s">
        <v>1493</v>
      </c>
      <c r="B1427" s="1246" t="s">
        <v>431</v>
      </c>
      <c r="C1427" s="1247">
        <v>8</v>
      </c>
      <c r="E1427" s="1246" t="s">
        <v>1494</v>
      </c>
      <c r="F1427" s="1248">
        <v>1</v>
      </c>
      <c r="G1427" s="1248">
        <v>1</v>
      </c>
      <c r="H1427" s="1249">
        <v>2</v>
      </c>
      <c r="I1427" s="1246" t="s">
        <v>1491</v>
      </c>
      <c r="J1427" s="1246" t="s">
        <v>1464</v>
      </c>
      <c r="K1427" s="1284" t="str">
        <f t="shared" si="22"/>
        <v>73</v>
      </c>
      <c r="L1427" s="1246" t="s">
        <v>1533</v>
      </c>
      <c r="M1427" s="1250">
        <v>9</v>
      </c>
      <c r="N1427" s="1251">
        <v>1</v>
      </c>
      <c r="O1427" s="1252">
        <v>1</v>
      </c>
    </row>
    <row r="1428" spans="1:15">
      <c r="A1428" s="1246" t="s">
        <v>1493</v>
      </c>
      <c r="B1428" s="1246" t="s">
        <v>431</v>
      </c>
      <c r="C1428" s="1247">
        <v>8</v>
      </c>
      <c r="E1428" s="1246" t="s">
        <v>279</v>
      </c>
      <c r="F1428" s="1248">
        <v>1</v>
      </c>
      <c r="G1428" s="1248">
        <v>1</v>
      </c>
      <c r="H1428" s="1249">
        <v>2</v>
      </c>
      <c r="I1428" s="1246" t="s">
        <v>1491</v>
      </c>
      <c r="J1428" s="1246" t="s">
        <v>1465</v>
      </c>
      <c r="K1428" s="1284" t="str">
        <f t="shared" si="22"/>
        <v>74</v>
      </c>
      <c r="L1428" s="1246" t="s">
        <v>1543</v>
      </c>
      <c r="M1428" s="1250">
        <v>9</v>
      </c>
      <c r="N1428" s="1251">
        <v>1</v>
      </c>
      <c r="O1428" s="1252">
        <v>1</v>
      </c>
    </row>
    <row r="1429" spans="1:15">
      <c r="A1429" s="1246" t="s">
        <v>1493</v>
      </c>
      <c r="B1429" s="1246" t="s">
        <v>431</v>
      </c>
      <c r="C1429" s="1247">
        <v>8</v>
      </c>
      <c r="E1429" s="1246" t="s">
        <v>1494</v>
      </c>
      <c r="F1429" s="1248">
        <v>1</v>
      </c>
      <c r="G1429" s="1248">
        <v>2</v>
      </c>
      <c r="H1429" s="1249">
        <v>1</v>
      </c>
      <c r="I1429" s="1246" t="s">
        <v>1491</v>
      </c>
      <c r="J1429" s="1246" t="s">
        <v>1469</v>
      </c>
      <c r="K1429" s="1284">
        <f t="shared" si="22"/>
        <v>70</v>
      </c>
      <c r="L1429" s="1246" t="s">
        <v>1534</v>
      </c>
      <c r="M1429" s="1250">
        <v>4</v>
      </c>
      <c r="N1429" s="1251">
        <v>2</v>
      </c>
      <c r="O1429" s="1252">
        <v>2</v>
      </c>
    </row>
    <row r="1430" spans="1:15">
      <c r="A1430" s="1246" t="s">
        <v>1493</v>
      </c>
      <c r="B1430" s="1246" t="s">
        <v>431</v>
      </c>
      <c r="C1430" s="1247">
        <v>8</v>
      </c>
      <c r="E1430" s="1246" t="s">
        <v>1494</v>
      </c>
      <c r="F1430" s="1248">
        <v>1</v>
      </c>
      <c r="G1430" s="1248">
        <v>2</v>
      </c>
      <c r="H1430" s="1249">
        <v>1</v>
      </c>
      <c r="I1430" s="1246" t="s">
        <v>1491</v>
      </c>
      <c r="J1430" s="1246" t="s">
        <v>1463</v>
      </c>
      <c r="K1430" s="1284" t="str">
        <f t="shared" si="22"/>
        <v>72</v>
      </c>
      <c r="L1430" s="1246" t="s">
        <v>1529</v>
      </c>
      <c r="M1430" s="1250">
        <v>9</v>
      </c>
      <c r="N1430" s="1251">
        <v>2</v>
      </c>
      <c r="O1430" s="1252">
        <v>2</v>
      </c>
    </row>
    <row r="1431" spans="1:15">
      <c r="A1431" s="1246" t="s">
        <v>1493</v>
      </c>
      <c r="B1431" s="1246" t="s">
        <v>431</v>
      </c>
      <c r="C1431" s="1247">
        <v>8</v>
      </c>
      <c r="E1431" s="1246" t="s">
        <v>1412</v>
      </c>
      <c r="F1431" s="1248">
        <v>1</v>
      </c>
      <c r="G1431" s="1248">
        <v>2</v>
      </c>
      <c r="H1431" s="1249">
        <v>1</v>
      </c>
      <c r="I1431" s="1246" t="s">
        <v>1491</v>
      </c>
      <c r="J1431" s="1246" t="s">
        <v>1462</v>
      </c>
      <c r="K1431" s="1284" t="str">
        <f t="shared" si="22"/>
        <v>71</v>
      </c>
      <c r="L1431" s="1246" t="s">
        <v>1495</v>
      </c>
      <c r="M1431" s="1250">
        <v>9</v>
      </c>
      <c r="N1431" s="1251">
        <v>7</v>
      </c>
      <c r="O1431" s="1252">
        <v>7</v>
      </c>
    </row>
    <row r="1432" spans="1:15">
      <c r="A1432" s="1246" t="s">
        <v>1493</v>
      </c>
      <c r="B1432" s="1246" t="s">
        <v>431</v>
      </c>
      <c r="C1432" s="1247">
        <v>8</v>
      </c>
      <c r="E1432" s="1246" t="s">
        <v>1494</v>
      </c>
      <c r="F1432" s="1248">
        <v>1</v>
      </c>
      <c r="G1432" s="1248">
        <v>2</v>
      </c>
      <c r="H1432" s="1249">
        <v>1</v>
      </c>
      <c r="I1432" s="1246" t="s">
        <v>1491</v>
      </c>
      <c r="J1432" s="1246" t="s">
        <v>1462</v>
      </c>
      <c r="K1432" s="1284" t="str">
        <f t="shared" si="22"/>
        <v>71</v>
      </c>
      <c r="L1432" s="1246" t="s">
        <v>1495</v>
      </c>
      <c r="M1432" s="1250">
        <v>9</v>
      </c>
      <c r="N1432" s="1251">
        <v>18</v>
      </c>
      <c r="O1432" s="1252">
        <v>18</v>
      </c>
    </row>
    <row r="1433" spans="1:15">
      <c r="A1433" s="1246" t="s">
        <v>683</v>
      </c>
      <c r="B1433" s="1246" t="s">
        <v>431</v>
      </c>
      <c r="C1433" s="1247">
        <v>8</v>
      </c>
      <c r="E1433" s="1246" t="s">
        <v>1494</v>
      </c>
      <c r="F1433" s="1248">
        <v>1</v>
      </c>
      <c r="G1433" s="1248">
        <v>2</v>
      </c>
      <c r="H1433" s="1249">
        <v>1</v>
      </c>
      <c r="I1433" s="1246" t="s">
        <v>1491</v>
      </c>
      <c r="J1433" s="1246" t="s">
        <v>1462</v>
      </c>
      <c r="K1433" s="1284" t="str">
        <f t="shared" si="22"/>
        <v>71</v>
      </c>
      <c r="L1433" s="1246" t="s">
        <v>1495</v>
      </c>
      <c r="M1433" s="1250">
        <v>9</v>
      </c>
      <c r="N1433" s="1251">
        <v>3</v>
      </c>
      <c r="O1433" s="1252">
        <v>3</v>
      </c>
    </row>
    <row r="1434" spans="1:15">
      <c r="A1434" s="1246" t="s">
        <v>1493</v>
      </c>
      <c r="B1434" s="1246" t="s">
        <v>431</v>
      </c>
      <c r="C1434" s="1247">
        <v>8</v>
      </c>
      <c r="E1434" s="1246" t="s">
        <v>370</v>
      </c>
      <c r="F1434" s="1248">
        <v>1</v>
      </c>
      <c r="G1434" s="1248">
        <v>2</v>
      </c>
      <c r="H1434" s="1249">
        <v>1</v>
      </c>
      <c r="I1434" s="1246" t="s">
        <v>1491</v>
      </c>
      <c r="J1434" s="1246" t="s">
        <v>1462</v>
      </c>
      <c r="K1434" s="1284" t="str">
        <f t="shared" si="22"/>
        <v>71</v>
      </c>
      <c r="L1434" s="1246" t="s">
        <v>1495</v>
      </c>
      <c r="M1434" s="1250">
        <v>9</v>
      </c>
      <c r="N1434" s="1251">
        <v>1</v>
      </c>
      <c r="O1434" s="1252">
        <v>1</v>
      </c>
    </row>
    <row r="1435" spans="1:15">
      <c r="A1435" s="1246" t="s">
        <v>1493</v>
      </c>
      <c r="B1435" s="1246" t="s">
        <v>431</v>
      </c>
      <c r="C1435" s="1247">
        <v>8</v>
      </c>
      <c r="E1435" s="1246" t="s">
        <v>1494</v>
      </c>
      <c r="F1435" s="1248">
        <v>1</v>
      </c>
      <c r="G1435" s="1248">
        <v>2</v>
      </c>
      <c r="H1435" s="1249">
        <v>1</v>
      </c>
      <c r="I1435" s="1246" t="s">
        <v>1491</v>
      </c>
      <c r="J1435" s="1246" t="s">
        <v>1466</v>
      </c>
      <c r="K1435" s="1284" t="str">
        <f t="shared" si="22"/>
        <v>75</v>
      </c>
      <c r="L1435" s="1246" t="s">
        <v>1530</v>
      </c>
      <c r="M1435" s="1250">
        <v>9</v>
      </c>
      <c r="N1435" s="1251">
        <v>1</v>
      </c>
      <c r="O1435" s="1252">
        <v>1</v>
      </c>
    </row>
    <row r="1436" spans="1:15">
      <c r="A1436" s="1246" t="s">
        <v>1493</v>
      </c>
      <c r="B1436" s="1246" t="s">
        <v>431</v>
      </c>
      <c r="C1436" s="1247">
        <v>8</v>
      </c>
      <c r="E1436" s="1246" t="s">
        <v>1494</v>
      </c>
      <c r="F1436" s="1248">
        <v>1</v>
      </c>
      <c r="G1436" s="1248">
        <v>2</v>
      </c>
      <c r="H1436" s="1249">
        <v>1</v>
      </c>
      <c r="I1436" s="1246" t="s">
        <v>1491</v>
      </c>
      <c r="J1436" s="1246" t="s">
        <v>1400</v>
      </c>
      <c r="K1436" s="1284" t="str">
        <f t="shared" si="22"/>
        <v>70</v>
      </c>
      <c r="L1436" s="1246" t="s">
        <v>1532</v>
      </c>
      <c r="M1436" s="1250">
        <v>9</v>
      </c>
      <c r="N1436" s="1251">
        <v>1</v>
      </c>
      <c r="O1436" s="1252">
        <v>1</v>
      </c>
    </row>
    <row r="1437" spans="1:15">
      <c r="A1437" s="1246" t="s">
        <v>1493</v>
      </c>
      <c r="B1437" s="1246" t="s">
        <v>431</v>
      </c>
      <c r="C1437" s="1247">
        <v>8</v>
      </c>
      <c r="E1437" s="1246" t="s">
        <v>1494</v>
      </c>
      <c r="F1437" s="1248">
        <v>1</v>
      </c>
      <c r="G1437" s="1248">
        <v>2</v>
      </c>
      <c r="H1437" s="1249">
        <v>1</v>
      </c>
      <c r="I1437" s="1246" t="s">
        <v>1491</v>
      </c>
      <c r="J1437" s="1246" t="s">
        <v>1464</v>
      </c>
      <c r="K1437" s="1284" t="str">
        <f t="shared" si="22"/>
        <v>73</v>
      </c>
      <c r="L1437" s="1246" t="s">
        <v>1533</v>
      </c>
      <c r="M1437" s="1250">
        <v>9</v>
      </c>
      <c r="N1437" s="1251">
        <v>1</v>
      </c>
      <c r="O1437" s="1252">
        <v>1</v>
      </c>
    </row>
    <row r="1438" spans="1:15">
      <c r="A1438" s="1246" t="s">
        <v>1493</v>
      </c>
      <c r="B1438" s="1246" t="s">
        <v>431</v>
      </c>
      <c r="C1438" s="1247">
        <v>8</v>
      </c>
      <c r="E1438" s="1246" t="s">
        <v>376</v>
      </c>
      <c r="F1438" s="1248">
        <v>1</v>
      </c>
      <c r="G1438" s="1248">
        <v>2</v>
      </c>
      <c r="H1438" s="1249">
        <v>1</v>
      </c>
      <c r="I1438" s="1246" t="s">
        <v>1491</v>
      </c>
      <c r="J1438" s="1246" t="s">
        <v>1462</v>
      </c>
      <c r="K1438" s="1284" t="str">
        <f t="shared" si="22"/>
        <v>71</v>
      </c>
      <c r="L1438" s="1246" t="s">
        <v>1496</v>
      </c>
      <c r="M1438" s="1250">
        <v>9</v>
      </c>
      <c r="N1438" s="1251">
        <v>3</v>
      </c>
      <c r="O1438" s="1252">
        <v>3</v>
      </c>
    </row>
    <row r="1439" spans="1:15">
      <c r="A1439" s="1246" t="s">
        <v>1493</v>
      </c>
      <c r="B1439" s="1246" t="s">
        <v>431</v>
      </c>
      <c r="C1439" s="1247">
        <v>8</v>
      </c>
      <c r="E1439" s="1246" t="s">
        <v>279</v>
      </c>
      <c r="F1439" s="1248">
        <v>1</v>
      </c>
      <c r="G1439" s="1248">
        <v>3</v>
      </c>
      <c r="H1439" s="1249">
        <v>1</v>
      </c>
      <c r="I1439" s="1246" t="s">
        <v>1491</v>
      </c>
      <c r="J1439" s="1246" t="s">
        <v>1462</v>
      </c>
      <c r="K1439" s="1284" t="str">
        <f t="shared" si="22"/>
        <v>71</v>
      </c>
      <c r="L1439" s="1246" t="s">
        <v>1495</v>
      </c>
      <c r="M1439" s="1250">
        <v>9</v>
      </c>
      <c r="N1439" s="1251">
        <v>2</v>
      </c>
      <c r="O1439" s="1252">
        <v>2</v>
      </c>
    </row>
    <row r="1440" spans="1:15">
      <c r="A1440" s="1246" t="s">
        <v>1493</v>
      </c>
      <c r="B1440" s="1246" t="s">
        <v>431</v>
      </c>
      <c r="C1440" s="1247">
        <v>8</v>
      </c>
      <c r="E1440" s="1246" t="s">
        <v>1412</v>
      </c>
      <c r="F1440" s="1248">
        <v>1</v>
      </c>
      <c r="G1440" s="1248">
        <v>3</v>
      </c>
      <c r="H1440" s="1249">
        <v>1</v>
      </c>
      <c r="I1440" s="1246" t="s">
        <v>1491</v>
      </c>
      <c r="J1440" s="1246" t="s">
        <v>1462</v>
      </c>
      <c r="K1440" s="1284" t="str">
        <f t="shared" si="22"/>
        <v>71</v>
      </c>
      <c r="L1440" s="1246" t="s">
        <v>1495</v>
      </c>
      <c r="M1440" s="1250">
        <v>9</v>
      </c>
      <c r="N1440" s="1251">
        <v>3</v>
      </c>
      <c r="O1440" s="1252">
        <v>3</v>
      </c>
    </row>
    <row r="1441" spans="1:15">
      <c r="A1441" s="1246" t="s">
        <v>1493</v>
      </c>
      <c r="B1441" s="1246" t="s">
        <v>431</v>
      </c>
      <c r="C1441" s="1247">
        <v>8</v>
      </c>
      <c r="E1441" s="1246" t="s">
        <v>1494</v>
      </c>
      <c r="F1441" s="1248">
        <v>1</v>
      </c>
      <c r="G1441" s="1248">
        <v>3</v>
      </c>
      <c r="H1441" s="1249">
        <v>1</v>
      </c>
      <c r="I1441" s="1246" t="s">
        <v>1491</v>
      </c>
      <c r="J1441" s="1246" t="s">
        <v>1462</v>
      </c>
      <c r="K1441" s="1284" t="str">
        <f t="shared" si="22"/>
        <v>71</v>
      </c>
      <c r="L1441" s="1246" t="s">
        <v>1495</v>
      </c>
      <c r="M1441" s="1250">
        <v>9</v>
      </c>
      <c r="N1441" s="1251">
        <v>13</v>
      </c>
      <c r="O1441" s="1252">
        <v>13</v>
      </c>
    </row>
    <row r="1442" spans="1:15">
      <c r="A1442" s="1246" t="s">
        <v>1493</v>
      </c>
      <c r="B1442" s="1246" t="s">
        <v>431</v>
      </c>
      <c r="C1442" s="1247">
        <v>8</v>
      </c>
      <c r="E1442" s="1246" t="s">
        <v>1494</v>
      </c>
      <c r="F1442" s="1248">
        <v>1</v>
      </c>
      <c r="G1442" s="1248">
        <v>3</v>
      </c>
      <c r="H1442" s="1249">
        <v>1</v>
      </c>
      <c r="I1442" s="1246" t="s">
        <v>1491</v>
      </c>
      <c r="J1442" s="1246" t="s">
        <v>1464</v>
      </c>
      <c r="K1442" s="1284" t="str">
        <f t="shared" si="22"/>
        <v>73</v>
      </c>
      <c r="L1442" s="1246" t="s">
        <v>1533</v>
      </c>
      <c r="M1442" s="1250">
        <v>9</v>
      </c>
      <c r="N1442" s="1251">
        <v>1</v>
      </c>
      <c r="O1442" s="1252">
        <v>1</v>
      </c>
    </row>
    <row r="1443" spans="1:15">
      <c r="A1443" s="1246" t="s">
        <v>1493</v>
      </c>
      <c r="B1443" s="1246" t="s">
        <v>431</v>
      </c>
      <c r="C1443" s="1247">
        <v>8</v>
      </c>
      <c r="E1443" s="1246" t="s">
        <v>376</v>
      </c>
      <c r="F1443" s="1248">
        <v>1</v>
      </c>
      <c r="G1443" s="1248">
        <v>3</v>
      </c>
      <c r="H1443" s="1249">
        <v>1</v>
      </c>
      <c r="I1443" s="1246" t="s">
        <v>1491</v>
      </c>
      <c r="J1443" s="1246" t="s">
        <v>1464</v>
      </c>
      <c r="K1443" s="1284" t="str">
        <f t="shared" si="22"/>
        <v>73</v>
      </c>
      <c r="L1443" s="1246" t="s">
        <v>1533</v>
      </c>
      <c r="M1443" s="1250">
        <v>9</v>
      </c>
      <c r="N1443" s="1251">
        <v>1</v>
      </c>
      <c r="O1443" s="1252">
        <v>1</v>
      </c>
    </row>
    <row r="1444" spans="1:15">
      <c r="A1444" s="1246" t="s">
        <v>1493</v>
      </c>
      <c r="B1444" s="1246" t="s">
        <v>431</v>
      </c>
      <c r="C1444" s="1247">
        <v>8</v>
      </c>
      <c r="E1444" s="1246" t="s">
        <v>376</v>
      </c>
      <c r="F1444" s="1248">
        <v>1</v>
      </c>
      <c r="G1444" s="1248">
        <v>3</v>
      </c>
      <c r="H1444" s="1249">
        <v>1</v>
      </c>
      <c r="I1444" s="1246" t="s">
        <v>1491</v>
      </c>
      <c r="J1444" s="1246" t="s">
        <v>1462</v>
      </c>
      <c r="K1444" s="1284" t="str">
        <f t="shared" si="22"/>
        <v>71</v>
      </c>
      <c r="L1444" s="1246" t="s">
        <v>1496</v>
      </c>
      <c r="M1444" s="1250">
        <v>9</v>
      </c>
      <c r="N1444" s="1251">
        <v>1</v>
      </c>
      <c r="O1444" s="1252">
        <v>1</v>
      </c>
    </row>
    <row r="1445" spans="1:15">
      <c r="A1445" s="1246" t="s">
        <v>1493</v>
      </c>
      <c r="B1445" s="1246" t="s">
        <v>431</v>
      </c>
      <c r="C1445" s="1247">
        <v>8</v>
      </c>
      <c r="E1445" s="1246" t="s">
        <v>1494</v>
      </c>
      <c r="F1445" s="1248">
        <v>1</v>
      </c>
      <c r="G1445" s="1248">
        <v>4</v>
      </c>
      <c r="H1445" s="1249">
        <v>1</v>
      </c>
      <c r="I1445" s="1246" t="s">
        <v>1491</v>
      </c>
      <c r="J1445" s="1246" t="s">
        <v>1462</v>
      </c>
      <c r="K1445" s="1284" t="str">
        <f t="shared" si="22"/>
        <v>71</v>
      </c>
      <c r="L1445" s="1246" t="s">
        <v>1495</v>
      </c>
      <c r="M1445" s="1250">
        <v>9</v>
      </c>
      <c r="N1445" s="1251">
        <v>4</v>
      </c>
      <c r="O1445" s="1252">
        <v>4</v>
      </c>
    </row>
    <row r="1446" spans="1:15">
      <c r="A1446" s="1246" t="s">
        <v>1493</v>
      </c>
      <c r="B1446" s="1246" t="s">
        <v>431</v>
      </c>
      <c r="C1446" s="1247">
        <v>8</v>
      </c>
      <c r="E1446" s="1246" t="s">
        <v>1412</v>
      </c>
      <c r="F1446" s="1248">
        <v>1</v>
      </c>
      <c r="G1446" s="1248">
        <v>5</v>
      </c>
      <c r="H1446" s="1249">
        <v>1</v>
      </c>
      <c r="I1446" s="1246" t="s">
        <v>1491</v>
      </c>
      <c r="J1446" s="1246" t="s">
        <v>1462</v>
      </c>
      <c r="K1446" s="1284" t="str">
        <f t="shared" si="22"/>
        <v>71</v>
      </c>
      <c r="L1446" s="1246" t="s">
        <v>1495</v>
      </c>
      <c r="M1446" s="1250">
        <v>9</v>
      </c>
      <c r="N1446" s="1251">
        <v>1</v>
      </c>
      <c r="O1446" s="1252">
        <v>1</v>
      </c>
    </row>
    <row r="1447" spans="1:15">
      <c r="A1447" s="1246" t="s">
        <v>1493</v>
      </c>
      <c r="B1447" s="1246" t="s">
        <v>431</v>
      </c>
      <c r="C1447" s="1247">
        <v>8</v>
      </c>
      <c r="E1447" s="1246" t="s">
        <v>1494</v>
      </c>
      <c r="F1447" s="1248">
        <v>1</v>
      </c>
      <c r="G1447" s="1248">
        <v>5</v>
      </c>
      <c r="H1447" s="1249">
        <v>1</v>
      </c>
      <c r="I1447" s="1246" t="s">
        <v>1491</v>
      </c>
      <c r="J1447" s="1246" t="s">
        <v>1462</v>
      </c>
      <c r="K1447" s="1284" t="str">
        <f t="shared" si="22"/>
        <v>71</v>
      </c>
      <c r="L1447" s="1246" t="s">
        <v>1495</v>
      </c>
      <c r="M1447" s="1250">
        <v>9</v>
      </c>
      <c r="N1447" s="1251">
        <v>5</v>
      </c>
      <c r="O1447" s="1252">
        <v>5</v>
      </c>
    </row>
    <row r="1448" spans="1:15">
      <c r="A1448" s="1246" t="s">
        <v>683</v>
      </c>
      <c r="B1448" s="1246" t="s">
        <v>431</v>
      </c>
      <c r="C1448" s="1247">
        <v>8</v>
      </c>
      <c r="E1448" s="1246" t="s">
        <v>1494</v>
      </c>
      <c r="F1448" s="1248">
        <v>1</v>
      </c>
      <c r="G1448" s="1248">
        <v>5</v>
      </c>
      <c r="H1448" s="1249">
        <v>1</v>
      </c>
      <c r="I1448" s="1246" t="s">
        <v>1491</v>
      </c>
      <c r="J1448" s="1246" t="s">
        <v>1462</v>
      </c>
      <c r="K1448" s="1284" t="str">
        <f t="shared" si="22"/>
        <v>71</v>
      </c>
      <c r="L1448" s="1246" t="s">
        <v>1495</v>
      </c>
      <c r="M1448" s="1250">
        <v>9</v>
      </c>
      <c r="N1448" s="1251">
        <v>2</v>
      </c>
      <c r="O1448" s="1252">
        <v>2</v>
      </c>
    </row>
    <row r="1449" spans="1:15">
      <c r="A1449" s="1246" t="s">
        <v>1493</v>
      </c>
      <c r="B1449" s="1246" t="s">
        <v>431</v>
      </c>
      <c r="C1449" s="1247">
        <v>8</v>
      </c>
      <c r="E1449" s="1246" t="s">
        <v>1494</v>
      </c>
      <c r="F1449" s="1248">
        <v>2</v>
      </c>
      <c r="G1449" s="1248">
        <v>2</v>
      </c>
      <c r="H1449" s="1249">
        <v>1</v>
      </c>
      <c r="I1449" s="1246" t="s">
        <v>1491</v>
      </c>
      <c r="J1449" s="1246" t="s">
        <v>1470</v>
      </c>
      <c r="K1449" s="1284" t="str">
        <f t="shared" si="22"/>
        <v>7C</v>
      </c>
      <c r="L1449" s="1246" t="s">
        <v>1502</v>
      </c>
      <c r="M1449" s="1250">
        <v>4</v>
      </c>
      <c r="N1449" s="1251">
        <v>2</v>
      </c>
      <c r="O1449" s="1252">
        <v>1</v>
      </c>
    </row>
    <row r="1450" spans="1:15">
      <c r="A1450" s="1246" t="s">
        <v>683</v>
      </c>
      <c r="B1450" s="1246" t="s">
        <v>431</v>
      </c>
      <c r="C1450" s="1247">
        <v>8</v>
      </c>
      <c r="E1450" s="1246" t="s">
        <v>1494</v>
      </c>
      <c r="F1450" s="1248">
        <v>2</v>
      </c>
      <c r="G1450" s="1248">
        <v>4</v>
      </c>
      <c r="H1450" s="1249">
        <v>1</v>
      </c>
      <c r="I1450" s="1246" t="s">
        <v>1491</v>
      </c>
      <c r="J1450" s="1246" t="s">
        <v>1463</v>
      </c>
      <c r="K1450" s="1284" t="str">
        <f t="shared" si="22"/>
        <v>72</v>
      </c>
      <c r="L1450" s="1246" t="s">
        <v>1529</v>
      </c>
      <c r="M1450" s="1250">
        <v>9</v>
      </c>
      <c r="N1450" s="1251">
        <v>2</v>
      </c>
      <c r="O1450" s="1252">
        <v>1</v>
      </c>
    </row>
    <row r="1451" spans="1:15">
      <c r="A1451" s="1246" t="s">
        <v>1493</v>
      </c>
      <c r="B1451" s="1246" t="s">
        <v>431</v>
      </c>
      <c r="C1451" s="1247">
        <v>8</v>
      </c>
      <c r="E1451" s="1246" t="s">
        <v>1494</v>
      </c>
      <c r="F1451" s="1248">
        <v>2</v>
      </c>
      <c r="G1451" s="1248">
        <v>4</v>
      </c>
      <c r="H1451" s="1249">
        <v>1</v>
      </c>
      <c r="I1451" s="1246" t="s">
        <v>1491</v>
      </c>
      <c r="J1451" s="1246" t="s">
        <v>1462</v>
      </c>
      <c r="K1451" s="1284" t="str">
        <f t="shared" si="22"/>
        <v>71</v>
      </c>
      <c r="L1451" s="1246" t="s">
        <v>1495</v>
      </c>
      <c r="M1451" s="1250">
        <v>9</v>
      </c>
      <c r="N1451" s="1251">
        <v>4</v>
      </c>
      <c r="O1451" s="1252">
        <v>2</v>
      </c>
    </row>
    <row r="1452" spans="1:15">
      <c r="A1452" s="1246" t="s">
        <v>1493</v>
      </c>
      <c r="B1452" s="1246" t="s">
        <v>431</v>
      </c>
      <c r="C1452" s="1247">
        <v>8</v>
      </c>
      <c r="E1452" s="1246" t="s">
        <v>1494</v>
      </c>
      <c r="F1452" s="1248">
        <v>2</v>
      </c>
      <c r="G1452" s="1248">
        <v>4</v>
      </c>
      <c r="H1452" s="1249">
        <v>1</v>
      </c>
      <c r="I1452" s="1246" t="s">
        <v>1491</v>
      </c>
      <c r="J1452" s="1246" t="s">
        <v>1400</v>
      </c>
      <c r="K1452" s="1284" t="str">
        <f t="shared" si="22"/>
        <v>70</v>
      </c>
      <c r="L1452" s="1246" t="s">
        <v>1532</v>
      </c>
      <c r="M1452" s="1250">
        <v>9</v>
      </c>
      <c r="N1452" s="1251">
        <v>2</v>
      </c>
      <c r="O1452" s="1252">
        <v>1</v>
      </c>
    </row>
    <row r="1453" spans="1:15">
      <c r="A1453" s="1246" t="s">
        <v>1493</v>
      </c>
      <c r="B1453" s="1246" t="s">
        <v>431</v>
      </c>
      <c r="C1453" s="1247">
        <v>8</v>
      </c>
      <c r="E1453" s="1246" t="s">
        <v>376</v>
      </c>
      <c r="F1453" s="1248">
        <v>2</v>
      </c>
      <c r="G1453" s="1248">
        <v>4</v>
      </c>
      <c r="H1453" s="1249">
        <v>1</v>
      </c>
      <c r="I1453" s="1246" t="s">
        <v>1491</v>
      </c>
      <c r="J1453" s="1246" t="s">
        <v>1462</v>
      </c>
      <c r="K1453" s="1284" t="str">
        <f t="shared" si="22"/>
        <v>71</v>
      </c>
      <c r="L1453" s="1246" t="s">
        <v>1496</v>
      </c>
      <c r="M1453" s="1250">
        <v>9</v>
      </c>
      <c r="N1453" s="1251">
        <v>2</v>
      </c>
      <c r="O1453" s="1252">
        <v>1</v>
      </c>
    </row>
    <row r="1454" spans="1:15">
      <c r="A1454" s="1246" t="s">
        <v>1493</v>
      </c>
      <c r="B1454" s="1246" t="s">
        <v>431</v>
      </c>
      <c r="C1454" s="1247">
        <v>8</v>
      </c>
      <c r="E1454" s="1246" t="s">
        <v>1494</v>
      </c>
      <c r="F1454" s="1248">
        <v>2</v>
      </c>
      <c r="G1454" s="1248">
        <v>6</v>
      </c>
      <c r="H1454" s="1249">
        <v>1</v>
      </c>
      <c r="I1454" s="1246" t="s">
        <v>1491</v>
      </c>
      <c r="J1454" s="1246" t="s">
        <v>1462</v>
      </c>
      <c r="K1454" s="1284" t="str">
        <f t="shared" si="22"/>
        <v>71</v>
      </c>
      <c r="L1454" s="1246" t="s">
        <v>1495</v>
      </c>
      <c r="M1454" s="1250">
        <v>9</v>
      </c>
      <c r="N1454" s="1251">
        <v>2</v>
      </c>
      <c r="O1454" s="1252">
        <v>1</v>
      </c>
    </row>
    <row r="1455" spans="1:15">
      <c r="A1455" s="1246" t="s">
        <v>1493</v>
      </c>
      <c r="B1455" s="1246" t="s">
        <v>431</v>
      </c>
      <c r="C1455" s="1247">
        <v>8</v>
      </c>
      <c r="E1455" s="1246" t="s">
        <v>376</v>
      </c>
      <c r="F1455" s="1248">
        <v>2</v>
      </c>
      <c r="G1455" s="1248">
        <v>6</v>
      </c>
      <c r="H1455" s="1249">
        <v>1</v>
      </c>
      <c r="I1455" s="1246" t="s">
        <v>1491</v>
      </c>
      <c r="J1455" s="1246" t="s">
        <v>1464</v>
      </c>
      <c r="K1455" s="1284" t="str">
        <f t="shared" si="22"/>
        <v>73</v>
      </c>
      <c r="L1455" s="1246" t="s">
        <v>1533</v>
      </c>
      <c r="M1455" s="1250">
        <v>9</v>
      </c>
      <c r="N1455" s="1251">
        <v>2</v>
      </c>
      <c r="O1455" s="1252">
        <v>1</v>
      </c>
    </row>
    <row r="1456" spans="1:15">
      <c r="A1456" s="1246" t="s">
        <v>683</v>
      </c>
      <c r="B1456" s="1246" t="s">
        <v>431</v>
      </c>
      <c r="C1456" s="1247">
        <v>8</v>
      </c>
      <c r="E1456" s="1246" t="s">
        <v>1494</v>
      </c>
      <c r="F1456" s="1248">
        <v>2</v>
      </c>
      <c r="G1456" s="1248">
        <v>10</v>
      </c>
      <c r="H1456" s="1249">
        <v>1</v>
      </c>
      <c r="I1456" s="1246" t="s">
        <v>1491</v>
      </c>
      <c r="J1456" s="1246" t="s">
        <v>1462</v>
      </c>
      <c r="K1456" s="1284" t="str">
        <f t="shared" si="22"/>
        <v>71</v>
      </c>
      <c r="L1456" s="1246" t="s">
        <v>1495</v>
      </c>
      <c r="M1456" s="1250">
        <v>9</v>
      </c>
      <c r="N1456" s="1251">
        <v>2</v>
      </c>
      <c r="O1456" s="1252">
        <v>1</v>
      </c>
    </row>
    <row r="1457" spans="1:15">
      <c r="A1457" s="1246" t="s">
        <v>1493</v>
      </c>
      <c r="B1457" s="1246" t="s">
        <v>431</v>
      </c>
      <c r="C1457" s="1247">
        <v>8</v>
      </c>
      <c r="E1457" s="1246" t="s">
        <v>1494</v>
      </c>
      <c r="F1457" s="1248">
        <v>3</v>
      </c>
      <c r="G1457" s="1248">
        <v>9</v>
      </c>
      <c r="H1457" s="1249">
        <v>1</v>
      </c>
      <c r="I1457" s="1246" t="s">
        <v>1491</v>
      </c>
      <c r="J1457" s="1246" t="s">
        <v>1462</v>
      </c>
      <c r="K1457" s="1284" t="str">
        <f t="shared" si="22"/>
        <v>71</v>
      </c>
      <c r="L1457" s="1246" t="s">
        <v>1495</v>
      </c>
      <c r="M1457" s="1250">
        <v>9</v>
      </c>
      <c r="N1457" s="1251">
        <v>3</v>
      </c>
      <c r="O1457" s="1252">
        <v>1</v>
      </c>
    </row>
    <row r="1458" spans="1:15">
      <c r="A1458" s="1246" t="s">
        <v>1493</v>
      </c>
      <c r="B1458" s="1246" t="s">
        <v>431</v>
      </c>
      <c r="C1458" s="1247">
        <v>8</v>
      </c>
      <c r="E1458" s="1246" t="s">
        <v>1494</v>
      </c>
      <c r="F1458" s="1248">
        <v>4</v>
      </c>
      <c r="G1458" s="1248">
        <v>8</v>
      </c>
      <c r="H1458" s="1249">
        <v>1</v>
      </c>
      <c r="I1458" s="1246" t="s">
        <v>1491</v>
      </c>
      <c r="J1458" s="1246" t="s">
        <v>1462</v>
      </c>
      <c r="K1458" s="1284" t="str">
        <f t="shared" si="22"/>
        <v>71</v>
      </c>
      <c r="L1458" s="1246" t="s">
        <v>1495</v>
      </c>
      <c r="M1458" s="1250">
        <v>9</v>
      </c>
      <c r="N1458" s="1251">
        <v>4</v>
      </c>
      <c r="O1458" s="1252">
        <v>1</v>
      </c>
    </row>
    <row r="1459" spans="1:15">
      <c r="A1459" s="1246" t="s">
        <v>1493</v>
      </c>
      <c r="B1459" s="1246" t="s">
        <v>431</v>
      </c>
      <c r="C1459" s="1247">
        <v>8</v>
      </c>
      <c r="E1459" s="1246" t="s">
        <v>1494</v>
      </c>
      <c r="F1459" s="1248">
        <v>6</v>
      </c>
      <c r="G1459" s="1248">
        <v>18</v>
      </c>
      <c r="H1459" s="1249">
        <v>1</v>
      </c>
      <c r="I1459" s="1246" t="s">
        <v>1491</v>
      </c>
      <c r="J1459" s="1246" t="s">
        <v>1462</v>
      </c>
      <c r="K1459" s="1284" t="str">
        <f t="shared" si="22"/>
        <v>71</v>
      </c>
      <c r="L1459" s="1246" t="s">
        <v>1495</v>
      </c>
      <c r="M1459" s="1250">
        <v>9</v>
      </c>
      <c r="N1459" s="1251">
        <v>6</v>
      </c>
      <c r="O1459" s="1252">
        <v>1</v>
      </c>
    </row>
    <row r="1460" spans="1:15">
      <c r="A1460" s="1246" t="s">
        <v>683</v>
      </c>
      <c r="B1460" s="1246" t="s">
        <v>433</v>
      </c>
      <c r="C1460" s="1247">
        <v>10</v>
      </c>
      <c r="E1460" s="1246" t="s">
        <v>1549</v>
      </c>
      <c r="F1460" s="1248">
        <v>1</v>
      </c>
      <c r="G1460" s="1248">
        <v>0</v>
      </c>
      <c r="H1460" s="1249">
        <v>0</v>
      </c>
      <c r="J1460" s="1246" t="s">
        <v>1444</v>
      </c>
      <c r="K1460" s="1284" t="str">
        <f t="shared" si="22"/>
        <v>21</v>
      </c>
      <c r="L1460" s="1246" t="s">
        <v>1550</v>
      </c>
      <c r="M1460" s="1250">
        <v>8</v>
      </c>
      <c r="N1460" s="1251">
        <v>1</v>
      </c>
      <c r="O1460" s="1252">
        <v>1</v>
      </c>
    </row>
    <row r="1461" spans="1:15">
      <c r="A1461" s="1246" t="s">
        <v>683</v>
      </c>
      <c r="B1461" s="1246" t="s">
        <v>433</v>
      </c>
      <c r="C1461" s="1247">
        <v>10</v>
      </c>
      <c r="E1461" s="1246" t="s">
        <v>1551</v>
      </c>
      <c r="F1461" s="1248">
        <v>1</v>
      </c>
      <c r="G1461" s="1248">
        <v>0</v>
      </c>
      <c r="H1461" s="1249">
        <v>0</v>
      </c>
      <c r="J1461" s="1246" t="s">
        <v>1398</v>
      </c>
      <c r="K1461" s="1284" t="str">
        <f t="shared" si="22"/>
        <v>20</v>
      </c>
      <c r="L1461" s="1246" t="s">
        <v>1552</v>
      </c>
      <c r="M1461" s="1250">
        <v>8</v>
      </c>
      <c r="N1461" s="1251">
        <v>1</v>
      </c>
      <c r="O1461" s="1252">
        <v>1</v>
      </c>
    </row>
    <row r="1462" spans="1:15">
      <c r="A1462" s="1246" t="s">
        <v>683</v>
      </c>
      <c r="B1462" s="1246" t="s">
        <v>433</v>
      </c>
      <c r="C1462" s="1247">
        <v>10</v>
      </c>
      <c r="E1462" s="1246" t="s">
        <v>377</v>
      </c>
      <c r="F1462" s="1248">
        <v>1</v>
      </c>
      <c r="G1462" s="1248">
        <v>0</v>
      </c>
      <c r="H1462" s="1249">
        <v>0</v>
      </c>
      <c r="J1462" s="1246" t="s">
        <v>1447</v>
      </c>
      <c r="K1462" s="1284" t="str">
        <f t="shared" si="22"/>
        <v>24</v>
      </c>
      <c r="L1462" s="1246" t="s">
        <v>1546</v>
      </c>
      <c r="M1462" s="1250">
        <v>8</v>
      </c>
      <c r="N1462" s="1251">
        <v>1</v>
      </c>
      <c r="O1462" s="1252">
        <v>1</v>
      </c>
    </row>
    <row r="1463" spans="1:15">
      <c r="A1463" s="1246" t="s">
        <v>683</v>
      </c>
      <c r="B1463" s="1246" t="s">
        <v>433</v>
      </c>
      <c r="C1463" s="1247">
        <v>10</v>
      </c>
      <c r="E1463" s="1246" t="s">
        <v>1547</v>
      </c>
      <c r="F1463" s="1248">
        <v>1</v>
      </c>
      <c r="G1463" s="1248">
        <v>0</v>
      </c>
      <c r="H1463" s="1249">
        <v>0</v>
      </c>
      <c r="J1463" s="1246" t="s">
        <v>1447</v>
      </c>
      <c r="K1463" s="1284" t="str">
        <f t="shared" si="22"/>
        <v>24</v>
      </c>
      <c r="L1463" s="1246" t="s">
        <v>1546</v>
      </c>
      <c r="M1463" s="1250">
        <v>8</v>
      </c>
      <c r="N1463" s="1251">
        <v>2</v>
      </c>
      <c r="O1463" s="1252">
        <v>2</v>
      </c>
    </row>
    <row r="1464" spans="1:15">
      <c r="A1464" s="1246" t="s">
        <v>1493</v>
      </c>
      <c r="B1464" s="1246" t="s">
        <v>433</v>
      </c>
      <c r="C1464" s="1247">
        <v>10</v>
      </c>
      <c r="E1464" s="1246" t="s">
        <v>377</v>
      </c>
      <c r="F1464" s="1248">
        <v>1</v>
      </c>
      <c r="G1464" s="1248">
        <v>0</v>
      </c>
      <c r="H1464" s="1249">
        <v>0</v>
      </c>
      <c r="J1464" s="1246" t="s">
        <v>1453</v>
      </c>
      <c r="K1464" s="1284" t="str">
        <f t="shared" si="22"/>
        <v>2D</v>
      </c>
      <c r="L1464" s="1246" t="s">
        <v>1553</v>
      </c>
      <c r="M1464" s="1250">
        <v>1</v>
      </c>
      <c r="N1464" s="1251">
        <v>1</v>
      </c>
      <c r="O1464" s="1252">
        <v>1</v>
      </c>
    </row>
    <row r="1465" spans="1:15">
      <c r="A1465" s="1246" t="s">
        <v>683</v>
      </c>
      <c r="B1465" s="1246" t="s">
        <v>433</v>
      </c>
      <c r="C1465" s="1247">
        <v>10</v>
      </c>
      <c r="E1465" s="1246" t="s">
        <v>1494</v>
      </c>
      <c r="F1465" s="1248">
        <v>1</v>
      </c>
      <c r="G1465" s="1248">
        <v>0</v>
      </c>
      <c r="H1465" s="1249">
        <v>0</v>
      </c>
      <c r="J1465" s="1246" t="s">
        <v>1450</v>
      </c>
      <c r="K1465" s="1284" t="str">
        <f t="shared" si="22"/>
        <v>2A</v>
      </c>
      <c r="L1465" s="1246" t="s">
        <v>1545</v>
      </c>
      <c r="M1465" s="1250">
        <v>4</v>
      </c>
      <c r="N1465" s="1251">
        <v>1</v>
      </c>
      <c r="O1465" s="1252">
        <v>1</v>
      </c>
    </row>
    <row r="1466" spans="1:15">
      <c r="A1466" s="1246" t="s">
        <v>1493</v>
      </c>
      <c r="B1466" s="1246" t="s">
        <v>433</v>
      </c>
      <c r="C1466" s="1247">
        <v>10</v>
      </c>
      <c r="E1466" s="1246" t="s">
        <v>1494</v>
      </c>
      <c r="F1466" s="1248">
        <v>1</v>
      </c>
      <c r="G1466" s="1248">
        <v>0</v>
      </c>
      <c r="H1466" s="1249">
        <v>0</v>
      </c>
      <c r="J1466" s="1246" t="s">
        <v>1448</v>
      </c>
      <c r="K1466" s="1284" t="str">
        <f t="shared" si="22"/>
        <v>25</v>
      </c>
      <c r="L1466" s="1246" t="s">
        <v>1530</v>
      </c>
      <c r="M1466" s="1250">
        <v>9</v>
      </c>
      <c r="N1466" s="1251">
        <v>1</v>
      </c>
      <c r="O1466" s="1252">
        <v>1</v>
      </c>
    </row>
    <row r="1467" spans="1:15">
      <c r="A1467" s="1246" t="s">
        <v>1493</v>
      </c>
      <c r="B1467" s="1246" t="s">
        <v>433</v>
      </c>
      <c r="C1467" s="1247">
        <v>10</v>
      </c>
      <c r="E1467" s="1246" t="s">
        <v>376</v>
      </c>
      <c r="F1467" s="1248">
        <v>1</v>
      </c>
      <c r="G1467" s="1248">
        <v>0</v>
      </c>
      <c r="H1467" s="1249">
        <v>0</v>
      </c>
      <c r="J1467" s="1246" t="s">
        <v>1444</v>
      </c>
      <c r="K1467" s="1284" t="str">
        <f t="shared" si="22"/>
        <v>21</v>
      </c>
      <c r="L1467" s="1246" t="s">
        <v>1496</v>
      </c>
      <c r="M1467" s="1250">
        <v>9</v>
      </c>
      <c r="N1467" s="1251">
        <v>1</v>
      </c>
      <c r="O1467" s="1252">
        <v>1</v>
      </c>
    </row>
    <row r="1468" spans="1:15">
      <c r="A1468" s="1246" t="s">
        <v>683</v>
      </c>
      <c r="B1468" s="1246" t="s">
        <v>433</v>
      </c>
      <c r="C1468" s="1247">
        <v>12</v>
      </c>
      <c r="E1468" s="1246" t="s">
        <v>1549</v>
      </c>
      <c r="F1468" s="1248">
        <v>1</v>
      </c>
      <c r="G1468" s="1248">
        <v>0</v>
      </c>
      <c r="H1468" s="1249">
        <v>0</v>
      </c>
      <c r="J1468" s="1246" t="s">
        <v>1444</v>
      </c>
      <c r="K1468" s="1284" t="str">
        <f t="shared" si="22"/>
        <v>21</v>
      </c>
      <c r="L1468" s="1246" t="s">
        <v>1550</v>
      </c>
      <c r="M1468" s="1250">
        <v>8</v>
      </c>
      <c r="N1468" s="1251">
        <v>8</v>
      </c>
      <c r="O1468" s="1252">
        <v>8</v>
      </c>
    </row>
    <row r="1469" spans="1:15">
      <c r="A1469" s="1246" t="s">
        <v>683</v>
      </c>
      <c r="B1469" s="1246" t="s">
        <v>433</v>
      </c>
      <c r="C1469" s="1247">
        <v>12</v>
      </c>
      <c r="E1469" s="1246" t="s">
        <v>1554</v>
      </c>
      <c r="F1469" s="1248">
        <v>1</v>
      </c>
      <c r="G1469" s="1248">
        <v>0</v>
      </c>
      <c r="H1469" s="1249">
        <v>0</v>
      </c>
      <c r="J1469" s="1246" t="s">
        <v>1444</v>
      </c>
      <c r="K1469" s="1284" t="str">
        <f t="shared" si="22"/>
        <v>21</v>
      </c>
      <c r="L1469" s="1246" t="s">
        <v>1550</v>
      </c>
      <c r="M1469" s="1250">
        <v>8</v>
      </c>
      <c r="N1469" s="1251">
        <v>1</v>
      </c>
      <c r="O1469" s="1252">
        <v>1</v>
      </c>
    </row>
    <row r="1470" spans="1:15">
      <c r="A1470" s="1246" t="s">
        <v>683</v>
      </c>
      <c r="B1470" s="1246" t="s">
        <v>433</v>
      </c>
      <c r="C1470" s="1247">
        <v>12</v>
      </c>
      <c r="E1470" s="1246" t="s">
        <v>1555</v>
      </c>
      <c r="F1470" s="1248">
        <v>1</v>
      </c>
      <c r="G1470" s="1248">
        <v>0</v>
      </c>
      <c r="H1470" s="1249">
        <v>0</v>
      </c>
      <c r="J1470" s="1246" t="s">
        <v>1444</v>
      </c>
      <c r="K1470" s="1284" t="str">
        <f t="shared" si="22"/>
        <v>21</v>
      </c>
      <c r="L1470" s="1246" t="s">
        <v>1550</v>
      </c>
      <c r="M1470" s="1250">
        <v>8</v>
      </c>
      <c r="N1470" s="1251">
        <v>1</v>
      </c>
      <c r="O1470" s="1252">
        <v>1</v>
      </c>
    </row>
    <row r="1471" spans="1:15">
      <c r="A1471" s="1246" t="s">
        <v>683</v>
      </c>
      <c r="B1471" s="1246" t="s">
        <v>433</v>
      </c>
      <c r="C1471" s="1247">
        <v>12</v>
      </c>
      <c r="E1471" s="1246" t="s">
        <v>1535</v>
      </c>
      <c r="F1471" s="1248">
        <v>1</v>
      </c>
      <c r="G1471" s="1248">
        <v>0</v>
      </c>
      <c r="H1471" s="1249">
        <v>0</v>
      </c>
      <c r="J1471" s="1246" t="s">
        <v>1398</v>
      </c>
      <c r="K1471" s="1284" t="str">
        <f t="shared" si="22"/>
        <v>20</v>
      </c>
      <c r="L1471" s="1246" t="s">
        <v>1552</v>
      </c>
      <c r="M1471" s="1250">
        <v>8</v>
      </c>
      <c r="N1471" s="1251">
        <v>1</v>
      </c>
      <c r="O1471" s="1252">
        <v>1</v>
      </c>
    </row>
    <row r="1472" spans="1:15">
      <c r="A1472" s="1246" t="s">
        <v>683</v>
      </c>
      <c r="B1472" s="1246" t="s">
        <v>433</v>
      </c>
      <c r="C1472" s="1247">
        <v>12</v>
      </c>
      <c r="E1472" s="1246" t="s">
        <v>1549</v>
      </c>
      <c r="F1472" s="1248">
        <v>1</v>
      </c>
      <c r="G1472" s="1248">
        <v>0</v>
      </c>
      <c r="H1472" s="1249">
        <v>0</v>
      </c>
      <c r="J1472" s="1246" t="s">
        <v>1398</v>
      </c>
      <c r="K1472" s="1284" t="str">
        <f t="shared" si="22"/>
        <v>20</v>
      </c>
      <c r="L1472" s="1246" t="s">
        <v>1552</v>
      </c>
      <c r="M1472" s="1250">
        <v>8</v>
      </c>
      <c r="N1472" s="1251">
        <v>6</v>
      </c>
      <c r="O1472" s="1252">
        <v>6</v>
      </c>
    </row>
    <row r="1473" spans="1:15">
      <c r="A1473" s="1246" t="s">
        <v>683</v>
      </c>
      <c r="B1473" s="1246" t="s">
        <v>433</v>
      </c>
      <c r="C1473" s="1247">
        <v>12</v>
      </c>
      <c r="E1473" s="1246" t="s">
        <v>1547</v>
      </c>
      <c r="F1473" s="1248">
        <v>1</v>
      </c>
      <c r="G1473" s="1248">
        <v>0</v>
      </c>
      <c r="H1473" s="1249">
        <v>0</v>
      </c>
      <c r="J1473" s="1246" t="s">
        <v>1447</v>
      </c>
      <c r="K1473" s="1284" t="str">
        <f t="shared" si="22"/>
        <v>24</v>
      </c>
      <c r="L1473" s="1246" t="s">
        <v>1546</v>
      </c>
      <c r="M1473" s="1250">
        <v>8</v>
      </c>
      <c r="N1473" s="1251">
        <v>1</v>
      </c>
      <c r="O1473" s="1252">
        <v>1</v>
      </c>
    </row>
    <row r="1474" spans="1:15">
      <c r="A1474" s="1246" t="s">
        <v>683</v>
      </c>
      <c r="B1474" s="1246" t="s">
        <v>433</v>
      </c>
      <c r="C1474" s="1247">
        <v>12</v>
      </c>
      <c r="E1474" s="1246" t="s">
        <v>1549</v>
      </c>
      <c r="F1474" s="1248">
        <v>2</v>
      </c>
      <c r="G1474" s="1248">
        <v>0</v>
      </c>
      <c r="H1474" s="1249">
        <v>0</v>
      </c>
      <c r="J1474" s="1246" t="s">
        <v>1398</v>
      </c>
      <c r="K1474" s="1284" t="str">
        <f t="shared" ref="K1474:K1537" si="23">IF(J1474="1B","10", IF(J1474="2B","20",IF(J1474="3B","30",IF(J1474="7B",70,J1474))))</f>
        <v>20</v>
      </c>
      <c r="L1474" s="1246" t="s">
        <v>1548</v>
      </c>
      <c r="M1474" s="1250">
        <v>8</v>
      </c>
      <c r="N1474" s="1251">
        <v>2</v>
      </c>
      <c r="O1474" s="1252">
        <v>1</v>
      </c>
    </row>
    <row r="1475" spans="1:15">
      <c r="A1475" s="1246" t="s">
        <v>1493</v>
      </c>
      <c r="B1475" s="1246" t="s">
        <v>433</v>
      </c>
      <c r="C1475" s="1247">
        <v>15</v>
      </c>
      <c r="E1475" s="1246" t="s">
        <v>1535</v>
      </c>
      <c r="F1475" s="1248">
        <v>1</v>
      </c>
      <c r="G1475" s="1248">
        <v>0</v>
      </c>
      <c r="H1475" s="1249">
        <v>0</v>
      </c>
      <c r="J1475" s="1246" t="s">
        <v>1444</v>
      </c>
      <c r="K1475" s="1284" t="str">
        <f t="shared" si="23"/>
        <v>21</v>
      </c>
      <c r="L1475" s="1246" t="s">
        <v>1550</v>
      </c>
      <c r="M1475" s="1250">
        <v>8</v>
      </c>
      <c r="N1475" s="1251">
        <v>1</v>
      </c>
      <c r="O1475" s="1252">
        <v>1</v>
      </c>
    </row>
    <row r="1476" spans="1:15">
      <c r="A1476" s="1246" t="s">
        <v>683</v>
      </c>
      <c r="B1476" s="1246" t="s">
        <v>433</v>
      </c>
      <c r="C1476" s="1247">
        <v>15</v>
      </c>
      <c r="E1476" s="1246" t="s">
        <v>1535</v>
      </c>
      <c r="F1476" s="1248">
        <v>1</v>
      </c>
      <c r="G1476" s="1248">
        <v>0</v>
      </c>
      <c r="H1476" s="1249">
        <v>0</v>
      </c>
      <c r="J1476" s="1246" t="s">
        <v>1444</v>
      </c>
      <c r="K1476" s="1284" t="str">
        <f t="shared" si="23"/>
        <v>21</v>
      </c>
      <c r="L1476" s="1246" t="s">
        <v>1550</v>
      </c>
      <c r="M1476" s="1250">
        <v>8</v>
      </c>
      <c r="N1476" s="1251">
        <v>1</v>
      </c>
      <c r="O1476" s="1252">
        <v>1</v>
      </c>
    </row>
    <row r="1477" spans="1:15">
      <c r="A1477" s="1246" t="s">
        <v>683</v>
      </c>
      <c r="B1477" s="1246" t="s">
        <v>433</v>
      </c>
      <c r="C1477" s="1247">
        <v>15</v>
      </c>
      <c r="E1477" s="1246" t="s">
        <v>1551</v>
      </c>
      <c r="F1477" s="1248">
        <v>1</v>
      </c>
      <c r="G1477" s="1248">
        <v>0</v>
      </c>
      <c r="H1477" s="1249">
        <v>0</v>
      </c>
      <c r="J1477" s="1246" t="s">
        <v>1444</v>
      </c>
      <c r="K1477" s="1284" t="str">
        <f t="shared" si="23"/>
        <v>21</v>
      </c>
      <c r="L1477" s="1246" t="s">
        <v>1550</v>
      </c>
      <c r="M1477" s="1250">
        <v>8</v>
      </c>
      <c r="N1477" s="1251">
        <v>1</v>
      </c>
      <c r="O1477" s="1252">
        <v>1</v>
      </c>
    </row>
    <row r="1478" spans="1:15">
      <c r="A1478" s="1246" t="s">
        <v>683</v>
      </c>
      <c r="B1478" s="1246" t="s">
        <v>433</v>
      </c>
      <c r="C1478" s="1247">
        <v>15</v>
      </c>
      <c r="D1478" s="1246" t="s">
        <v>1412</v>
      </c>
      <c r="E1478" s="1246" t="s">
        <v>376</v>
      </c>
      <c r="F1478" s="1248">
        <v>1</v>
      </c>
      <c r="G1478" s="1248">
        <v>1</v>
      </c>
      <c r="H1478" s="1249">
        <v>1</v>
      </c>
      <c r="I1478" s="1246" t="s">
        <v>1491</v>
      </c>
      <c r="J1478" s="1246" t="s">
        <v>1446</v>
      </c>
      <c r="K1478" s="1284" t="str">
        <f t="shared" si="23"/>
        <v>23</v>
      </c>
      <c r="L1478" s="1246" t="s">
        <v>1556</v>
      </c>
      <c r="M1478" s="1250">
        <v>8</v>
      </c>
      <c r="N1478" s="1251">
        <v>1</v>
      </c>
      <c r="O1478" s="1252">
        <v>1</v>
      </c>
    </row>
    <row r="1479" spans="1:15">
      <c r="A1479" s="1246" t="s">
        <v>1493</v>
      </c>
      <c r="B1479" s="1246" t="s">
        <v>433</v>
      </c>
      <c r="C1479" s="1247">
        <v>20</v>
      </c>
      <c r="E1479" s="1246" t="s">
        <v>1547</v>
      </c>
      <c r="F1479" s="1248">
        <v>1</v>
      </c>
      <c r="G1479" s="1248">
        <v>0</v>
      </c>
      <c r="H1479" s="1249">
        <v>0</v>
      </c>
      <c r="J1479" s="1246" t="s">
        <v>1444</v>
      </c>
      <c r="K1479" s="1284" t="str">
        <f t="shared" si="23"/>
        <v>21</v>
      </c>
      <c r="L1479" s="1246" t="s">
        <v>1550</v>
      </c>
      <c r="M1479" s="1250">
        <v>8</v>
      </c>
      <c r="N1479" s="1251">
        <v>1</v>
      </c>
      <c r="O1479" s="1252">
        <v>1</v>
      </c>
    </row>
    <row r="1480" spans="1:15">
      <c r="A1480" s="1246" t="s">
        <v>683</v>
      </c>
      <c r="B1480" s="1246" t="s">
        <v>433</v>
      </c>
      <c r="C1480" s="1247">
        <v>20</v>
      </c>
      <c r="E1480" s="1246" t="s">
        <v>279</v>
      </c>
      <c r="F1480" s="1248">
        <v>1</v>
      </c>
      <c r="G1480" s="1248">
        <v>0</v>
      </c>
      <c r="H1480" s="1249">
        <v>0</v>
      </c>
      <c r="J1480" s="1246" t="s">
        <v>1444</v>
      </c>
      <c r="K1480" s="1284" t="str">
        <f t="shared" si="23"/>
        <v>21</v>
      </c>
      <c r="L1480" s="1246" t="s">
        <v>1550</v>
      </c>
      <c r="M1480" s="1250">
        <v>8</v>
      </c>
      <c r="N1480" s="1251">
        <v>1</v>
      </c>
      <c r="O1480" s="1252">
        <v>1</v>
      </c>
    </row>
    <row r="1481" spans="1:15">
      <c r="A1481" s="1246" t="s">
        <v>683</v>
      </c>
      <c r="B1481" s="1246" t="s">
        <v>433</v>
      </c>
      <c r="C1481" s="1247">
        <v>20</v>
      </c>
      <c r="E1481" s="1246" t="s">
        <v>1551</v>
      </c>
      <c r="F1481" s="1248">
        <v>1</v>
      </c>
      <c r="G1481" s="1248">
        <v>0</v>
      </c>
      <c r="H1481" s="1249">
        <v>0</v>
      </c>
      <c r="J1481" s="1246" t="s">
        <v>1444</v>
      </c>
      <c r="K1481" s="1284" t="str">
        <f t="shared" si="23"/>
        <v>21</v>
      </c>
      <c r="L1481" s="1246" t="s">
        <v>1550</v>
      </c>
      <c r="M1481" s="1250">
        <v>8</v>
      </c>
      <c r="N1481" s="1251">
        <v>2</v>
      </c>
      <c r="O1481" s="1252">
        <v>2</v>
      </c>
    </row>
    <row r="1482" spans="1:15">
      <c r="A1482" s="1246" t="s">
        <v>683</v>
      </c>
      <c r="B1482" s="1246" t="s">
        <v>433</v>
      </c>
      <c r="C1482" s="1247">
        <v>20</v>
      </c>
      <c r="E1482" s="1246" t="s">
        <v>1547</v>
      </c>
      <c r="F1482" s="1248">
        <v>1</v>
      </c>
      <c r="G1482" s="1248">
        <v>0</v>
      </c>
      <c r="H1482" s="1249">
        <v>0</v>
      </c>
      <c r="J1482" s="1246" t="s">
        <v>1444</v>
      </c>
      <c r="K1482" s="1284" t="str">
        <f t="shared" si="23"/>
        <v>21</v>
      </c>
      <c r="L1482" s="1246" t="s">
        <v>1550</v>
      </c>
      <c r="M1482" s="1250">
        <v>8</v>
      </c>
      <c r="N1482" s="1251">
        <v>13</v>
      </c>
      <c r="O1482" s="1252">
        <v>13</v>
      </c>
    </row>
    <row r="1483" spans="1:15">
      <c r="A1483" s="1246" t="s">
        <v>683</v>
      </c>
      <c r="B1483" s="1246" t="s">
        <v>433</v>
      </c>
      <c r="C1483" s="1247">
        <v>20</v>
      </c>
      <c r="E1483" s="1246" t="s">
        <v>1494</v>
      </c>
      <c r="F1483" s="1248">
        <v>1</v>
      </c>
      <c r="G1483" s="1248">
        <v>0</v>
      </c>
      <c r="H1483" s="1249">
        <v>0</v>
      </c>
      <c r="J1483" s="1246" t="s">
        <v>1444</v>
      </c>
      <c r="K1483" s="1284" t="str">
        <f t="shared" si="23"/>
        <v>21</v>
      </c>
      <c r="L1483" s="1246" t="s">
        <v>1550</v>
      </c>
      <c r="M1483" s="1250">
        <v>8</v>
      </c>
      <c r="N1483" s="1251">
        <v>3</v>
      </c>
      <c r="O1483" s="1252">
        <v>3</v>
      </c>
    </row>
    <row r="1484" spans="1:15">
      <c r="A1484" s="1246" t="s">
        <v>683</v>
      </c>
      <c r="B1484" s="1246" t="s">
        <v>433</v>
      </c>
      <c r="C1484" s="1247">
        <v>20</v>
      </c>
      <c r="E1484" s="1246" t="s">
        <v>1549</v>
      </c>
      <c r="F1484" s="1248">
        <v>1</v>
      </c>
      <c r="G1484" s="1248">
        <v>0</v>
      </c>
      <c r="H1484" s="1249">
        <v>0</v>
      </c>
      <c r="J1484" s="1246" t="s">
        <v>1444</v>
      </c>
      <c r="K1484" s="1284" t="str">
        <f t="shared" si="23"/>
        <v>21</v>
      </c>
      <c r="L1484" s="1246" t="s">
        <v>1550</v>
      </c>
      <c r="M1484" s="1250">
        <v>8</v>
      </c>
      <c r="N1484" s="1251">
        <v>2</v>
      </c>
      <c r="O1484" s="1252">
        <v>2</v>
      </c>
    </row>
    <row r="1485" spans="1:15">
      <c r="A1485" s="1246" t="s">
        <v>683</v>
      </c>
      <c r="B1485" s="1246" t="s">
        <v>433</v>
      </c>
      <c r="C1485" s="1247">
        <v>20</v>
      </c>
      <c r="D1485" s="1246" t="s">
        <v>1412</v>
      </c>
      <c r="E1485" s="1246" t="s">
        <v>279</v>
      </c>
      <c r="F1485" s="1248">
        <v>1</v>
      </c>
      <c r="G1485" s="1248">
        <v>0</v>
      </c>
      <c r="H1485" s="1249">
        <v>0</v>
      </c>
      <c r="J1485" s="1246" t="s">
        <v>1444</v>
      </c>
      <c r="K1485" s="1284" t="str">
        <f t="shared" si="23"/>
        <v>21</v>
      </c>
      <c r="L1485" s="1246" t="s">
        <v>1550</v>
      </c>
      <c r="M1485" s="1250">
        <v>8</v>
      </c>
      <c r="N1485" s="1251">
        <v>1</v>
      </c>
      <c r="O1485" s="1252">
        <v>1</v>
      </c>
    </row>
    <row r="1486" spans="1:15">
      <c r="A1486" s="1246" t="s">
        <v>683</v>
      </c>
      <c r="B1486" s="1246" t="s">
        <v>433</v>
      </c>
      <c r="C1486" s="1247">
        <v>20</v>
      </c>
      <c r="D1486" s="1246" t="s">
        <v>1412</v>
      </c>
      <c r="E1486" s="1246" t="s">
        <v>1494</v>
      </c>
      <c r="F1486" s="1248">
        <v>1</v>
      </c>
      <c r="G1486" s="1248">
        <v>0</v>
      </c>
      <c r="H1486" s="1249">
        <v>0</v>
      </c>
      <c r="J1486" s="1246" t="s">
        <v>1444</v>
      </c>
      <c r="K1486" s="1284" t="str">
        <f t="shared" si="23"/>
        <v>21</v>
      </c>
      <c r="L1486" s="1246" t="s">
        <v>1550</v>
      </c>
      <c r="M1486" s="1250">
        <v>8</v>
      </c>
      <c r="N1486" s="1251">
        <v>1</v>
      </c>
      <c r="O1486" s="1252">
        <v>1</v>
      </c>
    </row>
    <row r="1487" spans="1:15">
      <c r="A1487" s="1246" t="s">
        <v>1493</v>
      </c>
      <c r="B1487" s="1246" t="s">
        <v>433</v>
      </c>
      <c r="C1487" s="1247">
        <v>20</v>
      </c>
      <c r="E1487" s="1246" t="s">
        <v>370</v>
      </c>
      <c r="F1487" s="1248">
        <v>1</v>
      </c>
      <c r="G1487" s="1248">
        <v>0</v>
      </c>
      <c r="H1487" s="1249">
        <v>0</v>
      </c>
      <c r="J1487" s="1246" t="s">
        <v>1449</v>
      </c>
      <c r="K1487" s="1284" t="str">
        <f t="shared" si="23"/>
        <v>26</v>
      </c>
      <c r="L1487" s="1246" t="s">
        <v>1557</v>
      </c>
      <c r="M1487" s="1250">
        <v>8</v>
      </c>
      <c r="N1487" s="1251">
        <v>1</v>
      </c>
      <c r="O1487" s="1252">
        <v>1</v>
      </c>
    </row>
    <row r="1488" spans="1:15">
      <c r="A1488" s="1246" t="s">
        <v>1493</v>
      </c>
      <c r="B1488" s="1246" t="s">
        <v>433</v>
      </c>
      <c r="C1488" s="1247">
        <v>20</v>
      </c>
      <c r="E1488" s="1246" t="s">
        <v>1535</v>
      </c>
      <c r="F1488" s="1248">
        <v>1</v>
      </c>
      <c r="G1488" s="1248">
        <v>0</v>
      </c>
      <c r="H1488" s="1249">
        <v>0</v>
      </c>
      <c r="J1488" s="1246" t="s">
        <v>1398</v>
      </c>
      <c r="K1488" s="1284" t="str">
        <f t="shared" si="23"/>
        <v>20</v>
      </c>
      <c r="L1488" s="1246" t="s">
        <v>1552</v>
      </c>
      <c r="M1488" s="1250">
        <v>8</v>
      </c>
      <c r="N1488" s="1251">
        <v>1</v>
      </c>
      <c r="O1488" s="1252">
        <v>1</v>
      </c>
    </row>
    <row r="1489" spans="1:15">
      <c r="A1489" s="1246" t="s">
        <v>683</v>
      </c>
      <c r="B1489" s="1246" t="s">
        <v>433</v>
      </c>
      <c r="C1489" s="1247">
        <v>20</v>
      </c>
      <c r="E1489" s="1246" t="s">
        <v>1547</v>
      </c>
      <c r="F1489" s="1248">
        <v>1</v>
      </c>
      <c r="G1489" s="1248">
        <v>0</v>
      </c>
      <c r="H1489" s="1249">
        <v>0</v>
      </c>
      <c r="J1489" s="1246" t="s">
        <v>1398</v>
      </c>
      <c r="K1489" s="1284" t="str">
        <f t="shared" si="23"/>
        <v>20</v>
      </c>
      <c r="L1489" s="1246" t="s">
        <v>1552</v>
      </c>
      <c r="M1489" s="1250">
        <v>8</v>
      </c>
      <c r="N1489" s="1251">
        <v>3</v>
      </c>
      <c r="O1489" s="1252">
        <v>3</v>
      </c>
    </row>
    <row r="1490" spans="1:15">
      <c r="A1490" s="1246" t="s">
        <v>683</v>
      </c>
      <c r="B1490" s="1246" t="s">
        <v>433</v>
      </c>
      <c r="C1490" s="1247">
        <v>20</v>
      </c>
      <c r="E1490" s="1246" t="s">
        <v>1547</v>
      </c>
      <c r="F1490" s="1248">
        <v>1</v>
      </c>
      <c r="G1490" s="1248">
        <v>0</v>
      </c>
      <c r="H1490" s="1249">
        <v>0</v>
      </c>
      <c r="J1490" s="1246" t="s">
        <v>1398</v>
      </c>
      <c r="K1490" s="1284" t="str">
        <f t="shared" si="23"/>
        <v>20</v>
      </c>
      <c r="L1490" s="1246" t="s">
        <v>1548</v>
      </c>
      <c r="M1490" s="1250">
        <v>8</v>
      </c>
      <c r="N1490" s="1251">
        <v>2</v>
      </c>
      <c r="O1490" s="1252">
        <v>2</v>
      </c>
    </row>
    <row r="1491" spans="1:15">
      <c r="A1491" s="1246" t="s">
        <v>683</v>
      </c>
      <c r="B1491" s="1246" t="s">
        <v>433</v>
      </c>
      <c r="C1491" s="1247">
        <v>20</v>
      </c>
      <c r="E1491" s="1246" t="s">
        <v>1547</v>
      </c>
      <c r="F1491" s="1248">
        <v>1</v>
      </c>
      <c r="G1491" s="1248">
        <v>0</v>
      </c>
      <c r="H1491" s="1249">
        <v>0</v>
      </c>
      <c r="J1491" s="1246" t="s">
        <v>1446</v>
      </c>
      <c r="K1491" s="1284" t="str">
        <f t="shared" si="23"/>
        <v>23</v>
      </c>
      <c r="L1491" s="1246" t="s">
        <v>1556</v>
      </c>
      <c r="M1491" s="1250">
        <v>8</v>
      </c>
      <c r="N1491" s="1251">
        <v>1</v>
      </c>
      <c r="O1491" s="1252">
        <v>1</v>
      </c>
    </row>
    <row r="1492" spans="1:15">
      <c r="A1492" s="1246" t="s">
        <v>683</v>
      </c>
      <c r="B1492" s="1246" t="s">
        <v>433</v>
      </c>
      <c r="C1492" s="1247">
        <v>20</v>
      </c>
      <c r="E1492" s="1246" t="s">
        <v>1547</v>
      </c>
      <c r="F1492" s="1248">
        <v>1</v>
      </c>
      <c r="G1492" s="1248">
        <v>0</v>
      </c>
      <c r="H1492" s="1249">
        <v>0</v>
      </c>
      <c r="J1492" s="1246" t="s">
        <v>1447</v>
      </c>
      <c r="K1492" s="1284" t="str">
        <f t="shared" si="23"/>
        <v>24</v>
      </c>
      <c r="L1492" s="1246" t="s">
        <v>1546</v>
      </c>
      <c r="M1492" s="1250">
        <v>8</v>
      </c>
      <c r="N1492" s="1251">
        <v>5</v>
      </c>
      <c r="O1492" s="1252">
        <v>5</v>
      </c>
    </row>
    <row r="1493" spans="1:15">
      <c r="A1493" s="1246" t="s">
        <v>683</v>
      </c>
      <c r="B1493" s="1246" t="s">
        <v>433</v>
      </c>
      <c r="C1493" s="1247">
        <v>20</v>
      </c>
      <c r="E1493" s="1246" t="s">
        <v>1547</v>
      </c>
      <c r="F1493" s="1248">
        <v>1</v>
      </c>
      <c r="G1493" s="1248">
        <v>0</v>
      </c>
      <c r="H1493" s="1249">
        <v>0</v>
      </c>
      <c r="J1493" s="1246" t="s">
        <v>1453</v>
      </c>
      <c r="K1493" s="1284" t="str">
        <f t="shared" si="23"/>
        <v>2D</v>
      </c>
      <c r="L1493" s="1246" t="s">
        <v>1553</v>
      </c>
      <c r="M1493" s="1250">
        <v>1</v>
      </c>
      <c r="N1493" s="1251">
        <v>1</v>
      </c>
      <c r="O1493" s="1252">
        <v>1</v>
      </c>
    </row>
    <row r="1494" spans="1:15">
      <c r="A1494" s="1246" t="s">
        <v>683</v>
      </c>
      <c r="B1494" s="1246" t="s">
        <v>433</v>
      </c>
      <c r="C1494" s="1247">
        <v>20</v>
      </c>
      <c r="D1494" s="1246" t="s">
        <v>1412</v>
      </c>
      <c r="E1494" s="1246" t="s">
        <v>1494</v>
      </c>
      <c r="F1494" s="1248">
        <v>1</v>
      </c>
      <c r="G1494" s="1248">
        <v>0</v>
      </c>
      <c r="H1494" s="1249">
        <v>0</v>
      </c>
      <c r="J1494" s="1246" t="s">
        <v>1466</v>
      </c>
      <c r="K1494" s="1284" t="str">
        <f t="shared" si="23"/>
        <v>75</v>
      </c>
      <c r="L1494" s="1246" t="s">
        <v>1530</v>
      </c>
      <c r="M1494" s="1250">
        <v>9</v>
      </c>
      <c r="N1494" s="1251">
        <v>1</v>
      </c>
      <c r="O1494" s="1252">
        <v>1</v>
      </c>
    </row>
    <row r="1495" spans="1:15">
      <c r="A1495" s="1246" t="s">
        <v>683</v>
      </c>
      <c r="B1495" s="1246" t="s">
        <v>433</v>
      </c>
      <c r="C1495" s="1247">
        <v>20</v>
      </c>
      <c r="E1495" s="1246" t="s">
        <v>1535</v>
      </c>
      <c r="F1495" s="1248">
        <v>1</v>
      </c>
      <c r="G1495" s="1248">
        <v>0</v>
      </c>
      <c r="H1495" s="1249">
        <v>0</v>
      </c>
      <c r="J1495" s="1246" t="s">
        <v>1448</v>
      </c>
      <c r="K1495" s="1284" t="str">
        <f t="shared" si="23"/>
        <v>25</v>
      </c>
      <c r="L1495" s="1246" t="s">
        <v>1530</v>
      </c>
      <c r="M1495" s="1250">
        <v>9</v>
      </c>
      <c r="N1495" s="1251">
        <v>1</v>
      </c>
      <c r="O1495" s="1252">
        <v>1</v>
      </c>
    </row>
    <row r="1496" spans="1:15">
      <c r="A1496" s="1246" t="s">
        <v>683</v>
      </c>
      <c r="B1496" s="1246" t="s">
        <v>433</v>
      </c>
      <c r="C1496" s="1247">
        <v>20</v>
      </c>
      <c r="D1496" s="1246" t="s">
        <v>1412</v>
      </c>
      <c r="E1496" s="1246" t="s">
        <v>1494</v>
      </c>
      <c r="F1496" s="1248">
        <v>1</v>
      </c>
      <c r="G1496" s="1248">
        <v>1</v>
      </c>
      <c r="H1496" s="1249">
        <v>1</v>
      </c>
      <c r="I1496" s="1246" t="s">
        <v>1491</v>
      </c>
      <c r="J1496" s="1246" t="s">
        <v>1444</v>
      </c>
      <c r="K1496" s="1284" t="str">
        <f t="shared" si="23"/>
        <v>21</v>
      </c>
      <c r="L1496" s="1246" t="s">
        <v>1550</v>
      </c>
      <c r="M1496" s="1250">
        <v>8</v>
      </c>
      <c r="N1496" s="1251">
        <v>1</v>
      </c>
      <c r="O1496" s="1252">
        <v>1</v>
      </c>
    </row>
    <row r="1497" spans="1:15">
      <c r="A1497" s="1246" t="s">
        <v>683</v>
      </c>
      <c r="B1497" s="1246" t="s">
        <v>433</v>
      </c>
      <c r="C1497" s="1247">
        <v>25</v>
      </c>
      <c r="D1497" s="1246" t="s">
        <v>1412</v>
      </c>
      <c r="E1497" s="1246" t="s">
        <v>279</v>
      </c>
      <c r="F1497" s="1248">
        <v>1</v>
      </c>
      <c r="G1497" s="1248">
        <v>0</v>
      </c>
      <c r="H1497" s="1249">
        <v>0</v>
      </c>
      <c r="J1497" s="1246" t="s">
        <v>1444</v>
      </c>
      <c r="K1497" s="1284" t="str">
        <f t="shared" si="23"/>
        <v>21</v>
      </c>
      <c r="L1497" s="1246" t="s">
        <v>1550</v>
      </c>
      <c r="M1497" s="1250">
        <v>8</v>
      </c>
      <c r="N1497" s="1251">
        <v>1</v>
      </c>
      <c r="O1497" s="1252">
        <v>1</v>
      </c>
    </row>
    <row r="1498" spans="1:15">
      <c r="A1498" s="1246" t="s">
        <v>683</v>
      </c>
      <c r="B1498" s="1246" t="s">
        <v>433</v>
      </c>
      <c r="C1498" s="1247">
        <v>25</v>
      </c>
      <c r="E1498" s="1246" t="s">
        <v>377</v>
      </c>
      <c r="F1498" s="1248">
        <v>1</v>
      </c>
      <c r="G1498" s="1248">
        <v>0</v>
      </c>
      <c r="H1498" s="1249">
        <v>0</v>
      </c>
      <c r="J1498" s="1246" t="s">
        <v>1444</v>
      </c>
      <c r="K1498" s="1284" t="str">
        <f t="shared" si="23"/>
        <v>21</v>
      </c>
      <c r="L1498" s="1246" t="s">
        <v>1550</v>
      </c>
      <c r="M1498" s="1250">
        <v>8</v>
      </c>
      <c r="N1498" s="1251">
        <v>1</v>
      </c>
      <c r="O1498" s="1252">
        <v>1</v>
      </c>
    </row>
    <row r="1499" spans="1:15">
      <c r="A1499" s="1246" t="s">
        <v>683</v>
      </c>
      <c r="B1499" s="1246" t="s">
        <v>433</v>
      </c>
      <c r="C1499" s="1247">
        <v>25</v>
      </c>
      <c r="E1499" s="1246" t="s">
        <v>1535</v>
      </c>
      <c r="F1499" s="1248">
        <v>1</v>
      </c>
      <c r="G1499" s="1248">
        <v>0</v>
      </c>
      <c r="H1499" s="1249">
        <v>0</v>
      </c>
      <c r="J1499" s="1246" t="s">
        <v>1444</v>
      </c>
      <c r="K1499" s="1284" t="str">
        <f t="shared" si="23"/>
        <v>21</v>
      </c>
      <c r="L1499" s="1246" t="s">
        <v>1550</v>
      </c>
      <c r="M1499" s="1250">
        <v>8</v>
      </c>
      <c r="N1499" s="1251">
        <v>4</v>
      </c>
      <c r="O1499" s="1252">
        <v>4</v>
      </c>
    </row>
    <row r="1500" spans="1:15">
      <c r="A1500" s="1246" t="s">
        <v>683</v>
      </c>
      <c r="B1500" s="1246" t="s">
        <v>433</v>
      </c>
      <c r="C1500" s="1247">
        <v>25</v>
      </c>
      <c r="E1500" s="1246" t="s">
        <v>1551</v>
      </c>
      <c r="F1500" s="1248">
        <v>1</v>
      </c>
      <c r="G1500" s="1248">
        <v>0</v>
      </c>
      <c r="H1500" s="1249">
        <v>0</v>
      </c>
      <c r="J1500" s="1246" t="s">
        <v>1444</v>
      </c>
      <c r="K1500" s="1284" t="str">
        <f t="shared" si="23"/>
        <v>21</v>
      </c>
      <c r="L1500" s="1246" t="s">
        <v>1550</v>
      </c>
      <c r="M1500" s="1250">
        <v>8</v>
      </c>
      <c r="N1500" s="1251">
        <v>2</v>
      </c>
      <c r="O1500" s="1252">
        <v>2</v>
      </c>
    </row>
    <row r="1501" spans="1:15">
      <c r="A1501" s="1246" t="s">
        <v>683</v>
      </c>
      <c r="B1501" s="1246" t="s">
        <v>433</v>
      </c>
      <c r="C1501" s="1247">
        <v>25</v>
      </c>
      <c r="E1501" s="1246" t="s">
        <v>1547</v>
      </c>
      <c r="F1501" s="1248">
        <v>1</v>
      </c>
      <c r="G1501" s="1248">
        <v>0</v>
      </c>
      <c r="H1501" s="1249">
        <v>0</v>
      </c>
      <c r="J1501" s="1246" t="s">
        <v>1444</v>
      </c>
      <c r="K1501" s="1284" t="str">
        <f t="shared" si="23"/>
        <v>21</v>
      </c>
      <c r="L1501" s="1246" t="s">
        <v>1550</v>
      </c>
      <c r="M1501" s="1250">
        <v>8</v>
      </c>
      <c r="N1501" s="1251">
        <v>8</v>
      </c>
      <c r="O1501" s="1252">
        <v>8</v>
      </c>
    </row>
    <row r="1502" spans="1:15">
      <c r="A1502" s="1246" t="s">
        <v>683</v>
      </c>
      <c r="B1502" s="1246" t="s">
        <v>433</v>
      </c>
      <c r="C1502" s="1247">
        <v>25</v>
      </c>
      <c r="E1502" s="1246" t="s">
        <v>1494</v>
      </c>
      <c r="F1502" s="1248">
        <v>1</v>
      </c>
      <c r="G1502" s="1248">
        <v>0</v>
      </c>
      <c r="H1502" s="1249">
        <v>0</v>
      </c>
      <c r="J1502" s="1246" t="s">
        <v>1444</v>
      </c>
      <c r="K1502" s="1284" t="str">
        <f t="shared" si="23"/>
        <v>21</v>
      </c>
      <c r="L1502" s="1246" t="s">
        <v>1550</v>
      </c>
      <c r="M1502" s="1250">
        <v>8</v>
      </c>
      <c r="N1502" s="1251">
        <v>1</v>
      </c>
      <c r="O1502" s="1252">
        <v>1</v>
      </c>
    </row>
    <row r="1503" spans="1:15">
      <c r="A1503" s="1246" t="s">
        <v>683</v>
      </c>
      <c r="B1503" s="1246" t="s">
        <v>433</v>
      </c>
      <c r="C1503" s="1247">
        <v>25</v>
      </c>
      <c r="D1503" s="1246" t="s">
        <v>1412</v>
      </c>
      <c r="E1503" s="1246" t="s">
        <v>368</v>
      </c>
      <c r="F1503" s="1248">
        <v>1</v>
      </c>
      <c r="G1503" s="1248">
        <v>0</v>
      </c>
      <c r="H1503" s="1249">
        <v>0</v>
      </c>
      <c r="J1503" s="1246" t="s">
        <v>1444</v>
      </c>
      <c r="K1503" s="1284" t="str">
        <f t="shared" si="23"/>
        <v>21</v>
      </c>
      <c r="L1503" s="1246" t="s">
        <v>1550</v>
      </c>
      <c r="M1503" s="1250">
        <v>8</v>
      </c>
      <c r="N1503" s="1251">
        <v>1</v>
      </c>
      <c r="O1503" s="1252">
        <v>1</v>
      </c>
    </row>
    <row r="1504" spans="1:15">
      <c r="A1504" s="1246" t="s">
        <v>683</v>
      </c>
      <c r="B1504" s="1246" t="s">
        <v>433</v>
      </c>
      <c r="C1504" s="1247">
        <v>25</v>
      </c>
      <c r="E1504" s="1246" t="s">
        <v>1547</v>
      </c>
      <c r="F1504" s="1248">
        <v>1</v>
      </c>
      <c r="G1504" s="1248">
        <v>0</v>
      </c>
      <c r="H1504" s="1249">
        <v>0</v>
      </c>
      <c r="J1504" s="1246" t="s">
        <v>1398</v>
      </c>
      <c r="K1504" s="1284" t="str">
        <f t="shared" si="23"/>
        <v>20</v>
      </c>
      <c r="L1504" s="1246" t="s">
        <v>1552</v>
      </c>
      <c r="M1504" s="1250">
        <v>8</v>
      </c>
      <c r="N1504" s="1251">
        <v>2</v>
      </c>
      <c r="O1504" s="1252">
        <v>2</v>
      </c>
    </row>
    <row r="1505" spans="1:15">
      <c r="A1505" s="1246" t="s">
        <v>683</v>
      </c>
      <c r="B1505" s="1246" t="s">
        <v>433</v>
      </c>
      <c r="C1505" s="1247">
        <v>25</v>
      </c>
      <c r="E1505" s="1246" t="s">
        <v>377</v>
      </c>
      <c r="F1505" s="1248">
        <v>1</v>
      </c>
      <c r="G1505" s="1248">
        <v>0</v>
      </c>
      <c r="H1505" s="1249">
        <v>0</v>
      </c>
      <c r="J1505" s="1246" t="s">
        <v>1398</v>
      </c>
      <c r="K1505" s="1284" t="str">
        <f t="shared" si="23"/>
        <v>20</v>
      </c>
      <c r="L1505" s="1246" t="s">
        <v>1552</v>
      </c>
      <c r="M1505" s="1250">
        <v>8</v>
      </c>
      <c r="N1505" s="1251">
        <v>1</v>
      </c>
      <c r="O1505" s="1252">
        <v>1</v>
      </c>
    </row>
    <row r="1506" spans="1:15">
      <c r="A1506" s="1246" t="s">
        <v>683</v>
      </c>
      <c r="B1506" s="1246" t="s">
        <v>433</v>
      </c>
      <c r="C1506" s="1247">
        <v>25</v>
      </c>
      <c r="E1506" s="1246" t="s">
        <v>1551</v>
      </c>
      <c r="F1506" s="1248">
        <v>1</v>
      </c>
      <c r="G1506" s="1248">
        <v>0</v>
      </c>
      <c r="H1506" s="1249">
        <v>0</v>
      </c>
      <c r="J1506" s="1246" t="s">
        <v>1398</v>
      </c>
      <c r="K1506" s="1284" t="str">
        <f t="shared" si="23"/>
        <v>20</v>
      </c>
      <c r="L1506" s="1246" t="s">
        <v>1548</v>
      </c>
      <c r="M1506" s="1250">
        <v>8</v>
      </c>
      <c r="N1506" s="1251">
        <v>1</v>
      </c>
      <c r="O1506" s="1252">
        <v>1</v>
      </c>
    </row>
    <row r="1507" spans="1:15">
      <c r="A1507" s="1246" t="s">
        <v>683</v>
      </c>
      <c r="B1507" s="1246" t="s">
        <v>433</v>
      </c>
      <c r="C1507" s="1247">
        <v>25</v>
      </c>
      <c r="E1507" s="1246" t="s">
        <v>1547</v>
      </c>
      <c r="F1507" s="1248">
        <v>1</v>
      </c>
      <c r="G1507" s="1248">
        <v>0</v>
      </c>
      <c r="H1507" s="1249">
        <v>0</v>
      </c>
      <c r="J1507" s="1246" t="s">
        <v>1398</v>
      </c>
      <c r="K1507" s="1284" t="str">
        <f t="shared" si="23"/>
        <v>20</v>
      </c>
      <c r="L1507" s="1246" t="s">
        <v>1548</v>
      </c>
      <c r="M1507" s="1250">
        <v>8</v>
      </c>
      <c r="N1507" s="1251">
        <v>1</v>
      </c>
      <c r="O1507" s="1252">
        <v>1</v>
      </c>
    </row>
    <row r="1508" spans="1:15">
      <c r="A1508" s="1246" t="s">
        <v>683</v>
      </c>
      <c r="B1508" s="1246" t="s">
        <v>433</v>
      </c>
      <c r="C1508" s="1247">
        <v>25</v>
      </c>
      <c r="E1508" s="1246" t="s">
        <v>377</v>
      </c>
      <c r="F1508" s="1248">
        <v>1</v>
      </c>
      <c r="G1508" s="1248">
        <v>0</v>
      </c>
      <c r="H1508" s="1249">
        <v>0</v>
      </c>
      <c r="J1508" s="1246" t="s">
        <v>1398</v>
      </c>
      <c r="K1508" s="1284" t="str">
        <f t="shared" si="23"/>
        <v>20</v>
      </c>
      <c r="L1508" s="1246" t="s">
        <v>1548</v>
      </c>
      <c r="M1508" s="1250">
        <v>8</v>
      </c>
      <c r="N1508" s="1251">
        <v>1</v>
      </c>
      <c r="O1508" s="1252">
        <v>1</v>
      </c>
    </row>
    <row r="1509" spans="1:15">
      <c r="A1509" s="1246" t="s">
        <v>683</v>
      </c>
      <c r="B1509" s="1246" t="s">
        <v>433</v>
      </c>
      <c r="C1509" s="1247">
        <v>25</v>
      </c>
      <c r="E1509" s="1246" t="s">
        <v>1412</v>
      </c>
      <c r="F1509" s="1248">
        <v>1</v>
      </c>
      <c r="G1509" s="1248">
        <v>0</v>
      </c>
      <c r="H1509" s="1249">
        <v>0</v>
      </c>
      <c r="J1509" s="1246" t="s">
        <v>1447</v>
      </c>
      <c r="K1509" s="1284" t="str">
        <f t="shared" si="23"/>
        <v>24</v>
      </c>
      <c r="L1509" s="1246" t="s">
        <v>1546</v>
      </c>
      <c r="M1509" s="1250">
        <v>8</v>
      </c>
      <c r="N1509" s="1251">
        <v>1</v>
      </c>
      <c r="O1509" s="1252">
        <v>1</v>
      </c>
    </row>
    <row r="1510" spans="1:15">
      <c r="A1510" s="1246" t="s">
        <v>683</v>
      </c>
      <c r="B1510" s="1246" t="s">
        <v>433</v>
      </c>
      <c r="C1510" s="1247">
        <v>25</v>
      </c>
      <c r="E1510" s="1246" t="s">
        <v>1535</v>
      </c>
      <c r="F1510" s="1248">
        <v>1</v>
      </c>
      <c r="G1510" s="1248">
        <v>0</v>
      </c>
      <c r="H1510" s="1249">
        <v>0</v>
      </c>
      <c r="J1510" s="1246" t="s">
        <v>1447</v>
      </c>
      <c r="K1510" s="1284" t="str">
        <f t="shared" si="23"/>
        <v>24</v>
      </c>
      <c r="L1510" s="1246" t="s">
        <v>1546</v>
      </c>
      <c r="M1510" s="1250">
        <v>8</v>
      </c>
      <c r="N1510" s="1251">
        <v>1</v>
      </c>
      <c r="O1510" s="1252">
        <v>1</v>
      </c>
    </row>
    <row r="1511" spans="1:15">
      <c r="A1511" s="1246" t="s">
        <v>683</v>
      </c>
      <c r="B1511" s="1246" t="s">
        <v>433</v>
      </c>
      <c r="C1511" s="1247">
        <v>25</v>
      </c>
      <c r="E1511" s="1246" t="s">
        <v>1547</v>
      </c>
      <c r="F1511" s="1248">
        <v>1</v>
      </c>
      <c r="G1511" s="1248">
        <v>0</v>
      </c>
      <c r="H1511" s="1249">
        <v>0</v>
      </c>
      <c r="J1511" s="1246" t="s">
        <v>1447</v>
      </c>
      <c r="K1511" s="1284" t="str">
        <f t="shared" si="23"/>
        <v>24</v>
      </c>
      <c r="L1511" s="1246" t="s">
        <v>1546</v>
      </c>
      <c r="M1511" s="1250">
        <v>8</v>
      </c>
      <c r="N1511" s="1251">
        <v>3</v>
      </c>
      <c r="O1511" s="1252">
        <v>3</v>
      </c>
    </row>
    <row r="1512" spans="1:15">
      <c r="A1512" s="1246" t="s">
        <v>683</v>
      </c>
      <c r="B1512" s="1246" t="s">
        <v>433</v>
      </c>
      <c r="C1512" s="1247">
        <v>25</v>
      </c>
      <c r="E1512" s="1246" t="s">
        <v>1535</v>
      </c>
      <c r="F1512" s="1248">
        <v>1</v>
      </c>
      <c r="G1512" s="1248">
        <v>0</v>
      </c>
      <c r="H1512" s="1249">
        <v>0</v>
      </c>
      <c r="J1512" s="1246" t="s">
        <v>1444</v>
      </c>
      <c r="K1512" s="1284" t="str">
        <f t="shared" si="23"/>
        <v>21</v>
      </c>
      <c r="L1512" s="1246" t="s">
        <v>1495</v>
      </c>
      <c r="M1512" s="1250">
        <v>9</v>
      </c>
      <c r="N1512" s="1251">
        <v>1</v>
      </c>
      <c r="O1512" s="1252">
        <v>1</v>
      </c>
    </row>
    <row r="1513" spans="1:15">
      <c r="A1513" s="1246" t="s">
        <v>683</v>
      </c>
      <c r="B1513" s="1246" t="s">
        <v>433</v>
      </c>
      <c r="C1513" s="1247">
        <v>25</v>
      </c>
      <c r="E1513" s="1246" t="s">
        <v>1412</v>
      </c>
      <c r="F1513" s="1248">
        <v>1</v>
      </c>
      <c r="G1513" s="1248">
        <v>1</v>
      </c>
      <c r="H1513" s="1249">
        <v>1</v>
      </c>
      <c r="I1513" s="1246" t="s">
        <v>1491</v>
      </c>
      <c r="J1513" s="1246" t="s">
        <v>1444</v>
      </c>
      <c r="K1513" s="1284" t="str">
        <f t="shared" si="23"/>
        <v>21</v>
      </c>
      <c r="L1513" s="1246" t="s">
        <v>1550</v>
      </c>
      <c r="M1513" s="1250">
        <v>8</v>
      </c>
      <c r="N1513" s="1251">
        <v>1</v>
      </c>
      <c r="O1513" s="1252">
        <v>1</v>
      </c>
    </row>
    <row r="1514" spans="1:15">
      <c r="A1514" s="1246" t="s">
        <v>683</v>
      </c>
      <c r="B1514" s="1246" t="s">
        <v>433</v>
      </c>
      <c r="C1514" s="1247">
        <v>25</v>
      </c>
      <c r="E1514" s="1246" t="s">
        <v>1494</v>
      </c>
      <c r="F1514" s="1248">
        <v>1</v>
      </c>
      <c r="G1514" s="1248">
        <v>1</v>
      </c>
      <c r="H1514" s="1249">
        <v>1</v>
      </c>
      <c r="I1514" s="1246" t="s">
        <v>1491</v>
      </c>
      <c r="J1514" s="1246" t="s">
        <v>1444</v>
      </c>
      <c r="K1514" s="1284" t="str">
        <f t="shared" si="23"/>
        <v>21</v>
      </c>
      <c r="L1514" s="1246" t="s">
        <v>1550</v>
      </c>
      <c r="M1514" s="1250">
        <v>8</v>
      </c>
      <c r="N1514" s="1251">
        <v>1</v>
      </c>
      <c r="O1514" s="1252">
        <v>1</v>
      </c>
    </row>
    <row r="1515" spans="1:15">
      <c r="A1515" s="1246" t="s">
        <v>683</v>
      </c>
      <c r="B1515" s="1246" t="s">
        <v>433</v>
      </c>
      <c r="C1515" s="1247">
        <v>25</v>
      </c>
      <c r="D1515" s="1246" t="s">
        <v>1412</v>
      </c>
      <c r="E1515" s="1246" t="s">
        <v>1494</v>
      </c>
      <c r="F1515" s="1248">
        <v>1</v>
      </c>
      <c r="G1515" s="1248">
        <v>1</v>
      </c>
      <c r="H1515" s="1249">
        <v>1</v>
      </c>
      <c r="I1515" s="1246" t="s">
        <v>1491</v>
      </c>
      <c r="J1515" s="1246" t="s">
        <v>1444</v>
      </c>
      <c r="K1515" s="1284" t="str">
        <f t="shared" si="23"/>
        <v>21</v>
      </c>
      <c r="L1515" s="1246" t="s">
        <v>1550</v>
      </c>
      <c r="M1515" s="1250">
        <v>8</v>
      </c>
      <c r="N1515" s="1251">
        <v>2</v>
      </c>
      <c r="O1515" s="1252">
        <v>2</v>
      </c>
    </row>
    <row r="1516" spans="1:15">
      <c r="A1516" s="1246" t="s">
        <v>683</v>
      </c>
      <c r="B1516" s="1246" t="s">
        <v>433</v>
      </c>
      <c r="C1516" s="1247">
        <v>25</v>
      </c>
      <c r="D1516" s="1246" t="s">
        <v>1412</v>
      </c>
      <c r="E1516" s="1246" t="s">
        <v>1412</v>
      </c>
      <c r="F1516" s="1248">
        <v>1</v>
      </c>
      <c r="G1516" s="1248">
        <v>1</v>
      </c>
      <c r="H1516" s="1249">
        <v>1</v>
      </c>
      <c r="I1516" s="1246" t="s">
        <v>1491</v>
      </c>
      <c r="J1516" s="1246" t="s">
        <v>1451</v>
      </c>
      <c r="K1516" s="1284" t="str">
        <f t="shared" si="23"/>
        <v>20</v>
      </c>
      <c r="L1516" s="1246" t="s">
        <v>1534</v>
      </c>
      <c r="M1516" s="1250">
        <v>4</v>
      </c>
      <c r="N1516" s="1251">
        <v>1</v>
      </c>
      <c r="O1516" s="1252">
        <v>1</v>
      </c>
    </row>
    <row r="1517" spans="1:15">
      <c r="A1517" s="1246" t="s">
        <v>683</v>
      </c>
      <c r="B1517" s="1246" t="s">
        <v>433</v>
      </c>
      <c r="C1517" s="1247">
        <v>25</v>
      </c>
      <c r="D1517" s="1246" t="s">
        <v>1412</v>
      </c>
      <c r="E1517" s="1246" t="s">
        <v>376</v>
      </c>
      <c r="F1517" s="1248">
        <v>1</v>
      </c>
      <c r="G1517" s="1248">
        <v>1</v>
      </c>
      <c r="H1517" s="1249">
        <v>1</v>
      </c>
      <c r="I1517" s="1246" t="s">
        <v>1491</v>
      </c>
      <c r="J1517" s="1246" t="s">
        <v>1444</v>
      </c>
      <c r="K1517" s="1284" t="str">
        <f t="shared" si="23"/>
        <v>21</v>
      </c>
      <c r="L1517" s="1246" t="s">
        <v>1496</v>
      </c>
      <c r="M1517" s="1250">
        <v>9</v>
      </c>
      <c r="N1517" s="1251">
        <v>1</v>
      </c>
      <c r="O1517" s="1252">
        <v>1</v>
      </c>
    </row>
    <row r="1518" spans="1:15">
      <c r="A1518" s="1246" t="s">
        <v>683</v>
      </c>
      <c r="B1518" s="1246" t="s">
        <v>433</v>
      </c>
      <c r="C1518" s="1247">
        <v>25</v>
      </c>
      <c r="E1518" s="1246" t="s">
        <v>1535</v>
      </c>
      <c r="F1518" s="1248">
        <v>1</v>
      </c>
      <c r="G1518" s="1248">
        <v>2</v>
      </c>
      <c r="H1518" s="1249">
        <v>1</v>
      </c>
      <c r="I1518" s="1246" t="s">
        <v>1491</v>
      </c>
      <c r="J1518" s="1246" t="s">
        <v>1446</v>
      </c>
      <c r="K1518" s="1284" t="str">
        <f t="shared" si="23"/>
        <v>23</v>
      </c>
      <c r="L1518" s="1246" t="s">
        <v>1556</v>
      </c>
      <c r="M1518" s="1250">
        <v>8</v>
      </c>
      <c r="N1518" s="1251">
        <v>1</v>
      </c>
      <c r="O1518" s="1252">
        <v>1</v>
      </c>
    </row>
    <row r="1519" spans="1:15">
      <c r="A1519" s="1246" t="s">
        <v>683</v>
      </c>
      <c r="B1519" s="1246" t="s">
        <v>433</v>
      </c>
      <c r="C1519" s="1247">
        <v>25</v>
      </c>
      <c r="D1519" s="1246" t="s">
        <v>1412</v>
      </c>
      <c r="E1519" s="1246" t="s">
        <v>1494</v>
      </c>
      <c r="F1519" s="1248">
        <v>1</v>
      </c>
      <c r="G1519" s="1248">
        <v>3</v>
      </c>
      <c r="H1519" s="1249">
        <v>2</v>
      </c>
      <c r="I1519" s="1246" t="s">
        <v>1491</v>
      </c>
      <c r="J1519" s="1246" t="s">
        <v>1444</v>
      </c>
      <c r="K1519" s="1284" t="str">
        <f t="shared" si="23"/>
        <v>21</v>
      </c>
      <c r="L1519" s="1246" t="s">
        <v>1550</v>
      </c>
      <c r="M1519" s="1250">
        <v>8</v>
      </c>
      <c r="N1519" s="1251">
        <v>1</v>
      </c>
      <c r="O1519" s="1252">
        <v>1</v>
      </c>
    </row>
    <row r="1520" spans="1:15">
      <c r="A1520" s="1246" t="s">
        <v>683</v>
      </c>
      <c r="B1520" s="1246" t="s">
        <v>433</v>
      </c>
      <c r="C1520" s="1247">
        <v>25</v>
      </c>
      <c r="E1520" s="1246" t="s">
        <v>1535</v>
      </c>
      <c r="F1520" s="1248">
        <v>2</v>
      </c>
      <c r="G1520" s="1248">
        <v>0</v>
      </c>
      <c r="H1520" s="1249">
        <v>0</v>
      </c>
      <c r="J1520" s="1246" t="s">
        <v>1444</v>
      </c>
      <c r="K1520" s="1284" t="str">
        <f t="shared" si="23"/>
        <v>21</v>
      </c>
      <c r="L1520" s="1246" t="s">
        <v>1550</v>
      </c>
      <c r="M1520" s="1250">
        <v>8</v>
      </c>
      <c r="N1520" s="1251">
        <v>4</v>
      </c>
      <c r="O1520" s="1252">
        <v>2</v>
      </c>
    </row>
    <row r="1521" spans="1:15">
      <c r="A1521" s="1246" t="s">
        <v>683</v>
      </c>
      <c r="B1521" s="1246" t="s">
        <v>433</v>
      </c>
      <c r="C1521" s="1247">
        <v>30</v>
      </c>
      <c r="E1521" s="1246" t="s">
        <v>368</v>
      </c>
      <c r="F1521" s="1248">
        <v>1</v>
      </c>
      <c r="G1521" s="1248">
        <v>0</v>
      </c>
      <c r="H1521" s="1249">
        <v>0</v>
      </c>
      <c r="J1521" s="1246" t="s">
        <v>1398</v>
      </c>
      <c r="K1521" s="1284" t="str">
        <f t="shared" si="23"/>
        <v>20</v>
      </c>
      <c r="L1521" s="1246" t="s">
        <v>1558</v>
      </c>
      <c r="M1521" s="1250">
        <v>8</v>
      </c>
      <c r="N1521" s="1251">
        <v>2</v>
      </c>
      <c r="O1521" s="1252">
        <v>2</v>
      </c>
    </row>
    <row r="1522" spans="1:15">
      <c r="A1522" s="1246" t="s">
        <v>683</v>
      </c>
      <c r="B1522" s="1246" t="s">
        <v>433</v>
      </c>
      <c r="C1522" s="1247">
        <v>30</v>
      </c>
      <c r="D1522" s="1246" t="s">
        <v>1412</v>
      </c>
      <c r="E1522" s="1246" t="s">
        <v>1412</v>
      </c>
      <c r="F1522" s="1248">
        <v>1</v>
      </c>
      <c r="G1522" s="1248">
        <v>0</v>
      </c>
      <c r="H1522" s="1249">
        <v>0</v>
      </c>
      <c r="J1522" s="1246" t="s">
        <v>1398</v>
      </c>
      <c r="K1522" s="1284" t="str">
        <f t="shared" si="23"/>
        <v>20</v>
      </c>
      <c r="L1522" s="1246" t="s">
        <v>1558</v>
      </c>
      <c r="M1522" s="1250">
        <v>8</v>
      </c>
      <c r="N1522" s="1251">
        <v>1</v>
      </c>
      <c r="O1522" s="1252">
        <v>1</v>
      </c>
    </row>
    <row r="1523" spans="1:15">
      <c r="A1523" s="1246" t="s">
        <v>683</v>
      </c>
      <c r="B1523" s="1246" t="s">
        <v>433</v>
      </c>
      <c r="C1523" s="1247">
        <v>30</v>
      </c>
      <c r="E1523" s="1246" t="s">
        <v>224</v>
      </c>
      <c r="F1523" s="1248">
        <v>1</v>
      </c>
      <c r="G1523" s="1248">
        <v>0</v>
      </c>
      <c r="H1523" s="1249">
        <v>0</v>
      </c>
      <c r="J1523" s="1246" t="s">
        <v>1398</v>
      </c>
      <c r="K1523" s="1284" t="str">
        <f t="shared" si="23"/>
        <v>20</v>
      </c>
      <c r="L1523" s="1246" t="s">
        <v>1558</v>
      </c>
      <c r="M1523" s="1250">
        <v>8</v>
      </c>
      <c r="N1523" s="1251">
        <v>3</v>
      </c>
      <c r="O1523" s="1252">
        <v>3</v>
      </c>
    </row>
    <row r="1524" spans="1:15">
      <c r="A1524" s="1246" t="s">
        <v>683</v>
      </c>
      <c r="B1524" s="1246" t="s">
        <v>433</v>
      </c>
      <c r="C1524" s="1247">
        <v>30</v>
      </c>
      <c r="D1524" s="1246" t="s">
        <v>1412</v>
      </c>
      <c r="E1524" s="1246" t="s">
        <v>1494</v>
      </c>
      <c r="F1524" s="1248">
        <v>1</v>
      </c>
      <c r="G1524" s="1248">
        <v>0</v>
      </c>
      <c r="H1524" s="1249">
        <v>0</v>
      </c>
      <c r="J1524" s="1246" t="s">
        <v>1445</v>
      </c>
      <c r="K1524" s="1284" t="str">
        <f t="shared" si="23"/>
        <v>22</v>
      </c>
      <c r="L1524" s="1246" t="s">
        <v>1559</v>
      </c>
      <c r="M1524" s="1250">
        <v>8</v>
      </c>
      <c r="N1524" s="1251">
        <v>1</v>
      </c>
      <c r="O1524" s="1252">
        <v>1</v>
      </c>
    </row>
    <row r="1525" spans="1:15">
      <c r="A1525" s="1246" t="s">
        <v>683</v>
      </c>
      <c r="B1525" s="1246" t="s">
        <v>433</v>
      </c>
      <c r="C1525" s="1247">
        <v>30</v>
      </c>
      <c r="D1525" s="1246" t="s">
        <v>1412</v>
      </c>
      <c r="E1525" s="1246" t="s">
        <v>1412</v>
      </c>
      <c r="F1525" s="1248">
        <v>1</v>
      </c>
      <c r="G1525" s="1248">
        <v>0</v>
      </c>
      <c r="H1525" s="1249">
        <v>0</v>
      </c>
      <c r="J1525" s="1246" t="s">
        <v>1444</v>
      </c>
      <c r="K1525" s="1284" t="str">
        <f t="shared" si="23"/>
        <v>21</v>
      </c>
      <c r="L1525" s="1246" t="s">
        <v>1550</v>
      </c>
      <c r="M1525" s="1250">
        <v>8</v>
      </c>
      <c r="N1525" s="1251">
        <v>2</v>
      </c>
      <c r="O1525" s="1252">
        <v>2</v>
      </c>
    </row>
    <row r="1526" spans="1:15">
      <c r="A1526" s="1246" t="s">
        <v>683</v>
      </c>
      <c r="B1526" s="1246" t="s">
        <v>433</v>
      </c>
      <c r="C1526" s="1247">
        <v>30</v>
      </c>
      <c r="D1526" s="1246" t="s">
        <v>1412</v>
      </c>
      <c r="E1526" s="1246" t="s">
        <v>1494</v>
      </c>
      <c r="F1526" s="1248">
        <v>1</v>
      </c>
      <c r="G1526" s="1248">
        <v>0</v>
      </c>
      <c r="H1526" s="1249">
        <v>0</v>
      </c>
      <c r="J1526" s="1246" t="s">
        <v>1444</v>
      </c>
      <c r="K1526" s="1284" t="str">
        <f t="shared" si="23"/>
        <v>21</v>
      </c>
      <c r="L1526" s="1246" t="s">
        <v>1550</v>
      </c>
      <c r="M1526" s="1250">
        <v>8</v>
      </c>
      <c r="N1526" s="1251">
        <v>1</v>
      </c>
      <c r="O1526" s="1252">
        <v>1</v>
      </c>
    </row>
    <row r="1527" spans="1:15">
      <c r="A1527" s="1246" t="s">
        <v>1493</v>
      </c>
      <c r="B1527" s="1246" t="s">
        <v>433</v>
      </c>
      <c r="C1527" s="1247">
        <v>30</v>
      </c>
      <c r="E1527" s="1246" t="s">
        <v>1547</v>
      </c>
      <c r="F1527" s="1248">
        <v>1</v>
      </c>
      <c r="G1527" s="1248">
        <v>0</v>
      </c>
      <c r="H1527" s="1249">
        <v>0</v>
      </c>
      <c r="J1527" s="1246" t="s">
        <v>1444</v>
      </c>
      <c r="K1527" s="1284" t="str">
        <f t="shared" si="23"/>
        <v>21</v>
      </c>
      <c r="L1527" s="1246" t="s">
        <v>1550</v>
      </c>
      <c r="M1527" s="1250">
        <v>8</v>
      </c>
      <c r="N1527" s="1251">
        <v>1</v>
      </c>
      <c r="O1527" s="1252">
        <v>1</v>
      </c>
    </row>
    <row r="1528" spans="1:15">
      <c r="A1528" s="1246" t="s">
        <v>1493</v>
      </c>
      <c r="B1528" s="1246" t="s">
        <v>433</v>
      </c>
      <c r="C1528" s="1247">
        <v>30</v>
      </c>
      <c r="D1528" s="1246" t="s">
        <v>1412</v>
      </c>
      <c r="E1528" s="1246" t="s">
        <v>368</v>
      </c>
      <c r="F1528" s="1248">
        <v>1</v>
      </c>
      <c r="G1528" s="1248">
        <v>0</v>
      </c>
      <c r="H1528" s="1249">
        <v>0</v>
      </c>
      <c r="J1528" s="1246" t="s">
        <v>1444</v>
      </c>
      <c r="K1528" s="1284" t="str">
        <f t="shared" si="23"/>
        <v>21</v>
      </c>
      <c r="L1528" s="1246" t="s">
        <v>1550</v>
      </c>
      <c r="M1528" s="1250">
        <v>8</v>
      </c>
      <c r="N1528" s="1251">
        <v>1</v>
      </c>
      <c r="O1528" s="1252">
        <v>1</v>
      </c>
    </row>
    <row r="1529" spans="1:15">
      <c r="A1529" s="1246" t="s">
        <v>683</v>
      </c>
      <c r="B1529" s="1246" t="s">
        <v>433</v>
      </c>
      <c r="C1529" s="1247">
        <v>30</v>
      </c>
      <c r="E1529" s="1246" t="s">
        <v>1547</v>
      </c>
      <c r="F1529" s="1248">
        <v>1</v>
      </c>
      <c r="G1529" s="1248">
        <v>0</v>
      </c>
      <c r="H1529" s="1249">
        <v>0</v>
      </c>
      <c r="J1529" s="1246" t="s">
        <v>1444</v>
      </c>
      <c r="K1529" s="1284" t="str">
        <f t="shared" si="23"/>
        <v>21</v>
      </c>
      <c r="L1529" s="1246" t="s">
        <v>1550</v>
      </c>
      <c r="M1529" s="1250">
        <v>8</v>
      </c>
      <c r="N1529" s="1251">
        <v>13</v>
      </c>
      <c r="O1529" s="1252">
        <v>13</v>
      </c>
    </row>
    <row r="1530" spans="1:15">
      <c r="A1530" s="1246" t="s">
        <v>683</v>
      </c>
      <c r="B1530" s="1246" t="s">
        <v>433</v>
      </c>
      <c r="C1530" s="1247">
        <v>30</v>
      </c>
      <c r="E1530" s="1246" t="s">
        <v>1547</v>
      </c>
      <c r="F1530" s="1248">
        <v>1</v>
      </c>
      <c r="G1530" s="1248">
        <v>0</v>
      </c>
      <c r="H1530" s="1249">
        <v>0</v>
      </c>
      <c r="J1530" s="1246" t="s">
        <v>1398</v>
      </c>
      <c r="K1530" s="1284" t="str">
        <f t="shared" si="23"/>
        <v>20</v>
      </c>
      <c r="L1530" s="1246" t="s">
        <v>1552</v>
      </c>
      <c r="M1530" s="1250">
        <v>8</v>
      </c>
      <c r="N1530" s="1251">
        <v>3</v>
      </c>
      <c r="O1530" s="1252">
        <v>3</v>
      </c>
    </row>
    <row r="1531" spans="1:15">
      <c r="A1531" s="1246" t="s">
        <v>683</v>
      </c>
      <c r="B1531" s="1246" t="s">
        <v>433</v>
      </c>
      <c r="C1531" s="1247">
        <v>30</v>
      </c>
      <c r="E1531" s="1246" t="s">
        <v>377</v>
      </c>
      <c r="F1531" s="1248">
        <v>1</v>
      </c>
      <c r="G1531" s="1248">
        <v>0</v>
      </c>
      <c r="H1531" s="1249">
        <v>0</v>
      </c>
      <c r="J1531" s="1246" t="s">
        <v>1398</v>
      </c>
      <c r="K1531" s="1284" t="str">
        <f t="shared" si="23"/>
        <v>20</v>
      </c>
      <c r="L1531" s="1246" t="s">
        <v>1548</v>
      </c>
      <c r="M1531" s="1250">
        <v>8</v>
      </c>
      <c r="N1531" s="1251">
        <v>1</v>
      </c>
      <c r="O1531" s="1252">
        <v>1</v>
      </c>
    </row>
    <row r="1532" spans="1:15">
      <c r="A1532" s="1246" t="s">
        <v>683</v>
      </c>
      <c r="B1532" s="1246" t="s">
        <v>433</v>
      </c>
      <c r="C1532" s="1247">
        <v>30</v>
      </c>
      <c r="E1532" s="1246" t="s">
        <v>1547</v>
      </c>
      <c r="F1532" s="1248">
        <v>1</v>
      </c>
      <c r="G1532" s="1248">
        <v>0</v>
      </c>
      <c r="H1532" s="1249">
        <v>0</v>
      </c>
      <c r="J1532" s="1246" t="s">
        <v>1398</v>
      </c>
      <c r="K1532" s="1284" t="str">
        <f t="shared" si="23"/>
        <v>20</v>
      </c>
      <c r="L1532" s="1246" t="s">
        <v>1548</v>
      </c>
      <c r="M1532" s="1250">
        <v>8</v>
      </c>
      <c r="N1532" s="1251">
        <v>2</v>
      </c>
      <c r="O1532" s="1252">
        <v>2</v>
      </c>
    </row>
    <row r="1533" spans="1:15">
      <c r="A1533" s="1246" t="s">
        <v>683</v>
      </c>
      <c r="B1533" s="1246" t="s">
        <v>433</v>
      </c>
      <c r="C1533" s="1247">
        <v>30</v>
      </c>
      <c r="E1533" s="1246" t="s">
        <v>1547</v>
      </c>
      <c r="F1533" s="1248">
        <v>1</v>
      </c>
      <c r="G1533" s="1248">
        <v>0</v>
      </c>
      <c r="H1533" s="1249">
        <v>0</v>
      </c>
      <c r="J1533" s="1246" t="s">
        <v>1446</v>
      </c>
      <c r="K1533" s="1284" t="str">
        <f t="shared" si="23"/>
        <v>23</v>
      </c>
      <c r="L1533" s="1246" t="s">
        <v>1556</v>
      </c>
      <c r="M1533" s="1250">
        <v>8</v>
      </c>
      <c r="N1533" s="1251">
        <v>2</v>
      </c>
      <c r="O1533" s="1252">
        <v>2</v>
      </c>
    </row>
    <row r="1534" spans="1:15">
      <c r="A1534" s="1246" t="s">
        <v>683</v>
      </c>
      <c r="B1534" s="1246" t="s">
        <v>433</v>
      </c>
      <c r="C1534" s="1247">
        <v>30</v>
      </c>
      <c r="D1534" s="1246" t="s">
        <v>1412</v>
      </c>
      <c r="E1534" s="1246" t="s">
        <v>1412</v>
      </c>
      <c r="F1534" s="1248">
        <v>1</v>
      </c>
      <c r="G1534" s="1248">
        <v>0</v>
      </c>
      <c r="H1534" s="1249">
        <v>0</v>
      </c>
      <c r="J1534" s="1246" t="s">
        <v>1447</v>
      </c>
      <c r="K1534" s="1284" t="str">
        <f t="shared" si="23"/>
        <v>24</v>
      </c>
      <c r="L1534" s="1246" t="s">
        <v>1546</v>
      </c>
      <c r="M1534" s="1250">
        <v>8</v>
      </c>
      <c r="N1534" s="1251">
        <v>1</v>
      </c>
      <c r="O1534" s="1252">
        <v>1</v>
      </c>
    </row>
    <row r="1535" spans="1:15">
      <c r="A1535" s="1246" t="s">
        <v>683</v>
      </c>
      <c r="B1535" s="1246" t="s">
        <v>433</v>
      </c>
      <c r="C1535" s="1247">
        <v>30</v>
      </c>
      <c r="E1535" s="1246" t="s">
        <v>1547</v>
      </c>
      <c r="F1535" s="1248">
        <v>1</v>
      </c>
      <c r="G1535" s="1248">
        <v>0</v>
      </c>
      <c r="H1535" s="1249">
        <v>0</v>
      </c>
      <c r="J1535" s="1246" t="s">
        <v>1447</v>
      </c>
      <c r="K1535" s="1284" t="str">
        <f t="shared" si="23"/>
        <v>24</v>
      </c>
      <c r="L1535" s="1246" t="s">
        <v>1546</v>
      </c>
      <c r="M1535" s="1250">
        <v>8</v>
      </c>
      <c r="N1535" s="1251">
        <v>7</v>
      </c>
      <c r="O1535" s="1252">
        <v>7</v>
      </c>
    </row>
    <row r="1536" spans="1:15">
      <c r="A1536" s="1246" t="s">
        <v>683</v>
      </c>
      <c r="B1536" s="1246" t="s">
        <v>433</v>
      </c>
      <c r="C1536" s="1247">
        <v>30</v>
      </c>
      <c r="E1536" s="1246" t="s">
        <v>1412</v>
      </c>
      <c r="F1536" s="1248">
        <v>1</v>
      </c>
      <c r="G1536" s="1248">
        <v>1</v>
      </c>
      <c r="H1536" s="1249">
        <v>1</v>
      </c>
      <c r="I1536" s="1246" t="s">
        <v>1491</v>
      </c>
      <c r="J1536" s="1246" t="s">
        <v>1444</v>
      </c>
      <c r="K1536" s="1284" t="str">
        <f t="shared" si="23"/>
        <v>21</v>
      </c>
      <c r="L1536" s="1246" t="s">
        <v>1550</v>
      </c>
      <c r="M1536" s="1250">
        <v>8</v>
      </c>
      <c r="N1536" s="1251">
        <v>1</v>
      </c>
      <c r="O1536" s="1252">
        <v>1</v>
      </c>
    </row>
    <row r="1537" spans="1:15">
      <c r="A1537" s="1246" t="s">
        <v>683</v>
      </c>
      <c r="B1537" s="1246" t="s">
        <v>433</v>
      </c>
      <c r="C1537" s="1247">
        <v>30</v>
      </c>
      <c r="E1537" s="1246" t="s">
        <v>1494</v>
      </c>
      <c r="F1537" s="1248">
        <v>1</v>
      </c>
      <c r="G1537" s="1248">
        <v>1</v>
      </c>
      <c r="H1537" s="1249">
        <v>1</v>
      </c>
      <c r="I1537" s="1246" t="s">
        <v>1491</v>
      </c>
      <c r="J1537" s="1246" t="s">
        <v>1444</v>
      </c>
      <c r="K1537" s="1284" t="str">
        <f t="shared" si="23"/>
        <v>21</v>
      </c>
      <c r="L1537" s="1246" t="s">
        <v>1550</v>
      </c>
      <c r="M1537" s="1250">
        <v>8</v>
      </c>
      <c r="N1537" s="1251">
        <v>1</v>
      </c>
      <c r="O1537" s="1252">
        <v>1</v>
      </c>
    </row>
    <row r="1538" spans="1:15">
      <c r="A1538" s="1246" t="s">
        <v>683</v>
      </c>
      <c r="B1538" s="1246" t="s">
        <v>433</v>
      </c>
      <c r="C1538" s="1247">
        <v>30</v>
      </c>
      <c r="D1538" s="1246" t="s">
        <v>1412</v>
      </c>
      <c r="E1538" s="1246" t="s">
        <v>1412</v>
      </c>
      <c r="F1538" s="1248">
        <v>1</v>
      </c>
      <c r="G1538" s="1248">
        <v>1</v>
      </c>
      <c r="H1538" s="1249">
        <v>2</v>
      </c>
      <c r="I1538" s="1246" t="s">
        <v>1491</v>
      </c>
      <c r="J1538" s="1246" t="s">
        <v>1450</v>
      </c>
      <c r="K1538" s="1284" t="str">
        <f t="shared" ref="K1538:K1601" si="24">IF(J1538="1B","10", IF(J1538="2B","20",IF(J1538="3B","30",IF(J1538="7B",70,J1538))))</f>
        <v>2A</v>
      </c>
      <c r="L1538" s="1246" t="s">
        <v>1545</v>
      </c>
      <c r="M1538" s="1250">
        <v>4</v>
      </c>
      <c r="N1538" s="1251">
        <v>1</v>
      </c>
      <c r="O1538" s="1252">
        <v>1</v>
      </c>
    </row>
    <row r="1539" spans="1:15">
      <c r="A1539" s="1246" t="s">
        <v>1493</v>
      </c>
      <c r="B1539" s="1246" t="s">
        <v>433</v>
      </c>
      <c r="C1539" s="1247">
        <v>30</v>
      </c>
      <c r="D1539" s="1246" t="s">
        <v>1412</v>
      </c>
      <c r="E1539" s="1246" t="s">
        <v>1412</v>
      </c>
      <c r="F1539" s="1248">
        <v>1</v>
      </c>
      <c r="G1539" s="1248">
        <v>1</v>
      </c>
      <c r="H1539" s="1249">
        <v>4</v>
      </c>
      <c r="I1539" s="1246" t="s">
        <v>1491</v>
      </c>
      <c r="J1539" s="1246" t="s">
        <v>1452</v>
      </c>
      <c r="K1539" s="1284" t="str">
        <f t="shared" si="24"/>
        <v>2C</v>
      </c>
      <c r="L1539" s="1246" t="s">
        <v>1502</v>
      </c>
      <c r="M1539" s="1250">
        <v>4</v>
      </c>
      <c r="N1539" s="1251">
        <v>1</v>
      </c>
      <c r="O1539" s="1252">
        <v>1</v>
      </c>
    </row>
    <row r="1540" spans="1:15">
      <c r="A1540" s="1246" t="s">
        <v>683</v>
      </c>
      <c r="B1540" s="1246" t="s">
        <v>433</v>
      </c>
      <c r="C1540" s="1247">
        <v>30</v>
      </c>
      <c r="E1540" s="1246" t="s">
        <v>368</v>
      </c>
      <c r="F1540" s="1248">
        <v>1</v>
      </c>
      <c r="G1540" s="1248">
        <v>2</v>
      </c>
      <c r="H1540" s="1249">
        <v>1</v>
      </c>
      <c r="I1540" s="1246" t="s">
        <v>1491</v>
      </c>
      <c r="J1540" s="1246" t="s">
        <v>1398</v>
      </c>
      <c r="K1540" s="1284" t="str">
        <f t="shared" si="24"/>
        <v>20</v>
      </c>
      <c r="L1540" s="1246" t="s">
        <v>1558</v>
      </c>
      <c r="M1540" s="1250">
        <v>8</v>
      </c>
      <c r="N1540" s="1251">
        <v>1</v>
      </c>
      <c r="O1540" s="1252">
        <v>1</v>
      </c>
    </row>
    <row r="1541" spans="1:15">
      <c r="A1541" s="1246" t="s">
        <v>683</v>
      </c>
      <c r="B1541" s="1246" t="s">
        <v>433</v>
      </c>
      <c r="C1541" s="1247">
        <v>30</v>
      </c>
      <c r="D1541" s="1246" t="s">
        <v>1412</v>
      </c>
      <c r="E1541" s="1246" t="s">
        <v>1412</v>
      </c>
      <c r="F1541" s="1248">
        <v>1</v>
      </c>
      <c r="G1541" s="1248">
        <v>2</v>
      </c>
      <c r="H1541" s="1249">
        <v>1</v>
      </c>
      <c r="I1541" s="1246" t="s">
        <v>1491</v>
      </c>
      <c r="J1541" s="1246" t="s">
        <v>1444</v>
      </c>
      <c r="K1541" s="1284" t="str">
        <f t="shared" si="24"/>
        <v>21</v>
      </c>
      <c r="L1541" s="1246" t="s">
        <v>1550</v>
      </c>
      <c r="M1541" s="1250">
        <v>8</v>
      </c>
      <c r="N1541" s="1251">
        <v>1</v>
      </c>
      <c r="O1541" s="1252">
        <v>1</v>
      </c>
    </row>
    <row r="1542" spans="1:15">
      <c r="A1542" s="1246" t="s">
        <v>683</v>
      </c>
      <c r="B1542" s="1246" t="s">
        <v>433</v>
      </c>
      <c r="C1542" s="1247">
        <v>30</v>
      </c>
      <c r="D1542" s="1246" t="s">
        <v>1412</v>
      </c>
      <c r="E1542" s="1246" t="s">
        <v>1494</v>
      </c>
      <c r="F1542" s="1248">
        <v>1</v>
      </c>
      <c r="G1542" s="1248">
        <v>2</v>
      </c>
      <c r="H1542" s="1249">
        <v>1</v>
      </c>
      <c r="I1542" s="1246" t="s">
        <v>1491</v>
      </c>
      <c r="J1542" s="1246" t="s">
        <v>1444</v>
      </c>
      <c r="K1542" s="1284" t="str">
        <f t="shared" si="24"/>
        <v>21</v>
      </c>
      <c r="L1542" s="1246" t="s">
        <v>1550</v>
      </c>
      <c r="M1542" s="1250">
        <v>8</v>
      </c>
      <c r="N1542" s="1251">
        <v>1</v>
      </c>
      <c r="O1542" s="1252">
        <v>1</v>
      </c>
    </row>
    <row r="1543" spans="1:15">
      <c r="A1543" s="1246" t="s">
        <v>683</v>
      </c>
      <c r="B1543" s="1246" t="s">
        <v>433</v>
      </c>
      <c r="C1543" s="1247">
        <v>30</v>
      </c>
      <c r="E1543" s="1246" t="s">
        <v>1547</v>
      </c>
      <c r="F1543" s="1248">
        <v>2</v>
      </c>
      <c r="G1543" s="1248">
        <v>0</v>
      </c>
      <c r="H1543" s="1249">
        <v>0</v>
      </c>
      <c r="J1543" s="1246" t="s">
        <v>1444</v>
      </c>
      <c r="K1543" s="1284" t="str">
        <f t="shared" si="24"/>
        <v>21</v>
      </c>
      <c r="L1543" s="1246" t="s">
        <v>1550</v>
      </c>
      <c r="M1543" s="1250">
        <v>8</v>
      </c>
      <c r="N1543" s="1251">
        <v>2</v>
      </c>
      <c r="O1543" s="1252">
        <v>1</v>
      </c>
    </row>
    <row r="1544" spans="1:15">
      <c r="A1544" s="1246" t="s">
        <v>683</v>
      </c>
      <c r="B1544" s="1246" t="s">
        <v>433</v>
      </c>
      <c r="C1544" s="1247">
        <v>30</v>
      </c>
      <c r="E1544" s="1246" t="s">
        <v>1547</v>
      </c>
      <c r="F1544" s="1248">
        <v>2</v>
      </c>
      <c r="G1544" s="1248">
        <v>0</v>
      </c>
      <c r="H1544" s="1249">
        <v>0</v>
      </c>
      <c r="J1544" s="1246" t="s">
        <v>1447</v>
      </c>
      <c r="K1544" s="1284" t="str">
        <f t="shared" si="24"/>
        <v>24</v>
      </c>
      <c r="L1544" s="1246" t="s">
        <v>1546</v>
      </c>
      <c r="M1544" s="1250">
        <v>8</v>
      </c>
      <c r="N1544" s="1251">
        <v>4</v>
      </c>
      <c r="O1544" s="1252">
        <v>2</v>
      </c>
    </row>
    <row r="1545" spans="1:15">
      <c r="A1545" s="1246" t="s">
        <v>683</v>
      </c>
      <c r="B1545" s="1246" t="s">
        <v>433</v>
      </c>
      <c r="C1545" s="1247">
        <v>40</v>
      </c>
      <c r="E1545" s="1246" t="s">
        <v>1547</v>
      </c>
      <c r="F1545" s="1248">
        <v>1</v>
      </c>
      <c r="G1545" s="1248">
        <v>0</v>
      </c>
      <c r="H1545" s="1249">
        <v>0</v>
      </c>
      <c r="J1545" s="1246" t="s">
        <v>1445</v>
      </c>
      <c r="K1545" s="1284" t="str">
        <f t="shared" si="24"/>
        <v>22</v>
      </c>
      <c r="L1545" s="1246" t="s">
        <v>1559</v>
      </c>
      <c r="M1545" s="1250">
        <v>8</v>
      </c>
      <c r="N1545" s="1251">
        <v>2</v>
      </c>
      <c r="O1545" s="1252">
        <v>2</v>
      </c>
    </row>
    <row r="1546" spans="1:15">
      <c r="A1546" s="1246" t="s">
        <v>1493</v>
      </c>
      <c r="B1546" s="1246" t="s">
        <v>433</v>
      </c>
      <c r="C1546" s="1247">
        <v>40</v>
      </c>
      <c r="E1546" s="1246" t="s">
        <v>1494</v>
      </c>
      <c r="F1546" s="1248">
        <v>1</v>
      </c>
      <c r="G1546" s="1248">
        <v>0</v>
      </c>
      <c r="H1546" s="1249">
        <v>0</v>
      </c>
      <c r="J1546" s="1246" t="s">
        <v>1444</v>
      </c>
      <c r="K1546" s="1284" t="str">
        <f t="shared" si="24"/>
        <v>21</v>
      </c>
      <c r="L1546" s="1246" t="s">
        <v>1550</v>
      </c>
      <c r="M1546" s="1250">
        <v>8</v>
      </c>
      <c r="N1546" s="1251">
        <v>1</v>
      </c>
      <c r="O1546" s="1252">
        <v>1</v>
      </c>
    </row>
    <row r="1547" spans="1:15">
      <c r="A1547" s="1246" t="s">
        <v>683</v>
      </c>
      <c r="B1547" s="1246" t="s">
        <v>433</v>
      </c>
      <c r="C1547" s="1247">
        <v>40</v>
      </c>
      <c r="E1547" s="1246" t="s">
        <v>370</v>
      </c>
      <c r="F1547" s="1248">
        <v>1</v>
      </c>
      <c r="G1547" s="1248">
        <v>0</v>
      </c>
      <c r="H1547" s="1249">
        <v>0</v>
      </c>
      <c r="J1547" s="1246" t="s">
        <v>1444</v>
      </c>
      <c r="K1547" s="1284" t="str">
        <f t="shared" si="24"/>
        <v>21</v>
      </c>
      <c r="L1547" s="1246" t="s">
        <v>1550</v>
      </c>
      <c r="M1547" s="1250">
        <v>8</v>
      </c>
      <c r="N1547" s="1251">
        <v>1</v>
      </c>
      <c r="O1547" s="1252">
        <v>1</v>
      </c>
    </row>
    <row r="1548" spans="1:15">
      <c r="A1548" s="1246" t="s">
        <v>683</v>
      </c>
      <c r="B1548" s="1246" t="s">
        <v>433</v>
      </c>
      <c r="C1548" s="1247">
        <v>40</v>
      </c>
      <c r="E1548" s="1246" t="s">
        <v>1535</v>
      </c>
      <c r="F1548" s="1248">
        <v>1</v>
      </c>
      <c r="G1548" s="1248">
        <v>0</v>
      </c>
      <c r="H1548" s="1249">
        <v>0</v>
      </c>
      <c r="J1548" s="1246" t="s">
        <v>1444</v>
      </c>
      <c r="K1548" s="1284" t="str">
        <f t="shared" si="24"/>
        <v>21</v>
      </c>
      <c r="L1548" s="1246" t="s">
        <v>1550</v>
      </c>
      <c r="M1548" s="1250">
        <v>8</v>
      </c>
      <c r="N1548" s="1251">
        <v>1</v>
      </c>
      <c r="O1548" s="1252">
        <v>1</v>
      </c>
    </row>
    <row r="1549" spans="1:15">
      <c r="A1549" s="1246" t="s">
        <v>683</v>
      </c>
      <c r="B1549" s="1246" t="s">
        <v>433</v>
      </c>
      <c r="C1549" s="1247">
        <v>40</v>
      </c>
      <c r="E1549" s="1246" t="s">
        <v>1547</v>
      </c>
      <c r="F1549" s="1248">
        <v>1</v>
      </c>
      <c r="G1549" s="1248">
        <v>0</v>
      </c>
      <c r="H1549" s="1249">
        <v>0</v>
      </c>
      <c r="J1549" s="1246" t="s">
        <v>1398</v>
      </c>
      <c r="K1549" s="1284" t="str">
        <f t="shared" si="24"/>
        <v>20</v>
      </c>
      <c r="L1549" s="1246" t="s">
        <v>1550</v>
      </c>
      <c r="M1549" s="1250">
        <v>8</v>
      </c>
      <c r="N1549" s="1251">
        <v>1</v>
      </c>
      <c r="O1549" s="1252">
        <v>1</v>
      </c>
    </row>
    <row r="1550" spans="1:15">
      <c r="A1550" s="1246" t="s">
        <v>683</v>
      </c>
      <c r="B1550" s="1246" t="s">
        <v>433</v>
      </c>
      <c r="C1550" s="1247">
        <v>40</v>
      </c>
      <c r="E1550" s="1246" t="s">
        <v>1547</v>
      </c>
      <c r="F1550" s="1248">
        <v>1</v>
      </c>
      <c r="G1550" s="1248">
        <v>0</v>
      </c>
      <c r="H1550" s="1249">
        <v>0</v>
      </c>
      <c r="J1550" s="1246" t="s">
        <v>1444</v>
      </c>
      <c r="K1550" s="1284" t="str">
        <f t="shared" si="24"/>
        <v>21</v>
      </c>
      <c r="L1550" s="1246" t="s">
        <v>1550</v>
      </c>
      <c r="M1550" s="1250">
        <v>8</v>
      </c>
      <c r="N1550" s="1251">
        <v>9</v>
      </c>
      <c r="O1550" s="1252">
        <v>9</v>
      </c>
    </row>
    <row r="1551" spans="1:15">
      <c r="A1551" s="1246" t="s">
        <v>683</v>
      </c>
      <c r="B1551" s="1246" t="s">
        <v>433</v>
      </c>
      <c r="C1551" s="1247">
        <v>40</v>
      </c>
      <c r="E1551" s="1246" t="s">
        <v>1494</v>
      </c>
      <c r="F1551" s="1248">
        <v>1</v>
      </c>
      <c r="G1551" s="1248">
        <v>0</v>
      </c>
      <c r="H1551" s="1249">
        <v>0</v>
      </c>
      <c r="J1551" s="1246" t="s">
        <v>1444</v>
      </c>
      <c r="K1551" s="1284" t="str">
        <f t="shared" si="24"/>
        <v>21</v>
      </c>
      <c r="L1551" s="1246" t="s">
        <v>1550</v>
      </c>
      <c r="M1551" s="1250">
        <v>8</v>
      </c>
      <c r="N1551" s="1251">
        <v>1</v>
      </c>
      <c r="O1551" s="1252">
        <v>1</v>
      </c>
    </row>
    <row r="1552" spans="1:15">
      <c r="A1552" s="1246" t="s">
        <v>683</v>
      </c>
      <c r="B1552" s="1246" t="s">
        <v>433</v>
      </c>
      <c r="C1552" s="1247">
        <v>40</v>
      </c>
      <c r="D1552" s="1246" t="s">
        <v>1412</v>
      </c>
      <c r="E1552" s="1246" t="s">
        <v>1412</v>
      </c>
      <c r="F1552" s="1248">
        <v>1</v>
      </c>
      <c r="G1552" s="1248">
        <v>0</v>
      </c>
      <c r="H1552" s="1249">
        <v>0</v>
      </c>
      <c r="J1552" s="1246" t="s">
        <v>1444</v>
      </c>
      <c r="K1552" s="1284" t="str">
        <f t="shared" si="24"/>
        <v>21</v>
      </c>
      <c r="L1552" s="1246" t="s">
        <v>1550</v>
      </c>
      <c r="M1552" s="1250">
        <v>8</v>
      </c>
      <c r="N1552" s="1251">
        <v>4</v>
      </c>
      <c r="O1552" s="1252">
        <v>4</v>
      </c>
    </row>
    <row r="1553" spans="1:15">
      <c r="A1553" s="1246" t="s">
        <v>683</v>
      </c>
      <c r="B1553" s="1246" t="s">
        <v>433</v>
      </c>
      <c r="C1553" s="1247">
        <v>40</v>
      </c>
      <c r="D1553" s="1246" t="s">
        <v>1412</v>
      </c>
      <c r="E1553" s="1246" t="s">
        <v>1547</v>
      </c>
      <c r="F1553" s="1248">
        <v>1</v>
      </c>
      <c r="G1553" s="1248">
        <v>0</v>
      </c>
      <c r="H1553" s="1249">
        <v>0</v>
      </c>
      <c r="J1553" s="1246" t="s">
        <v>1444</v>
      </c>
      <c r="K1553" s="1284" t="str">
        <f t="shared" si="24"/>
        <v>21</v>
      </c>
      <c r="L1553" s="1246" t="s">
        <v>1550</v>
      </c>
      <c r="M1553" s="1250">
        <v>8</v>
      </c>
      <c r="N1553" s="1251">
        <v>1</v>
      </c>
      <c r="O1553" s="1252">
        <v>1</v>
      </c>
    </row>
    <row r="1554" spans="1:15">
      <c r="A1554" s="1246" t="s">
        <v>1493</v>
      </c>
      <c r="B1554" s="1246" t="s">
        <v>433</v>
      </c>
      <c r="C1554" s="1247">
        <v>40</v>
      </c>
      <c r="D1554" s="1246" t="s">
        <v>1412</v>
      </c>
      <c r="E1554" s="1246" t="s">
        <v>1412</v>
      </c>
      <c r="F1554" s="1248">
        <v>1</v>
      </c>
      <c r="G1554" s="1248">
        <v>0</v>
      </c>
      <c r="H1554" s="1249">
        <v>0</v>
      </c>
      <c r="J1554" s="1246" t="s">
        <v>1444</v>
      </c>
      <c r="K1554" s="1284" t="str">
        <f t="shared" si="24"/>
        <v>21</v>
      </c>
      <c r="L1554" s="1246" t="s">
        <v>1550</v>
      </c>
      <c r="M1554" s="1250">
        <v>8</v>
      </c>
      <c r="N1554" s="1251">
        <v>1</v>
      </c>
      <c r="O1554" s="1252">
        <v>1</v>
      </c>
    </row>
    <row r="1555" spans="1:15">
      <c r="A1555" s="1246" t="s">
        <v>1493</v>
      </c>
      <c r="B1555" s="1246" t="s">
        <v>433</v>
      </c>
      <c r="C1555" s="1247">
        <v>40</v>
      </c>
      <c r="D1555" s="1246" t="s">
        <v>1412</v>
      </c>
      <c r="E1555" s="1246" t="s">
        <v>279</v>
      </c>
      <c r="F1555" s="1248">
        <v>1</v>
      </c>
      <c r="G1555" s="1248">
        <v>0</v>
      </c>
      <c r="H1555" s="1249">
        <v>0</v>
      </c>
      <c r="J1555" s="1246" t="s">
        <v>1444</v>
      </c>
      <c r="K1555" s="1284" t="str">
        <f t="shared" si="24"/>
        <v>21</v>
      </c>
      <c r="L1555" s="1246" t="s">
        <v>1550</v>
      </c>
      <c r="M1555" s="1250">
        <v>8</v>
      </c>
      <c r="N1555" s="1251">
        <v>1</v>
      </c>
      <c r="O1555" s="1252">
        <v>1</v>
      </c>
    </row>
    <row r="1556" spans="1:15">
      <c r="A1556" s="1246" t="s">
        <v>683</v>
      </c>
      <c r="B1556" s="1246" t="s">
        <v>433</v>
      </c>
      <c r="C1556" s="1247">
        <v>40</v>
      </c>
      <c r="E1556" s="1246" t="s">
        <v>1547</v>
      </c>
      <c r="F1556" s="1248">
        <v>1</v>
      </c>
      <c r="G1556" s="1248">
        <v>0</v>
      </c>
      <c r="H1556" s="1249">
        <v>0</v>
      </c>
      <c r="J1556" s="1246" t="s">
        <v>1398</v>
      </c>
      <c r="K1556" s="1284" t="str">
        <f t="shared" si="24"/>
        <v>20</v>
      </c>
      <c r="L1556" s="1246" t="s">
        <v>1552</v>
      </c>
      <c r="M1556" s="1250">
        <v>8</v>
      </c>
      <c r="N1556" s="1251">
        <v>1</v>
      </c>
      <c r="O1556" s="1252">
        <v>1</v>
      </c>
    </row>
    <row r="1557" spans="1:15">
      <c r="A1557" s="1246" t="s">
        <v>683</v>
      </c>
      <c r="B1557" s="1246" t="s">
        <v>433</v>
      </c>
      <c r="C1557" s="1247">
        <v>40</v>
      </c>
      <c r="E1557" s="1246" t="s">
        <v>1494</v>
      </c>
      <c r="F1557" s="1248">
        <v>1</v>
      </c>
      <c r="G1557" s="1248">
        <v>0</v>
      </c>
      <c r="H1557" s="1249">
        <v>0</v>
      </c>
      <c r="J1557" s="1246" t="s">
        <v>1398</v>
      </c>
      <c r="K1557" s="1284" t="str">
        <f t="shared" si="24"/>
        <v>20</v>
      </c>
      <c r="L1557" s="1246" t="s">
        <v>1552</v>
      </c>
      <c r="M1557" s="1250">
        <v>8</v>
      </c>
      <c r="N1557" s="1251">
        <v>1</v>
      </c>
      <c r="O1557" s="1252">
        <v>1</v>
      </c>
    </row>
    <row r="1558" spans="1:15">
      <c r="A1558" s="1246" t="s">
        <v>683</v>
      </c>
      <c r="B1558" s="1246" t="s">
        <v>433</v>
      </c>
      <c r="C1558" s="1247">
        <v>40</v>
      </c>
      <c r="E1558" s="1246" t="s">
        <v>377</v>
      </c>
      <c r="F1558" s="1248">
        <v>1</v>
      </c>
      <c r="G1558" s="1248">
        <v>0</v>
      </c>
      <c r="H1558" s="1249">
        <v>0</v>
      </c>
      <c r="J1558" s="1246" t="s">
        <v>1398</v>
      </c>
      <c r="K1558" s="1284" t="str">
        <f t="shared" si="24"/>
        <v>20</v>
      </c>
      <c r="L1558" s="1246" t="s">
        <v>1548</v>
      </c>
      <c r="M1558" s="1250">
        <v>8</v>
      </c>
      <c r="N1558" s="1251">
        <v>1</v>
      </c>
      <c r="O1558" s="1252">
        <v>1</v>
      </c>
    </row>
    <row r="1559" spans="1:15">
      <c r="A1559" s="1246" t="s">
        <v>683</v>
      </c>
      <c r="B1559" s="1246" t="s">
        <v>433</v>
      </c>
      <c r="C1559" s="1247">
        <v>40</v>
      </c>
      <c r="E1559" s="1246" t="s">
        <v>1535</v>
      </c>
      <c r="F1559" s="1248">
        <v>1</v>
      </c>
      <c r="G1559" s="1248">
        <v>0</v>
      </c>
      <c r="H1559" s="1249">
        <v>0</v>
      </c>
      <c r="J1559" s="1246" t="s">
        <v>1446</v>
      </c>
      <c r="K1559" s="1284" t="str">
        <f t="shared" si="24"/>
        <v>23</v>
      </c>
      <c r="L1559" s="1246" t="s">
        <v>1556</v>
      </c>
      <c r="M1559" s="1250">
        <v>8</v>
      </c>
      <c r="N1559" s="1251">
        <v>1</v>
      </c>
      <c r="O1559" s="1252">
        <v>1</v>
      </c>
    </row>
    <row r="1560" spans="1:15">
      <c r="A1560" s="1246" t="s">
        <v>683</v>
      </c>
      <c r="B1560" s="1246" t="s">
        <v>433</v>
      </c>
      <c r="C1560" s="1247">
        <v>40</v>
      </c>
      <c r="E1560" s="1246" t="s">
        <v>1547</v>
      </c>
      <c r="F1560" s="1248">
        <v>1</v>
      </c>
      <c r="G1560" s="1248">
        <v>0</v>
      </c>
      <c r="H1560" s="1249">
        <v>0</v>
      </c>
      <c r="J1560" s="1246" t="s">
        <v>1446</v>
      </c>
      <c r="K1560" s="1284" t="str">
        <f t="shared" si="24"/>
        <v>23</v>
      </c>
      <c r="L1560" s="1246" t="s">
        <v>1556</v>
      </c>
      <c r="M1560" s="1250">
        <v>8</v>
      </c>
      <c r="N1560" s="1251">
        <v>2</v>
      </c>
      <c r="O1560" s="1252">
        <v>2</v>
      </c>
    </row>
    <row r="1561" spans="1:15">
      <c r="A1561" s="1246" t="s">
        <v>683</v>
      </c>
      <c r="B1561" s="1246" t="s">
        <v>433</v>
      </c>
      <c r="C1561" s="1247">
        <v>40</v>
      </c>
      <c r="E1561" s="1246" t="s">
        <v>377</v>
      </c>
      <c r="F1561" s="1248">
        <v>1</v>
      </c>
      <c r="G1561" s="1248">
        <v>0</v>
      </c>
      <c r="H1561" s="1249">
        <v>0</v>
      </c>
      <c r="J1561" s="1246" t="s">
        <v>1447</v>
      </c>
      <c r="K1561" s="1284" t="str">
        <f t="shared" si="24"/>
        <v>24</v>
      </c>
      <c r="L1561" s="1246" t="s">
        <v>1546</v>
      </c>
      <c r="M1561" s="1250">
        <v>8</v>
      </c>
      <c r="N1561" s="1251">
        <v>2</v>
      </c>
      <c r="O1561" s="1252">
        <v>2</v>
      </c>
    </row>
    <row r="1562" spans="1:15">
      <c r="A1562" s="1246" t="s">
        <v>683</v>
      </c>
      <c r="B1562" s="1246" t="s">
        <v>433</v>
      </c>
      <c r="C1562" s="1247">
        <v>40</v>
      </c>
      <c r="D1562" s="1246" t="s">
        <v>1412</v>
      </c>
      <c r="E1562" s="1246" t="s">
        <v>1412</v>
      </c>
      <c r="F1562" s="1248">
        <v>1</v>
      </c>
      <c r="G1562" s="1248">
        <v>0</v>
      </c>
      <c r="H1562" s="1249">
        <v>0</v>
      </c>
      <c r="J1562" s="1246" t="s">
        <v>1447</v>
      </c>
      <c r="K1562" s="1284" t="str">
        <f t="shared" si="24"/>
        <v>24</v>
      </c>
      <c r="L1562" s="1246" t="s">
        <v>1546</v>
      </c>
      <c r="M1562" s="1250">
        <v>8</v>
      </c>
      <c r="N1562" s="1251">
        <v>1</v>
      </c>
      <c r="O1562" s="1252">
        <v>1</v>
      </c>
    </row>
    <row r="1563" spans="1:15">
      <c r="A1563" s="1246" t="s">
        <v>683</v>
      </c>
      <c r="B1563" s="1246" t="s">
        <v>433</v>
      </c>
      <c r="C1563" s="1247">
        <v>40</v>
      </c>
      <c r="E1563" s="1246" t="s">
        <v>1547</v>
      </c>
      <c r="F1563" s="1248">
        <v>1</v>
      </c>
      <c r="G1563" s="1248">
        <v>0</v>
      </c>
      <c r="H1563" s="1249">
        <v>0</v>
      </c>
      <c r="J1563" s="1246" t="s">
        <v>1447</v>
      </c>
      <c r="K1563" s="1284" t="str">
        <f t="shared" si="24"/>
        <v>24</v>
      </c>
      <c r="L1563" s="1246" t="s">
        <v>1546</v>
      </c>
      <c r="M1563" s="1250">
        <v>8</v>
      </c>
      <c r="N1563" s="1251">
        <v>5</v>
      </c>
      <c r="O1563" s="1252">
        <v>5</v>
      </c>
    </row>
    <row r="1564" spans="1:15">
      <c r="A1564" s="1246" t="s">
        <v>683</v>
      </c>
      <c r="B1564" s="1246" t="s">
        <v>433</v>
      </c>
      <c r="C1564" s="1247">
        <v>40</v>
      </c>
      <c r="E1564" s="1246" t="s">
        <v>1494</v>
      </c>
      <c r="F1564" s="1248">
        <v>1</v>
      </c>
      <c r="G1564" s="1248">
        <v>0</v>
      </c>
      <c r="H1564" s="1249">
        <v>0</v>
      </c>
      <c r="J1564" s="1246" t="s">
        <v>1447</v>
      </c>
      <c r="K1564" s="1284" t="str">
        <f t="shared" si="24"/>
        <v>24</v>
      </c>
      <c r="L1564" s="1246" t="s">
        <v>1546</v>
      </c>
      <c r="M1564" s="1250">
        <v>8</v>
      </c>
      <c r="N1564" s="1251">
        <v>2</v>
      </c>
      <c r="O1564" s="1252">
        <v>2</v>
      </c>
    </row>
    <row r="1565" spans="1:15">
      <c r="A1565" s="1246" t="s">
        <v>1493</v>
      </c>
      <c r="B1565" s="1246" t="s">
        <v>433</v>
      </c>
      <c r="C1565" s="1247">
        <v>40</v>
      </c>
      <c r="D1565" s="1246" t="s">
        <v>1412</v>
      </c>
      <c r="E1565" s="1246" t="s">
        <v>1412</v>
      </c>
      <c r="F1565" s="1248">
        <v>1</v>
      </c>
      <c r="G1565" s="1248">
        <v>0</v>
      </c>
      <c r="H1565" s="1249">
        <v>0</v>
      </c>
      <c r="J1565" s="1246" t="s">
        <v>1452</v>
      </c>
      <c r="K1565" s="1284" t="str">
        <f t="shared" si="24"/>
        <v>2C</v>
      </c>
      <c r="L1565" s="1246" t="s">
        <v>1502</v>
      </c>
      <c r="M1565" s="1250">
        <v>4</v>
      </c>
      <c r="N1565" s="1251">
        <v>1</v>
      </c>
      <c r="O1565" s="1252">
        <v>1</v>
      </c>
    </row>
    <row r="1566" spans="1:15">
      <c r="A1566" s="1246" t="s">
        <v>683</v>
      </c>
      <c r="B1566" s="1246" t="s">
        <v>433</v>
      </c>
      <c r="C1566" s="1247">
        <v>40</v>
      </c>
      <c r="D1566" s="1246" t="s">
        <v>1412</v>
      </c>
      <c r="E1566" s="1246" t="s">
        <v>1412</v>
      </c>
      <c r="F1566" s="1248">
        <v>1</v>
      </c>
      <c r="G1566" s="1248">
        <v>0</v>
      </c>
      <c r="H1566" s="1249">
        <v>0</v>
      </c>
      <c r="J1566" s="1246" t="s">
        <v>1452</v>
      </c>
      <c r="K1566" s="1284" t="str">
        <f t="shared" si="24"/>
        <v>2C</v>
      </c>
      <c r="L1566" s="1246" t="s">
        <v>1560</v>
      </c>
      <c r="M1566" s="1250">
        <v>1</v>
      </c>
      <c r="N1566" s="1251">
        <v>2</v>
      </c>
      <c r="O1566" s="1252">
        <v>2</v>
      </c>
    </row>
    <row r="1567" spans="1:15">
      <c r="A1567" s="1246" t="s">
        <v>683</v>
      </c>
      <c r="B1567" s="1246" t="s">
        <v>433</v>
      </c>
      <c r="C1567" s="1247">
        <v>40</v>
      </c>
      <c r="E1567" s="1246" t="s">
        <v>1547</v>
      </c>
      <c r="F1567" s="1248">
        <v>1</v>
      </c>
      <c r="G1567" s="1248">
        <v>0</v>
      </c>
      <c r="H1567" s="1249">
        <v>0</v>
      </c>
      <c r="J1567" s="1246" t="s">
        <v>1452</v>
      </c>
      <c r="K1567" s="1284" t="str">
        <f t="shared" si="24"/>
        <v>2C</v>
      </c>
      <c r="L1567" s="1246" t="s">
        <v>1560</v>
      </c>
      <c r="M1567" s="1250">
        <v>1</v>
      </c>
      <c r="N1567" s="1251">
        <v>1</v>
      </c>
      <c r="O1567" s="1252">
        <v>1</v>
      </c>
    </row>
    <row r="1568" spans="1:15">
      <c r="A1568" s="1246" t="s">
        <v>683</v>
      </c>
      <c r="B1568" s="1246" t="s">
        <v>433</v>
      </c>
      <c r="C1568" s="1247">
        <v>40</v>
      </c>
      <c r="D1568" s="1246" t="s">
        <v>1412</v>
      </c>
      <c r="E1568" s="1246" t="s">
        <v>1412</v>
      </c>
      <c r="F1568" s="1248">
        <v>1</v>
      </c>
      <c r="G1568" s="1248">
        <v>0</v>
      </c>
      <c r="H1568" s="1249">
        <v>0</v>
      </c>
      <c r="J1568" s="1246" t="s">
        <v>1451</v>
      </c>
      <c r="K1568" s="1284" t="str">
        <f t="shared" si="24"/>
        <v>20</v>
      </c>
      <c r="L1568" s="1246" t="s">
        <v>1534</v>
      </c>
      <c r="M1568" s="1250">
        <v>4</v>
      </c>
      <c r="N1568" s="1251">
        <v>1</v>
      </c>
      <c r="O1568" s="1252">
        <v>1</v>
      </c>
    </row>
    <row r="1569" spans="1:15">
      <c r="A1569" s="1246" t="s">
        <v>683</v>
      </c>
      <c r="B1569" s="1246" t="s">
        <v>433</v>
      </c>
      <c r="C1569" s="1247">
        <v>40</v>
      </c>
      <c r="E1569" s="1246" t="s">
        <v>1494</v>
      </c>
      <c r="F1569" s="1248">
        <v>1</v>
      </c>
      <c r="G1569" s="1248">
        <v>0</v>
      </c>
      <c r="H1569" s="1249">
        <v>0</v>
      </c>
      <c r="J1569" s="1246" t="s">
        <v>1450</v>
      </c>
      <c r="K1569" s="1284" t="str">
        <f t="shared" si="24"/>
        <v>2A</v>
      </c>
      <c r="L1569" s="1246" t="s">
        <v>1545</v>
      </c>
      <c r="M1569" s="1250">
        <v>4</v>
      </c>
      <c r="N1569" s="1251">
        <v>1</v>
      </c>
      <c r="O1569" s="1252">
        <v>1</v>
      </c>
    </row>
    <row r="1570" spans="1:15">
      <c r="A1570" s="1246" t="s">
        <v>683</v>
      </c>
      <c r="B1570" s="1246" t="s">
        <v>433</v>
      </c>
      <c r="C1570" s="1247">
        <v>40</v>
      </c>
      <c r="D1570" s="1246" t="s">
        <v>1412</v>
      </c>
      <c r="E1570" s="1246" t="s">
        <v>1494</v>
      </c>
      <c r="F1570" s="1248">
        <v>1</v>
      </c>
      <c r="G1570" s="1248">
        <v>0</v>
      </c>
      <c r="H1570" s="1249">
        <v>0</v>
      </c>
      <c r="J1570" s="1246" t="s">
        <v>1444</v>
      </c>
      <c r="K1570" s="1284" t="str">
        <f t="shared" si="24"/>
        <v>21</v>
      </c>
      <c r="L1570" s="1246" t="s">
        <v>1495</v>
      </c>
      <c r="M1570" s="1250">
        <v>9</v>
      </c>
      <c r="N1570" s="1251">
        <v>1</v>
      </c>
      <c r="O1570" s="1252">
        <v>1</v>
      </c>
    </row>
    <row r="1571" spans="1:15">
      <c r="A1571" s="1246" t="s">
        <v>683</v>
      </c>
      <c r="B1571" s="1246" t="s">
        <v>433</v>
      </c>
      <c r="C1571" s="1247">
        <v>40</v>
      </c>
      <c r="E1571" s="1246" t="s">
        <v>1412</v>
      </c>
      <c r="F1571" s="1248">
        <v>1</v>
      </c>
      <c r="G1571" s="1248">
        <v>1</v>
      </c>
      <c r="H1571" s="1249">
        <v>1</v>
      </c>
      <c r="I1571" s="1246" t="s">
        <v>1491</v>
      </c>
      <c r="J1571" s="1246" t="s">
        <v>1444</v>
      </c>
      <c r="K1571" s="1284" t="str">
        <f t="shared" si="24"/>
        <v>21</v>
      </c>
      <c r="L1571" s="1246" t="s">
        <v>1550</v>
      </c>
      <c r="M1571" s="1250">
        <v>8</v>
      </c>
      <c r="N1571" s="1251">
        <v>1</v>
      </c>
      <c r="O1571" s="1252">
        <v>1</v>
      </c>
    </row>
    <row r="1572" spans="1:15">
      <c r="A1572" s="1246" t="s">
        <v>683</v>
      </c>
      <c r="B1572" s="1246" t="s">
        <v>433</v>
      </c>
      <c r="C1572" s="1247">
        <v>40</v>
      </c>
      <c r="E1572" s="1246" t="s">
        <v>377</v>
      </c>
      <c r="F1572" s="1248">
        <v>1</v>
      </c>
      <c r="G1572" s="1248">
        <v>1</v>
      </c>
      <c r="H1572" s="1249">
        <v>1</v>
      </c>
      <c r="I1572" s="1246" t="s">
        <v>1491</v>
      </c>
      <c r="J1572" s="1246" t="s">
        <v>1398</v>
      </c>
      <c r="K1572" s="1284" t="str">
        <f t="shared" si="24"/>
        <v>20</v>
      </c>
      <c r="L1572" s="1246" t="s">
        <v>1548</v>
      </c>
      <c r="M1572" s="1250">
        <v>8</v>
      </c>
      <c r="N1572" s="1251">
        <v>1</v>
      </c>
      <c r="O1572" s="1252">
        <v>1</v>
      </c>
    </row>
    <row r="1573" spans="1:15">
      <c r="A1573" s="1246" t="s">
        <v>683</v>
      </c>
      <c r="B1573" s="1246" t="s">
        <v>433</v>
      </c>
      <c r="C1573" s="1247">
        <v>40</v>
      </c>
      <c r="E1573" s="1246" t="s">
        <v>1547</v>
      </c>
      <c r="F1573" s="1248">
        <v>1</v>
      </c>
      <c r="G1573" s="1248">
        <v>1</v>
      </c>
      <c r="H1573" s="1249">
        <v>1</v>
      </c>
      <c r="I1573" s="1246" t="s">
        <v>1491</v>
      </c>
      <c r="J1573" s="1246" t="s">
        <v>1398</v>
      </c>
      <c r="K1573" s="1284" t="str">
        <f t="shared" si="24"/>
        <v>20</v>
      </c>
      <c r="L1573" s="1246" t="s">
        <v>1548</v>
      </c>
      <c r="M1573" s="1250">
        <v>8</v>
      </c>
      <c r="N1573" s="1251">
        <v>1</v>
      </c>
      <c r="O1573" s="1252">
        <v>1</v>
      </c>
    </row>
    <row r="1574" spans="1:15">
      <c r="A1574" s="1246" t="s">
        <v>683</v>
      </c>
      <c r="B1574" s="1246" t="s">
        <v>433</v>
      </c>
      <c r="C1574" s="1247">
        <v>40</v>
      </c>
      <c r="D1574" s="1246" t="s">
        <v>1412</v>
      </c>
      <c r="E1574" s="1246" t="s">
        <v>1412</v>
      </c>
      <c r="F1574" s="1248">
        <v>1</v>
      </c>
      <c r="G1574" s="1248">
        <v>1</v>
      </c>
      <c r="H1574" s="1249">
        <v>1</v>
      </c>
      <c r="I1574" s="1246" t="s">
        <v>1491</v>
      </c>
      <c r="J1574" s="1246" t="s">
        <v>1447</v>
      </c>
      <c r="K1574" s="1284" t="str">
        <f t="shared" si="24"/>
        <v>24</v>
      </c>
      <c r="L1574" s="1246" t="s">
        <v>1546</v>
      </c>
      <c r="M1574" s="1250">
        <v>8</v>
      </c>
      <c r="N1574" s="1251">
        <v>1</v>
      </c>
      <c r="O1574" s="1252">
        <v>1</v>
      </c>
    </row>
    <row r="1575" spans="1:15">
      <c r="A1575" s="1246" t="s">
        <v>683</v>
      </c>
      <c r="B1575" s="1246" t="s">
        <v>433</v>
      </c>
      <c r="C1575" s="1247">
        <v>40</v>
      </c>
      <c r="D1575" s="1246" t="s">
        <v>1412</v>
      </c>
      <c r="E1575" s="1246" t="s">
        <v>1412</v>
      </c>
      <c r="F1575" s="1248">
        <v>1</v>
      </c>
      <c r="G1575" s="1248">
        <v>2</v>
      </c>
      <c r="H1575" s="1249">
        <v>1</v>
      </c>
      <c r="I1575" s="1246" t="s">
        <v>1491</v>
      </c>
      <c r="J1575" s="1246" t="s">
        <v>1444</v>
      </c>
      <c r="K1575" s="1284" t="str">
        <f t="shared" si="24"/>
        <v>21</v>
      </c>
      <c r="L1575" s="1246" t="s">
        <v>1550</v>
      </c>
      <c r="M1575" s="1250">
        <v>8</v>
      </c>
      <c r="N1575" s="1251">
        <v>1</v>
      </c>
      <c r="O1575" s="1252">
        <v>1</v>
      </c>
    </row>
    <row r="1576" spans="1:15">
      <c r="A1576" s="1246" t="s">
        <v>683</v>
      </c>
      <c r="B1576" s="1246" t="s">
        <v>433</v>
      </c>
      <c r="C1576" s="1247">
        <v>40</v>
      </c>
      <c r="D1576" s="1246" t="s">
        <v>1412</v>
      </c>
      <c r="E1576" s="1246" t="s">
        <v>1412</v>
      </c>
      <c r="F1576" s="1248">
        <v>1</v>
      </c>
      <c r="G1576" s="1248">
        <v>2</v>
      </c>
      <c r="H1576" s="1249">
        <v>1</v>
      </c>
      <c r="I1576" s="1246" t="s">
        <v>1491</v>
      </c>
      <c r="J1576" s="1246" t="s">
        <v>1447</v>
      </c>
      <c r="K1576" s="1284" t="str">
        <f t="shared" si="24"/>
        <v>24</v>
      </c>
      <c r="L1576" s="1246" t="s">
        <v>1546</v>
      </c>
      <c r="M1576" s="1250">
        <v>8</v>
      </c>
      <c r="N1576" s="1251">
        <v>1</v>
      </c>
      <c r="O1576" s="1252">
        <v>1</v>
      </c>
    </row>
    <row r="1577" spans="1:15">
      <c r="A1577" s="1246" t="s">
        <v>1493</v>
      </c>
      <c r="B1577" s="1246" t="s">
        <v>433</v>
      </c>
      <c r="C1577" s="1247">
        <v>40</v>
      </c>
      <c r="E1577" s="1246" t="s">
        <v>1494</v>
      </c>
      <c r="F1577" s="1248">
        <v>2</v>
      </c>
      <c r="G1577" s="1248">
        <v>0</v>
      </c>
      <c r="H1577" s="1249">
        <v>0</v>
      </c>
      <c r="J1577" s="1246" t="s">
        <v>1444</v>
      </c>
      <c r="K1577" s="1284" t="str">
        <f t="shared" si="24"/>
        <v>21</v>
      </c>
      <c r="L1577" s="1246" t="s">
        <v>1550</v>
      </c>
      <c r="M1577" s="1250">
        <v>8</v>
      </c>
      <c r="N1577" s="1251">
        <v>2</v>
      </c>
      <c r="O1577" s="1252">
        <v>1</v>
      </c>
    </row>
    <row r="1578" spans="1:15">
      <c r="A1578" s="1246" t="s">
        <v>683</v>
      </c>
      <c r="B1578" s="1246" t="s">
        <v>433</v>
      </c>
      <c r="C1578" s="1247">
        <v>40</v>
      </c>
      <c r="E1578" s="1246" t="s">
        <v>1547</v>
      </c>
      <c r="F1578" s="1248">
        <v>2</v>
      </c>
      <c r="G1578" s="1248">
        <v>0</v>
      </c>
      <c r="H1578" s="1249">
        <v>0</v>
      </c>
      <c r="J1578" s="1246" t="s">
        <v>1447</v>
      </c>
      <c r="K1578" s="1284" t="str">
        <f t="shared" si="24"/>
        <v>24</v>
      </c>
      <c r="L1578" s="1246" t="s">
        <v>1546</v>
      </c>
      <c r="M1578" s="1250">
        <v>8</v>
      </c>
      <c r="N1578" s="1251">
        <v>4</v>
      </c>
      <c r="O1578" s="1252">
        <v>2</v>
      </c>
    </row>
    <row r="1579" spans="1:15">
      <c r="A1579" s="1246" t="s">
        <v>683</v>
      </c>
      <c r="B1579" s="1246" t="s">
        <v>433</v>
      </c>
      <c r="C1579" s="1247">
        <v>40</v>
      </c>
      <c r="E1579" s="1246" t="s">
        <v>1535</v>
      </c>
      <c r="F1579" s="1248">
        <v>2</v>
      </c>
      <c r="G1579" s="1248">
        <v>0</v>
      </c>
      <c r="H1579" s="1249">
        <v>0</v>
      </c>
      <c r="J1579" s="1246" t="s">
        <v>1452</v>
      </c>
      <c r="K1579" s="1284" t="str">
        <f t="shared" si="24"/>
        <v>2C</v>
      </c>
      <c r="L1579" s="1246" t="s">
        <v>1560</v>
      </c>
      <c r="M1579" s="1250">
        <v>1</v>
      </c>
      <c r="N1579" s="1251">
        <v>2</v>
      </c>
      <c r="O1579" s="1252">
        <v>1</v>
      </c>
    </row>
    <row r="1580" spans="1:15">
      <c r="A1580" s="1246" t="s">
        <v>1490</v>
      </c>
      <c r="B1580" s="1246" t="s">
        <v>434</v>
      </c>
      <c r="C1580" s="1247">
        <v>0.16</v>
      </c>
      <c r="F1580" s="1248">
        <v>1</v>
      </c>
      <c r="G1580" s="1248">
        <v>1</v>
      </c>
      <c r="H1580" s="1249">
        <v>1</v>
      </c>
      <c r="I1580" s="1246" t="s">
        <v>1491</v>
      </c>
      <c r="J1580" s="1246" t="s">
        <v>1460</v>
      </c>
      <c r="K1580" s="1284" t="str">
        <f t="shared" si="24"/>
        <v>30</v>
      </c>
      <c r="L1580" s="1246" t="s">
        <v>1497</v>
      </c>
      <c r="M1580" s="1250">
        <v>1</v>
      </c>
      <c r="N1580" s="1251">
        <v>33</v>
      </c>
      <c r="O1580" s="1252">
        <v>33</v>
      </c>
    </row>
    <row r="1581" spans="1:15">
      <c r="A1581" s="1246" t="s">
        <v>1490</v>
      </c>
      <c r="B1581" s="1246" t="s">
        <v>434</v>
      </c>
      <c r="C1581" s="1247">
        <v>0.16</v>
      </c>
      <c r="F1581" s="1248">
        <v>1</v>
      </c>
      <c r="G1581" s="1248">
        <v>1</v>
      </c>
      <c r="H1581" s="1249">
        <v>1</v>
      </c>
      <c r="I1581" s="1246" t="s">
        <v>1491</v>
      </c>
      <c r="J1581" s="1246" t="s">
        <v>1461</v>
      </c>
      <c r="K1581" s="1284" t="str">
        <f t="shared" si="24"/>
        <v>3C</v>
      </c>
      <c r="L1581" s="1246" t="s">
        <v>1502</v>
      </c>
      <c r="M1581" s="1250">
        <v>3</v>
      </c>
      <c r="N1581" s="1251">
        <v>9</v>
      </c>
      <c r="O1581" s="1252">
        <v>9</v>
      </c>
    </row>
    <row r="1582" spans="1:15">
      <c r="A1582" s="1246" t="s">
        <v>1490</v>
      </c>
      <c r="B1582" s="1246" t="s">
        <v>434</v>
      </c>
      <c r="C1582" s="1247">
        <v>0.16</v>
      </c>
      <c r="F1582" s="1248">
        <v>1</v>
      </c>
      <c r="G1582" s="1248">
        <v>1</v>
      </c>
      <c r="H1582" s="1249">
        <v>1</v>
      </c>
      <c r="I1582" s="1246" t="s">
        <v>1491</v>
      </c>
      <c r="J1582" s="1246" t="s">
        <v>1460</v>
      </c>
      <c r="K1582" s="1284" t="str">
        <f t="shared" si="24"/>
        <v>30</v>
      </c>
      <c r="L1582" s="1246" t="s">
        <v>1498</v>
      </c>
      <c r="M1582" s="1250">
        <v>2</v>
      </c>
      <c r="N1582" s="1251">
        <v>25</v>
      </c>
      <c r="O1582" s="1252">
        <v>25</v>
      </c>
    </row>
    <row r="1583" spans="1:15">
      <c r="A1583" s="1246" t="s">
        <v>1490</v>
      </c>
      <c r="B1583" s="1246" t="s">
        <v>434</v>
      </c>
      <c r="C1583" s="1247">
        <v>0.16</v>
      </c>
      <c r="F1583" s="1248">
        <v>1</v>
      </c>
      <c r="G1583" s="1248">
        <v>1</v>
      </c>
      <c r="H1583" s="1249">
        <v>1</v>
      </c>
      <c r="I1583" s="1246" t="s">
        <v>1491</v>
      </c>
      <c r="J1583" s="1246" t="s">
        <v>1460</v>
      </c>
      <c r="K1583" s="1284" t="str">
        <f t="shared" si="24"/>
        <v>30</v>
      </c>
      <c r="L1583" s="1246" t="s">
        <v>1499</v>
      </c>
      <c r="M1583" s="1250">
        <v>5</v>
      </c>
      <c r="N1583" s="1251">
        <v>31</v>
      </c>
      <c r="O1583" s="1252">
        <v>31</v>
      </c>
    </row>
    <row r="1584" spans="1:15">
      <c r="A1584" s="1246" t="s">
        <v>1493</v>
      </c>
      <c r="B1584" s="1246" t="s">
        <v>434</v>
      </c>
      <c r="C1584" s="1247">
        <v>0.16</v>
      </c>
      <c r="E1584" s="1246" t="s">
        <v>376</v>
      </c>
      <c r="F1584" s="1248">
        <v>1</v>
      </c>
      <c r="G1584" s="1248">
        <v>1</v>
      </c>
      <c r="H1584" s="1249">
        <v>1</v>
      </c>
      <c r="I1584" s="1246" t="s">
        <v>1491</v>
      </c>
      <c r="J1584" s="1246" t="s">
        <v>1469</v>
      </c>
      <c r="K1584" s="1284">
        <f t="shared" si="24"/>
        <v>70</v>
      </c>
      <c r="L1584" s="1246" t="s">
        <v>1542</v>
      </c>
      <c r="M1584" s="1250">
        <v>6</v>
      </c>
      <c r="N1584" s="1251">
        <v>1</v>
      </c>
      <c r="O1584" s="1252">
        <v>1</v>
      </c>
    </row>
    <row r="1585" spans="1:15">
      <c r="A1585" s="1246" t="s">
        <v>1490</v>
      </c>
      <c r="B1585" s="1246" t="s">
        <v>434</v>
      </c>
      <c r="C1585" s="1247">
        <v>0.16</v>
      </c>
      <c r="F1585" s="1248">
        <v>1</v>
      </c>
      <c r="G1585" s="1248">
        <v>1</v>
      </c>
      <c r="H1585" s="1249">
        <v>1</v>
      </c>
      <c r="I1585" s="1246" t="s">
        <v>1491</v>
      </c>
      <c r="J1585" s="1246" t="s">
        <v>1455</v>
      </c>
      <c r="K1585" s="1284" t="str">
        <f t="shared" si="24"/>
        <v>32</v>
      </c>
      <c r="L1585" s="1246" t="s">
        <v>1505</v>
      </c>
      <c r="M1585" s="1250">
        <v>1</v>
      </c>
      <c r="N1585" s="1251">
        <v>3</v>
      </c>
      <c r="O1585" s="1252">
        <v>3</v>
      </c>
    </row>
    <row r="1586" spans="1:15">
      <c r="A1586" s="1246" t="s">
        <v>1490</v>
      </c>
      <c r="B1586" s="1246" t="s">
        <v>434</v>
      </c>
      <c r="C1586" s="1247">
        <v>0.16</v>
      </c>
      <c r="F1586" s="1248">
        <v>1</v>
      </c>
      <c r="G1586" s="1248">
        <v>1</v>
      </c>
      <c r="H1586" s="1249">
        <v>1</v>
      </c>
      <c r="I1586" s="1246" t="s">
        <v>1491</v>
      </c>
      <c r="J1586" s="1246" t="s">
        <v>1454</v>
      </c>
      <c r="K1586" s="1284" t="str">
        <f t="shared" si="24"/>
        <v>31</v>
      </c>
      <c r="L1586" s="1246" t="s">
        <v>1506</v>
      </c>
      <c r="M1586" s="1250">
        <v>1</v>
      </c>
      <c r="N1586" s="1251">
        <v>482</v>
      </c>
      <c r="O1586" s="1252">
        <v>482</v>
      </c>
    </row>
    <row r="1587" spans="1:15">
      <c r="A1587" s="1246" t="s">
        <v>1490</v>
      </c>
      <c r="B1587" s="1246" t="s">
        <v>434</v>
      </c>
      <c r="C1587" s="1247">
        <v>0.16</v>
      </c>
      <c r="E1587" s="1246" t="s">
        <v>370</v>
      </c>
      <c r="F1587" s="1248">
        <v>1</v>
      </c>
      <c r="G1587" s="1248">
        <v>1</v>
      </c>
      <c r="H1587" s="1249">
        <v>1</v>
      </c>
      <c r="I1587" s="1246" t="s">
        <v>1491</v>
      </c>
      <c r="J1587" s="1246" t="s">
        <v>1454</v>
      </c>
      <c r="K1587" s="1284" t="str">
        <f t="shared" si="24"/>
        <v>31</v>
      </c>
      <c r="L1587" s="1246" t="s">
        <v>1506</v>
      </c>
      <c r="M1587" s="1250">
        <v>1</v>
      </c>
      <c r="N1587" s="1251">
        <v>389</v>
      </c>
      <c r="O1587" s="1252">
        <v>389</v>
      </c>
    </row>
    <row r="1588" spans="1:15">
      <c r="A1588" s="1246" t="s">
        <v>1490</v>
      </c>
      <c r="B1588" s="1246" t="s">
        <v>434</v>
      </c>
      <c r="C1588" s="1247">
        <v>0.16</v>
      </c>
      <c r="F1588" s="1248">
        <v>1</v>
      </c>
      <c r="G1588" s="1248">
        <v>1</v>
      </c>
      <c r="H1588" s="1249">
        <v>1</v>
      </c>
      <c r="I1588" s="1246" t="s">
        <v>1491</v>
      </c>
      <c r="J1588" s="1246" t="s">
        <v>1458</v>
      </c>
      <c r="K1588" s="1284" t="str">
        <f t="shared" si="24"/>
        <v>36</v>
      </c>
      <c r="L1588" s="1246" t="s">
        <v>1507</v>
      </c>
      <c r="M1588" s="1250">
        <v>1</v>
      </c>
      <c r="N1588" s="1251">
        <v>1</v>
      </c>
      <c r="O1588" s="1252">
        <v>1</v>
      </c>
    </row>
    <row r="1589" spans="1:15">
      <c r="A1589" s="1246" t="s">
        <v>1490</v>
      </c>
      <c r="B1589" s="1246" t="s">
        <v>434</v>
      </c>
      <c r="C1589" s="1247">
        <v>0.16</v>
      </c>
      <c r="F1589" s="1248">
        <v>1</v>
      </c>
      <c r="G1589" s="1248">
        <v>1</v>
      </c>
      <c r="H1589" s="1249">
        <v>1</v>
      </c>
      <c r="I1589" s="1246" t="s">
        <v>1491</v>
      </c>
      <c r="J1589" s="1246" t="s">
        <v>1454</v>
      </c>
      <c r="K1589" s="1284" t="str">
        <f t="shared" si="24"/>
        <v>31</v>
      </c>
      <c r="L1589" s="1246" t="s">
        <v>1508</v>
      </c>
      <c r="M1589" s="1250">
        <v>1</v>
      </c>
      <c r="N1589" s="1251">
        <v>1</v>
      </c>
      <c r="O1589" s="1252">
        <v>1</v>
      </c>
    </row>
    <row r="1590" spans="1:15">
      <c r="A1590" s="1246" t="s">
        <v>1490</v>
      </c>
      <c r="B1590" s="1246" t="s">
        <v>434</v>
      </c>
      <c r="C1590" s="1247">
        <v>0.16</v>
      </c>
      <c r="F1590" s="1248">
        <v>1</v>
      </c>
      <c r="G1590" s="1248">
        <v>1</v>
      </c>
      <c r="H1590" s="1249">
        <v>1</v>
      </c>
      <c r="I1590" s="1246" t="s">
        <v>1491</v>
      </c>
      <c r="J1590" s="1246" t="s">
        <v>1457</v>
      </c>
      <c r="K1590" s="1284" t="str">
        <f t="shared" si="24"/>
        <v>35</v>
      </c>
      <c r="L1590" s="1246" t="s">
        <v>1501</v>
      </c>
      <c r="M1590" s="1250">
        <v>1</v>
      </c>
      <c r="N1590" s="1251">
        <v>107</v>
      </c>
      <c r="O1590" s="1252">
        <v>107</v>
      </c>
    </row>
    <row r="1591" spans="1:15">
      <c r="A1591" s="1246" t="s">
        <v>1490</v>
      </c>
      <c r="B1591" s="1246" t="s">
        <v>434</v>
      </c>
      <c r="C1591" s="1247">
        <v>0.16</v>
      </c>
      <c r="F1591" s="1248">
        <v>1</v>
      </c>
      <c r="G1591" s="1248">
        <v>1</v>
      </c>
      <c r="H1591" s="1249">
        <v>1</v>
      </c>
      <c r="I1591" s="1246" t="s">
        <v>1491</v>
      </c>
      <c r="J1591" s="1246" t="s">
        <v>1399</v>
      </c>
      <c r="K1591" s="1284" t="str">
        <f t="shared" si="24"/>
        <v>30</v>
      </c>
      <c r="L1591" s="1246" t="s">
        <v>1510</v>
      </c>
      <c r="M1591" s="1250">
        <v>1</v>
      </c>
      <c r="N1591" s="1251">
        <v>5</v>
      </c>
      <c r="O1591" s="1252">
        <v>5</v>
      </c>
    </row>
    <row r="1592" spans="1:15">
      <c r="A1592" s="1246" t="s">
        <v>1490</v>
      </c>
      <c r="B1592" s="1246" t="s">
        <v>434</v>
      </c>
      <c r="C1592" s="1247">
        <v>0.16</v>
      </c>
      <c r="F1592" s="1248">
        <v>1</v>
      </c>
      <c r="G1592" s="1248">
        <v>1</v>
      </c>
      <c r="H1592" s="1249">
        <v>1</v>
      </c>
      <c r="I1592" s="1246" t="s">
        <v>1491</v>
      </c>
      <c r="J1592" s="1246" t="s">
        <v>1455</v>
      </c>
      <c r="K1592" s="1284" t="str">
        <f t="shared" si="24"/>
        <v>32</v>
      </c>
      <c r="L1592" s="1246" t="s">
        <v>1513</v>
      </c>
      <c r="M1592" s="1250">
        <v>2</v>
      </c>
      <c r="N1592" s="1251">
        <v>5</v>
      </c>
      <c r="O1592" s="1252">
        <v>5</v>
      </c>
    </row>
    <row r="1593" spans="1:15">
      <c r="A1593" s="1246" t="s">
        <v>1490</v>
      </c>
      <c r="B1593" s="1246" t="s">
        <v>434</v>
      </c>
      <c r="C1593" s="1247">
        <v>0.16</v>
      </c>
      <c r="F1593" s="1248">
        <v>1</v>
      </c>
      <c r="G1593" s="1248">
        <v>1</v>
      </c>
      <c r="H1593" s="1249">
        <v>1</v>
      </c>
      <c r="I1593" s="1246" t="s">
        <v>1491</v>
      </c>
      <c r="J1593" s="1246" t="s">
        <v>1454</v>
      </c>
      <c r="K1593" s="1284" t="str">
        <f t="shared" si="24"/>
        <v>31</v>
      </c>
      <c r="L1593" s="1246" t="s">
        <v>1500</v>
      </c>
      <c r="M1593" s="1250">
        <v>2</v>
      </c>
      <c r="N1593" s="1251">
        <v>444</v>
      </c>
      <c r="O1593" s="1252">
        <v>444</v>
      </c>
    </row>
    <row r="1594" spans="1:15">
      <c r="A1594" s="1246" t="s">
        <v>1490</v>
      </c>
      <c r="B1594" s="1246" t="s">
        <v>434</v>
      </c>
      <c r="C1594" s="1247">
        <v>0.16</v>
      </c>
      <c r="E1594" s="1246" t="s">
        <v>370</v>
      </c>
      <c r="F1594" s="1248">
        <v>1</v>
      </c>
      <c r="G1594" s="1248">
        <v>1</v>
      </c>
      <c r="H1594" s="1249">
        <v>1</v>
      </c>
      <c r="I1594" s="1246" t="s">
        <v>1491</v>
      </c>
      <c r="J1594" s="1246" t="s">
        <v>1454</v>
      </c>
      <c r="K1594" s="1284" t="str">
        <f t="shared" si="24"/>
        <v>31</v>
      </c>
      <c r="L1594" s="1246" t="s">
        <v>1500</v>
      </c>
      <c r="M1594" s="1250">
        <v>2</v>
      </c>
      <c r="N1594" s="1251">
        <v>197</v>
      </c>
      <c r="O1594" s="1252">
        <v>197</v>
      </c>
    </row>
    <row r="1595" spans="1:15">
      <c r="A1595" s="1246" t="s">
        <v>1490</v>
      </c>
      <c r="B1595" s="1246" t="s">
        <v>434</v>
      </c>
      <c r="C1595" s="1247">
        <v>0.16</v>
      </c>
      <c r="F1595" s="1248">
        <v>1</v>
      </c>
      <c r="G1595" s="1248">
        <v>1</v>
      </c>
      <c r="H1595" s="1249">
        <v>1</v>
      </c>
      <c r="I1595" s="1246" t="s">
        <v>1491</v>
      </c>
      <c r="J1595" s="1246" t="s">
        <v>1399</v>
      </c>
      <c r="K1595" s="1284" t="str">
        <f t="shared" si="24"/>
        <v>30</v>
      </c>
      <c r="L1595" s="1246" t="s">
        <v>1515</v>
      </c>
      <c r="M1595" s="1250">
        <v>2</v>
      </c>
      <c r="N1595" s="1251">
        <v>3</v>
      </c>
      <c r="O1595" s="1252">
        <v>3</v>
      </c>
    </row>
    <row r="1596" spans="1:15">
      <c r="A1596" s="1246" t="s">
        <v>1490</v>
      </c>
      <c r="B1596" s="1246" t="s">
        <v>434</v>
      </c>
      <c r="C1596" s="1247">
        <v>0.16</v>
      </c>
      <c r="F1596" s="1248">
        <v>1</v>
      </c>
      <c r="G1596" s="1248">
        <v>1</v>
      </c>
      <c r="H1596" s="1249">
        <v>1</v>
      </c>
      <c r="I1596" s="1246" t="s">
        <v>1491</v>
      </c>
      <c r="J1596" s="1246" t="s">
        <v>1399</v>
      </c>
      <c r="K1596" s="1284" t="str">
        <f t="shared" si="24"/>
        <v>30</v>
      </c>
      <c r="L1596" s="1246" t="s">
        <v>1516</v>
      </c>
      <c r="M1596" s="1250">
        <v>2</v>
      </c>
      <c r="N1596" s="1251">
        <v>1</v>
      </c>
      <c r="O1596" s="1252">
        <v>1</v>
      </c>
    </row>
    <row r="1597" spans="1:15">
      <c r="A1597" s="1246" t="s">
        <v>1490</v>
      </c>
      <c r="B1597" s="1246" t="s">
        <v>434</v>
      </c>
      <c r="C1597" s="1247">
        <v>0.16</v>
      </c>
      <c r="F1597" s="1248">
        <v>1</v>
      </c>
      <c r="G1597" s="1248">
        <v>1</v>
      </c>
      <c r="H1597" s="1249">
        <v>1</v>
      </c>
      <c r="I1597" s="1246" t="s">
        <v>1491</v>
      </c>
      <c r="J1597" s="1246" t="s">
        <v>1457</v>
      </c>
      <c r="K1597" s="1284" t="str">
        <f t="shared" si="24"/>
        <v>35</v>
      </c>
      <c r="L1597" s="1246" t="s">
        <v>1517</v>
      </c>
      <c r="M1597" s="1250">
        <v>2</v>
      </c>
      <c r="N1597" s="1251">
        <v>73</v>
      </c>
      <c r="O1597" s="1252">
        <v>73</v>
      </c>
    </row>
    <row r="1598" spans="1:15">
      <c r="A1598" s="1246" t="s">
        <v>1490</v>
      </c>
      <c r="B1598" s="1246" t="s">
        <v>434</v>
      </c>
      <c r="C1598" s="1247">
        <v>0.16</v>
      </c>
      <c r="F1598" s="1248">
        <v>1</v>
      </c>
      <c r="G1598" s="1248">
        <v>1</v>
      </c>
      <c r="H1598" s="1249">
        <v>1</v>
      </c>
      <c r="I1598" s="1246" t="s">
        <v>1491</v>
      </c>
      <c r="J1598" s="1246" t="s">
        <v>1399</v>
      </c>
      <c r="K1598" s="1284" t="str">
        <f t="shared" si="24"/>
        <v>30</v>
      </c>
      <c r="L1598" s="1246" t="s">
        <v>1518</v>
      </c>
      <c r="M1598" s="1250">
        <v>2</v>
      </c>
      <c r="N1598" s="1251">
        <v>7</v>
      </c>
      <c r="O1598" s="1252">
        <v>7</v>
      </c>
    </row>
    <row r="1599" spans="1:15">
      <c r="A1599" s="1246" t="s">
        <v>1490</v>
      </c>
      <c r="B1599" s="1246" t="s">
        <v>434</v>
      </c>
      <c r="C1599" s="1247">
        <v>0.16</v>
      </c>
      <c r="F1599" s="1248">
        <v>1</v>
      </c>
      <c r="G1599" s="1248">
        <v>1</v>
      </c>
      <c r="H1599" s="1249">
        <v>1</v>
      </c>
      <c r="I1599" s="1246" t="s">
        <v>1491</v>
      </c>
      <c r="J1599" s="1246" t="s">
        <v>1456</v>
      </c>
      <c r="K1599" s="1284" t="str">
        <f t="shared" si="24"/>
        <v>33</v>
      </c>
      <c r="L1599" s="1246" t="s">
        <v>1519</v>
      </c>
      <c r="M1599" s="1250">
        <v>2</v>
      </c>
      <c r="N1599" s="1251">
        <v>29</v>
      </c>
      <c r="O1599" s="1252">
        <v>29</v>
      </c>
    </row>
    <row r="1600" spans="1:15">
      <c r="A1600" s="1246" t="s">
        <v>1490</v>
      </c>
      <c r="B1600" s="1246" t="s">
        <v>434</v>
      </c>
      <c r="C1600" s="1247">
        <v>0.16</v>
      </c>
      <c r="F1600" s="1248">
        <v>1</v>
      </c>
      <c r="G1600" s="1248">
        <v>1</v>
      </c>
      <c r="H1600" s="1249">
        <v>1</v>
      </c>
      <c r="I1600" s="1246" t="s">
        <v>1491</v>
      </c>
      <c r="J1600" s="1246" t="s">
        <v>1455</v>
      </c>
      <c r="K1600" s="1284" t="str">
        <f t="shared" si="24"/>
        <v>32</v>
      </c>
      <c r="L1600" s="1246" t="s">
        <v>1522</v>
      </c>
      <c r="M1600" s="1250">
        <v>3</v>
      </c>
      <c r="N1600" s="1251">
        <v>4</v>
      </c>
      <c r="O1600" s="1252">
        <v>4</v>
      </c>
    </row>
    <row r="1601" spans="1:15">
      <c r="A1601" s="1246" t="s">
        <v>1490</v>
      </c>
      <c r="B1601" s="1246" t="s">
        <v>434</v>
      </c>
      <c r="C1601" s="1247">
        <v>0.16</v>
      </c>
      <c r="E1601" s="1246" t="s">
        <v>370</v>
      </c>
      <c r="F1601" s="1248">
        <v>1</v>
      </c>
      <c r="G1601" s="1248">
        <v>1</v>
      </c>
      <c r="H1601" s="1249">
        <v>1</v>
      </c>
      <c r="I1601" s="1246" t="s">
        <v>1491</v>
      </c>
      <c r="J1601" s="1246" t="s">
        <v>1455</v>
      </c>
      <c r="K1601" s="1284" t="str">
        <f t="shared" si="24"/>
        <v>32</v>
      </c>
      <c r="L1601" s="1246" t="s">
        <v>1522</v>
      </c>
      <c r="M1601" s="1250">
        <v>3</v>
      </c>
      <c r="N1601" s="1251">
        <v>1</v>
      </c>
      <c r="O1601" s="1252">
        <v>1</v>
      </c>
    </row>
    <row r="1602" spans="1:15">
      <c r="A1602" s="1246" t="s">
        <v>1490</v>
      </c>
      <c r="B1602" s="1246" t="s">
        <v>434</v>
      </c>
      <c r="C1602" s="1247">
        <v>0.16</v>
      </c>
      <c r="F1602" s="1248">
        <v>1</v>
      </c>
      <c r="G1602" s="1248">
        <v>1</v>
      </c>
      <c r="H1602" s="1249">
        <v>1</v>
      </c>
      <c r="I1602" s="1246" t="s">
        <v>1491</v>
      </c>
      <c r="J1602" s="1246" t="s">
        <v>1454</v>
      </c>
      <c r="K1602" s="1284" t="str">
        <f t="shared" ref="K1602:K1665" si="25">IF(J1602="1B","10", IF(J1602="2B","20",IF(J1602="3B","30",IF(J1602="7B",70,J1602))))</f>
        <v>31</v>
      </c>
      <c r="L1602" s="1246" t="s">
        <v>1523</v>
      </c>
      <c r="M1602" s="1250">
        <v>3</v>
      </c>
      <c r="N1602" s="1251">
        <v>437</v>
      </c>
      <c r="O1602" s="1252">
        <v>437</v>
      </c>
    </row>
    <row r="1603" spans="1:15">
      <c r="A1603" s="1246" t="s">
        <v>1490</v>
      </c>
      <c r="B1603" s="1246" t="s">
        <v>434</v>
      </c>
      <c r="C1603" s="1247">
        <v>0.16</v>
      </c>
      <c r="E1603" s="1246" t="s">
        <v>370</v>
      </c>
      <c r="F1603" s="1248">
        <v>1</v>
      </c>
      <c r="G1603" s="1248">
        <v>1</v>
      </c>
      <c r="H1603" s="1249">
        <v>1</v>
      </c>
      <c r="I1603" s="1246" t="s">
        <v>1491</v>
      </c>
      <c r="J1603" s="1246" t="s">
        <v>1454</v>
      </c>
      <c r="K1603" s="1284" t="str">
        <f t="shared" si="25"/>
        <v>31</v>
      </c>
      <c r="L1603" s="1246" t="s">
        <v>1523</v>
      </c>
      <c r="M1603" s="1250">
        <v>3</v>
      </c>
      <c r="N1603" s="1251">
        <v>244</v>
      </c>
      <c r="O1603" s="1252">
        <v>244</v>
      </c>
    </row>
    <row r="1604" spans="1:15">
      <c r="A1604" s="1246" t="s">
        <v>1490</v>
      </c>
      <c r="B1604" s="1246" t="s">
        <v>434</v>
      </c>
      <c r="C1604" s="1247">
        <v>0.16</v>
      </c>
      <c r="F1604" s="1248">
        <v>1</v>
      </c>
      <c r="G1604" s="1248">
        <v>1</v>
      </c>
      <c r="H1604" s="1249">
        <v>1</v>
      </c>
      <c r="I1604" s="1246" t="s">
        <v>1491</v>
      </c>
      <c r="J1604" s="1246" t="s">
        <v>1457</v>
      </c>
      <c r="K1604" s="1284" t="str">
        <f t="shared" si="25"/>
        <v>35</v>
      </c>
      <c r="L1604" s="1246" t="s">
        <v>1527</v>
      </c>
      <c r="M1604" s="1250">
        <v>3</v>
      </c>
      <c r="N1604" s="1251">
        <v>64</v>
      </c>
      <c r="O1604" s="1252">
        <v>64</v>
      </c>
    </row>
    <row r="1605" spans="1:15">
      <c r="A1605" s="1246" t="s">
        <v>1490</v>
      </c>
      <c r="B1605" s="1246" t="s">
        <v>434</v>
      </c>
      <c r="C1605" s="1247">
        <v>0.16</v>
      </c>
      <c r="F1605" s="1248">
        <v>1</v>
      </c>
      <c r="G1605" s="1248">
        <v>1</v>
      </c>
      <c r="H1605" s="1249">
        <v>1</v>
      </c>
      <c r="I1605" s="1246" t="s">
        <v>1491</v>
      </c>
      <c r="J1605" s="1246" t="s">
        <v>1459</v>
      </c>
      <c r="K1605" s="1284" t="str">
        <f t="shared" si="25"/>
        <v>3A</v>
      </c>
      <c r="L1605" s="1246" t="s">
        <v>1492</v>
      </c>
      <c r="M1605" s="1250">
        <v>3</v>
      </c>
      <c r="N1605" s="1251">
        <v>12</v>
      </c>
      <c r="O1605" s="1252">
        <v>12</v>
      </c>
    </row>
    <row r="1606" spans="1:15">
      <c r="A1606" s="1246" t="s">
        <v>1490</v>
      </c>
      <c r="B1606" s="1246" t="s">
        <v>434</v>
      </c>
      <c r="C1606" s="1247">
        <v>0.16</v>
      </c>
      <c r="F1606" s="1248">
        <v>1</v>
      </c>
      <c r="G1606" s="1248">
        <v>1</v>
      </c>
      <c r="H1606" s="1249">
        <v>1</v>
      </c>
      <c r="I1606" s="1246" t="s">
        <v>1491</v>
      </c>
      <c r="J1606" s="1246" t="s">
        <v>1399</v>
      </c>
      <c r="K1606" s="1284" t="str">
        <f t="shared" si="25"/>
        <v>30</v>
      </c>
      <c r="L1606" s="1246" t="s">
        <v>1528</v>
      </c>
      <c r="M1606" s="1250">
        <v>3</v>
      </c>
      <c r="N1606" s="1251">
        <v>4</v>
      </c>
      <c r="O1606" s="1252">
        <v>4</v>
      </c>
    </row>
    <row r="1607" spans="1:15">
      <c r="A1607" s="1246" t="s">
        <v>1493</v>
      </c>
      <c r="B1607" s="1246" t="s">
        <v>434</v>
      </c>
      <c r="C1607" s="1247">
        <v>0.16</v>
      </c>
      <c r="E1607" s="1246" t="s">
        <v>1535</v>
      </c>
      <c r="F1607" s="1248">
        <v>1</v>
      </c>
      <c r="G1607" s="1248">
        <v>1</v>
      </c>
      <c r="H1607" s="1249">
        <v>1</v>
      </c>
      <c r="I1607" s="1246" t="s">
        <v>1491</v>
      </c>
      <c r="J1607" s="1246" t="s">
        <v>1462</v>
      </c>
      <c r="K1607" s="1284" t="str">
        <f t="shared" si="25"/>
        <v>71</v>
      </c>
      <c r="L1607" s="1246" t="s">
        <v>1495</v>
      </c>
      <c r="M1607" s="1250">
        <v>9</v>
      </c>
      <c r="N1607" s="1251">
        <v>1</v>
      </c>
      <c r="O1607" s="1252">
        <v>1</v>
      </c>
    </row>
    <row r="1608" spans="1:15">
      <c r="A1608" s="1246" t="s">
        <v>1493</v>
      </c>
      <c r="B1608" s="1246" t="s">
        <v>434</v>
      </c>
      <c r="C1608" s="1247">
        <v>0.16</v>
      </c>
      <c r="E1608" s="1246" t="s">
        <v>1494</v>
      </c>
      <c r="F1608" s="1248">
        <v>1</v>
      </c>
      <c r="G1608" s="1248">
        <v>1</v>
      </c>
      <c r="H1608" s="1249">
        <v>1</v>
      </c>
      <c r="I1608" s="1246" t="s">
        <v>1491</v>
      </c>
      <c r="J1608" s="1246" t="s">
        <v>1462</v>
      </c>
      <c r="K1608" s="1284" t="str">
        <f t="shared" si="25"/>
        <v>71</v>
      </c>
      <c r="L1608" s="1246" t="s">
        <v>1495</v>
      </c>
      <c r="M1608" s="1250">
        <v>9</v>
      </c>
      <c r="N1608" s="1251">
        <v>20</v>
      </c>
      <c r="O1608" s="1252">
        <v>20</v>
      </c>
    </row>
    <row r="1609" spans="1:15">
      <c r="A1609" s="1246" t="s">
        <v>1493</v>
      </c>
      <c r="B1609" s="1246" t="s">
        <v>434</v>
      </c>
      <c r="C1609" s="1247">
        <v>0.16</v>
      </c>
      <c r="E1609" s="1246" t="s">
        <v>376</v>
      </c>
      <c r="F1609" s="1248">
        <v>1</v>
      </c>
      <c r="G1609" s="1248">
        <v>1</v>
      </c>
      <c r="H1609" s="1249">
        <v>1</v>
      </c>
      <c r="I1609" s="1246" t="s">
        <v>1491</v>
      </c>
      <c r="J1609" s="1246" t="s">
        <v>1462</v>
      </c>
      <c r="K1609" s="1284" t="str">
        <f t="shared" si="25"/>
        <v>71</v>
      </c>
      <c r="L1609" s="1246" t="s">
        <v>1496</v>
      </c>
      <c r="M1609" s="1250">
        <v>9</v>
      </c>
      <c r="N1609" s="1251">
        <v>2</v>
      </c>
      <c r="O1609" s="1252">
        <v>2</v>
      </c>
    </row>
    <row r="1610" spans="1:15">
      <c r="A1610" s="1246" t="s">
        <v>1493</v>
      </c>
      <c r="B1610" s="1246" t="s">
        <v>434</v>
      </c>
      <c r="C1610" s="1247">
        <v>0.16</v>
      </c>
      <c r="E1610" s="1246" t="s">
        <v>376</v>
      </c>
      <c r="F1610" s="1248">
        <v>2</v>
      </c>
      <c r="G1610" s="1248">
        <v>0</v>
      </c>
      <c r="H1610" s="1249">
        <v>0</v>
      </c>
      <c r="J1610" s="1246" t="s">
        <v>1462</v>
      </c>
      <c r="K1610" s="1284" t="str">
        <f t="shared" si="25"/>
        <v>71</v>
      </c>
      <c r="L1610" s="1246" t="s">
        <v>1496</v>
      </c>
      <c r="M1610" s="1250">
        <v>9</v>
      </c>
      <c r="N1610" s="1251">
        <v>2</v>
      </c>
      <c r="O1610" s="1252">
        <v>1</v>
      </c>
    </row>
    <row r="1611" spans="1:15">
      <c r="A1611" s="1246" t="s">
        <v>1490</v>
      </c>
      <c r="B1611" s="1246" t="s">
        <v>434</v>
      </c>
      <c r="C1611" s="1247">
        <v>0.16</v>
      </c>
      <c r="F1611" s="1248">
        <v>2</v>
      </c>
      <c r="G1611" s="1248">
        <v>2</v>
      </c>
      <c r="H1611" s="1249">
        <v>1</v>
      </c>
      <c r="I1611" s="1246" t="s">
        <v>1491</v>
      </c>
      <c r="J1611" s="1246" t="s">
        <v>1461</v>
      </c>
      <c r="K1611" s="1284" t="str">
        <f t="shared" si="25"/>
        <v>3C</v>
      </c>
      <c r="L1611" s="1246" t="s">
        <v>1502</v>
      </c>
      <c r="M1611" s="1250">
        <v>3</v>
      </c>
      <c r="N1611" s="1251">
        <v>2</v>
      </c>
      <c r="O1611" s="1252">
        <v>1</v>
      </c>
    </row>
    <row r="1612" spans="1:15">
      <c r="A1612" s="1246" t="s">
        <v>1490</v>
      </c>
      <c r="B1612" s="1246" t="s">
        <v>434</v>
      </c>
      <c r="C1612" s="1247">
        <v>0.16</v>
      </c>
      <c r="F1612" s="1248">
        <v>2</v>
      </c>
      <c r="G1612" s="1248">
        <v>2</v>
      </c>
      <c r="H1612" s="1249">
        <v>1</v>
      </c>
      <c r="I1612" s="1246" t="s">
        <v>1491</v>
      </c>
      <c r="J1612" s="1246" t="s">
        <v>1460</v>
      </c>
      <c r="K1612" s="1284" t="str">
        <f t="shared" si="25"/>
        <v>30</v>
      </c>
      <c r="L1612" s="1246" t="s">
        <v>1498</v>
      </c>
      <c r="M1612" s="1250">
        <v>2</v>
      </c>
      <c r="N1612" s="1251">
        <v>2</v>
      </c>
      <c r="O1612" s="1252">
        <v>1</v>
      </c>
    </row>
    <row r="1613" spans="1:15">
      <c r="A1613" s="1246" t="s">
        <v>1490</v>
      </c>
      <c r="B1613" s="1246" t="s">
        <v>434</v>
      </c>
      <c r="C1613" s="1247">
        <v>0.16</v>
      </c>
      <c r="E1613" s="1246" t="s">
        <v>370</v>
      </c>
      <c r="F1613" s="1248">
        <v>2</v>
      </c>
      <c r="G1613" s="1248">
        <v>2</v>
      </c>
      <c r="H1613" s="1249">
        <v>1</v>
      </c>
      <c r="I1613" s="1246" t="s">
        <v>1491</v>
      </c>
      <c r="J1613" s="1246" t="s">
        <v>1454</v>
      </c>
      <c r="K1613" s="1284" t="str">
        <f t="shared" si="25"/>
        <v>31</v>
      </c>
      <c r="L1613" s="1246" t="s">
        <v>1506</v>
      </c>
      <c r="M1613" s="1250">
        <v>1</v>
      </c>
      <c r="N1613" s="1251">
        <v>4</v>
      </c>
      <c r="O1613" s="1252">
        <v>2</v>
      </c>
    </row>
    <row r="1614" spans="1:15">
      <c r="A1614" s="1246" t="s">
        <v>1490</v>
      </c>
      <c r="B1614" s="1246" t="s">
        <v>434</v>
      </c>
      <c r="C1614" s="1247">
        <v>0.16</v>
      </c>
      <c r="E1614" s="1246" t="s">
        <v>370</v>
      </c>
      <c r="F1614" s="1248">
        <v>2</v>
      </c>
      <c r="G1614" s="1248">
        <v>2</v>
      </c>
      <c r="H1614" s="1249">
        <v>1</v>
      </c>
      <c r="I1614" s="1246" t="s">
        <v>1491</v>
      </c>
      <c r="J1614" s="1246" t="s">
        <v>1454</v>
      </c>
      <c r="K1614" s="1284" t="str">
        <f t="shared" si="25"/>
        <v>31</v>
      </c>
      <c r="L1614" s="1246" t="s">
        <v>1523</v>
      </c>
      <c r="M1614" s="1250">
        <v>3</v>
      </c>
      <c r="N1614" s="1251">
        <v>4</v>
      </c>
      <c r="O1614" s="1252">
        <v>2</v>
      </c>
    </row>
    <row r="1615" spans="1:15">
      <c r="A1615" s="1246" t="s">
        <v>1490</v>
      </c>
      <c r="B1615" s="1246" t="s">
        <v>434</v>
      </c>
      <c r="C1615" s="1247">
        <v>0.16</v>
      </c>
      <c r="F1615" s="1248">
        <v>2</v>
      </c>
      <c r="G1615" s="1248">
        <v>2</v>
      </c>
      <c r="H1615" s="1249">
        <v>1</v>
      </c>
      <c r="I1615" s="1246" t="s">
        <v>1491</v>
      </c>
      <c r="J1615" s="1246" t="s">
        <v>1454</v>
      </c>
      <c r="K1615" s="1284" t="str">
        <f t="shared" si="25"/>
        <v>31</v>
      </c>
      <c r="L1615" s="1246" t="s">
        <v>1523</v>
      </c>
      <c r="M1615" s="1250">
        <v>3</v>
      </c>
      <c r="N1615" s="1251">
        <v>2</v>
      </c>
      <c r="O1615" s="1252">
        <v>1</v>
      </c>
    </row>
    <row r="1616" spans="1:15">
      <c r="A1616" s="1246" t="s">
        <v>1490</v>
      </c>
      <c r="B1616" s="1246" t="s">
        <v>434</v>
      </c>
      <c r="C1616" s="1247">
        <v>0.16</v>
      </c>
      <c r="F1616" s="1248">
        <v>2</v>
      </c>
      <c r="G1616" s="1248">
        <v>2</v>
      </c>
      <c r="H1616" s="1249">
        <v>1</v>
      </c>
      <c r="I1616" s="1246" t="s">
        <v>1491</v>
      </c>
      <c r="J1616" s="1246" t="s">
        <v>1457</v>
      </c>
      <c r="K1616" s="1284" t="str">
        <f t="shared" si="25"/>
        <v>35</v>
      </c>
      <c r="L1616" s="1246" t="s">
        <v>1527</v>
      </c>
      <c r="M1616" s="1250">
        <v>3</v>
      </c>
      <c r="N1616" s="1251">
        <v>2</v>
      </c>
      <c r="O1616" s="1252">
        <v>1</v>
      </c>
    </row>
    <row r="1617" spans="1:15">
      <c r="A1617" s="1246" t="s">
        <v>1493</v>
      </c>
      <c r="B1617" s="1246" t="s">
        <v>434</v>
      </c>
      <c r="C1617" s="1247">
        <v>0.16</v>
      </c>
      <c r="E1617" s="1246" t="s">
        <v>376</v>
      </c>
      <c r="F1617" s="1248">
        <v>2</v>
      </c>
      <c r="G1617" s="1248">
        <v>2</v>
      </c>
      <c r="H1617" s="1249">
        <v>1</v>
      </c>
      <c r="I1617" s="1246" t="s">
        <v>1491</v>
      </c>
      <c r="J1617" s="1246" t="s">
        <v>1462</v>
      </c>
      <c r="K1617" s="1284" t="str">
        <f t="shared" si="25"/>
        <v>71</v>
      </c>
      <c r="L1617" s="1246" t="s">
        <v>1496</v>
      </c>
      <c r="M1617" s="1250">
        <v>9</v>
      </c>
      <c r="N1617" s="1251">
        <v>6</v>
      </c>
      <c r="O1617" s="1252">
        <v>3</v>
      </c>
    </row>
    <row r="1618" spans="1:15">
      <c r="A1618" s="1246" t="s">
        <v>1493</v>
      </c>
      <c r="B1618" s="1246" t="s">
        <v>434</v>
      </c>
      <c r="C1618" s="1247">
        <v>0.16</v>
      </c>
      <c r="E1618" s="1246" t="s">
        <v>1494</v>
      </c>
      <c r="F1618" s="1248">
        <v>3</v>
      </c>
      <c r="G1618" s="1248">
        <v>0</v>
      </c>
      <c r="H1618" s="1249">
        <v>0</v>
      </c>
      <c r="J1618" s="1246" t="s">
        <v>1462</v>
      </c>
      <c r="K1618" s="1284" t="str">
        <f t="shared" si="25"/>
        <v>71</v>
      </c>
      <c r="L1618" s="1246" t="s">
        <v>1495</v>
      </c>
      <c r="M1618" s="1250">
        <v>9</v>
      </c>
      <c r="N1618" s="1251">
        <v>3</v>
      </c>
      <c r="O1618" s="1252">
        <v>1</v>
      </c>
    </row>
    <row r="1619" spans="1:15">
      <c r="A1619" s="1246" t="s">
        <v>1490</v>
      </c>
      <c r="B1619" s="1246" t="s">
        <v>434</v>
      </c>
      <c r="C1619" s="1247">
        <v>0.16</v>
      </c>
      <c r="F1619" s="1248">
        <v>3</v>
      </c>
      <c r="G1619" s="1248">
        <v>3</v>
      </c>
      <c r="H1619" s="1249">
        <v>1</v>
      </c>
      <c r="I1619" s="1246" t="s">
        <v>1491</v>
      </c>
      <c r="J1619" s="1246" t="s">
        <v>1457</v>
      </c>
      <c r="K1619" s="1284" t="str">
        <f t="shared" si="25"/>
        <v>35</v>
      </c>
      <c r="L1619" s="1246" t="s">
        <v>1527</v>
      </c>
      <c r="M1619" s="1250">
        <v>3</v>
      </c>
      <c r="N1619" s="1251">
        <v>3</v>
      </c>
      <c r="O1619" s="1252">
        <v>1</v>
      </c>
    </row>
    <row r="1620" spans="1:15">
      <c r="A1620" s="1246" t="s">
        <v>1493</v>
      </c>
      <c r="B1620" s="1246" t="s">
        <v>434</v>
      </c>
      <c r="C1620" s="1247">
        <v>0.16</v>
      </c>
      <c r="E1620" s="1246" t="s">
        <v>1494</v>
      </c>
      <c r="F1620" s="1248">
        <v>3</v>
      </c>
      <c r="G1620" s="1248">
        <v>3</v>
      </c>
      <c r="H1620" s="1249">
        <v>1</v>
      </c>
      <c r="I1620" s="1246" t="s">
        <v>1491</v>
      </c>
      <c r="J1620" s="1246" t="s">
        <v>1462</v>
      </c>
      <c r="K1620" s="1284" t="str">
        <f t="shared" si="25"/>
        <v>71</v>
      </c>
      <c r="L1620" s="1246" t="s">
        <v>1495</v>
      </c>
      <c r="M1620" s="1250">
        <v>9</v>
      </c>
      <c r="N1620" s="1251">
        <v>3</v>
      </c>
      <c r="O1620" s="1252">
        <v>1</v>
      </c>
    </row>
    <row r="1621" spans="1:15">
      <c r="A1621" s="1246" t="s">
        <v>1493</v>
      </c>
      <c r="B1621" s="1246" t="s">
        <v>434</v>
      </c>
      <c r="C1621" s="1247">
        <v>0.16</v>
      </c>
      <c r="E1621" s="1246" t="s">
        <v>1494</v>
      </c>
      <c r="F1621" s="1248">
        <v>4</v>
      </c>
      <c r="G1621" s="1248">
        <v>0</v>
      </c>
      <c r="H1621" s="1249">
        <v>0</v>
      </c>
      <c r="J1621" s="1246" t="s">
        <v>1462</v>
      </c>
      <c r="K1621" s="1284" t="str">
        <f t="shared" si="25"/>
        <v>71</v>
      </c>
      <c r="L1621" s="1246" t="s">
        <v>1495</v>
      </c>
      <c r="M1621" s="1250">
        <v>9</v>
      </c>
      <c r="N1621" s="1251">
        <v>12</v>
      </c>
      <c r="O1621" s="1252">
        <v>3</v>
      </c>
    </row>
    <row r="1622" spans="1:15">
      <c r="A1622" s="1246" t="s">
        <v>1493</v>
      </c>
      <c r="B1622" s="1246" t="s">
        <v>434</v>
      </c>
      <c r="C1622" s="1247">
        <v>0.16</v>
      </c>
      <c r="E1622" s="1246" t="s">
        <v>1494</v>
      </c>
      <c r="F1622" s="1248">
        <v>4</v>
      </c>
      <c r="G1622" s="1248">
        <v>4</v>
      </c>
      <c r="H1622" s="1249">
        <v>1</v>
      </c>
      <c r="I1622" s="1246" t="s">
        <v>1491</v>
      </c>
      <c r="J1622" s="1246" t="s">
        <v>1462</v>
      </c>
      <c r="K1622" s="1284" t="str">
        <f t="shared" si="25"/>
        <v>71</v>
      </c>
      <c r="L1622" s="1246" t="s">
        <v>1495</v>
      </c>
      <c r="M1622" s="1250">
        <v>9</v>
      </c>
      <c r="N1622" s="1251">
        <v>4</v>
      </c>
      <c r="O1622" s="1252">
        <v>1</v>
      </c>
    </row>
    <row r="1623" spans="1:15">
      <c r="A1623" s="1246" t="s">
        <v>1493</v>
      </c>
      <c r="B1623" s="1246" t="s">
        <v>434</v>
      </c>
      <c r="C1623" s="1247">
        <v>0.16</v>
      </c>
      <c r="E1623" s="1246" t="s">
        <v>1494</v>
      </c>
      <c r="F1623" s="1248">
        <v>6</v>
      </c>
      <c r="G1623" s="1248">
        <v>0</v>
      </c>
      <c r="H1623" s="1249">
        <v>0</v>
      </c>
      <c r="J1623" s="1246" t="s">
        <v>1470</v>
      </c>
      <c r="K1623" s="1284" t="str">
        <f t="shared" si="25"/>
        <v>7C</v>
      </c>
      <c r="L1623" s="1246" t="s">
        <v>1502</v>
      </c>
      <c r="M1623" s="1250">
        <v>4</v>
      </c>
      <c r="N1623" s="1251">
        <v>6</v>
      </c>
      <c r="O1623" s="1252">
        <v>1</v>
      </c>
    </row>
    <row r="1624" spans="1:15">
      <c r="A1624" s="1246" t="s">
        <v>1493</v>
      </c>
      <c r="B1624" s="1246" t="s">
        <v>434</v>
      </c>
      <c r="C1624" s="1247">
        <v>0.16</v>
      </c>
      <c r="E1624" s="1246" t="s">
        <v>1494</v>
      </c>
      <c r="F1624" s="1248">
        <v>6</v>
      </c>
      <c r="G1624" s="1248">
        <v>6</v>
      </c>
      <c r="H1624" s="1249">
        <v>1</v>
      </c>
      <c r="I1624" s="1246" t="s">
        <v>1491</v>
      </c>
      <c r="J1624" s="1246" t="s">
        <v>1462</v>
      </c>
      <c r="K1624" s="1284" t="str">
        <f t="shared" si="25"/>
        <v>71</v>
      </c>
      <c r="L1624" s="1246" t="s">
        <v>1495</v>
      </c>
      <c r="M1624" s="1250">
        <v>9</v>
      </c>
      <c r="N1624" s="1251">
        <v>6</v>
      </c>
      <c r="O1624" s="1252">
        <v>1</v>
      </c>
    </row>
    <row r="1625" spans="1:15">
      <c r="A1625" s="1246" t="s">
        <v>1493</v>
      </c>
      <c r="B1625" s="1246" t="s">
        <v>434</v>
      </c>
      <c r="C1625" s="1247">
        <v>0.16</v>
      </c>
      <c r="E1625" s="1246" t="s">
        <v>376</v>
      </c>
      <c r="F1625" s="1248">
        <v>6</v>
      </c>
      <c r="G1625" s="1248">
        <v>6</v>
      </c>
      <c r="H1625" s="1249">
        <v>1</v>
      </c>
      <c r="I1625" s="1246" t="s">
        <v>1491</v>
      </c>
      <c r="J1625" s="1246" t="s">
        <v>1462</v>
      </c>
      <c r="K1625" s="1284" t="str">
        <f t="shared" si="25"/>
        <v>71</v>
      </c>
      <c r="L1625" s="1246" t="s">
        <v>1496</v>
      </c>
      <c r="M1625" s="1250">
        <v>9</v>
      </c>
      <c r="N1625" s="1251">
        <v>6</v>
      </c>
      <c r="O1625" s="1252">
        <v>1</v>
      </c>
    </row>
    <row r="1626" spans="1:15">
      <c r="A1626" s="1246" t="s">
        <v>1493</v>
      </c>
      <c r="B1626" s="1246" t="s">
        <v>434</v>
      </c>
      <c r="C1626" s="1247">
        <v>0.16</v>
      </c>
      <c r="E1626" s="1246" t="s">
        <v>1494</v>
      </c>
      <c r="F1626" s="1248">
        <v>8</v>
      </c>
      <c r="G1626" s="1248">
        <v>0</v>
      </c>
      <c r="H1626" s="1249">
        <v>0</v>
      </c>
      <c r="J1626" s="1246" t="s">
        <v>1466</v>
      </c>
      <c r="K1626" s="1284" t="str">
        <f t="shared" si="25"/>
        <v>75</v>
      </c>
      <c r="L1626" s="1246" t="s">
        <v>1530</v>
      </c>
      <c r="M1626" s="1250">
        <v>9</v>
      </c>
      <c r="N1626" s="1251">
        <v>8</v>
      </c>
      <c r="O1626" s="1252">
        <v>1</v>
      </c>
    </row>
    <row r="1627" spans="1:15">
      <c r="A1627" s="1246" t="s">
        <v>1493</v>
      </c>
      <c r="B1627" s="1246" t="s">
        <v>434</v>
      </c>
      <c r="C1627" s="1247">
        <v>0.16</v>
      </c>
      <c r="E1627" s="1246" t="s">
        <v>1494</v>
      </c>
      <c r="F1627" s="1248">
        <v>17</v>
      </c>
      <c r="G1627" s="1248">
        <v>0</v>
      </c>
      <c r="H1627" s="1249">
        <v>0</v>
      </c>
      <c r="J1627" s="1246" t="s">
        <v>1462</v>
      </c>
      <c r="K1627" s="1284" t="str">
        <f t="shared" si="25"/>
        <v>71</v>
      </c>
      <c r="L1627" s="1246" t="s">
        <v>1495</v>
      </c>
      <c r="M1627" s="1250">
        <v>9</v>
      </c>
      <c r="N1627" s="1251">
        <v>17</v>
      </c>
      <c r="O1627" s="1252">
        <v>1</v>
      </c>
    </row>
    <row r="1628" spans="1:15">
      <c r="A1628" s="1246" t="s">
        <v>1493</v>
      </c>
      <c r="B1628" s="1246" t="s">
        <v>434</v>
      </c>
      <c r="C1628" s="1247">
        <v>0.16</v>
      </c>
      <c r="E1628" s="1246" t="s">
        <v>370</v>
      </c>
      <c r="F1628" s="1248">
        <v>19</v>
      </c>
      <c r="G1628" s="1248">
        <v>0</v>
      </c>
      <c r="H1628" s="1249">
        <v>0</v>
      </c>
      <c r="J1628" s="1246" t="s">
        <v>1462</v>
      </c>
      <c r="K1628" s="1284" t="str">
        <f t="shared" si="25"/>
        <v>71</v>
      </c>
      <c r="L1628" s="1246" t="s">
        <v>1495</v>
      </c>
      <c r="M1628" s="1250">
        <v>9</v>
      </c>
      <c r="N1628" s="1251">
        <v>19</v>
      </c>
      <c r="O1628" s="1252">
        <v>1</v>
      </c>
    </row>
    <row r="1629" spans="1:15">
      <c r="A1629" s="1246" t="s">
        <v>1493</v>
      </c>
      <c r="B1629" s="1246" t="s">
        <v>434</v>
      </c>
      <c r="C1629" s="1247">
        <v>0.16</v>
      </c>
      <c r="E1629" s="1246" t="s">
        <v>376</v>
      </c>
      <c r="F1629" s="1248">
        <v>19</v>
      </c>
      <c r="G1629" s="1248">
        <v>19</v>
      </c>
      <c r="H1629" s="1249">
        <v>1</v>
      </c>
      <c r="I1629" s="1246" t="s">
        <v>1491</v>
      </c>
      <c r="J1629" s="1246" t="s">
        <v>1462</v>
      </c>
      <c r="K1629" s="1284" t="str">
        <f t="shared" si="25"/>
        <v>71</v>
      </c>
      <c r="L1629" s="1246" t="s">
        <v>1496</v>
      </c>
      <c r="M1629" s="1250">
        <v>9</v>
      </c>
      <c r="N1629" s="1251">
        <v>19</v>
      </c>
      <c r="O1629" s="1252">
        <v>1</v>
      </c>
    </row>
    <row r="1630" spans="1:15">
      <c r="A1630" s="1246" t="s">
        <v>1493</v>
      </c>
      <c r="B1630" s="1246" t="s">
        <v>434</v>
      </c>
      <c r="C1630" s="1247">
        <v>0.16</v>
      </c>
      <c r="E1630" s="1246" t="s">
        <v>376</v>
      </c>
      <c r="F1630" s="1248">
        <v>24</v>
      </c>
      <c r="G1630" s="1248">
        <v>24</v>
      </c>
      <c r="H1630" s="1249">
        <v>1</v>
      </c>
      <c r="I1630" s="1246" t="s">
        <v>1491</v>
      </c>
      <c r="J1630" s="1246" t="s">
        <v>1462</v>
      </c>
      <c r="K1630" s="1284" t="str">
        <f t="shared" si="25"/>
        <v>71</v>
      </c>
      <c r="L1630" s="1246" t="s">
        <v>1496</v>
      </c>
      <c r="M1630" s="1250">
        <v>9</v>
      </c>
      <c r="N1630" s="1251">
        <v>24</v>
      </c>
      <c r="O1630" s="1252">
        <v>1</v>
      </c>
    </row>
    <row r="1631" spans="1:15">
      <c r="A1631" s="1246" t="s">
        <v>1493</v>
      </c>
      <c r="B1631" s="1246" t="s">
        <v>434</v>
      </c>
      <c r="C1631" s="1247">
        <v>0.16</v>
      </c>
      <c r="E1631" s="1246" t="s">
        <v>1494</v>
      </c>
      <c r="F1631" s="1248">
        <v>30</v>
      </c>
      <c r="G1631" s="1248">
        <v>0</v>
      </c>
      <c r="H1631" s="1249">
        <v>0</v>
      </c>
      <c r="J1631" s="1246" t="s">
        <v>1462</v>
      </c>
      <c r="K1631" s="1284" t="str">
        <f t="shared" si="25"/>
        <v>71</v>
      </c>
      <c r="L1631" s="1246" t="s">
        <v>1495</v>
      </c>
      <c r="M1631" s="1250">
        <v>9</v>
      </c>
      <c r="N1631" s="1251">
        <v>30</v>
      </c>
      <c r="O1631" s="1252">
        <v>1</v>
      </c>
    </row>
    <row r="1632" spans="1:15">
      <c r="A1632" s="1246" t="s">
        <v>1493</v>
      </c>
      <c r="B1632" s="1246" t="s">
        <v>434</v>
      </c>
      <c r="C1632" s="1247">
        <v>0.16</v>
      </c>
      <c r="E1632" s="1246" t="s">
        <v>1494</v>
      </c>
      <c r="F1632" s="1248">
        <v>30</v>
      </c>
      <c r="G1632" s="1248">
        <v>0</v>
      </c>
      <c r="H1632" s="1249">
        <v>0</v>
      </c>
      <c r="J1632" s="1246" t="s">
        <v>1466</v>
      </c>
      <c r="K1632" s="1284" t="str">
        <f t="shared" si="25"/>
        <v>75</v>
      </c>
      <c r="L1632" s="1246" t="s">
        <v>1530</v>
      </c>
      <c r="M1632" s="1250">
        <v>9</v>
      </c>
      <c r="N1632" s="1251">
        <v>30</v>
      </c>
      <c r="O1632" s="1252">
        <v>1</v>
      </c>
    </row>
    <row r="1633" spans="1:15">
      <c r="A1633" s="1246" t="s">
        <v>1493</v>
      </c>
      <c r="B1633" s="1246" t="s">
        <v>434</v>
      </c>
      <c r="C1633" s="1247">
        <v>0.16</v>
      </c>
      <c r="E1633" s="1246" t="s">
        <v>376</v>
      </c>
      <c r="F1633" s="1248">
        <v>61</v>
      </c>
      <c r="G1633" s="1248">
        <v>61</v>
      </c>
      <c r="H1633" s="1249">
        <v>1</v>
      </c>
      <c r="I1633" s="1246" t="s">
        <v>1491</v>
      </c>
      <c r="J1633" s="1246" t="s">
        <v>1462</v>
      </c>
      <c r="K1633" s="1284" t="str">
        <f t="shared" si="25"/>
        <v>71</v>
      </c>
      <c r="L1633" s="1246" t="s">
        <v>1496</v>
      </c>
      <c r="M1633" s="1250">
        <v>9</v>
      </c>
      <c r="N1633" s="1251">
        <v>61</v>
      </c>
      <c r="O1633" s="1252">
        <v>1</v>
      </c>
    </row>
    <row r="1634" spans="1:15">
      <c r="A1634" s="1246" t="s">
        <v>1493</v>
      </c>
      <c r="B1634" s="1246" t="s">
        <v>434</v>
      </c>
      <c r="C1634" s="1247">
        <v>0.16</v>
      </c>
      <c r="E1634" s="1246" t="s">
        <v>376</v>
      </c>
      <c r="F1634" s="1248">
        <v>68</v>
      </c>
      <c r="G1634" s="1248">
        <v>68</v>
      </c>
      <c r="H1634" s="1249">
        <v>1</v>
      </c>
      <c r="I1634" s="1246" t="s">
        <v>1491</v>
      </c>
      <c r="J1634" s="1246" t="s">
        <v>1462</v>
      </c>
      <c r="K1634" s="1284" t="str">
        <f t="shared" si="25"/>
        <v>71</v>
      </c>
      <c r="L1634" s="1246" t="s">
        <v>1496</v>
      </c>
      <c r="M1634" s="1250">
        <v>9</v>
      </c>
      <c r="N1634" s="1251">
        <v>68</v>
      </c>
      <c r="O1634" s="1252">
        <v>1</v>
      </c>
    </row>
    <row r="1635" spans="1:15">
      <c r="A1635" s="1246" t="s">
        <v>1493</v>
      </c>
      <c r="B1635" s="1246" t="s">
        <v>434</v>
      </c>
      <c r="C1635" s="1247">
        <v>0.3</v>
      </c>
      <c r="E1635" s="1246" t="s">
        <v>1494</v>
      </c>
      <c r="F1635" s="1248">
        <v>1</v>
      </c>
      <c r="G1635" s="1248">
        <v>0</v>
      </c>
      <c r="H1635" s="1249">
        <v>0</v>
      </c>
      <c r="J1635" s="1246" t="s">
        <v>1462</v>
      </c>
      <c r="K1635" s="1284" t="str">
        <f t="shared" si="25"/>
        <v>71</v>
      </c>
      <c r="L1635" s="1246" t="s">
        <v>1495</v>
      </c>
      <c r="M1635" s="1250">
        <v>9</v>
      </c>
      <c r="N1635" s="1251">
        <v>1</v>
      </c>
      <c r="O1635" s="1252">
        <v>1</v>
      </c>
    </row>
    <row r="1636" spans="1:15">
      <c r="A1636" s="1246" t="s">
        <v>1490</v>
      </c>
      <c r="B1636" s="1246" t="s">
        <v>434</v>
      </c>
      <c r="C1636" s="1247">
        <v>0.3</v>
      </c>
      <c r="F1636" s="1248">
        <v>1</v>
      </c>
      <c r="G1636" s="1248">
        <v>1</v>
      </c>
      <c r="H1636" s="1249">
        <v>1</v>
      </c>
      <c r="I1636" s="1246" t="s">
        <v>1491</v>
      </c>
      <c r="J1636" s="1246" t="s">
        <v>1460</v>
      </c>
      <c r="K1636" s="1284" t="str">
        <f t="shared" si="25"/>
        <v>30</v>
      </c>
      <c r="L1636" s="1246" t="s">
        <v>1497</v>
      </c>
      <c r="M1636" s="1250">
        <v>1</v>
      </c>
      <c r="N1636" s="1251">
        <v>289</v>
      </c>
      <c r="O1636" s="1252">
        <v>289</v>
      </c>
    </row>
    <row r="1637" spans="1:15">
      <c r="A1637" s="1246" t="s">
        <v>1490</v>
      </c>
      <c r="B1637" s="1246" t="s">
        <v>434</v>
      </c>
      <c r="C1637" s="1247">
        <v>0.3</v>
      </c>
      <c r="F1637" s="1248">
        <v>1</v>
      </c>
      <c r="G1637" s="1248">
        <v>1</v>
      </c>
      <c r="H1637" s="1249">
        <v>1</v>
      </c>
      <c r="I1637" s="1246" t="s">
        <v>1491</v>
      </c>
      <c r="J1637" s="1246" t="s">
        <v>1461</v>
      </c>
      <c r="K1637" s="1284" t="str">
        <f t="shared" si="25"/>
        <v>3C</v>
      </c>
      <c r="L1637" s="1246" t="s">
        <v>1502</v>
      </c>
      <c r="M1637" s="1250">
        <v>1</v>
      </c>
      <c r="N1637" s="1251">
        <v>724</v>
      </c>
      <c r="O1637" s="1252">
        <v>724</v>
      </c>
    </row>
    <row r="1638" spans="1:15">
      <c r="A1638" s="1246" t="s">
        <v>1490</v>
      </c>
      <c r="B1638" s="1246" t="s">
        <v>434</v>
      </c>
      <c r="C1638" s="1247">
        <v>0.3</v>
      </c>
      <c r="F1638" s="1248">
        <v>1</v>
      </c>
      <c r="G1638" s="1248">
        <v>1</v>
      </c>
      <c r="H1638" s="1249">
        <v>1</v>
      </c>
      <c r="I1638" s="1246" t="s">
        <v>1491</v>
      </c>
      <c r="J1638" s="1246" t="s">
        <v>1461</v>
      </c>
      <c r="K1638" s="1284" t="str">
        <f t="shared" si="25"/>
        <v>3C</v>
      </c>
      <c r="L1638" s="1246" t="s">
        <v>1502</v>
      </c>
      <c r="M1638" s="1250">
        <v>3</v>
      </c>
      <c r="N1638" s="1251">
        <v>320</v>
      </c>
      <c r="O1638" s="1252">
        <v>320</v>
      </c>
    </row>
    <row r="1639" spans="1:15">
      <c r="A1639" s="1246" t="s">
        <v>1493</v>
      </c>
      <c r="B1639" s="1246" t="s">
        <v>434</v>
      </c>
      <c r="C1639" s="1247">
        <v>0.3</v>
      </c>
      <c r="E1639" s="1246" t="s">
        <v>1494</v>
      </c>
      <c r="F1639" s="1248">
        <v>1</v>
      </c>
      <c r="G1639" s="1248">
        <v>1</v>
      </c>
      <c r="H1639" s="1249">
        <v>1</v>
      </c>
      <c r="I1639" s="1246" t="s">
        <v>1491</v>
      </c>
      <c r="J1639" s="1246" t="s">
        <v>1470</v>
      </c>
      <c r="K1639" s="1284" t="str">
        <f t="shared" si="25"/>
        <v>7C</v>
      </c>
      <c r="L1639" s="1246" t="s">
        <v>1502</v>
      </c>
      <c r="M1639" s="1250">
        <v>4</v>
      </c>
      <c r="N1639" s="1251">
        <v>18</v>
      </c>
      <c r="O1639" s="1252">
        <v>18</v>
      </c>
    </row>
    <row r="1640" spans="1:15">
      <c r="A1640" s="1246" t="s">
        <v>1490</v>
      </c>
      <c r="B1640" s="1246" t="s">
        <v>434</v>
      </c>
      <c r="C1640" s="1247">
        <v>0.3</v>
      </c>
      <c r="F1640" s="1248">
        <v>1</v>
      </c>
      <c r="G1640" s="1248">
        <v>1</v>
      </c>
      <c r="H1640" s="1249">
        <v>1</v>
      </c>
      <c r="I1640" s="1246" t="s">
        <v>1491</v>
      </c>
      <c r="J1640" s="1246" t="s">
        <v>1460</v>
      </c>
      <c r="K1640" s="1284" t="str">
        <f t="shared" si="25"/>
        <v>30</v>
      </c>
      <c r="L1640" s="1246" t="s">
        <v>1498</v>
      </c>
      <c r="M1640" s="1250">
        <v>2</v>
      </c>
      <c r="N1640" s="1251">
        <v>291</v>
      </c>
      <c r="O1640" s="1252">
        <v>291</v>
      </c>
    </row>
    <row r="1641" spans="1:15">
      <c r="A1641" s="1246" t="s">
        <v>1493</v>
      </c>
      <c r="B1641" s="1246" t="s">
        <v>434</v>
      </c>
      <c r="C1641" s="1247">
        <v>0.3</v>
      </c>
      <c r="E1641" s="1246" t="s">
        <v>1494</v>
      </c>
      <c r="F1641" s="1248">
        <v>1</v>
      </c>
      <c r="G1641" s="1248">
        <v>1</v>
      </c>
      <c r="H1641" s="1249">
        <v>1</v>
      </c>
      <c r="I1641" s="1246" t="s">
        <v>1491</v>
      </c>
      <c r="J1641" s="1246" t="s">
        <v>1469</v>
      </c>
      <c r="K1641" s="1284">
        <f t="shared" si="25"/>
        <v>70</v>
      </c>
      <c r="L1641" s="1246" t="s">
        <v>1534</v>
      </c>
      <c r="M1641" s="1250">
        <v>4</v>
      </c>
      <c r="N1641" s="1251">
        <v>1</v>
      </c>
      <c r="O1641" s="1252">
        <v>1</v>
      </c>
    </row>
    <row r="1642" spans="1:15">
      <c r="A1642" s="1246" t="s">
        <v>1490</v>
      </c>
      <c r="B1642" s="1246" t="s">
        <v>434</v>
      </c>
      <c r="C1642" s="1247">
        <v>0.3</v>
      </c>
      <c r="F1642" s="1248">
        <v>1</v>
      </c>
      <c r="G1642" s="1248">
        <v>1</v>
      </c>
      <c r="H1642" s="1249">
        <v>1</v>
      </c>
      <c r="I1642" s="1246" t="s">
        <v>1491</v>
      </c>
      <c r="J1642" s="1246" t="s">
        <v>1460</v>
      </c>
      <c r="K1642" s="1284" t="str">
        <f t="shared" si="25"/>
        <v>30</v>
      </c>
      <c r="L1642" s="1246" t="s">
        <v>1499</v>
      </c>
      <c r="M1642" s="1250">
        <v>5</v>
      </c>
      <c r="N1642" s="1251">
        <v>288</v>
      </c>
      <c r="O1642" s="1252">
        <v>288</v>
      </c>
    </row>
    <row r="1643" spans="1:15">
      <c r="A1643" s="1246" t="s">
        <v>1490</v>
      </c>
      <c r="B1643" s="1246" t="s">
        <v>434</v>
      </c>
      <c r="C1643" s="1247">
        <v>0.3</v>
      </c>
      <c r="F1643" s="1248">
        <v>1</v>
      </c>
      <c r="G1643" s="1248">
        <v>1</v>
      </c>
      <c r="H1643" s="1249">
        <v>1</v>
      </c>
      <c r="I1643" s="1246" t="s">
        <v>1491</v>
      </c>
      <c r="J1643" s="1246" t="s">
        <v>1399</v>
      </c>
      <c r="K1643" s="1284" t="str">
        <f t="shared" si="25"/>
        <v>30</v>
      </c>
      <c r="L1643" s="1246" t="s">
        <v>1503</v>
      </c>
      <c r="M1643" s="1250">
        <v>1</v>
      </c>
      <c r="N1643" s="1251">
        <v>2</v>
      </c>
      <c r="O1643" s="1252">
        <v>2</v>
      </c>
    </row>
    <row r="1644" spans="1:15">
      <c r="A1644" s="1246" t="s">
        <v>1490</v>
      </c>
      <c r="B1644" s="1246" t="s">
        <v>434</v>
      </c>
      <c r="C1644" s="1247">
        <v>0.3</v>
      </c>
      <c r="F1644" s="1248">
        <v>1</v>
      </c>
      <c r="G1644" s="1248">
        <v>1</v>
      </c>
      <c r="H1644" s="1249">
        <v>1</v>
      </c>
      <c r="I1644" s="1246" t="s">
        <v>1491</v>
      </c>
      <c r="J1644" s="1246" t="s">
        <v>1399</v>
      </c>
      <c r="K1644" s="1284" t="str">
        <f t="shared" si="25"/>
        <v>30</v>
      </c>
      <c r="L1644" s="1246" t="s">
        <v>1504</v>
      </c>
      <c r="M1644" s="1250">
        <v>1</v>
      </c>
      <c r="N1644" s="1251">
        <v>1</v>
      </c>
      <c r="O1644" s="1252">
        <v>1</v>
      </c>
    </row>
    <row r="1645" spans="1:15">
      <c r="A1645" s="1246" t="s">
        <v>1490</v>
      </c>
      <c r="B1645" s="1246" t="s">
        <v>434</v>
      </c>
      <c r="C1645" s="1247">
        <v>0.3</v>
      </c>
      <c r="F1645" s="1248">
        <v>1</v>
      </c>
      <c r="G1645" s="1248">
        <v>1</v>
      </c>
      <c r="H1645" s="1249">
        <v>1</v>
      </c>
      <c r="I1645" s="1246" t="s">
        <v>1491</v>
      </c>
      <c r="J1645" s="1246" t="s">
        <v>1455</v>
      </c>
      <c r="K1645" s="1284" t="str">
        <f t="shared" si="25"/>
        <v>32</v>
      </c>
      <c r="L1645" s="1246" t="s">
        <v>1505</v>
      </c>
      <c r="M1645" s="1250">
        <v>1</v>
      </c>
      <c r="N1645" s="1251">
        <v>8</v>
      </c>
      <c r="O1645" s="1252">
        <v>8</v>
      </c>
    </row>
    <row r="1646" spans="1:15">
      <c r="A1646" s="1246" t="s">
        <v>1490</v>
      </c>
      <c r="B1646" s="1246" t="s">
        <v>434</v>
      </c>
      <c r="C1646" s="1247">
        <v>0.3</v>
      </c>
      <c r="F1646" s="1248">
        <v>1</v>
      </c>
      <c r="G1646" s="1248">
        <v>1</v>
      </c>
      <c r="H1646" s="1249">
        <v>1</v>
      </c>
      <c r="I1646" s="1246" t="s">
        <v>1491</v>
      </c>
      <c r="J1646" s="1246" t="s">
        <v>1454</v>
      </c>
      <c r="K1646" s="1284" t="str">
        <f t="shared" si="25"/>
        <v>31</v>
      </c>
      <c r="L1646" s="1246" t="s">
        <v>1506</v>
      </c>
      <c r="M1646" s="1250">
        <v>1</v>
      </c>
      <c r="N1646" s="1251">
        <v>861</v>
      </c>
      <c r="O1646" s="1252">
        <v>861</v>
      </c>
    </row>
    <row r="1647" spans="1:15">
      <c r="A1647" s="1246" t="s">
        <v>1490</v>
      </c>
      <c r="B1647" s="1246" t="s">
        <v>434</v>
      </c>
      <c r="C1647" s="1247">
        <v>0.3</v>
      </c>
      <c r="E1647" s="1246" t="s">
        <v>370</v>
      </c>
      <c r="F1647" s="1248">
        <v>1</v>
      </c>
      <c r="G1647" s="1248">
        <v>1</v>
      </c>
      <c r="H1647" s="1249">
        <v>1</v>
      </c>
      <c r="I1647" s="1246" t="s">
        <v>1491</v>
      </c>
      <c r="J1647" s="1246" t="s">
        <v>1454</v>
      </c>
      <c r="K1647" s="1284" t="str">
        <f t="shared" si="25"/>
        <v>31</v>
      </c>
      <c r="L1647" s="1246" t="s">
        <v>1506</v>
      </c>
      <c r="M1647" s="1250">
        <v>1</v>
      </c>
      <c r="N1647" s="1251">
        <v>474</v>
      </c>
      <c r="O1647" s="1252">
        <v>474</v>
      </c>
    </row>
    <row r="1648" spans="1:15">
      <c r="A1648" s="1246" t="s">
        <v>1490</v>
      </c>
      <c r="B1648" s="1246" t="s">
        <v>434</v>
      </c>
      <c r="C1648" s="1247">
        <v>0.3</v>
      </c>
      <c r="F1648" s="1248">
        <v>1</v>
      </c>
      <c r="G1648" s="1248">
        <v>1</v>
      </c>
      <c r="H1648" s="1249">
        <v>1</v>
      </c>
      <c r="I1648" s="1246" t="s">
        <v>1491</v>
      </c>
      <c r="J1648" s="1246" t="s">
        <v>1458</v>
      </c>
      <c r="K1648" s="1284" t="str">
        <f t="shared" si="25"/>
        <v>36</v>
      </c>
      <c r="L1648" s="1246" t="s">
        <v>1507</v>
      </c>
      <c r="M1648" s="1250">
        <v>1</v>
      </c>
      <c r="N1648" s="1251">
        <v>1</v>
      </c>
      <c r="O1648" s="1252">
        <v>1</v>
      </c>
    </row>
    <row r="1649" spans="1:15">
      <c r="A1649" s="1246" t="s">
        <v>1490</v>
      </c>
      <c r="B1649" s="1246" t="s">
        <v>434</v>
      </c>
      <c r="C1649" s="1247">
        <v>0.3</v>
      </c>
      <c r="F1649" s="1248">
        <v>1</v>
      </c>
      <c r="G1649" s="1248">
        <v>1</v>
      </c>
      <c r="H1649" s="1249">
        <v>1</v>
      </c>
      <c r="I1649" s="1246" t="s">
        <v>1491</v>
      </c>
      <c r="J1649" s="1246" t="s">
        <v>1399</v>
      </c>
      <c r="K1649" s="1284" t="str">
        <f t="shared" si="25"/>
        <v>30</v>
      </c>
      <c r="L1649" s="1246" t="s">
        <v>1508</v>
      </c>
      <c r="M1649" s="1250">
        <v>1</v>
      </c>
      <c r="N1649" s="1251">
        <v>4</v>
      </c>
      <c r="O1649" s="1252">
        <v>4</v>
      </c>
    </row>
    <row r="1650" spans="1:15">
      <c r="A1650" s="1246" t="s">
        <v>1490</v>
      </c>
      <c r="B1650" s="1246" t="s">
        <v>434</v>
      </c>
      <c r="C1650" s="1247">
        <v>0.3</v>
      </c>
      <c r="F1650" s="1248">
        <v>1</v>
      </c>
      <c r="G1650" s="1248">
        <v>1</v>
      </c>
      <c r="H1650" s="1249">
        <v>1</v>
      </c>
      <c r="I1650" s="1246" t="s">
        <v>1491</v>
      </c>
      <c r="J1650" s="1246" t="s">
        <v>1399</v>
      </c>
      <c r="K1650" s="1284" t="str">
        <f t="shared" si="25"/>
        <v>30</v>
      </c>
      <c r="L1650" s="1246" t="s">
        <v>1509</v>
      </c>
      <c r="M1650" s="1250">
        <v>1</v>
      </c>
      <c r="N1650" s="1251">
        <v>1</v>
      </c>
      <c r="O1650" s="1252">
        <v>1</v>
      </c>
    </row>
    <row r="1651" spans="1:15">
      <c r="A1651" s="1246" t="s">
        <v>1490</v>
      </c>
      <c r="B1651" s="1246" t="s">
        <v>434</v>
      </c>
      <c r="C1651" s="1247">
        <v>0.3</v>
      </c>
      <c r="F1651" s="1248">
        <v>1</v>
      </c>
      <c r="G1651" s="1248">
        <v>1</v>
      </c>
      <c r="H1651" s="1249">
        <v>1</v>
      </c>
      <c r="I1651" s="1246" t="s">
        <v>1491</v>
      </c>
      <c r="J1651" s="1246" t="s">
        <v>1457</v>
      </c>
      <c r="K1651" s="1284" t="str">
        <f t="shared" si="25"/>
        <v>35</v>
      </c>
      <c r="L1651" s="1246" t="s">
        <v>1501</v>
      </c>
      <c r="M1651" s="1250">
        <v>1</v>
      </c>
      <c r="N1651" s="1251">
        <v>150</v>
      </c>
      <c r="O1651" s="1252">
        <v>150</v>
      </c>
    </row>
    <row r="1652" spans="1:15">
      <c r="A1652" s="1246" t="s">
        <v>1490</v>
      </c>
      <c r="B1652" s="1246" t="s">
        <v>434</v>
      </c>
      <c r="C1652" s="1247">
        <v>0.3</v>
      </c>
      <c r="F1652" s="1248">
        <v>1</v>
      </c>
      <c r="G1652" s="1248">
        <v>1</v>
      </c>
      <c r="H1652" s="1249">
        <v>1</v>
      </c>
      <c r="I1652" s="1246" t="s">
        <v>1491</v>
      </c>
      <c r="J1652" s="1246" t="s">
        <v>1399</v>
      </c>
      <c r="K1652" s="1284" t="str">
        <f t="shared" si="25"/>
        <v>30</v>
      </c>
      <c r="L1652" s="1246" t="s">
        <v>1510</v>
      </c>
      <c r="M1652" s="1250">
        <v>1</v>
      </c>
      <c r="N1652" s="1251">
        <v>16</v>
      </c>
      <c r="O1652" s="1252">
        <v>16</v>
      </c>
    </row>
    <row r="1653" spans="1:15">
      <c r="A1653" s="1246" t="s">
        <v>1490</v>
      </c>
      <c r="B1653" s="1246" t="s">
        <v>434</v>
      </c>
      <c r="C1653" s="1247">
        <v>0.3</v>
      </c>
      <c r="F1653" s="1248">
        <v>1</v>
      </c>
      <c r="G1653" s="1248">
        <v>1</v>
      </c>
      <c r="H1653" s="1249">
        <v>1</v>
      </c>
      <c r="I1653" s="1246" t="s">
        <v>1491</v>
      </c>
      <c r="J1653" s="1246" t="s">
        <v>1455</v>
      </c>
      <c r="K1653" s="1284" t="str">
        <f t="shared" si="25"/>
        <v>32</v>
      </c>
      <c r="L1653" s="1246" t="s">
        <v>1513</v>
      </c>
      <c r="M1653" s="1250">
        <v>2</v>
      </c>
      <c r="N1653" s="1251">
        <v>5</v>
      </c>
      <c r="O1653" s="1252">
        <v>5</v>
      </c>
    </row>
    <row r="1654" spans="1:15">
      <c r="A1654" s="1246" t="s">
        <v>1490</v>
      </c>
      <c r="B1654" s="1246" t="s">
        <v>434</v>
      </c>
      <c r="C1654" s="1247">
        <v>0.3</v>
      </c>
      <c r="F1654" s="1248">
        <v>1</v>
      </c>
      <c r="G1654" s="1248">
        <v>1</v>
      </c>
      <c r="H1654" s="1249">
        <v>1</v>
      </c>
      <c r="I1654" s="1246" t="s">
        <v>1491</v>
      </c>
      <c r="J1654" s="1246" t="s">
        <v>1454</v>
      </c>
      <c r="K1654" s="1284" t="str">
        <f t="shared" si="25"/>
        <v>31</v>
      </c>
      <c r="L1654" s="1246" t="s">
        <v>1500</v>
      </c>
      <c r="M1654" s="1250">
        <v>2</v>
      </c>
      <c r="N1654" s="1251">
        <v>747</v>
      </c>
      <c r="O1654" s="1252">
        <v>747</v>
      </c>
    </row>
    <row r="1655" spans="1:15">
      <c r="A1655" s="1246" t="s">
        <v>1490</v>
      </c>
      <c r="B1655" s="1246" t="s">
        <v>434</v>
      </c>
      <c r="C1655" s="1247">
        <v>0.3</v>
      </c>
      <c r="E1655" s="1246" t="s">
        <v>370</v>
      </c>
      <c r="F1655" s="1248">
        <v>1</v>
      </c>
      <c r="G1655" s="1248">
        <v>1</v>
      </c>
      <c r="H1655" s="1249">
        <v>1</v>
      </c>
      <c r="I1655" s="1246" t="s">
        <v>1491</v>
      </c>
      <c r="J1655" s="1246" t="s">
        <v>1454</v>
      </c>
      <c r="K1655" s="1284" t="str">
        <f t="shared" si="25"/>
        <v>31</v>
      </c>
      <c r="L1655" s="1246" t="s">
        <v>1500</v>
      </c>
      <c r="M1655" s="1250">
        <v>2</v>
      </c>
      <c r="N1655" s="1251">
        <v>281</v>
      </c>
      <c r="O1655" s="1252">
        <v>281</v>
      </c>
    </row>
    <row r="1656" spans="1:15">
      <c r="A1656" s="1246" t="s">
        <v>1490</v>
      </c>
      <c r="B1656" s="1246" t="s">
        <v>434</v>
      </c>
      <c r="C1656" s="1247">
        <v>0.3</v>
      </c>
      <c r="F1656" s="1248">
        <v>1</v>
      </c>
      <c r="G1656" s="1248">
        <v>1</v>
      </c>
      <c r="H1656" s="1249">
        <v>1</v>
      </c>
      <c r="I1656" s="1246" t="s">
        <v>1491</v>
      </c>
      <c r="J1656" s="1246" t="s">
        <v>1458</v>
      </c>
      <c r="K1656" s="1284" t="str">
        <f t="shared" si="25"/>
        <v>36</v>
      </c>
      <c r="L1656" s="1246" t="s">
        <v>1514</v>
      </c>
      <c r="M1656" s="1250">
        <v>2</v>
      </c>
      <c r="N1656" s="1251">
        <v>4</v>
      </c>
      <c r="O1656" s="1252">
        <v>4</v>
      </c>
    </row>
    <row r="1657" spans="1:15">
      <c r="A1657" s="1246" t="s">
        <v>1490</v>
      </c>
      <c r="B1657" s="1246" t="s">
        <v>434</v>
      </c>
      <c r="C1657" s="1247">
        <v>0.3</v>
      </c>
      <c r="F1657" s="1248">
        <v>1</v>
      </c>
      <c r="G1657" s="1248">
        <v>1</v>
      </c>
      <c r="H1657" s="1249">
        <v>1</v>
      </c>
      <c r="I1657" s="1246" t="s">
        <v>1491</v>
      </c>
      <c r="J1657" s="1246" t="s">
        <v>1399</v>
      </c>
      <c r="K1657" s="1284" t="str">
        <f t="shared" si="25"/>
        <v>30</v>
      </c>
      <c r="L1657" s="1246" t="s">
        <v>1515</v>
      </c>
      <c r="M1657" s="1250">
        <v>2</v>
      </c>
      <c r="N1657" s="1251">
        <v>2</v>
      </c>
      <c r="O1657" s="1252">
        <v>2</v>
      </c>
    </row>
    <row r="1658" spans="1:15">
      <c r="A1658" s="1246" t="s">
        <v>1490</v>
      </c>
      <c r="B1658" s="1246" t="s">
        <v>434</v>
      </c>
      <c r="C1658" s="1247">
        <v>0.3</v>
      </c>
      <c r="F1658" s="1248">
        <v>1</v>
      </c>
      <c r="G1658" s="1248">
        <v>1</v>
      </c>
      <c r="H1658" s="1249">
        <v>1</v>
      </c>
      <c r="I1658" s="1246" t="s">
        <v>1491</v>
      </c>
      <c r="J1658" s="1246" t="s">
        <v>1399</v>
      </c>
      <c r="K1658" s="1284" t="str">
        <f t="shared" si="25"/>
        <v>30</v>
      </c>
      <c r="L1658" s="1246" t="s">
        <v>1516</v>
      </c>
      <c r="M1658" s="1250">
        <v>2</v>
      </c>
      <c r="N1658" s="1251">
        <v>2</v>
      </c>
      <c r="O1658" s="1252">
        <v>2</v>
      </c>
    </row>
    <row r="1659" spans="1:15">
      <c r="A1659" s="1246" t="s">
        <v>1490</v>
      </c>
      <c r="B1659" s="1246" t="s">
        <v>434</v>
      </c>
      <c r="C1659" s="1247">
        <v>0.3</v>
      </c>
      <c r="F1659" s="1248">
        <v>1</v>
      </c>
      <c r="G1659" s="1248">
        <v>1</v>
      </c>
      <c r="H1659" s="1249">
        <v>1</v>
      </c>
      <c r="I1659" s="1246" t="s">
        <v>1491</v>
      </c>
      <c r="J1659" s="1246" t="s">
        <v>1457</v>
      </c>
      <c r="K1659" s="1284" t="str">
        <f t="shared" si="25"/>
        <v>35</v>
      </c>
      <c r="L1659" s="1246" t="s">
        <v>1517</v>
      </c>
      <c r="M1659" s="1250">
        <v>2</v>
      </c>
      <c r="N1659" s="1251">
        <v>167</v>
      </c>
      <c r="O1659" s="1252">
        <v>167</v>
      </c>
    </row>
    <row r="1660" spans="1:15">
      <c r="A1660" s="1246" t="s">
        <v>1490</v>
      </c>
      <c r="B1660" s="1246" t="s">
        <v>434</v>
      </c>
      <c r="C1660" s="1247">
        <v>0.3</v>
      </c>
      <c r="F1660" s="1248">
        <v>1</v>
      </c>
      <c r="G1660" s="1248">
        <v>1</v>
      </c>
      <c r="H1660" s="1249">
        <v>1</v>
      </c>
      <c r="I1660" s="1246" t="s">
        <v>1491</v>
      </c>
      <c r="J1660" s="1246" t="s">
        <v>1399</v>
      </c>
      <c r="K1660" s="1284" t="str">
        <f t="shared" si="25"/>
        <v>30</v>
      </c>
      <c r="L1660" s="1246" t="s">
        <v>1518</v>
      </c>
      <c r="M1660" s="1250">
        <v>2</v>
      </c>
      <c r="N1660" s="1251">
        <v>30</v>
      </c>
      <c r="O1660" s="1252">
        <v>30</v>
      </c>
    </row>
    <row r="1661" spans="1:15">
      <c r="A1661" s="1246" t="s">
        <v>1490</v>
      </c>
      <c r="B1661" s="1246" t="s">
        <v>434</v>
      </c>
      <c r="C1661" s="1247">
        <v>0.3</v>
      </c>
      <c r="E1661" s="1246" t="s">
        <v>370</v>
      </c>
      <c r="F1661" s="1248">
        <v>1</v>
      </c>
      <c r="G1661" s="1248">
        <v>1</v>
      </c>
      <c r="H1661" s="1249">
        <v>1</v>
      </c>
      <c r="I1661" s="1246" t="s">
        <v>1491</v>
      </c>
      <c r="J1661" s="1246" t="s">
        <v>1399</v>
      </c>
      <c r="K1661" s="1284" t="str">
        <f t="shared" si="25"/>
        <v>30</v>
      </c>
      <c r="L1661" s="1246" t="s">
        <v>1518</v>
      </c>
      <c r="M1661" s="1250">
        <v>2</v>
      </c>
      <c r="N1661" s="1251">
        <v>1</v>
      </c>
      <c r="O1661" s="1252">
        <v>1</v>
      </c>
    </row>
    <row r="1662" spans="1:15">
      <c r="A1662" s="1246" t="s">
        <v>1490</v>
      </c>
      <c r="B1662" s="1246" t="s">
        <v>434</v>
      </c>
      <c r="C1662" s="1247">
        <v>0.3</v>
      </c>
      <c r="F1662" s="1248">
        <v>1</v>
      </c>
      <c r="G1662" s="1248">
        <v>1</v>
      </c>
      <c r="H1662" s="1249">
        <v>1</v>
      </c>
      <c r="I1662" s="1246" t="s">
        <v>1491</v>
      </c>
      <c r="J1662" s="1246" t="s">
        <v>1456</v>
      </c>
      <c r="K1662" s="1284" t="str">
        <f t="shared" si="25"/>
        <v>33</v>
      </c>
      <c r="L1662" s="1246" t="s">
        <v>1519</v>
      </c>
      <c r="M1662" s="1250">
        <v>2</v>
      </c>
      <c r="N1662" s="1251">
        <v>82</v>
      </c>
      <c r="O1662" s="1252">
        <v>82</v>
      </c>
    </row>
    <row r="1663" spans="1:15">
      <c r="A1663" s="1246" t="s">
        <v>1490</v>
      </c>
      <c r="B1663" s="1246" t="s">
        <v>434</v>
      </c>
      <c r="C1663" s="1247">
        <v>0.3</v>
      </c>
      <c r="E1663" s="1246" t="s">
        <v>370</v>
      </c>
      <c r="F1663" s="1248">
        <v>1</v>
      </c>
      <c r="G1663" s="1248">
        <v>1</v>
      </c>
      <c r="H1663" s="1249">
        <v>1</v>
      </c>
      <c r="I1663" s="1246" t="s">
        <v>1491</v>
      </c>
      <c r="J1663" s="1246" t="s">
        <v>1456</v>
      </c>
      <c r="K1663" s="1284" t="str">
        <f t="shared" si="25"/>
        <v>33</v>
      </c>
      <c r="L1663" s="1246" t="s">
        <v>1519</v>
      </c>
      <c r="M1663" s="1250">
        <v>2</v>
      </c>
      <c r="N1663" s="1251">
        <v>1</v>
      </c>
      <c r="O1663" s="1252">
        <v>1</v>
      </c>
    </row>
    <row r="1664" spans="1:15">
      <c r="A1664" s="1246" t="s">
        <v>1490</v>
      </c>
      <c r="B1664" s="1246" t="s">
        <v>434</v>
      </c>
      <c r="C1664" s="1247">
        <v>0.3</v>
      </c>
      <c r="F1664" s="1248">
        <v>1</v>
      </c>
      <c r="G1664" s="1248">
        <v>1</v>
      </c>
      <c r="H1664" s="1249">
        <v>1</v>
      </c>
      <c r="I1664" s="1246" t="s">
        <v>1491</v>
      </c>
      <c r="J1664" s="1246" t="s">
        <v>1399</v>
      </c>
      <c r="K1664" s="1284" t="str">
        <f t="shared" si="25"/>
        <v>30</v>
      </c>
      <c r="L1664" s="1246" t="s">
        <v>1520</v>
      </c>
      <c r="M1664" s="1250">
        <v>3</v>
      </c>
      <c r="N1664" s="1251">
        <v>1</v>
      </c>
      <c r="O1664" s="1252">
        <v>1</v>
      </c>
    </row>
    <row r="1665" spans="1:15">
      <c r="A1665" s="1246" t="s">
        <v>1490</v>
      </c>
      <c r="B1665" s="1246" t="s">
        <v>434</v>
      </c>
      <c r="C1665" s="1247">
        <v>0.3</v>
      </c>
      <c r="F1665" s="1248">
        <v>1</v>
      </c>
      <c r="G1665" s="1248">
        <v>1</v>
      </c>
      <c r="H1665" s="1249">
        <v>1</v>
      </c>
      <c r="I1665" s="1246" t="s">
        <v>1491</v>
      </c>
      <c r="J1665" s="1246" t="s">
        <v>1455</v>
      </c>
      <c r="K1665" s="1284" t="str">
        <f t="shared" si="25"/>
        <v>32</v>
      </c>
      <c r="L1665" s="1246" t="s">
        <v>1522</v>
      </c>
      <c r="M1665" s="1250">
        <v>3</v>
      </c>
      <c r="N1665" s="1251">
        <v>14</v>
      </c>
      <c r="O1665" s="1252">
        <v>14</v>
      </c>
    </row>
    <row r="1666" spans="1:15">
      <c r="A1666" s="1246" t="s">
        <v>1490</v>
      </c>
      <c r="B1666" s="1246" t="s">
        <v>434</v>
      </c>
      <c r="C1666" s="1247">
        <v>0.3</v>
      </c>
      <c r="E1666" s="1246" t="s">
        <v>370</v>
      </c>
      <c r="F1666" s="1248">
        <v>1</v>
      </c>
      <c r="G1666" s="1248">
        <v>1</v>
      </c>
      <c r="H1666" s="1249">
        <v>1</v>
      </c>
      <c r="I1666" s="1246" t="s">
        <v>1491</v>
      </c>
      <c r="J1666" s="1246" t="s">
        <v>1455</v>
      </c>
      <c r="K1666" s="1284" t="str">
        <f t="shared" ref="K1666:K1729" si="26">IF(J1666="1B","10", IF(J1666="2B","20",IF(J1666="3B","30",IF(J1666="7B",70,J1666))))</f>
        <v>32</v>
      </c>
      <c r="L1666" s="1246" t="s">
        <v>1522</v>
      </c>
      <c r="M1666" s="1250">
        <v>3</v>
      </c>
      <c r="N1666" s="1251">
        <v>1</v>
      </c>
      <c r="O1666" s="1252">
        <v>1</v>
      </c>
    </row>
    <row r="1667" spans="1:15">
      <c r="A1667" s="1246" t="s">
        <v>1490</v>
      </c>
      <c r="B1667" s="1246" t="s">
        <v>434</v>
      </c>
      <c r="C1667" s="1247">
        <v>0.3</v>
      </c>
      <c r="F1667" s="1248">
        <v>1</v>
      </c>
      <c r="G1667" s="1248">
        <v>1</v>
      </c>
      <c r="H1667" s="1249">
        <v>1</v>
      </c>
      <c r="I1667" s="1246" t="s">
        <v>1491</v>
      </c>
      <c r="J1667" s="1246" t="s">
        <v>1454</v>
      </c>
      <c r="K1667" s="1284" t="str">
        <f t="shared" si="26"/>
        <v>31</v>
      </c>
      <c r="L1667" s="1246" t="s">
        <v>1523</v>
      </c>
      <c r="M1667" s="1250">
        <v>3</v>
      </c>
      <c r="N1667" s="1251">
        <v>849</v>
      </c>
      <c r="O1667" s="1252">
        <v>849</v>
      </c>
    </row>
    <row r="1668" spans="1:15">
      <c r="A1668" s="1246" t="s">
        <v>1490</v>
      </c>
      <c r="B1668" s="1246" t="s">
        <v>434</v>
      </c>
      <c r="C1668" s="1247">
        <v>0.3</v>
      </c>
      <c r="E1668" s="1246" t="s">
        <v>370</v>
      </c>
      <c r="F1668" s="1248">
        <v>1</v>
      </c>
      <c r="G1668" s="1248">
        <v>1</v>
      </c>
      <c r="H1668" s="1249">
        <v>1</v>
      </c>
      <c r="I1668" s="1246" t="s">
        <v>1491</v>
      </c>
      <c r="J1668" s="1246" t="s">
        <v>1454</v>
      </c>
      <c r="K1668" s="1284" t="str">
        <f t="shared" si="26"/>
        <v>31</v>
      </c>
      <c r="L1668" s="1246" t="s">
        <v>1523</v>
      </c>
      <c r="M1668" s="1250">
        <v>3</v>
      </c>
      <c r="N1668" s="1251">
        <v>265</v>
      </c>
      <c r="O1668" s="1252">
        <v>265</v>
      </c>
    </row>
    <row r="1669" spans="1:15">
      <c r="A1669" s="1246" t="s">
        <v>1490</v>
      </c>
      <c r="B1669" s="1246" t="s">
        <v>434</v>
      </c>
      <c r="C1669" s="1247">
        <v>0.3</v>
      </c>
      <c r="F1669" s="1248">
        <v>1</v>
      </c>
      <c r="G1669" s="1248">
        <v>1</v>
      </c>
      <c r="H1669" s="1249">
        <v>1</v>
      </c>
      <c r="I1669" s="1246" t="s">
        <v>1491</v>
      </c>
      <c r="J1669" s="1246" t="s">
        <v>1458</v>
      </c>
      <c r="K1669" s="1284" t="str">
        <f t="shared" si="26"/>
        <v>36</v>
      </c>
      <c r="L1669" s="1246" t="s">
        <v>1524</v>
      </c>
      <c r="M1669" s="1250">
        <v>3</v>
      </c>
      <c r="N1669" s="1251">
        <v>2</v>
      </c>
      <c r="O1669" s="1252">
        <v>2</v>
      </c>
    </row>
    <row r="1670" spans="1:15">
      <c r="A1670" s="1246" t="s">
        <v>1490</v>
      </c>
      <c r="B1670" s="1246" t="s">
        <v>434</v>
      </c>
      <c r="C1670" s="1247">
        <v>0.3</v>
      </c>
      <c r="F1670" s="1248">
        <v>1</v>
      </c>
      <c r="G1670" s="1248">
        <v>1</v>
      </c>
      <c r="H1670" s="1249">
        <v>1</v>
      </c>
      <c r="I1670" s="1246" t="s">
        <v>1491</v>
      </c>
      <c r="J1670" s="1246" t="s">
        <v>1399</v>
      </c>
      <c r="K1670" s="1284" t="str">
        <f t="shared" si="26"/>
        <v>30</v>
      </c>
      <c r="L1670" s="1246" t="s">
        <v>1525</v>
      </c>
      <c r="M1670" s="1250">
        <v>3</v>
      </c>
      <c r="N1670" s="1251">
        <v>3</v>
      </c>
      <c r="O1670" s="1252">
        <v>3</v>
      </c>
    </row>
    <row r="1671" spans="1:15">
      <c r="A1671" s="1246" t="s">
        <v>1490</v>
      </c>
      <c r="B1671" s="1246" t="s">
        <v>434</v>
      </c>
      <c r="C1671" s="1247">
        <v>0.3</v>
      </c>
      <c r="E1671" s="1246" t="s">
        <v>370</v>
      </c>
      <c r="F1671" s="1248">
        <v>1</v>
      </c>
      <c r="G1671" s="1248">
        <v>1</v>
      </c>
      <c r="H1671" s="1249">
        <v>1</v>
      </c>
      <c r="I1671" s="1246" t="s">
        <v>1491</v>
      </c>
      <c r="J1671" s="1246" t="s">
        <v>1399</v>
      </c>
      <c r="K1671" s="1284" t="str">
        <f t="shared" si="26"/>
        <v>30</v>
      </c>
      <c r="L1671" s="1246" t="s">
        <v>1525</v>
      </c>
      <c r="M1671" s="1250">
        <v>3</v>
      </c>
      <c r="N1671" s="1251">
        <v>1</v>
      </c>
      <c r="O1671" s="1252">
        <v>1</v>
      </c>
    </row>
    <row r="1672" spans="1:15">
      <c r="A1672" s="1246" t="s">
        <v>1490</v>
      </c>
      <c r="B1672" s="1246" t="s">
        <v>434</v>
      </c>
      <c r="C1672" s="1247">
        <v>0.3</v>
      </c>
      <c r="F1672" s="1248">
        <v>1</v>
      </c>
      <c r="G1672" s="1248">
        <v>1</v>
      </c>
      <c r="H1672" s="1249">
        <v>1</v>
      </c>
      <c r="I1672" s="1246" t="s">
        <v>1491</v>
      </c>
      <c r="J1672" s="1246" t="s">
        <v>1457</v>
      </c>
      <c r="K1672" s="1284" t="str">
        <f t="shared" si="26"/>
        <v>35</v>
      </c>
      <c r="L1672" s="1246" t="s">
        <v>1527</v>
      </c>
      <c r="M1672" s="1250">
        <v>3</v>
      </c>
      <c r="N1672" s="1251">
        <v>167</v>
      </c>
      <c r="O1672" s="1252">
        <v>167</v>
      </c>
    </row>
    <row r="1673" spans="1:15">
      <c r="A1673" s="1246" t="s">
        <v>1490</v>
      </c>
      <c r="B1673" s="1246" t="s">
        <v>434</v>
      </c>
      <c r="C1673" s="1247">
        <v>0.3</v>
      </c>
      <c r="F1673" s="1248">
        <v>1</v>
      </c>
      <c r="G1673" s="1248">
        <v>1</v>
      </c>
      <c r="H1673" s="1249">
        <v>1</v>
      </c>
      <c r="I1673" s="1246" t="s">
        <v>1491</v>
      </c>
      <c r="J1673" s="1246" t="s">
        <v>1459</v>
      </c>
      <c r="K1673" s="1284" t="str">
        <f t="shared" si="26"/>
        <v>3A</v>
      </c>
      <c r="L1673" s="1246" t="s">
        <v>1492</v>
      </c>
      <c r="M1673" s="1250">
        <v>3</v>
      </c>
      <c r="N1673" s="1251">
        <v>139</v>
      </c>
      <c r="O1673" s="1252">
        <v>139</v>
      </c>
    </row>
    <row r="1674" spans="1:15">
      <c r="A1674" s="1246" t="s">
        <v>1490</v>
      </c>
      <c r="B1674" s="1246" t="s">
        <v>434</v>
      </c>
      <c r="C1674" s="1247">
        <v>0.3</v>
      </c>
      <c r="F1674" s="1248">
        <v>1</v>
      </c>
      <c r="G1674" s="1248">
        <v>1</v>
      </c>
      <c r="H1674" s="1249">
        <v>1</v>
      </c>
      <c r="I1674" s="1246" t="s">
        <v>1491</v>
      </c>
      <c r="J1674" s="1246" t="s">
        <v>1399</v>
      </c>
      <c r="K1674" s="1284" t="str">
        <f t="shared" si="26"/>
        <v>30</v>
      </c>
      <c r="L1674" s="1246" t="s">
        <v>1528</v>
      </c>
      <c r="M1674" s="1250">
        <v>3</v>
      </c>
      <c r="N1674" s="1251">
        <v>33</v>
      </c>
      <c r="O1674" s="1252">
        <v>33</v>
      </c>
    </row>
    <row r="1675" spans="1:15">
      <c r="A1675" s="1246" t="s">
        <v>1490</v>
      </c>
      <c r="B1675" s="1246" t="s">
        <v>434</v>
      </c>
      <c r="C1675" s="1247">
        <v>0.3</v>
      </c>
      <c r="E1675" s="1246" t="s">
        <v>370</v>
      </c>
      <c r="F1675" s="1248">
        <v>1</v>
      </c>
      <c r="G1675" s="1248">
        <v>1</v>
      </c>
      <c r="H1675" s="1249">
        <v>1</v>
      </c>
      <c r="I1675" s="1246" t="s">
        <v>1491</v>
      </c>
      <c r="J1675" s="1246" t="s">
        <v>1399</v>
      </c>
      <c r="K1675" s="1284" t="str">
        <f t="shared" si="26"/>
        <v>30</v>
      </c>
      <c r="L1675" s="1246" t="s">
        <v>1528</v>
      </c>
      <c r="M1675" s="1250">
        <v>3</v>
      </c>
      <c r="N1675" s="1251">
        <v>1</v>
      </c>
      <c r="O1675" s="1252">
        <v>1</v>
      </c>
    </row>
    <row r="1676" spans="1:15">
      <c r="A1676" s="1246" t="s">
        <v>1493</v>
      </c>
      <c r="B1676" s="1246" t="s">
        <v>434</v>
      </c>
      <c r="C1676" s="1247">
        <v>0.3</v>
      </c>
      <c r="E1676" s="1246" t="s">
        <v>279</v>
      </c>
      <c r="F1676" s="1248">
        <v>1</v>
      </c>
      <c r="G1676" s="1248">
        <v>1</v>
      </c>
      <c r="H1676" s="1249">
        <v>1</v>
      </c>
      <c r="I1676" s="1246" t="s">
        <v>1491</v>
      </c>
      <c r="J1676" s="1246" t="s">
        <v>1462</v>
      </c>
      <c r="K1676" s="1284" t="str">
        <f t="shared" si="26"/>
        <v>71</v>
      </c>
      <c r="L1676" s="1246" t="s">
        <v>1495</v>
      </c>
      <c r="M1676" s="1250">
        <v>9</v>
      </c>
      <c r="N1676" s="1251">
        <v>1</v>
      </c>
      <c r="O1676" s="1252">
        <v>1</v>
      </c>
    </row>
    <row r="1677" spans="1:15">
      <c r="A1677" s="1246" t="s">
        <v>1493</v>
      </c>
      <c r="B1677" s="1246" t="s">
        <v>434</v>
      </c>
      <c r="C1677" s="1247">
        <v>0.3</v>
      </c>
      <c r="E1677" s="1246" t="s">
        <v>1535</v>
      </c>
      <c r="F1677" s="1248">
        <v>1</v>
      </c>
      <c r="G1677" s="1248">
        <v>1</v>
      </c>
      <c r="H1677" s="1249">
        <v>1</v>
      </c>
      <c r="I1677" s="1246" t="s">
        <v>1491</v>
      </c>
      <c r="J1677" s="1246" t="s">
        <v>1462</v>
      </c>
      <c r="K1677" s="1284" t="str">
        <f t="shared" si="26"/>
        <v>71</v>
      </c>
      <c r="L1677" s="1246" t="s">
        <v>1495</v>
      </c>
      <c r="M1677" s="1250">
        <v>9</v>
      </c>
      <c r="N1677" s="1251">
        <v>1</v>
      </c>
      <c r="O1677" s="1252">
        <v>1</v>
      </c>
    </row>
    <row r="1678" spans="1:15">
      <c r="A1678" s="1246" t="s">
        <v>1493</v>
      </c>
      <c r="B1678" s="1246" t="s">
        <v>434</v>
      </c>
      <c r="C1678" s="1247">
        <v>0.3</v>
      </c>
      <c r="E1678" s="1246" t="s">
        <v>1494</v>
      </c>
      <c r="F1678" s="1248">
        <v>1</v>
      </c>
      <c r="G1678" s="1248">
        <v>1</v>
      </c>
      <c r="H1678" s="1249">
        <v>1</v>
      </c>
      <c r="I1678" s="1246" t="s">
        <v>1491</v>
      </c>
      <c r="J1678" s="1246" t="s">
        <v>1462</v>
      </c>
      <c r="K1678" s="1284" t="str">
        <f t="shared" si="26"/>
        <v>71</v>
      </c>
      <c r="L1678" s="1246" t="s">
        <v>1495</v>
      </c>
      <c r="M1678" s="1250">
        <v>9</v>
      </c>
      <c r="N1678" s="1251">
        <v>38</v>
      </c>
      <c r="O1678" s="1252">
        <v>38</v>
      </c>
    </row>
    <row r="1679" spans="1:15">
      <c r="A1679" s="1246" t="s">
        <v>683</v>
      </c>
      <c r="B1679" s="1246" t="s">
        <v>434</v>
      </c>
      <c r="C1679" s="1247">
        <v>0.3</v>
      </c>
      <c r="E1679" s="1246" t="s">
        <v>1494</v>
      </c>
      <c r="F1679" s="1248">
        <v>1</v>
      </c>
      <c r="G1679" s="1248">
        <v>1</v>
      </c>
      <c r="H1679" s="1249">
        <v>1</v>
      </c>
      <c r="I1679" s="1246" t="s">
        <v>1491</v>
      </c>
      <c r="J1679" s="1246" t="s">
        <v>1462</v>
      </c>
      <c r="K1679" s="1284" t="str">
        <f t="shared" si="26"/>
        <v>71</v>
      </c>
      <c r="L1679" s="1246" t="s">
        <v>1495</v>
      </c>
      <c r="M1679" s="1250">
        <v>9</v>
      </c>
      <c r="N1679" s="1251">
        <v>1</v>
      </c>
      <c r="O1679" s="1252">
        <v>1</v>
      </c>
    </row>
    <row r="1680" spans="1:15">
      <c r="A1680" s="1246" t="s">
        <v>1493</v>
      </c>
      <c r="B1680" s="1246" t="s">
        <v>434</v>
      </c>
      <c r="C1680" s="1247">
        <v>0.3</v>
      </c>
      <c r="E1680" s="1246" t="s">
        <v>370</v>
      </c>
      <c r="F1680" s="1248">
        <v>1</v>
      </c>
      <c r="G1680" s="1248">
        <v>1</v>
      </c>
      <c r="H1680" s="1249">
        <v>1</v>
      </c>
      <c r="I1680" s="1246" t="s">
        <v>1491</v>
      </c>
      <c r="J1680" s="1246" t="s">
        <v>1462</v>
      </c>
      <c r="K1680" s="1284" t="str">
        <f t="shared" si="26"/>
        <v>71</v>
      </c>
      <c r="L1680" s="1246" t="s">
        <v>1495</v>
      </c>
      <c r="M1680" s="1250">
        <v>9</v>
      </c>
      <c r="N1680" s="1251">
        <v>4</v>
      </c>
      <c r="O1680" s="1252">
        <v>4</v>
      </c>
    </row>
    <row r="1681" spans="1:15">
      <c r="A1681" s="1246" t="s">
        <v>1493</v>
      </c>
      <c r="B1681" s="1246" t="s">
        <v>434</v>
      </c>
      <c r="C1681" s="1247">
        <v>0.3</v>
      </c>
      <c r="E1681" s="1246" t="s">
        <v>1494</v>
      </c>
      <c r="F1681" s="1248">
        <v>1</v>
      </c>
      <c r="G1681" s="1248">
        <v>1</v>
      </c>
      <c r="H1681" s="1249">
        <v>1</v>
      </c>
      <c r="I1681" s="1246" t="s">
        <v>1491</v>
      </c>
      <c r="J1681" s="1246" t="s">
        <v>1466</v>
      </c>
      <c r="K1681" s="1284" t="str">
        <f t="shared" si="26"/>
        <v>75</v>
      </c>
      <c r="L1681" s="1246" t="s">
        <v>1530</v>
      </c>
      <c r="M1681" s="1250">
        <v>9</v>
      </c>
      <c r="N1681" s="1251">
        <v>1</v>
      </c>
      <c r="O1681" s="1252">
        <v>1</v>
      </c>
    </row>
    <row r="1682" spans="1:15">
      <c r="A1682" s="1246" t="s">
        <v>1493</v>
      </c>
      <c r="B1682" s="1246" t="s">
        <v>434</v>
      </c>
      <c r="C1682" s="1247">
        <v>0.3</v>
      </c>
      <c r="E1682" s="1246" t="s">
        <v>1494</v>
      </c>
      <c r="F1682" s="1248">
        <v>1</v>
      </c>
      <c r="G1682" s="1248">
        <v>1</v>
      </c>
      <c r="H1682" s="1249">
        <v>1</v>
      </c>
      <c r="I1682" s="1246" t="s">
        <v>1491</v>
      </c>
      <c r="J1682" s="1246" t="s">
        <v>1468</v>
      </c>
      <c r="K1682" s="1284" t="str">
        <f t="shared" si="26"/>
        <v>7A</v>
      </c>
      <c r="L1682" s="1246" t="s">
        <v>1531</v>
      </c>
      <c r="M1682" s="1250">
        <v>9</v>
      </c>
      <c r="N1682" s="1251">
        <v>1</v>
      </c>
      <c r="O1682" s="1252">
        <v>1</v>
      </c>
    </row>
    <row r="1683" spans="1:15">
      <c r="A1683" s="1246" t="s">
        <v>1493</v>
      </c>
      <c r="B1683" s="1246" t="s">
        <v>434</v>
      </c>
      <c r="C1683" s="1247">
        <v>0.3</v>
      </c>
      <c r="E1683" s="1246" t="s">
        <v>376</v>
      </c>
      <c r="F1683" s="1248">
        <v>1</v>
      </c>
      <c r="G1683" s="1248">
        <v>1</v>
      </c>
      <c r="H1683" s="1249">
        <v>1</v>
      </c>
      <c r="I1683" s="1246" t="s">
        <v>1491</v>
      </c>
      <c r="J1683" s="1246" t="s">
        <v>1462</v>
      </c>
      <c r="K1683" s="1284" t="str">
        <f t="shared" si="26"/>
        <v>71</v>
      </c>
      <c r="L1683" s="1246" t="s">
        <v>1496</v>
      </c>
      <c r="M1683" s="1250">
        <v>9</v>
      </c>
      <c r="N1683" s="1251">
        <v>2</v>
      </c>
      <c r="O1683" s="1252">
        <v>2</v>
      </c>
    </row>
    <row r="1684" spans="1:15">
      <c r="A1684" s="1246" t="s">
        <v>1493</v>
      </c>
      <c r="B1684" s="1246" t="s">
        <v>434</v>
      </c>
      <c r="C1684" s="1247">
        <v>0.3</v>
      </c>
      <c r="E1684" s="1246" t="s">
        <v>1494</v>
      </c>
      <c r="F1684" s="1248">
        <v>1</v>
      </c>
      <c r="G1684" s="1248">
        <v>1</v>
      </c>
      <c r="H1684" s="1249">
        <v>2</v>
      </c>
      <c r="I1684" s="1246" t="s">
        <v>1491</v>
      </c>
      <c r="J1684" s="1246" t="s">
        <v>1463</v>
      </c>
      <c r="K1684" s="1284" t="str">
        <f t="shared" si="26"/>
        <v>72</v>
      </c>
      <c r="L1684" s="1246" t="s">
        <v>1529</v>
      </c>
      <c r="M1684" s="1250">
        <v>9</v>
      </c>
      <c r="N1684" s="1251">
        <v>3</v>
      </c>
      <c r="O1684" s="1252">
        <v>3</v>
      </c>
    </row>
    <row r="1685" spans="1:15">
      <c r="A1685" s="1246" t="s">
        <v>1493</v>
      </c>
      <c r="B1685" s="1246" t="s">
        <v>434</v>
      </c>
      <c r="C1685" s="1247">
        <v>0.3</v>
      </c>
      <c r="E1685" s="1246" t="s">
        <v>370</v>
      </c>
      <c r="F1685" s="1248">
        <v>1</v>
      </c>
      <c r="G1685" s="1248">
        <v>1</v>
      </c>
      <c r="H1685" s="1249">
        <v>2</v>
      </c>
      <c r="I1685" s="1246" t="s">
        <v>1491</v>
      </c>
      <c r="J1685" s="1246" t="s">
        <v>1462</v>
      </c>
      <c r="K1685" s="1284" t="str">
        <f t="shared" si="26"/>
        <v>71</v>
      </c>
      <c r="L1685" s="1246" t="s">
        <v>1495</v>
      </c>
      <c r="M1685" s="1250">
        <v>9</v>
      </c>
      <c r="N1685" s="1251">
        <v>1</v>
      </c>
      <c r="O1685" s="1252">
        <v>1</v>
      </c>
    </row>
    <row r="1686" spans="1:15">
      <c r="A1686" s="1246" t="s">
        <v>1493</v>
      </c>
      <c r="B1686" s="1246" t="s">
        <v>434</v>
      </c>
      <c r="C1686" s="1247">
        <v>0.3</v>
      </c>
      <c r="E1686" s="1246" t="s">
        <v>1494</v>
      </c>
      <c r="F1686" s="1248">
        <v>1</v>
      </c>
      <c r="G1686" s="1248">
        <v>1</v>
      </c>
      <c r="H1686" s="1249">
        <v>2</v>
      </c>
      <c r="I1686" s="1246" t="s">
        <v>1491</v>
      </c>
      <c r="J1686" s="1246" t="s">
        <v>1466</v>
      </c>
      <c r="K1686" s="1284" t="str">
        <f t="shared" si="26"/>
        <v>75</v>
      </c>
      <c r="L1686" s="1246" t="s">
        <v>1530</v>
      </c>
      <c r="M1686" s="1250">
        <v>9</v>
      </c>
      <c r="N1686" s="1251">
        <v>2</v>
      </c>
      <c r="O1686" s="1252">
        <v>2</v>
      </c>
    </row>
    <row r="1687" spans="1:15">
      <c r="A1687" s="1246" t="s">
        <v>1493</v>
      </c>
      <c r="B1687" s="1246" t="s">
        <v>434</v>
      </c>
      <c r="C1687" s="1247">
        <v>0.3</v>
      </c>
      <c r="E1687" s="1246" t="s">
        <v>1494</v>
      </c>
      <c r="F1687" s="1248">
        <v>1</v>
      </c>
      <c r="G1687" s="1248">
        <v>1</v>
      </c>
      <c r="H1687" s="1249">
        <v>2</v>
      </c>
      <c r="I1687" s="1246" t="s">
        <v>1491</v>
      </c>
      <c r="J1687" s="1246" t="s">
        <v>1400</v>
      </c>
      <c r="K1687" s="1284" t="str">
        <f t="shared" si="26"/>
        <v>70</v>
      </c>
      <c r="L1687" s="1246" t="s">
        <v>1532</v>
      </c>
      <c r="M1687" s="1250">
        <v>9</v>
      </c>
      <c r="N1687" s="1251">
        <v>4</v>
      </c>
      <c r="O1687" s="1252">
        <v>4</v>
      </c>
    </row>
    <row r="1688" spans="1:15">
      <c r="A1688" s="1246" t="s">
        <v>1493</v>
      </c>
      <c r="B1688" s="1246" t="s">
        <v>434</v>
      </c>
      <c r="C1688" s="1247">
        <v>0.3</v>
      </c>
      <c r="E1688" s="1246" t="s">
        <v>1494</v>
      </c>
      <c r="F1688" s="1248">
        <v>1</v>
      </c>
      <c r="G1688" s="1248">
        <v>1</v>
      </c>
      <c r="H1688" s="1249">
        <v>2</v>
      </c>
      <c r="I1688" s="1246" t="s">
        <v>1491</v>
      </c>
      <c r="J1688" s="1246" t="s">
        <v>1464</v>
      </c>
      <c r="K1688" s="1284" t="str">
        <f t="shared" si="26"/>
        <v>73</v>
      </c>
      <c r="L1688" s="1246" t="s">
        <v>1533</v>
      </c>
      <c r="M1688" s="1250">
        <v>9</v>
      </c>
      <c r="N1688" s="1251">
        <v>4</v>
      </c>
      <c r="O1688" s="1252">
        <v>4</v>
      </c>
    </row>
    <row r="1689" spans="1:15">
      <c r="A1689" s="1246" t="s">
        <v>1490</v>
      </c>
      <c r="B1689" s="1246" t="s">
        <v>434</v>
      </c>
      <c r="C1689" s="1247">
        <v>0.3</v>
      </c>
      <c r="F1689" s="1248">
        <v>2</v>
      </c>
      <c r="G1689" s="1248">
        <v>1</v>
      </c>
      <c r="H1689" s="1249">
        <v>1</v>
      </c>
      <c r="I1689" s="1246" t="s">
        <v>1491</v>
      </c>
      <c r="J1689" s="1246" t="s">
        <v>1455</v>
      </c>
      <c r="K1689" s="1284" t="str">
        <f t="shared" si="26"/>
        <v>32</v>
      </c>
      <c r="L1689" s="1246" t="s">
        <v>1522</v>
      </c>
      <c r="M1689" s="1250">
        <v>3</v>
      </c>
      <c r="N1689" s="1251">
        <v>2</v>
      </c>
      <c r="O1689" s="1252">
        <v>1</v>
      </c>
    </row>
    <row r="1690" spans="1:15">
      <c r="A1690" s="1246" t="s">
        <v>1493</v>
      </c>
      <c r="B1690" s="1246" t="s">
        <v>434</v>
      </c>
      <c r="C1690" s="1247">
        <v>0.3</v>
      </c>
      <c r="E1690" s="1246" t="s">
        <v>1494</v>
      </c>
      <c r="F1690" s="1248">
        <v>2</v>
      </c>
      <c r="G1690" s="1248">
        <v>1</v>
      </c>
      <c r="H1690" s="1249">
        <v>1</v>
      </c>
      <c r="I1690" s="1246" t="s">
        <v>1491</v>
      </c>
      <c r="J1690" s="1246" t="s">
        <v>1462</v>
      </c>
      <c r="K1690" s="1284" t="str">
        <f t="shared" si="26"/>
        <v>71</v>
      </c>
      <c r="L1690" s="1246" t="s">
        <v>1495</v>
      </c>
      <c r="M1690" s="1250">
        <v>9</v>
      </c>
      <c r="N1690" s="1251">
        <v>2</v>
      </c>
      <c r="O1690" s="1252">
        <v>1</v>
      </c>
    </row>
    <row r="1691" spans="1:15">
      <c r="A1691" s="1246" t="s">
        <v>1490</v>
      </c>
      <c r="B1691" s="1246" t="s">
        <v>434</v>
      </c>
      <c r="C1691" s="1247">
        <v>0.3</v>
      </c>
      <c r="F1691" s="1248">
        <v>2</v>
      </c>
      <c r="G1691" s="1248">
        <v>2</v>
      </c>
      <c r="H1691" s="1249">
        <v>1</v>
      </c>
      <c r="I1691" s="1246" t="s">
        <v>1491</v>
      </c>
      <c r="J1691" s="1246" t="s">
        <v>1460</v>
      </c>
      <c r="K1691" s="1284" t="str">
        <f t="shared" si="26"/>
        <v>30</v>
      </c>
      <c r="L1691" s="1246" t="s">
        <v>1497</v>
      </c>
      <c r="M1691" s="1250">
        <v>1</v>
      </c>
      <c r="N1691" s="1251">
        <v>4</v>
      </c>
      <c r="O1691" s="1252">
        <v>2</v>
      </c>
    </row>
    <row r="1692" spans="1:15">
      <c r="A1692" s="1246" t="s">
        <v>1490</v>
      </c>
      <c r="B1692" s="1246" t="s">
        <v>434</v>
      </c>
      <c r="C1692" s="1247">
        <v>0.3</v>
      </c>
      <c r="F1692" s="1248">
        <v>2</v>
      </c>
      <c r="G1692" s="1248">
        <v>2</v>
      </c>
      <c r="H1692" s="1249">
        <v>1</v>
      </c>
      <c r="I1692" s="1246" t="s">
        <v>1491</v>
      </c>
      <c r="J1692" s="1246" t="s">
        <v>1461</v>
      </c>
      <c r="K1692" s="1284" t="str">
        <f t="shared" si="26"/>
        <v>3C</v>
      </c>
      <c r="L1692" s="1246" t="s">
        <v>1502</v>
      </c>
      <c r="M1692" s="1250">
        <v>1</v>
      </c>
      <c r="N1692" s="1251">
        <v>10</v>
      </c>
      <c r="O1692" s="1252">
        <v>5</v>
      </c>
    </row>
    <row r="1693" spans="1:15">
      <c r="A1693" s="1246" t="s">
        <v>1490</v>
      </c>
      <c r="B1693" s="1246" t="s">
        <v>434</v>
      </c>
      <c r="C1693" s="1247">
        <v>0.3</v>
      </c>
      <c r="F1693" s="1248">
        <v>2</v>
      </c>
      <c r="G1693" s="1248">
        <v>2</v>
      </c>
      <c r="H1693" s="1249">
        <v>1</v>
      </c>
      <c r="I1693" s="1246" t="s">
        <v>1491</v>
      </c>
      <c r="J1693" s="1246" t="s">
        <v>1461</v>
      </c>
      <c r="K1693" s="1284" t="str">
        <f t="shared" si="26"/>
        <v>3C</v>
      </c>
      <c r="L1693" s="1246" t="s">
        <v>1502</v>
      </c>
      <c r="M1693" s="1250">
        <v>3</v>
      </c>
      <c r="N1693" s="1251">
        <v>4</v>
      </c>
      <c r="O1693" s="1252">
        <v>2</v>
      </c>
    </row>
    <row r="1694" spans="1:15">
      <c r="A1694" s="1246" t="s">
        <v>1490</v>
      </c>
      <c r="B1694" s="1246" t="s">
        <v>434</v>
      </c>
      <c r="C1694" s="1247">
        <v>0.3</v>
      </c>
      <c r="F1694" s="1248">
        <v>2</v>
      </c>
      <c r="G1694" s="1248">
        <v>2</v>
      </c>
      <c r="H1694" s="1249">
        <v>1</v>
      </c>
      <c r="I1694" s="1246" t="s">
        <v>1491</v>
      </c>
      <c r="J1694" s="1246" t="s">
        <v>1460</v>
      </c>
      <c r="K1694" s="1284" t="str">
        <f t="shared" si="26"/>
        <v>30</v>
      </c>
      <c r="L1694" s="1246" t="s">
        <v>1498</v>
      </c>
      <c r="M1694" s="1250">
        <v>2</v>
      </c>
      <c r="N1694" s="1251">
        <v>4</v>
      </c>
      <c r="O1694" s="1252">
        <v>2</v>
      </c>
    </row>
    <row r="1695" spans="1:15">
      <c r="A1695" s="1246" t="s">
        <v>1490</v>
      </c>
      <c r="B1695" s="1246" t="s">
        <v>434</v>
      </c>
      <c r="C1695" s="1247">
        <v>0.3</v>
      </c>
      <c r="F1695" s="1248">
        <v>2</v>
      </c>
      <c r="G1695" s="1248">
        <v>2</v>
      </c>
      <c r="H1695" s="1249">
        <v>1</v>
      </c>
      <c r="I1695" s="1246" t="s">
        <v>1491</v>
      </c>
      <c r="J1695" s="1246" t="s">
        <v>1460</v>
      </c>
      <c r="K1695" s="1284" t="str">
        <f t="shared" si="26"/>
        <v>30</v>
      </c>
      <c r="L1695" s="1246" t="s">
        <v>1499</v>
      </c>
      <c r="M1695" s="1250">
        <v>5</v>
      </c>
      <c r="N1695" s="1251">
        <v>2</v>
      </c>
      <c r="O1695" s="1252">
        <v>1</v>
      </c>
    </row>
    <row r="1696" spans="1:15">
      <c r="A1696" s="1246" t="s">
        <v>1490</v>
      </c>
      <c r="B1696" s="1246" t="s">
        <v>434</v>
      </c>
      <c r="C1696" s="1247">
        <v>0.3</v>
      </c>
      <c r="F1696" s="1248">
        <v>2</v>
      </c>
      <c r="G1696" s="1248">
        <v>2</v>
      </c>
      <c r="H1696" s="1249">
        <v>1</v>
      </c>
      <c r="I1696" s="1246" t="s">
        <v>1491</v>
      </c>
      <c r="J1696" s="1246" t="s">
        <v>1454</v>
      </c>
      <c r="K1696" s="1284" t="str">
        <f t="shared" si="26"/>
        <v>31</v>
      </c>
      <c r="L1696" s="1246" t="s">
        <v>1506</v>
      </c>
      <c r="M1696" s="1250">
        <v>1</v>
      </c>
      <c r="N1696" s="1251">
        <v>8</v>
      </c>
      <c r="O1696" s="1252">
        <v>4</v>
      </c>
    </row>
    <row r="1697" spans="1:15">
      <c r="A1697" s="1246" t="s">
        <v>1490</v>
      </c>
      <c r="B1697" s="1246" t="s">
        <v>434</v>
      </c>
      <c r="C1697" s="1247">
        <v>0.3</v>
      </c>
      <c r="E1697" s="1246" t="s">
        <v>370</v>
      </c>
      <c r="F1697" s="1248">
        <v>2</v>
      </c>
      <c r="G1697" s="1248">
        <v>2</v>
      </c>
      <c r="H1697" s="1249">
        <v>1</v>
      </c>
      <c r="I1697" s="1246" t="s">
        <v>1491</v>
      </c>
      <c r="J1697" s="1246" t="s">
        <v>1454</v>
      </c>
      <c r="K1697" s="1284" t="str">
        <f t="shared" si="26"/>
        <v>31</v>
      </c>
      <c r="L1697" s="1246" t="s">
        <v>1506</v>
      </c>
      <c r="M1697" s="1250">
        <v>1</v>
      </c>
      <c r="N1697" s="1251">
        <v>2</v>
      </c>
      <c r="O1697" s="1252">
        <v>1</v>
      </c>
    </row>
    <row r="1698" spans="1:15">
      <c r="A1698" s="1246" t="s">
        <v>1490</v>
      </c>
      <c r="B1698" s="1246" t="s">
        <v>434</v>
      </c>
      <c r="C1698" s="1247">
        <v>0.3</v>
      </c>
      <c r="F1698" s="1248">
        <v>2</v>
      </c>
      <c r="G1698" s="1248">
        <v>2</v>
      </c>
      <c r="H1698" s="1249">
        <v>1</v>
      </c>
      <c r="I1698" s="1246" t="s">
        <v>1491</v>
      </c>
      <c r="J1698" s="1246" t="s">
        <v>1454</v>
      </c>
      <c r="K1698" s="1284" t="str">
        <f t="shared" si="26"/>
        <v>31</v>
      </c>
      <c r="L1698" s="1246" t="s">
        <v>1500</v>
      </c>
      <c r="M1698" s="1250">
        <v>2</v>
      </c>
      <c r="N1698" s="1251">
        <v>4</v>
      </c>
      <c r="O1698" s="1252">
        <v>2</v>
      </c>
    </row>
    <row r="1699" spans="1:15">
      <c r="A1699" s="1246" t="s">
        <v>1490</v>
      </c>
      <c r="B1699" s="1246" t="s">
        <v>434</v>
      </c>
      <c r="C1699" s="1247">
        <v>0.3</v>
      </c>
      <c r="F1699" s="1248">
        <v>2</v>
      </c>
      <c r="G1699" s="1248">
        <v>2</v>
      </c>
      <c r="H1699" s="1249">
        <v>1</v>
      </c>
      <c r="I1699" s="1246" t="s">
        <v>1491</v>
      </c>
      <c r="J1699" s="1246" t="s">
        <v>1458</v>
      </c>
      <c r="K1699" s="1284" t="str">
        <f t="shared" si="26"/>
        <v>36</v>
      </c>
      <c r="L1699" s="1246" t="s">
        <v>1514</v>
      </c>
      <c r="M1699" s="1250">
        <v>2</v>
      </c>
      <c r="N1699" s="1251">
        <v>2</v>
      </c>
      <c r="O1699" s="1252">
        <v>1</v>
      </c>
    </row>
    <row r="1700" spans="1:15">
      <c r="A1700" s="1246" t="s">
        <v>1490</v>
      </c>
      <c r="B1700" s="1246" t="s">
        <v>434</v>
      </c>
      <c r="C1700" s="1247">
        <v>0.3</v>
      </c>
      <c r="F1700" s="1248">
        <v>2</v>
      </c>
      <c r="G1700" s="1248">
        <v>2</v>
      </c>
      <c r="H1700" s="1249">
        <v>1</v>
      </c>
      <c r="I1700" s="1246" t="s">
        <v>1491</v>
      </c>
      <c r="J1700" s="1246" t="s">
        <v>1399</v>
      </c>
      <c r="K1700" s="1284" t="str">
        <f t="shared" si="26"/>
        <v>30</v>
      </c>
      <c r="L1700" s="1246" t="s">
        <v>1515</v>
      </c>
      <c r="M1700" s="1250">
        <v>2</v>
      </c>
      <c r="N1700" s="1251">
        <v>2</v>
      </c>
      <c r="O1700" s="1252">
        <v>1</v>
      </c>
    </row>
    <row r="1701" spans="1:15">
      <c r="A1701" s="1246" t="s">
        <v>1490</v>
      </c>
      <c r="B1701" s="1246" t="s">
        <v>434</v>
      </c>
      <c r="C1701" s="1247">
        <v>0.3</v>
      </c>
      <c r="F1701" s="1248">
        <v>2</v>
      </c>
      <c r="G1701" s="1248">
        <v>2</v>
      </c>
      <c r="H1701" s="1249">
        <v>1</v>
      </c>
      <c r="I1701" s="1246" t="s">
        <v>1491</v>
      </c>
      <c r="J1701" s="1246" t="s">
        <v>1457</v>
      </c>
      <c r="K1701" s="1284" t="str">
        <f t="shared" si="26"/>
        <v>35</v>
      </c>
      <c r="L1701" s="1246" t="s">
        <v>1517</v>
      </c>
      <c r="M1701" s="1250">
        <v>2</v>
      </c>
      <c r="N1701" s="1251">
        <v>2</v>
      </c>
      <c r="O1701" s="1252">
        <v>1</v>
      </c>
    </row>
    <row r="1702" spans="1:15">
      <c r="A1702" s="1246" t="s">
        <v>1490</v>
      </c>
      <c r="B1702" s="1246" t="s">
        <v>434</v>
      </c>
      <c r="C1702" s="1247">
        <v>0.3</v>
      </c>
      <c r="F1702" s="1248">
        <v>2</v>
      </c>
      <c r="G1702" s="1248">
        <v>2</v>
      </c>
      <c r="H1702" s="1249">
        <v>1</v>
      </c>
      <c r="I1702" s="1246" t="s">
        <v>1491</v>
      </c>
      <c r="J1702" s="1246" t="s">
        <v>1456</v>
      </c>
      <c r="K1702" s="1284" t="str">
        <f t="shared" si="26"/>
        <v>33</v>
      </c>
      <c r="L1702" s="1246" t="s">
        <v>1519</v>
      </c>
      <c r="M1702" s="1250">
        <v>2</v>
      </c>
      <c r="N1702" s="1251">
        <v>4</v>
      </c>
      <c r="O1702" s="1252">
        <v>2</v>
      </c>
    </row>
    <row r="1703" spans="1:15">
      <c r="A1703" s="1246" t="s">
        <v>1490</v>
      </c>
      <c r="B1703" s="1246" t="s">
        <v>434</v>
      </c>
      <c r="C1703" s="1247">
        <v>0.3</v>
      </c>
      <c r="E1703" s="1246" t="s">
        <v>370</v>
      </c>
      <c r="F1703" s="1248">
        <v>2</v>
      </c>
      <c r="G1703" s="1248">
        <v>2</v>
      </c>
      <c r="H1703" s="1249">
        <v>1</v>
      </c>
      <c r="I1703" s="1246" t="s">
        <v>1491</v>
      </c>
      <c r="J1703" s="1246" t="s">
        <v>1454</v>
      </c>
      <c r="K1703" s="1284" t="str">
        <f t="shared" si="26"/>
        <v>31</v>
      </c>
      <c r="L1703" s="1246" t="s">
        <v>1523</v>
      </c>
      <c r="M1703" s="1250">
        <v>3</v>
      </c>
      <c r="N1703" s="1251">
        <v>4</v>
      </c>
      <c r="O1703" s="1252">
        <v>2</v>
      </c>
    </row>
    <row r="1704" spans="1:15">
      <c r="A1704" s="1246" t="s">
        <v>1490</v>
      </c>
      <c r="B1704" s="1246" t="s">
        <v>434</v>
      </c>
      <c r="C1704" s="1247">
        <v>0.3</v>
      </c>
      <c r="F1704" s="1248">
        <v>2</v>
      </c>
      <c r="G1704" s="1248">
        <v>2</v>
      </c>
      <c r="H1704" s="1249">
        <v>1</v>
      </c>
      <c r="I1704" s="1246" t="s">
        <v>1491</v>
      </c>
      <c r="J1704" s="1246" t="s">
        <v>1454</v>
      </c>
      <c r="K1704" s="1284" t="str">
        <f t="shared" si="26"/>
        <v>31</v>
      </c>
      <c r="L1704" s="1246" t="s">
        <v>1523</v>
      </c>
      <c r="M1704" s="1250">
        <v>3</v>
      </c>
      <c r="N1704" s="1251">
        <v>10</v>
      </c>
      <c r="O1704" s="1252">
        <v>5</v>
      </c>
    </row>
    <row r="1705" spans="1:15">
      <c r="A1705" s="1246" t="s">
        <v>1490</v>
      </c>
      <c r="B1705" s="1246" t="s">
        <v>434</v>
      </c>
      <c r="C1705" s="1247">
        <v>0.3</v>
      </c>
      <c r="F1705" s="1248">
        <v>2</v>
      </c>
      <c r="G1705" s="1248">
        <v>2</v>
      </c>
      <c r="H1705" s="1249">
        <v>1</v>
      </c>
      <c r="I1705" s="1246" t="s">
        <v>1491</v>
      </c>
      <c r="J1705" s="1246" t="s">
        <v>1399</v>
      </c>
      <c r="K1705" s="1284" t="str">
        <f t="shared" si="26"/>
        <v>30</v>
      </c>
      <c r="L1705" s="1246" t="s">
        <v>1525</v>
      </c>
      <c r="M1705" s="1250">
        <v>3</v>
      </c>
      <c r="N1705" s="1251">
        <v>2</v>
      </c>
      <c r="O1705" s="1252">
        <v>1</v>
      </c>
    </row>
    <row r="1706" spans="1:15">
      <c r="A1706" s="1246" t="s">
        <v>1490</v>
      </c>
      <c r="B1706" s="1246" t="s">
        <v>434</v>
      </c>
      <c r="C1706" s="1247">
        <v>0.3</v>
      </c>
      <c r="F1706" s="1248">
        <v>2</v>
      </c>
      <c r="G1706" s="1248">
        <v>2</v>
      </c>
      <c r="H1706" s="1249">
        <v>1</v>
      </c>
      <c r="I1706" s="1246" t="s">
        <v>1491</v>
      </c>
      <c r="J1706" s="1246" t="s">
        <v>1459</v>
      </c>
      <c r="K1706" s="1284" t="str">
        <f t="shared" si="26"/>
        <v>3A</v>
      </c>
      <c r="L1706" s="1246" t="s">
        <v>1492</v>
      </c>
      <c r="M1706" s="1250">
        <v>3</v>
      </c>
      <c r="N1706" s="1251">
        <v>2</v>
      </c>
      <c r="O1706" s="1252">
        <v>1</v>
      </c>
    </row>
    <row r="1707" spans="1:15">
      <c r="A1707" s="1246" t="s">
        <v>1493</v>
      </c>
      <c r="B1707" s="1246" t="s">
        <v>434</v>
      </c>
      <c r="C1707" s="1247">
        <v>0.3</v>
      </c>
      <c r="E1707" s="1246" t="s">
        <v>370</v>
      </c>
      <c r="F1707" s="1248">
        <v>2</v>
      </c>
      <c r="G1707" s="1248">
        <v>2</v>
      </c>
      <c r="H1707" s="1249">
        <v>1</v>
      </c>
      <c r="I1707" s="1246" t="s">
        <v>1491</v>
      </c>
      <c r="J1707" s="1246" t="s">
        <v>1462</v>
      </c>
      <c r="K1707" s="1284" t="str">
        <f t="shared" si="26"/>
        <v>71</v>
      </c>
      <c r="L1707" s="1246" t="s">
        <v>1495</v>
      </c>
      <c r="M1707" s="1250">
        <v>9</v>
      </c>
      <c r="N1707" s="1251">
        <v>4</v>
      </c>
      <c r="O1707" s="1252">
        <v>2</v>
      </c>
    </row>
    <row r="1708" spans="1:15">
      <c r="A1708" s="1246" t="s">
        <v>1493</v>
      </c>
      <c r="B1708" s="1246" t="s">
        <v>434</v>
      </c>
      <c r="C1708" s="1247">
        <v>0.3</v>
      </c>
      <c r="E1708" s="1246" t="s">
        <v>1494</v>
      </c>
      <c r="F1708" s="1248">
        <v>2</v>
      </c>
      <c r="G1708" s="1248">
        <v>2</v>
      </c>
      <c r="H1708" s="1249">
        <v>1</v>
      </c>
      <c r="I1708" s="1246" t="s">
        <v>1491</v>
      </c>
      <c r="J1708" s="1246" t="s">
        <v>1462</v>
      </c>
      <c r="K1708" s="1284" t="str">
        <f t="shared" si="26"/>
        <v>71</v>
      </c>
      <c r="L1708" s="1246" t="s">
        <v>1495</v>
      </c>
      <c r="M1708" s="1250">
        <v>9</v>
      </c>
      <c r="N1708" s="1251">
        <v>8</v>
      </c>
      <c r="O1708" s="1252">
        <v>4</v>
      </c>
    </row>
    <row r="1709" spans="1:15">
      <c r="A1709" s="1246" t="s">
        <v>1493</v>
      </c>
      <c r="B1709" s="1246" t="s">
        <v>434</v>
      </c>
      <c r="C1709" s="1247">
        <v>0.3</v>
      </c>
      <c r="E1709" s="1246" t="s">
        <v>376</v>
      </c>
      <c r="F1709" s="1248">
        <v>2</v>
      </c>
      <c r="G1709" s="1248">
        <v>2</v>
      </c>
      <c r="H1709" s="1249">
        <v>1</v>
      </c>
      <c r="I1709" s="1246" t="s">
        <v>1491</v>
      </c>
      <c r="J1709" s="1246" t="s">
        <v>1462</v>
      </c>
      <c r="K1709" s="1284" t="str">
        <f t="shared" si="26"/>
        <v>71</v>
      </c>
      <c r="L1709" s="1246" t="s">
        <v>1496</v>
      </c>
      <c r="M1709" s="1250">
        <v>9</v>
      </c>
      <c r="N1709" s="1251">
        <v>6</v>
      </c>
      <c r="O1709" s="1252">
        <v>3</v>
      </c>
    </row>
    <row r="1710" spans="1:15">
      <c r="A1710" s="1246" t="s">
        <v>1493</v>
      </c>
      <c r="B1710" s="1246" t="s">
        <v>434</v>
      </c>
      <c r="C1710" s="1247">
        <v>0.3</v>
      </c>
      <c r="E1710" s="1246" t="s">
        <v>1494</v>
      </c>
      <c r="F1710" s="1248">
        <v>2</v>
      </c>
      <c r="G1710" s="1248">
        <v>2</v>
      </c>
      <c r="H1710" s="1249">
        <v>2</v>
      </c>
      <c r="I1710" s="1246" t="s">
        <v>1491</v>
      </c>
      <c r="J1710" s="1246" t="s">
        <v>1463</v>
      </c>
      <c r="K1710" s="1284" t="str">
        <f t="shared" si="26"/>
        <v>72</v>
      </c>
      <c r="L1710" s="1246" t="s">
        <v>1529</v>
      </c>
      <c r="M1710" s="1250">
        <v>9</v>
      </c>
      <c r="N1710" s="1251">
        <v>2</v>
      </c>
      <c r="O1710" s="1252">
        <v>1</v>
      </c>
    </row>
    <row r="1711" spans="1:15">
      <c r="A1711" s="1246" t="s">
        <v>1493</v>
      </c>
      <c r="B1711" s="1246" t="s">
        <v>434</v>
      </c>
      <c r="C1711" s="1247">
        <v>0.3</v>
      </c>
      <c r="E1711" s="1246" t="s">
        <v>1494</v>
      </c>
      <c r="F1711" s="1248">
        <v>2</v>
      </c>
      <c r="G1711" s="1248">
        <v>2</v>
      </c>
      <c r="H1711" s="1249">
        <v>2</v>
      </c>
      <c r="I1711" s="1246" t="s">
        <v>1491</v>
      </c>
      <c r="J1711" s="1246" t="s">
        <v>1462</v>
      </c>
      <c r="K1711" s="1284" t="str">
        <f t="shared" si="26"/>
        <v>71</v>
      </c>
      <c r="L1711" s="1246" t="s">
        <v>1495</v>
      </c>
      <c r="M1711" s="1250">
        <v>9</v>
      </c>
      <c r="N1711" s="1251">
        <v>2</v>
      </c>
      <c r="O1711" s="1252">
        <v>1</v>
      </c>
    </row>
    <row r="1712" spans="1:15">
      <c r="A1712" s="1246" t="s">
        <v>1493</v>
      </c>
      <c r="B1712" s="1246" t="s">
        <v>434</v>
      </c>
      <c r="C1712" s="1247">
        <v>0.3</v>
      </c>
      <c r="E1712" s="1246" t="s">
        <v>370</v>
      </c>
      <c r="F1712" s="1248">
        <v>2</v>
      </c>
      <c r="G1712" s="1248">
        <v>2</v>
      </c>
      <c r="H1712" s="1249">
        <v>2</v>
      </c>
      <c r="I1712" s="1246" t="s">
        <v>1491</v>
      </c>
      <c r="J1712" s="1246" t="s">
        <v>1462</v>
      </c>
      <c r="K1712" s="1284" t="str">
        <f t="shared" si="26"/>
        <v>71</v>
      </c>
      <c r="L1712" s="1246" t="s">
        <v>1495</v>
      </c>
      <c r="M1712" s="1250">
        <v>9</v>
      </c>
      <c r="N1712" s="1251">
        <v>2</v>
      </c>
      <c r="O1712" s="1252">
        <v>1</v>
      </c>
    </row>
    <row r="1713" spans="1:15">
      <c r="A1713" s="1246" t="s">
        <v>1493</v>
      </c>
      <c r="B1713" s="1246" t="s">
        <v>434</v>
      </c>
      <c r="C1713" s="1247">
        <v>0.3</v>
      </c>
      <c r="E1713" s="1246" t="s">
        <v>376</v>
      </c>
      <c r="F1713" s="1248">
        <v>2</v>
      </c>
      <c r="G1713" s="1248">
        <v>2</v>
      </c>
      <c r="H1713" s="1249">
        <v>2</v>
      </c>
      <c r="I1713" s="1246" t="s">
        <v>1491</v>
      </c>
      <c r="J1713" s="1246" t="s">
        <v>1464</v>
      </c>
      <c r="K1713" s="1284" t="str">
        <f t="shared" si="26"/>
        <v>73</v>
      </c>
      <c r="L1713" s="1246" t="s">
        <v>1533</v>
      </c>
      <c r="M1713" s="1250">
        <v>9</v>
      </c>
      <c r="N1713" s="1251">
        <v>2</v>
      </c>
      <c r="O1713" s="1252">
        <v>1</v>
      </c>
    </row>
    <row r="1714" spans="1:15">
      <c r="A1714" s="1246" t="s">
        <v>1493</v>
      </c>
      <c r="B1714" s="1246" t="s">
        <v>434</v>
      </c>
      <c r="C1714" s="1247">
        <v>0.3</v>
      </c>
      <c r="E1714" s="1246" t="s">
        <v>1494</v>
      </c>
      <c r="F1714" s="1248">
        <v>3</v>
      </c>
      <c r="G1714" s="1248">
        <v>3</v>
      </c>
      <c r="H1714" s="1249">
        <v>1</v>
      </c>
      <c r="I1714" s="1246" t="s">
        <v>1491</v>
      </c>
      <c r="J1714" s="1246" t="s">
        <v>1470</v>
      </c>
      <c r="K1714" s="1284" t="str">
        <f t="shared" si="26"/>
        <v>7C</v>
      </c>
      <c r="L1714" s="1246" t="s">
        <v>1502</v>
      </c>
      <c r="M1714" s="1250">
        <v>4</v>
      </c>
      <c r="N1714" s="1251">
        <v>3</v>
      </c>
      <c r="O1714" s="1252">
        <v>1</v>
      </c>
    </row>
    <row r="1715" spans="1:15">
      <c r="A1715" s="1246" t="s">
        <v>1493</v>
      </c>
      <c r="B1715" s="1246" t="s">
        <v>434</v>
      </c>
      <c r="C1715" s="1247">
        <v>0.3</v>
      </c>
      <c r="E1715" s="1246" t="s">
        <v>1494</v>
      </c>
      <c r="F1715" s="1248">
        <v>3</v>
      </c>
      <c r="G1715" s="1248">
        <v>3</v>
      </c>
      <c r="H1715" s="1249">
        <v>1</v>
      </c>
      <c r="I1715" s="1246" t="s">
        <v>1491</v>
      </c>
      <c r="J1715" s="1246" t="s">
        <v>1462</v>
      </c>
      <c r="K1715" s="1284" t="str">
        <f t="shared" si="26"/>
        <v>71</v>
      </c>
      <c r="L1715" s="1246" t="s">
        <v>1495</v>
      </c>
      <c r="M1715" s="1250">
        <v>9</v>
      </c>
      <c r="N1715" s="1251">
        <v>3</v>
      </c>
      <c r="O1715" s="1252">
        <v>1</v>
      </c>
    </row>
    <row r="1716" spans="1:15">
      <c r="A1716" s="1246" t="s">
        <v>1490</v>
      </c>
      <c r="B1716" s="1246" t="s">
        <v>434</v>
      </c>
      <c r="C1716" s="1247">
        <v>0.3</v>
      </c>
      <c r="E1716" s="1246" t="s">
        <v>370</v>
      </c>
      <c r="F1716" s="1248">
        <v>4</v>
      </c>
      <c r="G1716" s="1248">
        <v>4</v>
      </c>
      <c r="H1716" s="1249">
        <v>1</v>
      </c>
      <c r="I1716" s="1246" t="s">
        <v>1491</v>
      </c>
      <c r="J1716" s="1246" t="s">
        <v>1454</v>
      </c>
      <c r="K1716" s="1284" t="str">
        <f t="shared" si="26"/>
        <v>31</v>
      </c>
      <c r="L1716" s="1246" t="s">
        <v>1506</v>
      </c>
      <c r="M1716" s="1250">
        <v>1</v>
      </c>
      <c r="N1716" s="1251">
        <v>4</v>
      </c>
      <c r="O1716" s="1252">
        <v>1</v>
      </c>
    </row>
    <row r="1717" spans="1:15">
      <c r="A1717" s="1246" t="s">
        <v>1493</v>
      </c>
      <c r="B1717" s="1246" t="s">
        <v>434</v>
      </c>
      <c r="C1717" s="1247">
        <v>0.3</v>
      </c>
      <c r="E1717" s="1246" t="s">
        <v>1494</v>
      </c>
      <c r="F1717" s="1248">
        <v>4</v>
      </c>
      <c r="G1717" s="1248">
        <v>4</v>
      </c>
      <c r="H1717" s="1249">
        <v>1</v>
      </c>
      <c r="I1717" s="1246" t="s">
        <v>1491</v>
      </c>
      <c r="J1717" s="1246" t="s">
        <v>1462</v>
      </c>
      <c r="K1717" s="1284" t="str">
        <f t="shared" si="26"/>
        <v>71</v>
      </c>
      <c r="L1717" s="1246" t="s">
        <v>1495</v>
      </c>
      <c r="M1717" s="1250">
        <v>9</v>
      </c>
      <c r="N1717" s="1251">
        <v>4</v>
      </c>
      <c r="O1717" s="1252">
        <v>1</v>
      </c>
    </row>
    <row r="1718" spans="1:15">
      <c r="A1718" s="1246" t="s">
        <v>1493</v>
      </c>
      <c r="B1718" s="1246" t="s">
        <v>434</v>
      </c>
      <c r="C1718" s="1247">
        <v>0.3</v>
      </c>
      <c r="E1718" s="1246" t="s">
        <v>376</v>
      </c>
      <c r="F1718" s="1248">
        <v>4</v>
      </c>
      <c r="G1718" s="1248">
        <v>4</v>
      </c>
      <c r="H1718" s="1249">
        <v>1</v>
      </c>
      <c r="I1718" s="1246" t="s">
        <v>1491</v>
      </c>
      <c r="J1718" s="1246" t="s">
        <v>1462</v>
      </c>
      <c r="K1718" s="1284" t="str">
        <f t="shared" si="26"/>
        <v>71</v>
      </c>
      <c r="L1718" s="1246" t="s">
        <v>1496</v>
      </c>
      <c r="M1718" s="1250">
        <v>9</v>
      </c>
      <c r="N1718" s="1251">
        <v>8</v>
      </c>
      <c r="O1718" s="1252">
        <v>2</v>
      </c>
    </row>
    <row r="1719" spans="1:15">
      <c r="A1719" s="1246" t="s">
        <v>1493</v>
      </c>
      <c r="B1719" s="1246" t="s">
        <v>434</v>
      </c>
      <c r="C1719" s="1247">
        <v>0.3</v>
      </c>
      <c r="E1719" s="1246" t="s">
        <v>376</v>
      </c>
      <c r="F1719" s="1248">
        <v>6</v>
      </c>
      <c r="G1719" s="1248">
        <v>0</v>
      </c>
      <c r="H1719" s="1249">
        <v>0</v>
      </c>
      <c r="J1719" s="1246" t="s">
        <v>1462</v>
      </c>
      <c r="K1719" s="1284" t="str">
        <f t="shared" si="26"/>
        <v>71</v>
      </c>
      <c r="L1719" s="1246" t="s">
        <v>1496</v>
      </c>
      <c r="M1719" s="1250">
        <v>9</v>
      </c>
      <c r="N1719" s="1251">
        <v>6</v>
      </c>
      <c r="O1719" s="1252">
        <v>1</v>
      </c>
    </row>
    <row r="1720" spans="1:15">
      <c r="A1720" s="1246" t="s">
        <v>683</v>
      </c>
      <c r="B1720" s="1246" t="s">
        <v>434</v>
      </c>
      <c r="C1720" s="1247">
        <v>0.3</v>
      </c>
      <c r="E1720" s="1246" t="s">
        <v>279</v>
      </c>
      <c r="F1720" s="1248">
        <v>10</v>
      </c>
      <c r="G1720" s="1248">
        <v>10</v>
      </c>
      <c r="H1720" s="1249">
        <v>1</v>
      </c>
      <c r="I1720" s="1246" t="s">
        <v>1491</v>
      </c>
      <c r="J1720" s="1246" t="s">
        <v>1462</v>
      </c>
      <c r="K1720" s="1284" t="str">
        <f t="shared" si="26"/>
        <v>71</v>
      </c>
      <c r="L1720" s="1246" t="s">
        <v>1495</v>
      </c>
      <c r="M1720" s="1250">
        <v>9</v>
      </c>
      <c r="N1720" s="1251">
        <v>10</v>
      </c>
      <c r="O1720" s="1252">
        <v>1</v>
      </c>
    </row>
    <row r="1721" spans="1:15">
      <c r="A1721" s="1246" t="s">
        <v>1493</v>
      </c>
      <c r="B1721" s="1246" t="s">
        <v>434</v>
      </c>
      <c r="C1721" s="1247">
        <v>0.3</v>
      </c>
      <c r="E1721" s="1246" t="s">
        <v>376</v>
      </c>
      <c r="F1721" s="1248">
        <v>12</v>
      </c>
      <c r="G1721" s="1248">
        <v>12</v>
      </c>
      <c r="H1721" s="1249">
        <v>1</v>
      </c>
      <c r="I1721" s="1246" t="s">
        <v>1491</v>
      </c>
      <c r="J1721" s="1246" t="s">
        <v>1462</v>
      </c>
      <c r="K1721" s="1284" t="str">
        <f t="shared" si="26"/>
        <v>71</v>
      </c>
      <c r="L1721" s="1246" t="s">
        <v>1496</v>
      </c>
      <c r="M1721" s="1250">
        <v>9</v>
      </c>
      <c r="N1721" s="1251">
        <v>12</v>
      </c>
      <c r="O1721" s="1252">
        <v>1</v>
      </c>
    </row>
    <row r="1722" spans="1:15">
      <c r="A1722" s="1246" t="s">
        <v>1493</v>
      </c>
      <c r="B1722" s="1246" t="s">
        <v>434</v>
      </c>
      <c r="C1722" s="1247">
        <v>0.3</v>
      </c>
      <c r="E1722" s="1246" t="s">
        <v>376</v>
      </c>
      <c r="F1722" s="1248">
        <v>17</v>
      </c>
      <c r="G1722" s="1248">
        <v>17</v>
      </c>
      <c r="H1722" s="1249">
        <v>1</v>
      </c>
      <c r="I1722" s="1246" t="s">
        <v>1491</v>
      </c>
      <c r="J1722" s="1246" t="s">
        <v>1462</v>
      </c>
      <c r="K1722" s="1284" t="str">
        <f t="shared" si="26"/>
        <v>71</v>
      </c>
      <c r="L1722" s="1246" t="s">
        <v>1496</v>
      </c>
      <c r="M1722" s="1250">
        <v>9</v>
      </c>
      <c r="N1722" s="1251">
        <v>17</v>
      </c>
      <c r="O1722" s="1252">
        <v>1</v>
      </c>
    </row>
    <row r="1723" spans="1:15">
      <c r="A1723" s="1246" t="s">
        <v>1493</v>
      </c>
      <c r="B1723" s="1246" t="s">
        <v>434</v>
      </c>
      <c r="C1723" s="1247">
        <v>0.3</v>
      </c>
      <c r="E1723" s="1246" t="s">
        <v>376</v>
      </c>
      <c r="F1723" s="1248">
        <v>20</v>
      </c>
      <c r="G1723" s="1248">
        <v>20</v>
      </c>
      <c r="H1723" s="1249">
        <v>1</v>
      </c>
      <c r="I1723" s="1246" t="s">
        <v>1491</v>
      </c>
      <c r="J1723" s="1246" t="s">
        <v>1462</v>
      </c>
      <c r="K1723" s="1284" t="str">
        <f t="shared" si="26"/>
        <v>71</v>
      </c>
      <c r="L1723" s="1246" t="s">
        <v>1496</v>
      </c>
      <c r="M1723" s="1250">
        <v>9</v>
      </c>
      <c r="N1723" s="1251">
        <v>20</v>
      </c>
      <c r="O1723" s="1252">
        <v>1</v>
      </c>
    </row>
    <row r="1724" spans="1:15">
      <c r="A1724" s="1246" t="s">
        <v>1493</v>
      </c>
      <c r="B1724" s="1246" t="s">
        <v>434</v>
      </c>
      <c r="C1724" s="1247">
        <v>0.3</v>
      </c>
      <c r="E1724" s="1246" t="s">
        <v>376</v>
      </c>
      <c r="F1724" s="1248">
        <v>29</v>
      </c>
      <c r="G1724" s="1248">
        <v>29</v>
      </c>
      <c r="H1724" s="1249">
        <v>1</v>
      </c>
      <c r="I1724" s="1246" t="s">
        <v>1491</v>
      </c>
      <c r="J1724" s="1246" t="s">
        <v>1462</v>
      </c>
      <c r="K1724" s="1284" t="str">
        <f t="shared" si="26"/>
        <v>71</v>
      </c>
      <c r="L1724" s="1246" t="s">
        <v>1496</v>
      </c>
      <c r="M1724" s="1250">
        <v>9</v>
      </c>
      <c r="N1724" s="1251">
        <v>29</v>
      </c>
      <c r="O1724" s="1252">
        <v>1</v>
      </c>
    </row>
    <row r="1725" spans="1:15">
      <c r="A1725" s="1246" t="s">
        <v>1493</v>
      </c>
      <c r="B1725" s="1246" t="s">
        <v>434</v>
      </c>
      <c r="C1725" s="1247">
        <v>0.3</v>
      </c>
      <c r="E1725" s="1246" t="s">
        <v>376</v>
      </c>
      <c r="F1725" s="1248">
        <v>38</v>
      </c>
      <c r="G1725" s="1248">
        <v>38</v>
      </c>
      <c r="H1725" s="1249">
        <v>1</v>
      </c>
      <c r="I1725" s="1246" t="s">
        <v>1491</v>
      </c>
      <c r="J1725" s="1246" t="s">
        <v>1462</v>
      </c>
      <c r="K1725" s="1284" t="str">
        <f t="shared" si="26"/>
        <v>71</v>
      </c>
      <c r="L1725" s="1246" t="s">
        <v>1496</v>
      </c>
      <c r="M1725" s="1250">
        <v>9</v>
      </c>
      <c r="N1725" s="1251">
        <v>38</v>
      </c>
      <c r="O1725" s="1252">
        <v>1</v>
      </c>
    </row>
    <row r="1726" spans="1:15">
      <c r="A1726" s="1246" t="s">
        <v>1493</v>
      </c>
      <c r="B1726" s="1246" t="s">
        <v>434</v>
      </c>
      <c r="C1726" s="1247">
        <v>0.3</v>
      </c>
      <c r="E1726" s="1246" t="s">
        <v>376</v>
      </c>
      <c r="F1726" s="1248">
        <v>40</v>
      </c>
      <c r="G1726" s="1248">
        <v>40</v>
      </c>
      <c r="H1726" s="1249">
        <v>1</v>
      </c>
      <c r="I1726" s="1246" t="s">
        <v>1491</v>
      </c>
      <c r="J1726" s="1246" t="s">
        <v>1462</v>
      </c>
      <c r="K1726" s="1284" t="str">
        <f t="shared" si="26"/>
        <v>71</v>
      </c>
      <c r="L1726" s="1246" t="s">
        <v>1496</v>
      </c>
      <c r="M1726" s="1250">
        <v>9</v>
      </c>
      <c r="N1726" s="1251">
        <v>40</v>
      </c>
      <c r="O1726" s="1252">
        <v>1</v>
      </c>
    </row>
    <row r="1727" spans="1:15">
      <c r="A1727" s="1246" t="s">
        <v>1493</v>
      </c>
      <c r="B1727" s="1246" t="s">
        <v>434</v>
      </c>
      <c r="C1727" s="1247">
        <v>0.3</v>
      </c>
      <c r="E1727" s="1246" t="s">
        <v>376</v>
      </c>
      <c r="F1727" s="1248">
        <v>48</v>
      </c>
      <c r="G1727" s="1248">
        <v>48</v>
      </c>
      <c r="H1727" s="1249">
        <v>1</v>
      </c>
      <c r="I1727" s="1246" t="s">
        <v>1491</v>
      </c>
      <c r="J1727" s="1246" t="s">
        <v>1462</v>
      </c>
      <c r="K1727" s="1284" t="str">
        <f t="shared" si="26"/>
        <v>71</v>
      </c>
      <c r="L1727" s="1246" t="s">
        <v>1496</v>
      </c>
      <c r="M1727" s="1250">
        <v>9</v>
      </c>
      <c r="N1727" s="1251">
        <v>48</v>
      </c>
      <c r="O1727" s="1252">
        <v>1</v>
      </c>
    </row>
    <row r="1728" spans="1:15">
      <c r="A1728" s="1246" t="s">
        <v>683</v>
      </c>
      <c r="B1728" s="1246" t="s">
        <v>434</v>
      </c>
      <c r="C1728" s="1247">
        <v>0.3</v>
      </c>
      <c r="E1728" s="1246" t="s">
        <v>1494</v>
      </c>
      <c r="F1728" s="1248">
        <v>57</v>
      </c>
      <c r="G1728" s="1248">
        <v>285</v>
      </c>
      <c r="H1728" s="1249">
        <v>1</v>
      </c>
      <c r="I1728" s="1246" t="s">
        <v>1491</v>
      </c>
      <c r="J1728" s="1246" t="s">
        <v>1462</v>
      </c>
      <c r="K1728" s="1284" t="str">
        <f t="shared" si="26"/>
        <v>71</v>
      </c>
      <c r="L1728" s="1246" t="s">
        <v>1495</v>
      </c>
      <c r="M1728" s="1250">
        <v>9</v>
      </c>
      <c r="N1728" s="1251">
        <v>57</v>
      </c>
      <c r="O1728" s="1252">
        <v>1</v>
      </c>
    </row>
    <row r="1729" spans="1:15">
      <c r="A1729" s="1246" t="s">
        <v>1493</v>
      </c>
      <c r="B1729" s="1246" t="s">
        <v>434</v>
      </c>
      <c r="C1729" s="1247">
        <v>0.3</v>
      </c>
      <c r="E1729" s="1246" t="s">
        <v>376</v>
      </c>
      <c r="F1729" s="1248">
        <v>64</v>
      </c>
      <c r="G1729" s="1248">
        <v>64</v>
      </c>
      <c r="H1729" s="1249">
        <v>2</v>
      </c>
      <c r="I1729" s="1246" t="s">
        <v>1491</v>
      </c>
      <c r="J1729" s="1246" t="s">
        <v>1400</v>
      </c>
      <c r="K1729" s="1284" t="str">
        <f t="shared" si="26"/>
        <v>70</v>
      </c>
      <c r="L1729" s="1246" t="s">
        <v>1532</v>
      </c>
      <c r="M1729" s="1250">
        <v>9</v>
      </c>
      <c r="N1729" s="1251">
        <v>64</v>
      </c>
      <c r="O1729" s="1252">
        <v>1</v>
      </c>
    </row>
    <row r="1730" spans="1:15">
      <c r="A1730" s="1246" t="s">
        <v>1490</v>
      </c>
      <c r="B1730" s="1246" t="s">
        <v>434</v>
      </c>
      <c r="C1730" s="1247">
        <v>0.32</v>
      </c>
      <c r="F1730" s="1248">
        <v>1</v>
      </c>
      <c r="G1730" s="1248">
        <v>1</v>
      </c>
      <c r="H1730" s="1249">
        <v>1</v>
      </c>
      <c r="I1730" s="1246" t="s">
        <v>1491</v>
      </c>
      <c r="J1730" s="1246" t="s">
        <v>1454</v>
      </c>
      <c r="K1730" s="1284" t="str">
        <f t="shared" ref="K1730:K1793" si="27">IF(J1730="1B","10", IF(J1730="2B","20",IF(J1730="3B","30",IF(J1730="7B",70,J1730))))</f>
        <v>31</v>
      </c>
      <c r="L1730" s="1246" t="s">
        <v>1523</v>
      </c>
      <c r="M1730" s="1250">
        <v>3</v>
      </c>
      <c r="N1730" s="1251">
        <v>1</v>
      </c>
      <c r="O1730" s="1252">
        <v>1</v>
      </c>
    </row>
    <row r="1731" spans="1:15">
      <c r="A1731" s="1246" t="s">
        <v>1493</v>
      </c>
      <c r="B1731" s="1246" t="s">
        <v>434</v>
      </c>
      <c r="C1731" s="1247">
        <v>0.32</v>
      </c>
      <c r="E1731" s="1246" t="s">
        <v>1494</v>
      </c>
      <c r="F1731" s="1248">
        <v>6</v>
      </c>
      <c r="G1731" s="1248">
        <v>6</v>
      </c>
      <c r="H1731" s="1249">
        <v>2</v>
      </c>
      <c r="I1731" s="1246" t="s">
        <v>1491</v>
      </c>
      <c r="J1731" s="1246" t="s">
        <v>1464</v>
      </c>
      <c r="K1731" s="1284" t="str">
        <f t="shared" si="27"/>
        <v>73</v>
      </c>
      <c r="L1731" s="1246" t="s">
        <v>1533</v>
      </c>
      <c r="M1731" s="1250">
        <v>9</v>
      </c>
      <c r="N1731" s="1251">
        <v>6</v>
      </c>
      <c r="O1731" s="1252">
        <v>1</v>
      </c>
    </row>
    <row r="1732" spans="1:15">
      <c r="A1732" s="1246" t="s">
        <v>1493</v>
      </c>
      <c r="B1732" s="1246" t="s">
        <v>434</v>
      </c>
      <c r="C1732" s="1247">
        <v>0.45</v>
      </c>
      <c r="E1732" s="1246" t="s">
        <v>1494</v>
      </c>
      <c r="F1732" s="1248">
        <v>1</v>
      </c>
      <c r="G1732" s="1248">
        <v>0</v>
      </c>
      <c r="H1732" s="1249">
        <v>0</v>
      </c>
      <c r="J1732" s="1246" t="s">
        <v>1462</v>
      </c>
      <c r="K1732" s="1284" t="str">
        <f t="shared" si="27"/>
        <v>71</v>
      </c>
      <c r="L1732" s="1246" t="s">
        <v>1495</v>
      </c>
      <c r="M1732" s="1250">
        <v>9</v>
      </c>
      <c r="N1732" s="1251">
        <v>1</v>
      </c>
      <c r="O1732" s="1252">
        <v>1</v>
      </c>
    </row>
    <row r="1733" spans="1:15">
      <c r="A1733" s="1246" t="s">
        <v>1493</v>
      </c>
      <c r="B1733" s="1246" t="s">
        <v>434</v>
      </c>
      <c r="C1733" s="1247">
        <v>0.45</v>
      </c>
      <c r="E1733" s="1246" t="s">
        <v>1494</v>
      </c>
      <c r="F1733" s="1248">
        <v>1</v>
      </c>
      <c r="G1733" s="1248">
        <v>1</v>
      </c>
      <c r="H1733" s="1249">
        <v>1</v>
      </c>
      <c r="I1733" s="1246" t="s">
        <v>1491</v>
      </c>
      <c r="J1733" s="1246" t="s">
        <v>1466</v>
      </c>
      <c r="K1733" s="1284" t="str">
        <f t="shared" si="27"/>
        <v>75</v>
      </c>
      <c r="M1733" s="1250">
        <v>0</v>
      </c>
      <c r="N1733" s="1251">
        <v>1</v>
      </c>
      <c r="O1733" s="1252">
        <v>1</v>
      </c>
    </row>
    <row r="1734" spans="1:15">
      <c r="A1734" s="1246" t="s">
        <v>683</v>
      </c>
      <c r="B1734" s="1246" t="s">
        <v>434</v>
      </c>
      <c r="C1734" s="1247">
        <v>0.45</v>
      </c>
      <c r="E1734" s="1246" t="s">
        <v>1494</v>
      </c>
      <c r="F1734" s="1248">
        <v>1</v>
      </c>
      <c r="G1734" s="1248">
        <v>1</v>
      </c>
      <c r="H1734" s="1249">
        <v>1</v>
      </c>
      <c r="I1734" s="1246" t="s">
        <v>1491</v>
      </c>
      <c r="J1734" s="1246" t="s">
        <v>1447</v>
      </c>
      <c r="K1734" s="1284" t="str">
        <f t="shared" si="27"/>
        <v>24</v>
      </c>
      <c r="L1734" s="1246" t="s">
        <v>1546</v>
      </c>
      <c r="M1734" s="1250">
        <v>8</v>
      </c>
      <c r="N1734" s="1251">
        <v>1</v>
      </c>
      <c r="O1734" s="1252">
        <v>1</v>
      </c>
    </row>
    <row r="1735" spans="1:15">
      <c r="A1735" s="1246" t="s">
        <v>1490</v>
      </c>
      <c r="B1735" s="1246" t="s">
        <v>434</v>
      </c>
      <c r="C1735" s="1247">
        <v>0.45</v>
      </c>
      <c r="F1735" s="1248">
        <v>1</v>
      </c>
      <c r="G1735" s="1248">
        <v>1</v>
      </c>
      <c r="H1735" s="1249">
        <v>1</v>
      </c>
      <c r="I1735" s="1246" t="s">
        <v>1491</v>
      </c>
      <c r="J1735" s="1246" t="s">
        <v>1460</v>
      </c>
      <c r="K1735" s="1284" t="str">
        <f t="shared" si="27"/>
        <v>30</v>
      </c>
      <c r="L1735" s="1246" t="s">
        <v>1497</v>
      </c>
      <c r="M1735" s="1250">
        <v>1</v>
      </c>
      <c r="N1735" s="1251">
        <v>739</v>
      </c>
      <c r="O1735" s="1252">
        <v>739</v>
      </c>
    </row>
    <row r="1736" spans="1:15">
      <c r="A1736" s="1246" t="s">
        <v>1490</v>
      </c>
      <c r="B1736" s="1246" t="s">
        <v>434</v>
      </c>
      <c r="C1736" s="1247">
        <v>0.45</v>
      </c>
      <c r="F1736" s="1248">
        <v>1</v>
      </c>
      <c r="G1736" s="1248">
        <v>1</v>
      </c>
      <c r="H1736" s="1249">
        <v>1</v>
      </c>
      <c r="I1736" s="1246" t="s">
        <v>1491</v>
      </c>
      <c r="J1736" s="1246" t="s">
        <v>1461</v>
      </c>
      <c r="K1736" s="1284" t="str">
        <f t="shared" si="27"/>
        <v>3C</v>
      </c>
      <c r="L1736" s="1246" t="s">
        <v>1502</v>
      </c>
      <c r="M1736" s="1250">
        <v>1</v>
      </c>
      <c r="N1736" s="1251">
        <v>37</v>
      </c>
      <c r="O1736" s="1252">
        <v>37</v>
      </c>
    </row>
    <row r="1737" spans="1:15">
      <c r="A1737" s="1246" t="s">
        <v>1490</v>
      </c>
      <c r="B1737" s="1246" t="s">
        <v>434</v>
      </c>
      <c r="C1737" s="1247">
        <v>0.45</v>
      </c>
      <c r="F1737" s="1248">
        <v>1</v>
      </c>
      <c r="G1737" s="1248">
        <v>1</v>
      </c>
      <c r="H1737" s="1249">
        <v>1</v>
      </c>
      <c r="I1737" s="1246" t="s">
        <v>1491</v>
      </c>
      <c r="J1737" s="1246" t="s">
        <v>1460</v>
      </c>
      <c r="K1737" s="1284" t="str">
        <f t="shared" si="27"/>
        <v>30</v>
      </c>
      <c r="L1737" s="1246" t="s">
        <v>1502</v>
      </c>
      <c r="M1737" s="1250">
        <v>3</v>
      </c>
      <c r="N1737" s="1251">
        <v>1</v>
      </c>
      <c r="O1737" s="1252">
        <v>1</v>
      </c>
    </row>
    <row r="1738" spans="1:15">
      <c r="A1738" s="1246" t="s">
        <v>1490</v>
      </c>
      <c r="B1738" s="1246" t="s">
        <v>434</v>
      </c>
      <c r="C1738" s="1247">
        <v>0.45</v>
      </c>
      <c r="F1738" s="1248">
        <v>1</v>
      </c>
      <c r="G1738" s="1248">
        <v>1</v>
      </c>
      <c r="H1738" s="1249">
        <v>1</v>
      </c>
      <c r="I1738" s="1246" t="s">
        <v>1491</v>
      </c>
      <c r="J1738" s="1246" t="s">
        <v>1461</v>
      </c>
      <c r="K1738" s="1284" t="str">
        <f t="shared" si="27"/>
        <v>3C</v>
      </c>
      <c r="L1738" s="1246" t="s">
        <v>1502</v>
      </c>
      <c r="M1738" s="1250">
        <v>3</v>
      </c>
      <c r="N1738" s="1251">
        <v>510</v>
      </c>
      <c r="O1738" s="1252">
        <v>510</v>
      </c>
    </row>
    <row r="1739" spans="1:15">
      <c r="A1739" s="1246" t="s">
        <v>1493</v>
      </c>
      <c r="B1739" s="1246" t="s">
        <v>434</v>
      </c>
      <c r="C1739" s="1247">
        <v>0.45</v>
      </c>
      <c r="E1739" s="1246" t="s">
        <v>279</v>
      </c>
      <c r="F1739" s="1248">
        <v>1</v>
      </c>
      <c r="G1739" s="1248">
        <v>1</v>
      </c>
      <c r="H1739" s="1249">
        <v>1</v>
      </c>
      <c r="I1739" s="1246" t="s">
        <v>1491</v>
      </c>
      <c r="J1739" s="1246" t="s">
        <v>1470</v>
      </c>
      <c r="K1739" s="1284" t="str">
        <f t="shared" si="27"/>
        <v>7C</v>
      </c>
      <c r="L1739" s="1246" t="s">
        <v>1502</v>
      </c>
      <c r="M1739" s="1250">
        <v>4</v>
      </c>
      <c r="N1739" s="1251">
        <v>9</v>
      </c>
      <c r="O1739" s="1252">
        <v>9</v>
      </c>
    </row>
    <row r="1740" spans="1:15">
      <c r="A1740" s="1246" t="s">
        <v>1493</v>
      </c>
      <c r="B1740" s="1246" t="s">
        <v>434</v>
      </c>
      <c r="C1740" s="1247">
        <v>0.45</v>
      </c>
      <c r="E1740" s="1246" t="s">
        <v>1494</v>
      </c>
      <c r="F1740" s="1248">
        <v>1</v>
      </c>
      <c r="G1740" s="1248">
        <v>1</v>
      </c>
      <c r="H1740" s="1249">
        <v>1</v>
      </c>
      <c r="I1740" s="1246" t="s">
        <v>1491</v>
      </c>
      <c r="J1740" s="1246" t="s">
        <v>1443</v>
      </c>
      <c r="K1740" s="1284" t="str">
        <f t="shared" si="27"/>
        <v>1C</v>
      </c>
      <c r="L1740" s="1246" t="s">
        <v>1502</v>
      </c>
      <c r="M1740" s="1250">
        <v>4</v>
      </c>
      <c r="N1740" s="1251">
        <v>1</v>
      </c>
      <c r="O1740" s="1252">
        <v>1</v>
      </c>
    </row>
    <row r="1741" spans="1:15">
      <c r="A1741" s="1246" t="s">
        <v>1493</v>
      </c>
      <c r="B1741" s="1246" t="s">
        <v>434</v>
      </c>
      <c r="C1741" s="1247">
        <v>0.45</v>
      </c>
      <c r="E1741" s="1246" t="s">
        <v>1494</v>
      </c>
      <c r="F1741" s="1248">
        <v>1</v>
      </c>
      <c r="G1741" s="1248">
        <v>1</v>
      </c>
      <c r="H1741" s="1249">
        <v>1</v>
      </c>
      <c r="I1741" s="1246" t="s">
        <v>1491</v>
      </c>
      <c r="J1741" s="1246" t="s">
        <v>1470</v>
      </c>
      <c r="K1741" s="1284" t="str">
        <f t="shared" si="27"/>
        <v>7C</v>
      </c>
      <c r="L1741" s="1246" t="s">
        <v>1502</v>
      </c>
      <c r="M1741" s="1250">
        <v>4</v>
      </c>
      <c r="N1741" s="1251">
        <v>37</v>
      </c>
      <c r="O1741" s="1252">
        <v>37</v>
      </c>
    </row>
    <row r="1742" spans="1:15">
      <c r="A1742" s="1246" t="s">
        <v>1493</v>
      </c>
      <c r="B1742" s="1246" t="s">
        <v>434</v>
      </c>
      <c r="C1742" s="1247">
        <v>0.45</v>
      </c>
      <c r="E1742" s="1246" t="s">
        <v>368</v>
      </c>
      <c r="F1742" s="1248">
        <v>1</v>
      </c>
      <c r="G1742" s="1248">
        <v>1</v>
      </c>
      <c r="H1742" s="1249">
        <v>1</v>
      </c>
      <c r="I1742" s="1246" t="s">
        <v>1491</v>
      </c>
      <c r="J1742" s="1246" t="s">
        <v>1470</v>
      </c>
      <c r="K1742" s="1284" t="str">
        <f t="shared" si="27"/>
        <v>7C</v>
      </c>
      <c r="L1742" s="1246" t="s">
        <v>1502</v>
      </c>
      <c r="M1742" s="1250">
        <v>4</v>
      </c>
      <c r="N1742" s="1251">
        <v>1</v>
      </c>
      <c r="O1742" s="1252">
        <v>1</v>
      </c>
    </row>
    <row r="1743" spans="1:15">
      <c r="A1743" s="1246" t="s">
        <v>1493</v>
      </c>
      <c r="B1743" s="1246" t="s">
        <v>434</v>
      </c>
      <c r="C1743" s="1247">
        <v>0.45</v>
      </c>
      <c r="E1743" s="1246" t="s">
        <v>370</v>
      </c>
      <c r="F1743" s="1248">
        <v>1</v>
      </c>
      <c r="G1743" s="1248">
        <v>1</v>
      </c>
      <c r="H1743" s="1249">
        <v>1</v>
      </c>
      <c r="I1743" s="1246" t="s">
        <v>1491</v>
      </c>
      <c r="J1743" s="1246" t="s">
        <v>1470</v>
      </c>
      <c r="K1743" s="1284" t="str">
        <f t="shared" si="27"/>
        <v>7C</v>
      </c>
      <c r="L1743" s="1246" t="s">
        <v>1502</v>
      </c>
      <c r="M1743" s="1250">
        <v>4</v>
      </c>
      <c r="N1743" s="1251">
        <v>1</v>
      </c>
      <c r="O1743" s="1252">
        <v>1</v>
      </c>
    </row>
    <row r="1744" spans="1:15">
      <c r="A1744" s="1246" t="s">
        <v>1493</v>
      </c>
      <c r="B1744" s="1246" t="s">
        <v>434</v>
      </c>
      <c r="C1744" s="1247">
        <v>0.45</v>
      </c>
      <c r="E1744" s="1246" t="s">
        <v>376</v>
      </c>
      <c r="F1744" s="1248">
        <v>1</v>
      </c>
      <c r="G1744" s="1248">
        <v>1</v>
      </c>
      <c r="H1744" s="1249">
        <v>1</v>
      </c>
      <c r="I1744" s="1246" t="s">
        <v>1491</v>
      </c>
      <c r="J1744" s="1246" t="s">
        <v>1470</v>
      </c>
      <c r="K1744" s="1284" t="str">
        <f t="shared" si="27"/>
        <v>7C</v>
      </c>
      <c r="L1744" s="1246" t="s">
        <v>1502</v>
      </c>
      <c r="M1744" s="1250">
        <v>4</v>
      </c>
      <c r="N1744" s="1251">
        <v>4</v>
      </c>
      <c r="O1744" s="1252">
        <v>4</v>
      </c>
    </row>
    <row r="1745" spans="1:15">
      <c r="A1745" s="1246" t="s">
        <v>1490</v>
      </c>
      <c r="B1745" s="1246" t="s">
        <v>434</v>
      </c>
      <c r="C1745" s="1247">
        <v>0.45</v>
      </c>
      <c r="F1745" s="1248">
        <v>1</v>
      </c>
      <c r="G1745" s="1248">
        <v>1</v>
      </c>
      <c r="H1745" s="1249">
        <v>1</v>
      </c>
      <c r="I1745" s="1246" t="s">
        <v>1491</v>
      </c>
      <c r="J1745" s="1246" t="s">
        <v>1460</v>
      </c>
      <c r="K1745" s="1284" t="str">
        <f t="shared" si="27"/>
        <v>30</v>
      </c>
      <c r="L1745" s="1246" t="s">
        <v>1498</v>
      </c>
      <c r="M1745" s="1250">
        <v>2</v>
      </c>
      <c r="N1745" s="1251">
        <v>737</v>
      </c>
      <c r="O1745" s="1252">
        <v>737</v>
      </c>
    </row>
    <row r="1746" spans="1:15">
      <c r="A1746" s="1246" t="s">
        <v>1493</v>
      </c>
      <c r="B1746" s="1246" t="s">
        <v>434</v>
      </c>
      <c r="C1746" s="1247">
        <v>0.45</v>
      </c>
      <c r="E1746" s="1246" t="s">
        <v>1494</v>
      </c>
      <c r="F1746" s="1248">
        <v>1</v>
      </c>
      <c r="G1746" s="1248">
        <v>1</v>
      </c>
      <c r="H1746" s="1249">
        <v>1</v>
      </c>
      <c r="I1746" s="1246" t="s">
        <v>1491</v>
      </c>
      <c r="J1746" s="1246" t="s">
        <v>1469</v>
      </c>
      <c r="K1746" s="1284">
        <f t="shared" si="27"/>
        <v>70</v>
      </c>
      <c r="L1746" s="1246" t="s">
        <v>1534</v>
      </c>
      <c r="M1746" s="1250">
        <v>4</v>
      </c>
      <c r="N1746" s="1251">
        <v>1</v>
      </c>
      <c r="O1746" s="1252">
        <v>1</v>
      </c>
    </row>
    <row r="1747" spans="1:15">
      <c r="A1747" s="1246" t="s">
        <v>1490</v>
      </c>
      <c r="B1747" s="1246" t="s">
        <v>434</v>
      </c>
      <c r="C1747" s="1247">
        <v>0.45</v>
      </c>
      <c r="F1747" s="1248">
        <v>1</v>
      </c>
      <c r="G1747" s="1248">
        <v>1</v>
      </c>
      <c r="H1747" s="1249">
        <v>1</v>
      </c>
      <c r="I1747" s="1246" t="s">
        <v>1491</v>
      </c>
      <c r="J1747" s="1246" t="s">
        <v>1460</v>
      </c>
      <c r="K1747" s="1284" t="str">
        <f t="shared" si="27"/>
        <v>30</v>
      </c>
      <c r="L1747" s="1246" t="s">
        <v>1499</v>
      </c>
      <c r="M1747" s="1250">
        <v>5</v>
      </c>
      <c r="N1747" s="1251">
        <v>773</v>
      </c>
      <c r="O1747" s="1252">
        <v>773</v>
      </c>
    </row>
    <row r="1748" spans="1:15">
      <c r="A1748" s="1246" t="s">
        <v>1493</v>
      </c>
      <c r="B1748" s="1246" t="s">
        <v>434</v>
      </c>
      <c r="C1748" s="1247">
        <v>0.45</v>
      </c>
      <c r="E1748" s="1246" t="s">
        <v>1494</v>
      </c>
      <c r="F1748" s="1248">
        <v>1</v>
      </c>
      <c r="G1748" s="1248">
        <v>1</v>
      </c>
      <c r="H1748" s="1249">
        <v>1</v>
      </c>
      <c r="I1748" s="1246" t="s">
        <v>1491</v>
      </c>
      <c r="J1748" s="1246" t="s">
        <v>1468</v>
      </c>
      <c r="K1748" s="1284" t="str">
        <f t="shared" si="27"/>
        <v>7A</v>
      </c>
      <c r="L1748" s="1246" t="s">
        <v>1545</v>
      </c>
      <c r="M1748" s="1250">
        <v>4</v>
      </c>
      <c r="N1748" s="1251">
        <v>1</v>
      </c>
      <c r="O1748" s="1252">
        <v>1</v>
      </c>
    </row>
    <row r="1749" spans="1:15">
      <c r="A1749" s="1246" t="s">
        <v>1490</v>
      </c>
      <c r="B1749" s="1246" t="s">
        <v>434</v>
      </c>
      <c r="C1749" s="1247">
        <v>0.45</v>
      </c>
      <c r="F1749" s="1248">
        <v>1</v>
      </c>
      <c r="G1749" s="1248">
        <v>1</v>
      </c>
      <c r="H1749" s="1249">
        <v>1</v>
      </c>
      <c r="I1749" s="1246" t="s">
        <v>1491</v>
      </c>
      <c r="J1749" s="1246" t="s">
        <v>1399</v>
      </c>
      <c r="K1749" s="1284" t="str">
        <f t="shared" si="27"/>
        <v>30</v>
      </c>
      <c r="L1749" s="1246" t="s">
        <v>1503</v>
      </c>
      <c r="M1749" s="1250">
        <v>1</v>
      </c>
      <c r="N1749" s="1251">
        <v>29</v>
      </c>
      <c r="O1749" s="1252">
        <v>29</v>
      </c>
    </row>
    <row r="1750" spans="1:15">
      <c r="A1750" s="1246" t="s">
        <v>1490</v>
      </c>
      <c r="B1750" s="1246" t="s">
        <v>434</v>
      </c>
      <c r="C1750" s="1247">
        <v>0.45</v>
      </c>
      <c r="E1750" s="1246" t="s">
        <v>370</v>
      </c>
      <c r="F1750" s="1248">
        <v>1</v>
      </c>
      <c r="G1750" s="1248">
        <v>1</v>
      </c>
      <c r="H1750" s="1249">
        <v>1</v>
      </c>
      <c r="I1750" s="1246" t="s">
        <v>1491</v>
      </c>
      <c r="J1750" s="1246" t="s">
        <v>1399</v>
      </c>
      <c r="K1750" s="1284" t="str">
        <f t="shared" si="27"/>
        <v>30</v>
      </c>
      <c r="L1750" s="1246" t="s">
        <v>1503</v>
      </c>
      <c r="M1750" s="1250">
        <v>1</v>
      </c>
      <c r="N1750" s="1251">
        <v>11</v>
      </c>
      <c r="O1750" s="1252">
        <v>11</v>
      </c>
    </row>
    <row r="1751" spans="1:15">
      <c r="A1751" s="1246" t="s">
        <v>1490</v>
      </c>
      <c r="B1751" s="1246" t="s">
        <v>434</v>
      </c>
      <c r="C1751" s="1247">
        <v>0.45</v>
      </c>
      <c r="E1751" s="1246" t="s">
        <v>370</v>
      </c>
      <c r="F1751" s="1248">
        <v>1</v>
      </c>
      <c r="G1751" s="1248">
        <v>1</v>
      </c>
      <c r="H1751" s="1249">
        <v>1</v>
      </c>
      <c r="I1751" s="1246" t="s">
        <v>1491</v>
      </c>
      <c r="J1751" s="1246" t="s">
        <v>1399</v>
      </c>
      <c r="K1751" s="1284" t="str">
        <f t="shared" si="27"/>
        <v>30</v>
      </c>
      <c r="L1751" s="1246" t="s">
        <v>1504</v>
      </c>
      <c r="M1751" s="1250">
        <v>1</v>
      </c>
      <c r="N1751" s="1251">
        <v>6</v>
      </c>
      <c r="O1751" s="1252">
        <v>6</v>
      </c>
    </row>
    <row r="1752" spans="1:15">
      <c r="A1752" s="1246" t="s">
        <v>1490</v>
      </c>
      <c r="B1752" s="1246" t="s">
        <v>434</v>
      </c>
      <c r="C1752" s="1247">
        <v>0.45</v>
      </c>
      <c r="F1752" s="1248">
        <v>1</v>
      </c>
      <c r="G1752" s="1248">
        <v>1</v>
      </c>
      <c r="H1752" s="1249">
        <v>1</v>
      </c>
      <c r="I1752" s="1246" t="s">
        <v>1491</v>
      </c>
      <c r="J1752" s="1246" t="s">
        <v>1399</v>
      </c>
      <c r="K1752" s="1284" t="str">
        <f t="shared" si="27"/>
        <v>30</v>
      </c>
      <c r="L1752" s="1246" t="s">
        <v>1504</v>
      </c>
      <c r="M1752" s="1250">
        <v>1</v>
      </c>
      <c r="N1752" s="1251">
        <v>30</v>
      </c>
      <c r="O1752" s="1252">
        <v>30</v>
      </c>
    </row>
    <row r="1753" spans="1:15">
      <c r="A1753" s="1246" t="s">
        <v>1490</v>
      </c>
      <c r="B1753" s="1246" t="s">
        <v>434</v>
      </c>
      <c r="C1753" s="1247">
        <v>0.45</v>
      </c>
      <c r="F1753" s="1248">
        <v>1</v>
      </c>
      <c r="G1753" s="1248">
        <v>1</v>
      </c>
      <c r="H1753" s="1249">
        <v>1</v>
      </c>
      <c r="I1753" s="1246" t="s">
        <v>1491</v>
      </c>
      <c r="J1753" s="1246" t="s">
        <v>1455</v>
      </c>
      <c r="K1753" s="1284" t="str">
        <f t="shared" si="27"/>
        <v>32</v>
      </c>
      <c r="L1753" s="1246" t="s">
        <v>1505</v>
      </c>
      <c r="M1753" s="1250">
        <v>1</v>
      </c>
      <c r="N1753" s="1251">
        <v>765</v>
      </c>
      <c r="O1753" s="1252">
        <v>765</v>
      </c>
    </row>
    <row r="1754" spans="1:15">
      <c r="A1754" s="1246" t="s">
        <v>1490</v>
      </c>
      <c r="B1754" s="1246" t="s">
        <v>434</v>
      </c>
      <c r="C1754" s="1247">
        <v>0.45</v>
      </c>
      <c r="E1754" s="1246" t="s">
        <v>370</v>
      </c>
      <c r="F1754" s="1248">
        <v>1</v>
      </c>
      <c r="G1754" s="1248">
        <v>1</v>
      </c>
      <c r="H1754" s="1249">
        <v>1</v>
      </c>
      <c r="I1754" s="1246" t="s">
        <v>1491</v>
      </c>
      <c r="J1754" s="1246" t="s">
        <v>1455</v>
      </c>
      <c r="K1754" s="1284" t="str">
        <f t="shared" si="27"/>
        <v>32</v>
      </c>
      <c r="L1754" s="1246" t="s">
        <v>1505</v>
      </c>
      <c r="M1754" s="1250">
        <v>1</v>
      </c>
      <c r="N1754" s="1251">
        <v>414</v>
      </c>
      <c r="O1754" s="1252">
        <v>414</v>
      </c>
    </row>
    <row r="1755" spans="1:15">
      <c r="A1755" s="1246" t="s">
        <v>1490</v>
      </c>
      <c r="B1755" s="1246" t="s">
        <v>434</v>
      </c>
      <c r="C1755" s="1247">
        <v>0.45</v>
      </c>
      <c r="E1755" s="1246" t="s">
        <v>370</v>
      </c>
      <c r="F1755" s="1248">
        <v>1</v>
      </c>
      <c r="G1755" s="1248">
        <v>1</v>
      </c>
      <c r="H1755" s="1249">
        <v>1</v>
      </c>
      <c r="I1755" s="1246" t="s">
        <v>1491</v>
      </c>
      <c r="J1755" s="1246" t="s">
        <v>1454</v>
      </c>
      <c r="K1755" s="1284" t="str">
        <f t="shared" si="27"/>
        <v>31</v>
      </c>
      <c r="L1755" s="1246" t="s">
        <v>1506</v>
      </c>
      <c r="M1755" s="1250">
        <v>1</v>
      </c>
      <c r="N1755" s="1251">
        <v>2640</v>
      </c>
      <c r="O1755" s="1252">
        <v>2640</v>
      </c>
    </row>
    <row r="1756" spans="1:15">
      <c r="A1756" s="1246" t="s">
        <v>1490</v>
      </c>
      <c r="B1756" s="1246" t="s">
        <v>434</v>
      </c>
      <c r="C1756" s="1247">
        <v>0.45</v>
      </c>
      <c r="F1756" s="1248">
        <v>1</v>
      </c>
      <c r="G1756" s="1248">
        <v>1</v>
      </c>
      <c r="H1756" s="1249">
        <v>1</v>
      </c>
      <c r="I1756" s="1246" t="s">
        <v>1491</v>
      </c>
      <c r="J1756" s="1246" t="s">
        <v>1454</v>
      </c>
      <c r="K1756" s="1284" t="str">
        <f t="shared" si="27"/>
        <v>31</v>
      </c>
      <c r="L1756" s="1246" t="s">
        <v>1506</v>
      </c>
      <c r="M1756" s="1250">
        <v>1</v>
      </c>
      <c r="N1756" s="1251">
        <v>5637</v>
      </c>
      <c r="O1756" s="1252">
        <v>5637</v>
      </c>
    </row>
    <row r="1757" spans="1:15">
      <c r="A1757" s="1246" t="s">
        <v>1490</v>
      </c>
      <c r="B1757" s="1246" t="s">
        <v>434</v>
      </c>
      <c r="C1757" s="1247">
        <v>0.45</v>
      </c>
      <c r="F1757" s="1248">
        <v>1</v>
      </c>
      <c r="G1757" s="1248">
        <v>1</v>
      </c>
      <c r="H1757" s="1249">
        <v>1</v>
      </c>
      <c r="I1757" s="1246" t="s">
        <v>1491</v>
      </c>
      <c r="J1757" s="1246" t="s">
        <v>1458</v>
      </c>
      <c r="K1757" s="1284" t="str">
        <f t="shared" si="27"/>
        <v>36</v>
      </c>
      <c r="L1757" s="1246" t="s">
        <v>1507</v>
      </c>
      <c r="M1757" s="1250">
        <v>1</v>
      </c>
      <c r="N1757" s="1251">
        <v>198</v>
      </c>
      <c r="O1757" s="1252">
        <v>198</v>
      </c>
    </row>
    <row r="1758" spans="1:15">
      <c r="A1758" s="1246" t="s">
        <v>1490</v>
      </c>
      <c r="B1758" s="1246" t="s">
        <v>434</v>
      </c>
      <c r="C1758" s="1247">
        <v>0.45</v>
      </c>
      <c r="E1758" s="1246" t="s">
        <v>370</v>
      </c>
      <c r="F1758" s="1248">
        <v>1</v>
      </c>
      <c r="G1758" s="1248">
        <v>1</v>
      </c>
      <c r="H1758" s="1249">
        <v>1</v>
      </c>
      <c r="I1758" s="1246" t="s">
        <v>1491</v>
      </c>
      <c r="J1758" s="1246" t="s">
        <v>1458</v>
      </c>
      <c r="K1758" s="1284" t="str">
        <f t="shared" si="27"/>
        <v>36</v>
      </c>
      <c r="L1758" s="1246" t="s">
        <v>1507</v>
      </c>
      <c r="M1758" s="1250">
        <v>1</v>
      </c>
      <c r="N1758" s="1251">
        <v>83</v>
      </c>
      <c r="O1758" s="1252">
        <v>83</v>
      </c>
    </row>
    <row r="1759" spans="1:15">
      <c r="A1759" s="1246" t="s">
        <v>1490</v>
      </c>
      <c r="B1759" s="1246" t="s">
        <v>434</v>
      </c>
      <c r="C1759" s="1247">
        <v>0.45</v>
      </c>
      <c r="E1759" s="1246" t="s">
        <v>370</v>
      </c>
      <c r="F1759" s="1248">
        <v>1</v>
      </c>
      <c r="G1759" s="1248">
        <v>1</v>
      </c>
      <c r="H1759" s="1249">
        <v>1</v>
      </c>
      <c r="I1759" s="1246" t="s">
        <v>1491</v>
      </c>
      <c r="J1759" s="1246" t="s">
        <v>1399</v>
      </c>
      <c r="K1759" s="1284" t="str">
        <f t="shared" si="27"/>
        <v>30</v>
      </c>
      <c r="L1759" s="1246" t="s">
        <v>1508</v>
      </c>
      <c r="M1759" s="1250">
        <v>1</v>
      </c>
      <c r="N1759" s="1251">
        <v>76</v>
      </c>
      <c r="O1759" s="1252">
        <v>76</v>
      </c>
    </row>
    <row r="1760" spans="1:15">
      <c r="A1760" s="1246" t="s">
        <v>1490</v>
      </c>
      <c r="B1760" s="1246" t="s">
        <v>434</v>
      </c>
      <c r="C1760" s="1247">
        <v>0.45</v>
      </c>
      <c r="F1760" s="1248">
        <v>1</v>
      </c>
      <c r="G1760" s="1248">
        <v>1</v>
      </c>
      <c r="H1760" s="1249">
        <v>1</v>
      </c>
      <c r="I1760" s="1246" t="s">
        <v>1491</v>
      </c>
      <c r="J1760" s="1246" t="s">
        <v>1399</v>
      </c>
      <c r="K1760" s="1284" t="str">
        <f t="shared" si="27"/>
        <v>30</v>
      </c>
      <c r="L1760" s="1246" t="s">
        <v>1508</v>
      </c>
      <c r="M1760" s="1250">
        <v>1</v>
      </c>
      <c r="N1760" s="1251">
        <v>202</v>
      </c>
      <c r="O1760" s="1252">
        <v>202</v>
      </c>
    </row>
    <row r="1761" spans="1:15">
      <c r="A1761" s="1246" t="s">
        <v>1490</v>
      </c>
      <c r="B1761" s="1246" t="s">
        <v>434</v>
      </c>
      <c r="C1761" s="1247">
        <v>0.45</v>
      </c>
      <c r="F1761" s="1248">
        <v>1</v>
      </c>
      <c r="G1761" s="1248">
        <v>1</v>
      </c>
      <c r="H1761" s="1249">
        <v>1</v>
      </c>
      <c r="I1761" s="1246" t="s">
        <v>1491</v>
      </c>
      <c r="J1761" s="1246" t="s">
        <v>1399</v>
      </c>
      <c r="K1761" s="1284" t="str">
        <f t="shared" si="27"/>
        <v>30</v>
      </c>
      <c r="L1761" s="1246" t="s">
        <v>1509</v>
      </c>
      <c r="M1761" s="1250">
        <v>1</v>
      </c>
      <c r="N1761" s="1251">
        <v>75</v>
      </c>
      <c r="O1761" s="1252">
        <v>75</v>
      </c>
    </row>
    <row r="1762" spans="1:15">
      <c r="A1762" s="1246" t="s">
        <v>1490</v>
      </c>
      <c r="B1762" s="1246" t="s">
        <v>434</v>
      </c>
      <c r="C1762" s="1247">
        <v>0.45</v>
      </c>
      <c r="E1762" s="1246" t="s">
        <v>370</v>
      </c>
      <c r="F1762" s="1248">
        <v>1</v>
      </c>
      <c r="G1762" s="1248">
        <v>1</v>
      </c>
      <c r="H1762" s="1249">
        <v>1</v>
      </c>
      <c r="I1762" s="1246" t="s">
        <v>1491</v>
      </c>
      <c r="J1762" s="1246" t="s">
        <v>1399</v>
      </c>
      <c r="K1762" s="1284" t="str">
        <f t="shared" si="27"/>
        <v>30</v>
      </c>
      <c r="L1762" s="1246" t="s">
        <v>1509</v>
      </c>
      <c r="M1762" s="1250">
        <v>1</v>
      </c>
      <c r="N1762" s="1251">
        <v>27</v>
      </c>
      <c r="O1762" s="1252">
        <v>27</v>
      </c>
    </row>
    <row r="1763" spans="1:15">
      <c r="A1763" s="1246" t="s">
        <v>1490</v>
      </c>
      <c r="B1763" s="1246" t="s">
        <v>434</v>
      </c>
      <c r="C1763" s="1247">
        <v>0.45</v>
      </c>
      <c r="F1763" s="1248">
        <v>1</v>
      </c>
      <c r="G1763" s="1248">
        <v>1</v>
      </c>
      <c r="H1763" s="1249">
        <v>1</v>
      </c>
      <c r="I1763" s="1246" t="s">
        <v>1491</v>
      </c>
      <c r="J1763" s="1246" t="s">
        <v>1460</v>
      </c>
      <c r="K1763" s="1284" t="str">
        <f t="shared" si="27"/>
        <v>30</v>
      </c>
      <c r="L1763" s="1246" t="s">
        <v>1501</v>
      </c>
      <c r="M1763" s="1250">
        <v>1</v>
      </c>
      <c r="N1763" s="1251">
        <v>1</v>
      </c>
      <c r="O1763" s="1252">
        <v>1</v>
      </c>
    </row>
    <row r="1764" spans="1:15">
      <c r="A1764" s="1246" t="s">
        <v>1490</v>
      </c>
      <c r="B1764" s="1246" t="s">
        <v>434</v>
      </c>
      <c r="C1764" s="1247">
        <v>0.45</v>
      </c>
      <c r="F1764" s="1248">
        <v>1</v>
      </c>
      <c r="G1764" s="1248">
        <v>1</v>
      </c>
      <c r="H1764" s="1249">
        <v>1</v>
      </c>
      <c r="I1764" s="1246" t="s">
        <v>1491</v>
      </c>
      <c r="J1764" s="1246" t="s">
        <v>1457</v>
      </c>
      <c r="K1764" s="1284" t="str">
        <f t="shared" si="27"/>
        <v>35</v>
      </c>
      <c r="L1764" s="1246" t="s">
        <v>1501</v>
      </c>
      <c r="M1764" s="1250">
        <v>1</v>
      </c>
      <c r="N1764" s="1251">
        <v>2708</v>
      </c>
      <c r="O1764" s="1252">
        <v>2708</v>
      </c>
    </row>
    <row r="1765" spans="1:15">
      <c r="A1765" s="1246" t="s">
        <v>1490</v>
      </c>
      <c r="B1765" s="1246" t="s">
        <v>434</v>
      </c>
      <c r="C1765" s="1247">
        <v>0.45</v>
      </c>
      <c r="F1765" s="1248">
        <v>1</v>
      </c>
      <c r="G1765" s="1248">
        <v>1</v>
      </c>
      <c r="H1765" s="1249">
        <v>1</v>
      </c>
      <c r="I1765" s="1246" t="s">
        <v>1491</v>
      </c>
      <c r="J1765" s="1246" t="s">
        <v>1399</v>
      </c>
      <c r="K1765" s="1284" t="str">
        <f t="shared" si="27"/>
        <v>30</v>
      </c>
      <c r="L1765" s="1246" t="s">
        <v>1510</v>
      </c>
      <c r="M1765" s="1250">
        <v>1</v>
      </c>
      <c r="N1765" s="1251">
        <v>1300</v>
      </c>
      <c r="O1765" s="1252">
        <v>1300</v>
      </c>
    </row>
    <row r="1766" spans="1:15">
      <c r="A1766" s="1246" t="s">
        <v>1490</v>
      </c>
      <c r="B1766" s="1246" t="s">
        <v>434</v>
      </c>
      <c r="C1766" s="1247">
        <v>0.45</v>
      </c>
      <c r="E1766" s="1246" t="s">
        <v>370</v>
      </c>
      <c r="F1766" s="1248">
        <v>1</v>
      </c>
      <c r="G1766" s="1248">
        <v>1</v>
      </c>
      <c r="H1766" s="1249">
        <v>1</v>
      </c>
      <c r="I1766" s="1246" t="s">
        <v>1491</v>
      </c>
      <c r="J1766" s="1246" t="s">
        <v>1399</v>
      </c>
      <c r="K1766" s="1284" t="str">
        <f t="shared" si="27"/>
        <v>30</v>
      </c>
      <c r="L1766" s="1246" t="s">
        <v>1510</v>
      </c>
      <c r="M1766" s="1250">
        <v>1</v>
      </c>
      <c r="N1766" s="1251">
        <v>459</v>
      </c>
      <c r="O1766" s="1252">
        <v>459</v>
      </c>
    </row>
    <row r="1767" spans="1:15">
      <c r="A1767" s="1246" t="s">
        <v>1490</v>
      </c>
      <c r="B1767" s="1246" t="s">
        <v>434</v>
      </c>
      <c r="C1767" s="1247">
        <v>0.45</v>
      </c>
      <c r="F1767" s="1248">
        <v>1</v>
      </c>
      <c r="G1767" s="1248">
        <v>1</v>
      </c>
      <c r="H1767" s="1249">
        <v>1</v>
      </c>
      <c r="I1767" s="1246" t="s">
        <v>1491</v>
      </c>
      <c r="J1767" s="1246" t="s">
        <v>1399</v>
      </c>
      <c r="K1767" s="1284" t="str">
        <f t="shared" si="27"/>
        <v>30</v>
      </c>
      <c r="L1767" s="1246" t="s">
        <v>1511</v>
      </c>
      <c r="M1767" s="1250">
        <v>2</v>
      </c>
      <c r="N1767" s="1251">
        <v>32</v>
      </c>
      <c r="O1767" s="1252">
        <v>32</v>
      </c>
    </row>
    <row r="1768" spans="1:15">
      <c r="A1768" s="1246" t="s">
        <v>1490</v>
      </c>
      <c r="B1768" s="1246" t="s">
        <v>434</v>
      </c>
      <c r="C1768" s="1247">
        <v>0.45</v>
      </c>
      <c r="E1768" s="1246" t="s">
        <v>370</v>
      </c>
      <c r="F1768" s="1248">
        <v>1</v>
      </c>
      <c r="G1768" s="1248">
        <v>1</v>
      </c>
      <c r="H1768" s="1249">
        <v>1</v>
      </c>
      <c r="I1768" s="1246" t="s">
        <v>1491</v>
      </c>
      <c r="J1768" s="1246" t="s">
        <v>1399</v>
      </c>
      <c r="K1768" s="1284" t="str">
        <f t="shared" si="27"/>
        <v>30</v>
      </c>
      <c r="L1768" s="1246" t="s">
        <v>1511</v>
      </c>
      <c r="M1768" s="1250">
        <v>2</v>
      </c>
      <c r="N1768" s="1251">
        <v>17</v>
      </c>
      <c r="O1768" s="1252">
        <v>17</v>
      </c>
    </row>
    <row r="1769" spans="1:15">
      <c r="A1769" s="1246" t="s">
        <v>1490</v>
      </c>
      <c r="B1769" s="1246" t="s">
        <v>434</v>
      </c>
      <c r="C1769" s="1247">
        <v>0.45</v>
      </c>
      <c r="E1769" s="1246" t="s">
        <v>370</v>
      </c>
      <c r="F1769" s="1248">
        <v>1</v>
      </c>
      <c r="G1769" s="1248">
        <v>1</v>
      </c>
      <c r="H1769" s="1249">
        <v>1</v>
      </c>
      <c r="I1769" s="1246" t="s">
        <v>1491</v>
      </c>
      <c r="J1769" s="1246" t="s">
        <v>1399</v>
      </c>
      <c r="K1769" s="1284" t="str">
        <f t="shared" si="27"/>
        <v>30</v>
      </c>
      <c r="L1769" s="1246" t="s">
        <v>1512</v>
      </c>
      <c r="M1769" s="1250">
        <v>2</v>
      </c>
      <c r="N1769" s="1251">
        <v>14</v>
      </c>
      <c r="O1769" s="1252">
        <v>14</v>
      </c>
    </row>
    <row r="1770" spans="1:15">
      <c r="A1770" s="1246" t="s">
        <v>1490</v>
      </c>
      <c r="B1770" s="1246" t="s">
        <v>434</v>
      </c>
      <c r="C1770" s="1247">
        <v>0.45</v>
      </c>
      <c r="F1770" s="1248">
        <v>1</v>
      </c>
      <c r="G1770" s="1248">
        <v>1</v>
      </c>
      <c r="H1770" s="1249">
        <v>1</v>
      </c>
      <c r="I1770" s="1246" t="s">
        <v>1491</v>
      </c>
      <c r="J1770" s="1246" t="s">
        <v>1399</v>
      </c>
      <c r="K1770" s="1284" t="str">
        <f t="shared" si="27"/>
        <v>30</v>
      </c>
      <c r="L1770" s="1246" t="s">
        <v>1512</v>
      </c>
      <c r="M1770" s="1250">
        <v>2</v>
      </c>
      <c r="N1770" s="1251">
        <v>18</v>
      </c>
      <c r="O1770" s="1252">
        <v>18</v>
      </c>
    </row>
    <row r="1771" spans="1:15">
      <c r="A1771" s="1246" t="s">
        <v>1490</v>
      </c>
      <c r="B1771" s="1246" t="s">
        <v>434</v>
      </c>
      <c r="C1771" s="1247">
        <v>0.45</v>
      </c>
      <c r="F1771" s="1248">
        <v>1</v>
      </c>
      <c r="G1771" s="1248">
        <v>1</v>
      </c>
      <c r="H1771" s="1249">
        <v>1</v>
      </c>
      <c r="I1771" s="1246" t="s">
        <v>1491</v>
      </c>
      <c r="J1771" s="1246" t="s">
        <v>1455</v>
      </c>
      <c r="K1771" s="1284" t="str">
        <f t="shared" si="27"/>
        <v>32</v>
      </c>
      <c r="L1771" s="1246" t="s">
        <v>1513</v>
      </c>
      <c r="M1771" s="1250">
        <v>2</v>
      </c>
      <c r="N1771" s="1251">
        <v>771</v>
      </c>
      <c r="O1771" s="1252">
        <v>771</v>
      </c>
    </row>
    <row r="1772" spans="1:15">
      <c r="A1772" s="1246" t="s">
        <v>1490</v>
      </c>
      <c r="B1772" s="1246" t="s">
        <v>434</v>
      </c>
      <c r="C1772" s="1247">
        <v>0.45</v>
      </c>
      <c r="E1772" s="1246" t="s">
        <v>370</v>
      </c>
      <c r="F1772" s="1248">
        <v>1</v>
      </c>
      <c r="G1772" s="1248">
        <v>1</v>
      </c>
      <c r="H1772" s="1249">
        <v>1</v>
      </c>
      <c r="I1772" s="1246" t="s">
        <v>1491</v>
      </c>
      <c r="J1772" s="1246" t="s">
        <v>1455</v>
      </c>
      <c r="K1772" s="1284" t="str">
        <f t="shared" si="27"/>
        <v>32</v>
      </c>
      <c r="L1772" s="1246" t="s">
        <v>1513</v>
      </c>
      <c r="M1772" s="1250">
        <v>2</v>
      </c>
      <c r="N1772" s="1251">
        <v>365</v>
      </c>
      <c r="O1772" s="1252">
        <v>365</v>
      </c>
    </row>
    <row r="1773" spans="1:15">
      <c r="A1773" s="1246" t="s">
        <v>1490</v>
      </c>
      <c r="B1773" s="1246" t="s">
        <v>434</v>
      </c>
      <c r="C1773" s="1247">
        <v>0.45</v>
      </c>
      <c r="E1773" s="1246" t="s">
        <v>370</v>
      </c>
      <c r="F1773" s="1248">
        <v>1</v>
      </c>
      <c r="G1773" s="1248">
        <v>1</v>
      </c>
      <c r="H1773" s="1249">
        <v>1</v>
      </c>
      <c r="I1773" s="1246" t="s">
        <v>1491</v>
      </c>
      <c r="J1773" s="1246" t="s">
        <v>1454</v>
      </c>
      <c r="K1773" s="1284" t="str">
        <f t="shared" si="27"/>
        <v>31</v>
      </c>
      <c r="L1773" s="1246" t="s">
        <v>1500</v>
      </c>
      <c r="M1773" s="1250">
        <v>2</v>
      </c>
      <c r="N1773" s="1251">
        <v>1574</v>
      </c>
      <c r="O1773" s="1252">
        <v>1574</v>
      </c>
    </row>
    <row r="1774" spans="1:15">
      <c r="A1774" s="1246" t="s">
        <v>1490</v>
      </c>
      <c r="B1774" s="1246" t="s">
        <v>434</v>
      </c>
      <c r="C1774" s="1247">
        <v>0.45</v>
      </c>
      <c r="F1774" s="1248">
        <v>1</v>
      </c>
      <c r="G1774" s="1248">
        <v>1</v>
      </c>
      <c r="H1774" s="1249">
        <v>1</v>
      </c>
      <c r="I1774" s="1246" t="s">
        <v>1491</v>
      </c>
      <c r="J1774" s="1246" t="s">
        <v>1454</v>
      </c>
      <c r="K1774" s="1284" t="str">
        <f t="shared" si="27"/>
        <v>31</v>
      </c>
      <c r="L1774" s="1246" t="s">
        <v>1500</v>
      </c>
      <c r="M1774" s="1250">
        <v>2</v>
      </c>
      <c r="N1774" s="1251">
        <v>6394</v>
      </c>
      <c r="O1774" s="1252">
        <v>6394</v>
      </c>
    </row>
    <row r="1775" spans="1:15">
      <c r="A1775" s="1246" t="s">
        <v>1490</v>
      </c>
      <c r="B1775" s="1246" t="s">
        <v>434</v>
      </c>
      <c r="C1775" s="1247">
        <v>0.45</v>
      </c>
      <c r="F1775" s="1248">
        <v>1</v>
      </c>
      <c r="G1775" s="1248">
        <v>1</v>
      </c>
      <c r="H1775" s="1249">
        <v>1</v>
      </c>
      <c r="I1775" s="1246" t="s">
        <v>1491</v>
      </c>
      <c r="J1775" s="1246" t="s">
        <v>1458</v>
      </c>
      <c r="K1775" s="1284" t="str">
        <f t="shared" si="27"/>
        <v>36</v>
      </c>
      <c r="L1775" s="1246" t="s">
        <v>1514</v>
      </c>
      <c r="M1775" s="1250">
        <v>2</v>
      </c>
      <c r="N1775" s="1251">
        <v>214</v>
      </c>
      <c r="O1775" s="1252">
        <v>214</v>
      </c>
    </row>
    <row r="1776" spans="1:15">
      <c r="A1776" s="1246" t="s">
        <v>1490</v>
      </c>
      <c r="B1776" s="1246" t="s">
        <v>434</v>
      </c>
      <c r="C1776" s="1247">
        <v>0.45</v>
      </c>
      <c r="E1776" s="1246" t="s">
        <v>370</v>
      </c>
      <c r="F1776" s="1248">
        <v>1</v>
      </c>
      <c r="G1776" s="1248">
        <v>1</v>
      </c>
      <c r="H1776" s="1249">
        <v>1</v>
      </c>
      <c r="I1776" s="1246" t="s">
        <v>1491</v>
      </c>
      <c r="J1776" s="1246" t="s">
        <v>1458</v>
      </c>
      <c r="K1776" s="1284" t="str">
        <f t="shared" si="27"/>
        <v>36</v>
      </c>
      <c r="L1776" s="1246" t="s">
        <v>1514</v>
      </c>
      <c r="M1776" s="1250">
        <v>2</v>
      </c>
      <c r="N1776" s="1251">
        <v>126</v>
      </c>
      <c r="O1776" s="1252">
        <v>126</v>
      </c>
    </row>
    <row r="1777" spans="1:15">
      <c r="A1777" s="1246" t="s">
        <v>1490</v>
      </c>
      <c r="B1777" s="1246" t="s">
        <v>434</v>
      </c>
      <c r="C1777" s="1247">
        <v>0.45</v>
      </c>
      <c r="E1777" s="1246" t="s">
        <v>370</v>
      </c>
      <c r="F1777" s="1248">
        <v>1</v>
      </c>
      <c r="G1777" s="1248">
        <v>1</v>
      </c>
      <c r="H1777" s="1249">
        <v>1</v>
      </c>
      <c r="I1777" s="1246" t="s">
        <v>1491</v>
      </c>
      <c r="J1777" s="1246" t="s">
        <v>1399</v>
      </c>
      <c r="K1777" s="1284" t="str">
        <f t="shared" si="27"/>
        <v>30</v>
      </c>
      <c r="L1777" s="1246" t="s">
        <v>1515</v>
      </c>
      <c r="M1777" s="1250">
        <v>2</v>
      </c>
      <c r="N1777" s="1251">
        <v>139</v>
      </c>
      <c r="O1777" s="1252">
        <v>139</v>
      </c>
    </row>
    <row r="1778" spans="1:15">
      <c r="A1778" s="1246" t="s">
        <v>1490</v>
      </c>
      <c r="B1778" s="1246" t="s">
        <v>434</v>
      </c>
      <c r="C1778" s="1247">
        <v>0.45</v>
      </c>
      <c r="F1778" s="1248">
        <v>1</v>
      </c>
      <c r="G1778" s="1248">
        <v>1</v>
      </c>
      <c r="H1778" s="1249">
        <v>1</v>
      </c>
      <c r="I1778" s="1246" t="s">
        <v>1491</v>
      </c>
      <c r="J1778" s="1246" t="s">
        <v>1399</v>
      </c>
      <c r="K1778" s="1284" t="str">
        <f t="shared" si="27"/>
        <v>30</v>
      </c>
      <c r="L1778" s="1246" t="s">
        <v>1515</v>
      </c>
      <c r="M1778" s="1250">
        <v>2</v>
      </c>
      <c r="N1778" s="1251">
        <v>219</v>
      </c>
      <c r="O1778" s="1252">
        <v>219</v>
      </c>
    </row>
    <row r="1779" spans="1:15">
      <c r="A1779" s="1246" t="s">
        <v>1490</v>
      </c>
      <c r="B1779" s="1246" t="s">
        <v>434</v>
      </c>
      <c r="C1779" s="1247">
        <v>0.45</v>
      </c>
      <c r="F1779" s="1248">
        <v>1</v>
      </c>
      <c r="G1779" s="1248">
        <v>1</v>
      </c>
      <c r="H1779" s="1249">
        <v>1</v>
      </c>
      <c r="I1779" s="1246" t="s">
        <v>1491</v>
      </c>
      <c r="J1779" s="1246" t="s">
        <v>1399</v>
      </c>
      <c r="K1779" s="1284" t="str">
        <f t="shared" si="27"/>
        <v>30</v>
      </c>
      <c r="L1779" s="1246" t="s">
        <v>1516</v>
      </c>
      <c r="M1779" s="1250">
        <v>2</v>
      </c>
      <c r="N1779" s="1251">
        <v>78</v>
      </c>
      <c r="O1779" s="1252">
        <v>78</v>
      </c>
    </row>
    <row r="1780" spans="1:15">
      <c r="A1780" s="1246" t="s">
        <v>1490</v>
      </c>
      <c r="B1780" s="1246" t="s">
        <v>434</v>
      </c>
      <c r="C1780" s="1247">
        <v>0.45</v>
      </c>
      <c r="E1780" s="1246" t="s">
        <v>370</v>
      </c>
      <c r="F1780" s="1248">
        <v>1</v>
      </c>
      <c r="G1780" s="1248">
        <v>1</v>
      </c>
      <c r="H1780" s="1249">
        <v>1</v>
      </c>
      <c r="I1780" s="1246" t="s">
        <v>1491</v>
      </c>
      <c r="J1780" s="1246" t="s">
        <v>1399</v>
      </c>
      <c r="K1780" s="1284" t="str">
        <f t="shared" si="27"/>
        <v>30</v>
      </c>
      <c r="L1780" s="1246" t="s">
        <v>1516</v>
      </c>
      <c r="M1780" s="1250">
        <v>2</v>
      </c>
      <c r="N1780" s="1251">
        <v>44</v>
      </c>
      <c r="O1780" s="1252">
        <v>44</v>
      </c>
    </row>
    <row r="1781" spans="1:15">
      <c r="A1781" s="1246" t="s">
        <v>1490</v>
      </c>
      <c r="B1781" s="1246" t="s">
        <v>434</v>
      </c>
      <c r="C1781" s="1247">
        <v>0.45</v>
      </c>
      <c r="F1781" s="1248">
        <v>1</v>
      </c>
      <c r="G1781" s="1248">
        <v>1</v>
      </c>
      <c r="H1781" s="1249">
        <v>1</v>
      </c>
      <c r="I1781" s="1246" t="s">
        <v>1491</v>
      </c>
      <c r="J1781" s="1246" t="s">
        <v>1457</v>
      </c>
      <c r="K1781" s="1284" t="str">
        <f t="shared" si="27"/>
        <v>35</v>
      </c>
      <c r="L1781" s="1246" t="s">
        <v>1517</v>
      </c>
      <c r="M1781" s="1250">
        <v>2</v>
      </c>
      <c r="N1781" s="1251">
        <v>2532</v>
      </c>
      <c r="O1781" s="1252">
        <v>2532</v>
      </c>
    </row>
    <row r="1782" spans="1:15">
      <c r="A1782" s="1246" t="s">
        <v>1490</v>
      </c>
      <c r="B1782" s="1246" t="s">
        <v>434</v>
      </c>
      <c r="C1782" s="1247">
        <v>0.45</v>
      </c>
      <c r="F1782" s="1248">
        <v>1</v>
      </c>
      <c r="G1782" s="1248">
        <v>1</v>
      </c>
      <c r="H1782" s="1249">
        <v>1</v>
      </c>
      <c r="I1782" s="1246" t="s">
        <v>1491</v>
      </c>
      <c r="J1782" s="1246" t="s">
        <v>1399</v>
      </c>
      <c r="K1782" s="1284" t="str">
        <f t="shared" si="27"/>
        <v>30</v>
      </c>
      <c r="L1782" s="1246" t="s">
        <v>1518</v>
      </c>
      <c r="M1782" s="1250">
        <v>2</v>
      </c>
      <c r="N1782" s="1251">
        <v>1171</v>
      </c>
      <c r="O1782" s="1252">
        <v>1171</v>
      </c>
    </row>
    <row r="1783" spans="1:15">
      <c r="A1783" s="1246" t="s">
        <v>1490</v>
      </c>
      <c r="B1783" s="1246" t="s">
        <v>434</v>
      </c>
      <c r="C1783" s="1247">
        <v>0.45</v>
      </c>
      <c r="E1783" s="1246" t="s">
        <v>370</v>
      </c>
      <c r="F1783" s="1248">
        <v>1</v>
      </c>
      <c r="G1783" s="1248">
        <v>1</v>
      </c>
      <c r="H1783" s="1249">
        <v>1</v>
      </c>
      <c r="I1783" s="1246" t="s">
        <v>1491</v>
      </c>
      <c r="J1783" s="1246" t="s">
        <v>1399</v>
      </c>
      <c r="K1783" s="1284" t="str">
        <f t="shared" si="27"/>
        <v>30</v>
      </c>
      <c r="L1783" s="1246" t="s">
        <v>1518</v>
      </c>
      <c r="M1783" s="1250">
        <v>2</v>
      </c>
      <c r="N1783" s="1251">
        <v>397</v>
      </c>
      <c r="O1783" s="1252">
        <v>397</v>
      </c>
    </row>
    <row r="1784" spans="1:15">
      <c r="A1784" s="1246" t="s">
        <v>1490</v>
      </c>
      <c r="B1784" s="1246" t="s">
        <v>434</v>
      </c>
      <c r="C1784" s="1247">
        <v>0.45</v>
      </c>
      <c r="E1784" s="1246" t="s">
        <v>370</v>
      </c>
      <c r="F1784" s="1248">
        <v>1</v>
      </c>
      <c r="G1784" s="1248">
        <v>1</v>
      </c>
      <c r="H1784" s="1249">
        <v>1</v>
      </c>
      <c r="I1784" s="1246" t="s">
        <v>1491</v>
      </c>
      <c r="J1784" s="1246" t="s">
        <v>1456</v>
      </c>
      <c r="K1784" s="1284" t="str">
        <f t="shared" si="27"/>
        <v>33</v>
      </c>
      <c r="L1784" s="1246" t="s">
        <v>1519</v>
      </c>
      <c r="M1784" s="1250">
        <v>2</v>
      </c>
      <c r="N1784" s="1251">
        <v>1773</v>
      </c>
      <c r="O1784" s="1252">
        <v>1773</v>
      </c>
    </row>
    <row r="1785" spans="1:15">
      <c r="A1785" s="1246" t="s">
        <v>1490</v>
      </c>
      <c r="B1785" s="1246" t="s">
        <v>434</v>
      </c>
      <c r="C1785" s="1247">
        <v>0.45</v>
      </c>
      <c r="F1785" s="1248">
        <v>1</v>
      </c>
      <c r="G1785" s="1248">
        <v>1</v>
      </c>
      <c r="H1785" s="1249">
        <v>1</v>
      </c>
      <c r="I1785" s="1246" t="s">
        <v>1491</v>
      </c>
      <c r="J1785" s="1246" t="s">
        <v>1456</v>
      </c>
      <c r="K1785" s="1284" t="str">
        <f t="shared" si="27"/>
        <v>33</v>
      </c>
      <c r="L1785" s="1246" t="s">
        <v>1519</v>
      </c>
      <c r="M1785" s="1250">
        <v>2</v>
      </c>
      <c r="N1785" s="1251">
        <v>4115</v>
      </c>
      <c r="O1785" s="1252">
        <v>4115</v>
      </c>
    </row>
    <row r="1786" spans="1:15">
      <c r="A1786" s="1246" t="s">
        <v>1490</v>
      </c>
      <c r="B1786" s="1246" t="s">
        <v>434</v>
      </c>
      <c r="C1786" s="1247">
        <v>0.45</v>
      </c>
      <c r="E1786" s="1246" t="s">
        <v>370</v>
      </c>
      <c r="F1786" s="1248">
        <v>1</v>
      </c>
      <c r="G1786" s="1248">
        <v>1</v>
      </c>
      <c r="H1786" s="1249">
        <v>1</v>
      </c>
      <c r="I1786" s="1246" t="s">
        <v>1491</v>
      </c>
      <c r="J1786" s="1246" t="s">
        <v>1399</v>
      </c>
      <c r="K1786" s="1284" t="str">
        <f t="shared" si="27"/>
        <v>30</v>
      </c>
      <c r="L1786" s="1246" t="s">
        <v>1520</v>
      </c>
      <c r="M1786" s="1250">
        <v>3</v>
      </c>
      <c r="N1786" s="1251">
        <v>7</v>
      </c>
      <c r="O1786" s="1252">
        <v>7</v>
      </c>
    </row>
    <row r="1787" spans="1:15">
      <c r="A1787" s="1246" t="s">
        <v>1490</v>
      </c>
      <c r="B1787" s="1246" t="s">
        <v>434</v>
      </c>
      <c r="C1787" s="1247">
        <v>0.45</v>
      </c>
      <c r="F1787" s="1248">
        <v>1</v>
      </c>
      <c r="G1787" s="1248">
        <v>1</v>
      </c>
      <c r="H1787" s="1249">
        <v>1</v>
      </c>
      <c r="I1787" s="1246" t="s">
        <v>1491</v>
      </c>
      <c r="J1787" s="1246" t="s">
        <v>1399</v>
      </c>
      <c r="K1787" s="1284" t="str">
        <f t="shared" si="27"/>
        <v>30</v>
      </c>
      <c r="L1787" s="1246" t="s">
        <v>1520</v>
      </c>
      <c r="M1787" s="1250">
        <v>3</v>
      </c>
      <c r="N1787" s="1251">
        <v>25</v>
      </c>
      <c r="O1787" s="1252">
        <v>25</v>
      </c>
    </row>
    <row r="1788" spans="1:15">
      <c r="A1788" s="1246" t="s">
        <v>1490</v>
      </c>
      <c r="B1788" s="1246" t="s">
        <v>434</v>
      </c>
      <c r="C1788" s="1247">
        <v>0.45</v>
      </c>
      <c r="F1788" s="1248">
        <v>1</v>
      </c>
      <c r="G1788" s="1248">
        <v>1</v>
      </c>
      <c r="H1788" s="1249">
        <v>1</v>
      </c>
      <c r="I1788" s="1246" t="s">
        <v>1491</v>
      </c>
      <c r="J1788" s="1246" t="s">
        <v>1399</v>
      </c>
      <c r="K1788" s="1284" t="str">
        <f t="shared" si="27"/>
        <v>30</v>
      </c>
      <c r="L1788" s="1246" t="s">
        <v>1521</v>
      </c>
      <c r="M1788" s="1250">
        <v>3</v>
      </c>
      <c r="N1788" s="1251">
        <v>27</v>
      </c>
      <c r="O1788" s="1252">
        <v>27</v>
      </c>
    </row>
    <row r="1789" spans="1:15">
      <c r="A1789" s="1246" t="s">
        <v>1490</v>
      </c>
      <c r="B1789" s="1246" t="s">
        <v>434</v>
      </c>
      <c r="C1789" s="1247">
        <v>0.45</v>
      </c>
      <c r="E1789" s="1246" t="s">
        <v>370</v>
      </c>
      <c r="F1789" s="1248">
        <v>1</v>
      </c>
      <c r="G1789" s="1248">
        <v>1</v>
      </c>
      <c r="H1789" s="1249">
        <v>1</v>
      </c>
      <c r="I1789" s="1246" t="s">
        <v>1491</v>
      </c>
      <c r="J1789" s="1246" t="s">
        <v>1399</v>
      </c>
      <c r="K1789" s="1284" t="str">
        <f t="shared" si="27"/>
        <v>30</v>
      </c>
      <c r="L1789" s="1246" t="s">
        <v>1521</v>
      </c>
      <c r="M1789" s="1250">
        <v>3</v>
      </c>
      <c r="N1789" s="1251">
        <v>9</v>
      </c>
      <c r="O1789" s="1252">
        <v>9</v>
      </c>
    </row>
    <row r="1790" spans="1:15">
      <c r="A1790" s="1246" t="s">
        <v>1490</v>
      </c>
      <c r="B1790" s="1246" t="s">
        <v>434</v>
      </c>
      <c r="C1790" s="1247">
        <v>0.45</v>
      </c>
      <c r="F1790" s="1248">
        <v>1</v>
      </c>
      <c r="G1790" s="1248">
        <v>1</v>
      </c>
      <c r="H1790" s="1249">
        <v>1</v>
      </c>
      <c r="I1790" s="1246" t="s">
        <v>1491</v>
      </c>
      <c r="J1790" s="1246" t="s">
        <v>1455</v>
      </c>
      <c r="K1790" s="1284" t="str">
        <f t="shared" si="27"/>
        <v>32</v>
      </c>
      <c r="L1790" s="1246" t="s">
        <v>1522</v>
      </c>
      <c r="M1790" s="1250">
        <v>3</v>
      </c>
      <c r="N1790" s="1251">
        <v>921</v>
      </c>
      <c r="O1790" s="1252">
        <v>921</v>
      </c>
    </row>
    <row r="1791" spans="1:15">
      <c r="A1791" s="1246" t="s">
        <v>1490</v>
      </c>
      <c r="B1791" s="1246" t="s">
        <v>434</v>
      </c>
      <c r="C1791" s="1247">
        <v>0.45</v>
      </c>
      <c r="E1791" s="1246" t="s">
        <v>370</v>
      </c>
      <c r="F1791" s="1248">
        <v>1</v>
      </c>
      <c r="G1791" s="1248">
        <v>1</v>
      </c>
      <c r="H1791" s="1249">
        <v>1</v>
      </c>
      <c r="I1791" s="1246" t="s">
        <v>1491</v>
      </c>
      <c r="J1791" s="1246" t="s">
        <v>1455</v>
      </c>
      <c r="K1791" s="1284" t="str">
        <f t="shared" si="27"/>
        <v>32</v>
      </c>
      <c r="L1791" s="1246" t="s">
        <v>1522</v>
      </c>
      <c r="M1791" s="1250">
        <v>3</v>
      </c>
      <c r="N1791" s="1251">
        <v>644</v>
      </c>
      <c r="O1791" s="1252">
        <v>644</v>
      </c>
    </row>
    <row r="1792" spans="1:15">
      <c r="A1792" s="1246" t="s">
        <v>1490</v>
      </c>
      <c r="B1792" s="1246" t="s">
        <v>434</v>
      </c>
      <c r="C1792" s="1247">
        <v>0.45</v>
      </c>
      <c r="F1792" s="1248">
        <v>1</v>
      </c>
      <c r="G1792" s="1248">
        <v>1</v>
      </c>
      <c r="H1792" s="1249">
        <v>1</v>
      </c>
      <c r="I1792" s="1246" t="s">
        <v>1491</v>
      </c>
      <c r="J1792" s="1246" t="s">
        <v>1454</v>
      </c>
      <c r="K1792" s="1284" t="str">
        <f t="shared" si="27"/>
        <v>31</v>
      </c>
      <c r="L1792" s="1246" t="s">
        <v>1523</v>
      </c>
      <c r="M1792" s="1250">
        <v>3</v>
      </c>
      <c r="N1792" s="1251">
        <v>5396</v>
      </c>
      <c r="O1792" s="1252">
        <v>5396</v>
      </c>
    </row>
    <row r="1793" spans="1:15">
      <c r="A1793" s="1246" t="s">
        <v>1490</v>
      </c>
      <c r="B1793" s="1246" t="s">
        <v>434</v>
      </c>
      <c r="C1793" s="1247">
        <v>0.45</v>
      </c>
      <c r="E1793" s="1246" t="s">
        <v>370</v>
      </c>
      <c r="F1793" s="1248">
        <v>1</v>
      </c>
      <c r="G1793" s="1248">
        <v>1</v>
      </c>
      <c r="H1793" s="1249">
        <v>1</v>
      </c>
      <c r="I1793" s="1246" t="s">
        <v>1491</v>
      </c>
      <c r="J1793" s="1246" t="s">
        <v>1454</v>
      </c>
      <c r="K1793" s="1284" t="str">
        <f t="shared" si="27"/>
        <v>31</v>
      </c>
      <c r="L1793" s="1246" t="s">
        <v>1523</v>
      </c>
      <c r="M1793" s="1250">
        <v>3</v>
      </c>
      <c r="N1793" s="1251">
        <v>1894</v>
      </c>
      <c r="O1793" s="1252">
        <v>1894</v>
      </c>
    </row>
    <row r="1794" spans="1:15">
      <c r="A1794" s="1246" t="s">
        <v>1490</v>
      </c>
      <c r="B1794" s="1246" t="s">
        <v>434</v>
      </c>
      <c r="C1794" s="1247">
        <v>0.45</v>
      </c>
      <c r="F1794" s="1248">
        <v>1</v>
      </c>
      <c r="G1794" s="1248">
        <v>1</v>
      </c>
      <c r="H1794" s="1249">
        <v>1</v>
      </c>
      <c r="I1794" s="1246" t="s">
        <v>1491</v>
      </c>
      <c r="J1794" s="1246" t="s">
        <v>1458</v>
      </c>
      <c r="K1794" s="1284" t="str">
        <f t="shared" ref="K1794:K1857" si="28">IF(J1794="1B","10", IF(J1794="2B","20",IF(J1794="3B","30",IF(J1794="7B",70,J1794))))</f>
        <v>36</v>
      </c>
      <c r="L1794" s="1246" t="s">
        <v>1524</v>
      </c>
      <c r="M1794" s="1250">
        <v>3</v>
      </c>
      <c r="N1794" s="1251">
        <v>220</v>
      </c>
      <c r="O1794" s="1252">
        <v>220</v>
      </c>
    </row>
    <row r="1795" spans="1:15">
      <c r="A1795" s="1246" t="s">
        <v>1490</v>
      </c>
      <c r="B1795" s="1246" t="s">
        <v>434</v>
      </c>
      <c r="C1795" s="1247">
        <v>0.45</v>
      </c>
      <c r="E1795" s="1246" t="s">
        <v>370</v>
      </c>
      <c r="F1795" s="1248">
        <v>1</v>
      </c>
      <c r="G1795" s="1248">
        <v>1</v>
      </c>
      <c r="H1795" s="1249">
        <v>1</v>
      </c>
      <c r="I1795" s="1246" t="s">
        <v>1491</v>
      </c>
      <c r="J1795" s="1246" t="s">
        <v>1458</v>
      </c>
      <c r="K1795" s="1284" t="str">
        <f t="shared" si="28"/>
        <v>36</v>
      </c>
      <c r="L1795" s="1246" t="s">
        <v>1524</v>
      </c>
      <c r="M1795" s="1250">
        <v>3</v>
      </c>
      <c r="N1795" s="1251">
        <v>95</v>
      </c>
      <c r="O1795" s="1252">
        <v>95</v>
      </c>
    </row>
    <row r="1796" spans="1:15">
      <c r="A1796" s="1246" t="s">
        <v>1490</v>
      </c>
      <c r="B1796" s="1246" t="s">
        <v>434</v>
      </c>
      <c r="C1796" s="1247">
        <v>0.45</v>
      </c>
      <c r="E1796" s="1246" t="s">
        <v>370</v>
      </c>
      <c r="F1796" s="1248">
        <v>1</v>
      </c>
      <c r="G1796" s="1248">
        <v>1</v>
      </c>
      <c r="H1796" s="1249">
        <v>1</v>
      </c>
      <c r="I1796" s="1246" t="s">
        <v>1491</v>
      </c>
      <c r="J1796" s="1246" t="s">
        <v>1399</v>
      </c>
      <c r="K1796" s="1284" t="str">
        <f t="shared" si="28"/>
        <v>30</v>
      </c>
      <c r="L1796" s="1246" t="s">
        <v>1525</v>
      </c>
      <c r="M1796" s="1250">
        <v>3</v>
      </c>
      <c r="N1796" s="1251">
        <v>82</v>
      </c>
      <c r="O1796" s="1252">
        <v>82</v>
      </c>
    </row>
    <row r="1797" spans="1:15">
      <c r="A1797" s="1246" t="s">
        <v>1490</v>
      </c>
      <c r="B1797" s="1246" t="s">
        <v>434</v>
      </c>
      <c r="C1797" s="1247">
        <v>0.45</v>
      </c>
      <c r="F1797" s="1248">
        <v>1</v>
      </c>
      <c r="G1797" s="1248">
        <v>1</v>
      </c>
      <c r="H1797" s="1249">
        <v>1</v>
      </c>
      <c r="I1797" s="1246" t="s">
        <v>1491</v>
      </c>
      <c r="J1797" s="1246" t="s">
        <v>1399</v>
      </c>
      <c r="K1797" s="1284" t="str">
        <f t="shared" si="28"/>
        <v>30</v>
      </c>
      <c r="L1797" s="1246" t="s">
        <v>1525</v>
      </c>
      <c r="M1797" s="1250">
        <v>3</v>
      </c>
      <c r="N1797" s="1251">
        <v>224</v>
      </c>
      <c r="O1797" s="1252">
        <v>224</v>
      </c>
    </row>
    <row r="1798" spans="1:15">
      <c r="A1798" s="1246" t="s">
        <v>1490</v>
      </c>
      <c r="B1798" s="1246" t="s">
        <v>434</v>
      </c>
      <c r="C1798" s="1247">
        <v>0.45</v>
      </c>
      <c r="F1798" s="1248">
        <v>1</v>
      </c>
      <c r="G1798" s="1248">
        <v>1</v>
      </c>
      <c r="H1798" s="1249">
        <v>1</v>
      </c>
      <c r="I1798" s="1246" t="s">
        <v>1491</v>
      </c>
      <c r="J1798" s="1246" t="s">
        <v>1399</v>
      </c>
      <c r="K1798" s="1284" t="str">
        <f t="shared" si="28"/>
        <v>30</v>
      </c>
      <c r="L1798" s="1246" t="s">
        <v>1526</v>
      </c>
      <c r="M1798" s="1250">
        <v>3</v>
      </c>
      <c r="N1798" s="1251">
        <v>96</v>
      </c>
      <c r="O1798" s="1252">
        <v>96</v>
      </c>
    </row>
    <row r="1799" spans="1:15">
      <c r="A1799" s="1246" t="s">
        <v>1490</v>
      </c>
      <c r="B1799" s="1246" t="s">
        <v>434</v>
      </c>
      <c r="C1799" s="1247">
        <v>0.45</v>
      </c>
      <c r="E1799" s="1246" t="s">
        <v>370</v>
      </c>
      <c r="F1799" s="1248">
        <v>1</v>
      </c>
      <c r="G1799" s="1248">
        <v>1</v>
      </c>
      <c r="H1799" s="1249">
        <v>1</v>
      </c>
      <c r="I1799" s="1246" t="s">
        <v>1491</v>
      </c>
      <c r="J1799" s="1246" t="s">
        <v>1399</v>
      </c>
      <c r="K1799" s="1284" t="str">
        <f t="shared" si="28"/>
        <v>30</v>
      </c>
      <c r="L1799" s="1246" t="s">
        <v>1526</v>
      </c>
      <c r="M1799" s="1250">
        <v>3</v>
      </c>
      <c r="N1799" s="1251">
        <v>28</v>
      </c>
      <c r="O1799" s="1252">
        <v>28</v>
      </c>
    </row>
    <row r="1800" spans="1:15">
      <c r="A1800" s="1246" t="s">
        <v>1490</v>
      </c>
      <c r="B1800" s="1246" t="s">
        <v>434</v>
      </c>
      <c r="C1800" s="1247">
        <v>0.45</v>
      </c>
      <c r="F1800" s="1248">
        <v>1</v>
      </c>
      <c r="G1800" s="1248">
        <v>1</v>
      </c>
      <c r="H1800" s="1249">
        <v>1</v>
      </c>
      <c r="I1800" s="1246" t="s">
        <v>1491</v>
      </c>
      <c r="J1800" s="1246" t="s">
        <v>1457</v>
      </c>
      <c r="K1800" s="1284" t="str">
        <f t="shared" si="28"/>
        <v>35</v>
      </c>
      <c r="L1800" s="1246" t="s">
        <v>1527</v>
      </c>
      <c r="M1800" s="1250">
        <v>3</v>
      </c>
      <c r="N1800" s="1251">
        <v>2625</v>
      </c>
      <c r="O1800" s="1252">
        <v>2625</v>
      </c>
    </row>
    <row r="1801" spans="1:15">
      <c r="A1801" s="1246" t="s">
        <v>1490</v>
      </c>
      <c r="B1801" s="1246" t="s">
        <v>434</v>
      </c>
      <c r="C1801" s="1247">
        <v>0.45</v>
      </c>
      <c r="F1801" s="1248">
        <v>1</v>
      </c>
      <c r="G1801" s="1248">
        <v>1</v>
      </c>
      <c r="H1801" s="1249">
        <v>1</v>
      </c>
      <c r="I1801" s="1246" t="s">
        <v>1491</v>
      </c>
      <c r="J1801" s="1246" t="s">
        <v>1459</v>
      </c>
      <c r="K1801" s="1284" t="str">
        <f t="shared" si="28"/>
        <v>3A</v>
      </c>
      <c r="L1801" s="1246" t="s">
        <v>1492</v>
      </c>
      <c r="M1801" s="1250">
        <v>3</v>
      </c>
      <c r="N1801" s="1251">
        <v>772</v>
      </c>
      <c r="O1801" s="1252">
        <v>772</v>
      </c>
    </row>
    <row r="1802" spans="1:15">
      <c r="A1802" s="1246" t="s">
        <v>1490</v>
      </c>
      <c r="B1802" s="1246" t="s">
        <v>434</v>
      </c>
      <c r="C1802" s="1247">
        <v>0.45</v>
      </c>
      <c r="F1802" s="1248">
        <v>1</v>
      </c>
      <c r="G1802" s="1248">
        <v>1</v>
      </c>
      <c r="H1802" s="1249">
        <v>1</v>
      </c>
      <c r="I1802" s="1246" t="s">
        <v>1491</v>
      </c>
      <c r="J1802" s="1246" t="s">
        <v>1460</v>
      </c>
      <c r="K1802" s="1284" t="str">
        <f t="shared" si="28"/>
        <v>30</v>
      </c>
      <c r="L1802" s="1246" t="s">
        <v>1492</v>
      </c>
      <c r="M1802" s="1250">
        <v>3</v>
      </c>
      <c r="N1802" s="1251">
        <v>2</v>
      </c>
      <c r="O1802" s="1252">
        <v>2</v>
      </c>
    </row>
    <row r="1803" spans="1:15">
      <c r="A1803" s="1246" t="s">
        <v>1490</v>
      </c>
      <c r="B1803" s="1246" t="s">
        <v>434</v>
      </c>
      <c r="C1803" s="1247">
        <v>0.45</v>
      </c>
      <c r="F1803" s="1248">
        <v>1</v>
      </c>
      <c r="G1803" s="1248">
        <v>1</v>
      </c>
      <c r="H1803" s="1249">
        <v>1</v>
      </c>
      <c r="I1803" s="1246" t="s">
        <v>1491</v>
      </c>
      <c r="J1803" s="1246" t="s">
        <v>1399</v>
      </c>
      <c r="K1803" s="1284" t="str">
        <f t="shared" si="28"/>
        <v>30</v>
      </c>
      <c r="L1803" s="1246" t="s">
        <v>1528</v>
      </c>
      <c r="M1803" s="1250">
        <v>3</v>
      </c>
      <c r="N1803" s="1251">
        <v>1350</v>
      </c>
      <c r="O1803" s="1252">
        <v>1350</v>
      </c>
    </row>
    <row r="1804" spans="1:15">
      <c r="A1804" s="1246" t="s">
        <v>1490</v>
      </c>
      <c r="B1804" s="1246" t="s">
        <v>434</v>
      </c>
      <c r="C1804" s="1247">
        <v>0.45</v>
      </c>
      <c r="E1804" s="1246" t="s">
        <v>370</v>
      </c>
      <c r="F1804" s="1248">
        <v>1</v>
      </c>
      <c r="G1804" s="1248">
        <v>1</v>
      </c>
      <c r="H1804" s="1249">
        <v>1</v>
      </c>
      <c r="I1804" s="1246" t="s">
        <v>1491</v>
      </c>
      <c r="J1804" s="1246" t="s">
        <v>1399</v>
      </c>
      <c r="K1804" s="1284" t="str">
        <f t="shared" si="28"/>
        <v>30</v>
      </c>
      <c r="L1804" s="1246" t="s">
        <v>1528</v>
      </c>
      <c r="M1804" s="1250">
        <v>3</v>
      </c>
      <c r="N1804" s="1251">
        <v>708</v>
      </c>
      <c r="O1804" s="1252">
        <v>708</v>
      </c>
    </row>
    <row r="1805" spans="1:15">
      <c r="A1805" s="1246" t="s">
        <v>1493</v>
      </c>
      <c r="B1805" s="1246" t="s">
        <v>434</v>
      </c>
      <c r="C1805" s="1247">
        <v>0.45</v>
      </c>
      <c r="E1805" s="1246" t="s">
        <v>1494</v>
      </c>
      <c r="F1805" s="1248">
        <v>1</v>
      </c>
      <c r="G1805" s="1248">
        <v>1</v>
      </c>
      <c r="H1805" s="1249">
        <v>1</v>
      </c>
      <c r="I1805" s="1246" t="s">
        <v>1491</v>
      </c>
      <c r="J1805" s="1246" t="s">
        <v>1463</v>
      </c>
      <c r="K1805" s="1284" t="str">
        <f t="shared" si="28"/>
        <v>72</v>
      </c>
      <c r="L1805" s="1246" t="s">
        <v>1529</v>
      </c>
      <c r="M1805" s="1250">
        <v>9</v>
      </c>
      <c r="N1805" s="1251">
        <v>1</v>
      </c>
      <c r="O1805" s="1252">
        <v>1</v>
      </c>
    </row>
    <row r="1806" spans="1:15">
      <c r="A1806" s="1246" t="s">
        <v>1493</v>
      </c>
      <c r="B1806" s="1246" t="s">
        <v>434</v>
      </c>
      <c r="C1806" s="1247">
        <v>0.45</v>
      </c>
      <c r="E1806" s="1246" t="s">
        <v>370</v>
      </c>
      <c r="F1806" s="1248">
        <v>1</v>
      </c>
      <c r="G1806" s="1248">
        <v>1</v>
      </c>
      <c r="H1806" s="1249">
        <v>1</v>
      </c>
      <c r="I1806" s="1246" t="s">
        <v>1491</v>
      </c>
      <c r="J1806" s="1246" t="s">
        <v>1463</v>
      </c>
      <c r="K1806" s="1284" t="str">
        <f t="shared" si="28"/>
        <v>72</v>
      </c>
      <c r="L1806" s="1246" t="s">
        <v>1529</v>
      </c>
      <c r="M1806" s="1250">
        <v>9</v>
      </c>
      <c r="N1806" s="1251">
        <v>1</v>
      </c>
      <c r="O1806" s="1252">
        <v>1</v>
      </c>
    </row>
    <row r="1807" spans="1:15">
      <c r="A1807" s="1246" t="s">
        <v>1493</v>
      </c>
      <c r="B1807" s="1246" t="s">
        <v>434</v>
      </c>
      <c r="C1807" s="1247">
        <v>0.45</v>
      </c>
      <c r="E1807" s="1246" t="s">
        <v>370</v>
      </c>
      <c r="F1807" s="1248">
        <v>1</v>
      </c>
      <c r="G1807" s="1248">
        <v>1</v>
      </c>
      <c r="H1807" s="1249">
        <v>1</v>
      </c>
      <c r="I1807" s="1246" t="s">
        <v>1491</v>
      </c>
      <c r="J1807" s="1246" t="s">
        <v>1462</v>
      </c>
      <c r="K1807" s="1284" t="str">
        <f t="shared" si="28"/>
        <v>71</v>
      </c>
      <c r="L1807" s="1246" t="s">
        <v>1495</v>
      </c>
      <c r="M1807" s="1250">
        <v>9</v>
      </c>
      <c r="N1807" s="1251">
        <v>10</v>
      </c>
      <c r="O1807" s="1252">
        <v>10</v>
      </c>
    </row>
    <row r="1808" spans="1:15">
      <c r="A1808" s="1246" t="s">
        <v>1493</v>
      </c>
      <c r="B1808" s="1246" t="s">
        <v>434</v>
      </c>
      <c r="C1808" s="1247">
        <v>0.45</v>
      </c>
      <c r="E1808" s="1246" t="s">
        <v>365</v>
      </c>
      <c r="F1808" s="1248">
        <v>1</v>
      </c>
      <c r="G1808" s="1248">
        <v>1</v>
      </c>
      <c r="H1808" s="1249">
        <v>1</v>
      </c>
      <c r="I1808" s="1246" t="s">
        <v>1491</v>
      </c>
      <c r="J1808" s="1246" t="s">
        <v>1462</v>
      </c>
      <c r="K1808" s="1284" t="str">
        <f t="shared" si="28"/>
        <v>71</v>
      </c>
      <c r="L1808" s="1246" t="s">
        <v>1495</v>
      </c>
      <c r="M1808" s="1250">
        <v>9</v>
      </c>
      <c r="N1808" s="1251">
        <v>1</v>
      </c>
      <c r="O1808" s="1252">
        <v>1</v>
      </c>
    </row>
    <row r="1809" spans="1:15">
      <c r="A1809" s="1246" t="s">
        <v>1493</v>
      </c>
      <c r="B1809" s="1246" t="s">
        <v>434</v>
      </c>
      <c r="C1809" s="1247">
        <v>0.45</v>
      </c>
      <c r="E1809" s="1246" t="s">
        <v>279</v>
      </c>
      <c r="F1809" s="1248">
        <v>1</v>
      </c>
      <c r="G1809" s="1248">
        <v>1</v>
      </c>
      <c r="H1809" s="1249">
        <v>1</v>
      </c>
      <c r="I1809" s="1246" t="s">
        <v>1491</v>
      </c>
      <c r="J1809" s="1246" t="s">
        <v>1462</v>
      </c>
      <c r="K1809" s="1284" t="str">
        <f t="shared" si="28"/>
        <v>71</v>
      </c>
      <c r="L1809" s="1246" t="s">
        <v>1495</v>
      </c>
      <c r="M1809" s="1250">
        <v>9</v>
      </c>
      <c r="N1809" s="1251">
        <v>7</v>
      </c>
      <c r="O1809" s="1252">
        <v>7</v>
      </c>
    </row>
    <row r="1810" spans="1:15">
      <c r="A1810" s="1246" t="s">
        <v>1493</v>
      </c>
      <c r="B1810" s="1246" t="s">
        <v>434</v>
      </c>
      <c r="C1810" s="1247">
        <v>0.45</v>
      </c>
      <c r="E1810" s="1246" t="s">
        <v>1494</v>
      </c>
      <c r="F1810" s="1248">
        <v>1</v>
      </c>
      <c r="G1810" s="1248">
        <v>1</v>
      </c>
      <c r="H1810" s="1249">
        <v>1</v>
      </c>
      <c r="I1810" s="1246" t="s">
        <v>1491</v>
      </c>
      <c r="J1810" s="1246" t="s">
        <v>1462</v>
      </c>
      <c r="K1810" s="1284" t="str">
        <f t="shared" si="28"/>
        <v>71</v>
      </c>
      <c r="L1810" s="1246" t="s">
        <v>1495</v>
      </c>
      <c r="M1810" s="1250">
        <v>9</v>
      </c>
      <c r="N1810" s="1251">
        <v>205</v>
      </c>
      <c r="O1810" s="1252">
        <v>205</v>
      </c>
    </row>
    <row r="1811" spans="1:15">
      <c r="A1811" s="1246" t="s">
        <v>683</v>
      </c>
      <c r="B1811" s="1246" t="s">
        <v>434</v>
      </c>
      <c r="C1811" s="1247">
        <v>0.45</v>
      </c>
      <c r="E1811" s="1246" t="s">
        <v>1494</v>
      </c>
      <c r="F1811" s="1248">
        <v>1</v>
      </c>
      <c r="G1811" s="1248">
        <v>1</v>
      </c>
      <c r="H1811" s="1249">
        <v>1</v>
      </c>
      <c r="I1811" s="1246" t="s">
        <v>1491</v>
      </c>
      <c r="J1811" s="1246" t="s">
        <v>1462</v>
      </c>
      <c r="K1811" s="1284" t="str">
        <f t="shared" si="28"/>
        <v>71</v>
      </c>
      <c r="L1811" s="1246" t="s">
        <v>1495</v>
      </c>
      <c r="M1811" s="1250">
        <v>9</v>
      </c>
      <c r="N1811" s="1251">
        <v>10</v>
      </c>
      <c r="O1811" s="1252">
        <v>10</v>
      </c>
    </row>
    <row r="1812" spans="1:15">
      <c r="A1812" s="1246" t="s">
        <v>1493</v>
      </c>
      <c r="B1812" s="1246" t="s">
        <v>434</v>
      </c>
      <c r="C1812" s="1247">
        <v>0.45</v>
      </c>
      <c r="E1812" s="1246" t="s">
        <v>279</v>
      </c>
      <c r="F1812" s="1248">
        <v>1</v>
      </c>
      <c r="G1812" s="1248">
        <v>1</v>
      </c>
      <c r="H1812" s="1249">
        <v>1</v>
      </c>
      <c r="I1812" s="1246" t="s">
        <v>1491</v>
      </c>
      <c r="J1812" s="1246" t="s">
        <v>1466</v>
      </c>
      <c r="K1812" s="1284" t="str">
        <f t="shared" si="28"/>
        <v>75</v>
      </c>
      <c r="L1812" s="1246" t="s">
        <v>1530</v>
      </c>
      <c r="M1812" s="1250">
        <v>9</v>
      </c>
      <c r="N1812" s="1251">
        <v>1</v>
      </c>
      <c r="O1812" s="1252">
        <v>1</v>
      </c>
    </row>
    <row r="1813" spans="1:15">
      <c r="A1813" s="1246" t="s">
        <v>1493</v>
      </c>
      <c r="B1813" s="1246" t="s">
        <v>434</v>
      </c>
      <c r="C1813" s="1247">
        <v>0.45</v>
      </c>
      <c r="E1813" s="1246" t="s">
        <v>1494</v>
      </c>
      <c r="F1813" s="1248">
        <v>1</v>
      </c>
      <c r="G1813" s="1248">
        <v>1</v>
      </c>
      <c r="H1813" s="1249">
        <v>1</v>
      </c>
      <c r="I1813" s="1246" t="s">
        <v>1491</v>
      </c>
      <c r="J1813" s="1246" t="s">
        <v>1466</v>
      </c>
      <c r="K1813" s="1284" t="str">
        <f t="shared" si="28"/>
        <v>75</v>
      </c>
      <c r="L1813" s="1246" t="s">
        <v>1530</v>
      </c>
      <c r="M1813" s="1250">
        <v>9</v>
      </c>
      <c r="N1813" s="1251">
        <v>6</v>
      </c>
      <c r="O1813" s="1252">
        <v>6</v>
      </c>
    </row>
    <row r="1814" spans="1:15">
      <c r="A1814" s="1246" t="s">
        <v>1493</v>
      </c>
      <c r="B1814" s="1246" t="s">
        <v>434</v>
      </c>
      <c r="C1814" s="1247">
        <v>0.45</v>
      </c>
      <c r="E1814" s="1246" t="s">
        <v>1494</v>
      </c>
      <c r="F1814" s="1248">
        <v>1</v>
      </c>
      <c r="G1814" s="1248">
        <v>1</v>
      </c>
      <c r="H1814" s="1249">
        <v>1</v>
      </c>
      <c r="I1814" s="1246" t="s">
        <v>1491</v>
      </c>
      <c r="J1814" s="1246" t="s">
        <v>1468</v>
      </c>
      <c r="K1814" s="1284" t="str">
        <f t="shared" si="28"/>
        <v>7A</v>
      </c>
      <c r="L1814" s="1246" t="s">
        <v>1531</v>
      </c>
      <c r="M1814" s="1250">
        <v>9</v>
      </c>
      <c r="N1814" s="1251">
        <v>1</v>
      </c>
      <c r="O1814" s="1252">
        <v>1</v>
      </c>
    </row>
    <row r="1815" spans="1:15">
      <c r="A1815" s="1246" t="s">
        <v>1493</v>
      </c>
      <c r="B1815" s="1246" t="s">
        <v>434</v>
      </c>
      <c r="C1815" s="1247">
        <v>0.45</v>
      </c>
      <c r="E1815" s="1246" t="s">
        <v>376</v>
      </c>
      <c r="F1815" s="1248">
        <v>1</v>
      </c>
      <c r="G1815" s="1248">
        <v>1</v>
      </c>
      <c r="H1815" s="1249">
        <v>1</v>
      </c>
      <c r="I1815" s="1246" t="s">
        <v>1491</v>
      </c>
      <c r="J1815" s="1246" t="s">
        <v>1462</v>
      </c>
      <c r="K1815" s="1284" t="str">
        <f t="shared" si="28"/>
        <v>71</v>
      </c>
      <c r="L1815" s="1246" t="s">
        <v>1496</v>
      </c>
      <c r="M1815" s="1250">
        <v>9</v>
      </c>
      <c r="N1815" s="1251">
        <v>10</v>
      </c>
      <c r="O1815" s="1252">
        <v>10</v>
      </c>
    </row>
    <row r="1816" spans="1:15">
      <c r="A1816" s="1246" t="s">
        <v>1493</v>
      </c>
      <c r="B1816" s="1246" t="s">
        <v>434</v>
      </c>
      <c r="C1816" s="1247">
        <v>0.45</v>
      </c>
      <c r="E1816" s="1246" t="s">
        <v>1494</v>
      </c>
      <c r="F1816" s="1248">
        <v>1</v>
      </c>
      <c r="G1816" s="1248">
        <v>1</v>
      </c>
      <c r="H1816" s="1249">
        <v>2</v>
      </c>
      <c r="I1816" s="1246" t="s">
        <v>1491</v>
      </c>
      <c r="J1816" s="1246" t="s">
        <v>1470</v>
      </c>
      <c r="K1816" s="1284" t="str">
        <f t="shared" si="28"/>
        <v>7C</v>
      </c>
      <c r="L1816" s="1246" t="s">
        <v>1502</v>
      </c>
      <c r="M1816" s="1250">
        <v>4</v>
      </c>
      <c r="N1816" s="1251">
        <v>1</v>
      </c>
      <c r="O1816" s="1252">
        <v>1</v>
      </c>
    </row>
    <row r="1817" spans="1:15">
      <c r="A1817" s="1246" t="s">
        <v>1493</v>
      </c>
      <c r="B1817" s="1246" t="s">
        <v>434</v>
      </c>
      <c r="C1817" s="1247">
        <v>0.45</v>
      </c>
      <c r="E1817" s="1246" t="s">
        <v>1494</v>
      </c>
      <c r="F1817" s="1248">
        <v>1</v>
      </c>
      <c r="G1817" s="1248">
        <v>1</v>
      </c>
      <c r="H1817" s="1249">
        <v>2</v>
      </c>
      <c r="I1817" s="1246" t="s">
        <v>1491</v>
      </c>
      <c r="J1817" s="1246" t="s">
        <v>1469</v>
      </c>
      <c r="K1817" s="1284">
        <f t="shared" si="28"/>
        <v>70</v>
      </c>
      <c r="L1817" s="1246" t="s">
        <v>1534</v>
      </c>
      <c r="M1817" s="1250">
        <v>4</v>
      </c>
      <c r="N1817" s="1251">
        <v>2</v>
      </c>
      <c r="O1817" s="1252">
        <v>2</v>
      </c>
    </row>
    <row r="1818" spans="1:15">
      <c r="A1818" s="1246" t="s">
        <v>1490</v>
      </c>
      <c r="B1818" s="1246" t="s">
        <v>434</v>
      </c>
      <c r="C1818" s="1247">
        <v>0.45</v>
      </c>
      <c r="E1818" s="1246" t="s">
        <v>370</v>
      </c>
      <c r="F1818" s="1248">
        <v>1</v>
      </c>
      <c r="G1818" s="1248">
        <v>1</v>
      </c>
      <c r="H1818" s="1249">
        <v>2</v>
      </c>
      <c r="I1818" s="1246" t="s">
        <v>1491</v>
      </c>
      <c r="J1818" s="1246" t="s">
        <v>1456</v>
      </c>
      <c r="K1818" s="1284" t="str">
        <f t="shared" si="28"/>
        <v>33</v>
      </c>
      <c r="L1818" s="1246" t="s">
        <v>1519</v>
      </c>
      <c r="M1818" s="1250">
        <v>2</v>
      </c>
      <c r="N1818" s="1251">
        <v>1</v>
      </c>
      <c r="O1818" s="1252">
        <v>1</v>
      </c>
    </row>
    <row r="1819" spans="1:15">
      <c r="A1819" s="1246" t="s">
        <v>1493</v>
      </c>
      <c r="B1819" s="1246" t="s">
        <v>434</v>
      </c>
      <c r="C1819" s="1247">
        <v>0.45</v>
      </c>
      <c r="E1819" s="1246" t="s">
        <v>1494</v>
      </c>
      <c r="F1819" s="1248">
        <v>1</v>
      </c>
      <c r="G1819" s="1248">
        <v>1</v>
      </c>
      <c r="H1819" s="1249">
        <v>2</v>
      </c>
      <c r="I1819" s="1246" t="s">
        <v>1491</v>
      </c>
      <c r="J1819" s="1246" t="s">
        <v>1400</v>
      </c>
      <c r="K1819" s="1284" t="str">
        <f t="shared" si="28"/>
        <v>70</v>
      </c>
      <c r="L1819" s="1246" t="s">
        <v>1544</v>
      </c>
      <c r="M1819" s="1250">
        <v>9</v>
      </c>
      <c r="N1819" s="1251">
        <v>1</v>
      </c>
      <c r="O1819" s="1252">
        <v>1</v>
      </c>
    </row>
    <row r="1820" spans="1:15">
      <c r="A1820" s="1246" t="s">
        <v>1493</v>
      </c>
      <c r="B1820" s="1246" t="s">
        <v>434</v>
      </c>
      <c r="C1820" s="1247">
        <v>0.45</v>
      </c>
      <c r="E1820" s="1246" t="s">
        <v>1494</v>
      </c>
      <c r="F1820" s="1248">
        <v>1</v>
      </c>
      <c r="G1820" s="1248">
        <v>1</v>
      </c>
      <c r="H1820" s="1249">
        <v>2</v>
      </c>
      <c r="I1820" s="1246" t="s">
        <v>1491</v>
      </c>
      <c r="J1820" s="1246" t="s">
        <v>1400</v>
      </c>
      <c r="K1820" s="1284" t="str">
        <f t="shared" si="28"/>
        <v>70</v>
      </c>
      <c r="L1820" s="1246" t="s">
        <v>1539</v>
      </c>
      <c r="M1820" s="1250">
        <v>9</v>
      </c>
      <c r="N1820" s="1251">
        <v>1</v>
      </c>
      <c r="O1820" s="1252">
        <v>1</v>
      </c>
    </row>
    <row r="1821" spans="1:15">
      <c r="A1821" s="1246" t="s">
        <v>1493</v>
      </c>
      <c r="B1821" s="1246" t="s">
        <v>434</v>
      </c>
      <c r="C1821" s="1247">
        <v>0.45</v>
      </c>
      <c r="E1821" s="1246" t="s">
        <v>1494</v>
      </c>
      <c r="F1821" s="1248">
        <v>1</v>
      </c>
      <c r="G1821" s="1248">
        <v>1</v>
      </c>
      <c r="H1821" s="1249">
        <v>2</v>
      </c>
      <c r="I1821" s="1246" t="s">
        <v>1491</v>
      </c>
      <c r="J1821" s="1246" t="s">
        <v>1400</v>
      </c>
      <c r="K1821" s="1284" t="str">
        <f t="shared" si="28"/>
        <v>70</v>
      </c>
      <c r="L1821" s="1246" t="s">
        <v>1537</v>
      </c>
      <c r="M1821" s="1250">
        <v>9</v>
      </c>
      <c r="N1821" s="1251">
        <v>2</v>
      </c>
      <c r="O1821" s="1252">
        <v>2</v>
      </c>
    </row>
    <row r="1822" spans="1:15">
      <c r="A1822" s="1246" t="s">
        <v>1493</v>
      </c>
      <c r="B1822" s="1246" t="s">
        <v>434</v>
      </c>
      <c r="C1822" s="1247">
        <v>0.45</v>
      </c>
      <c r="E1822" s="1246" t="s">
        <v>1494</v>
      </c>
      <c r="F1822" s="1248">
        <v>1</v>
      </c>
      <c r="G1822" s="1248">
        <v>1</v>
      </c>
      <c r="H1822" s="1249">
        <v>2</v>
      </c>
      <c r="I1822" s="1246" t="s">
        <v>1491</v>
      </c>
      <c r="J1822" s="1246" t="s">
        <v>1463</v>
      </c>
      <c r="K1822" s="1284" t="str">
        <f t="shared" si="28"/>
        <v>72</v>
      </c>
      <c r="L1822" s="1246" t="s">
        <v>1529</v>
      </c>
      <c r="M1822" s="1250">
        <v>9</v>
      </c>
      <c r="N1822" s="1251">
        <v>6</v>
      </c>
      <c r="O1822" s="1252">
        <v>6</v>
      </c>
    </row>
    <row r="1823" spans="1:15">
      <c r="A1823" s="1246" t="s">
        <v>1493</v>
      </c>
      <c r="B1823" s="1246" t="s">
        <v>434</v>
      </c>
      <c r="C1823" s="1247">
        <v>0.45</v>
      </c>
      <c r="E1823" s="1246" t="s">
        <v>365</v>
      </c>
      <c r="F1823" s="1248">
        <v>1</v>
      </c>
      <c r="G1823" s="1248">
        <v>1</v>
      </c>
      <c r="H1823" s="1249">
        <v>2</v>
      </c>
      <c r="I1823" s="1246" t="s">
        <v>1491</v>
      </c>
      <c r="J1823" s="1246" t="s">
        <v>1462</v>
      </c>
      <c r="K1823" s="1284" t="str">
        <f t="shared" si="28"/>
        <v>71</v>
      </c>
      <c r="L1823" s="1246" t="s">
        <v>1495</v>
      </c>
      <c r="M1823" s="1250">
        <v>9</v>
      </c>
      <c r="N1823" s="1251">
        <v>1</v>
      </c>
      <c r="O1823" s="1252">
        <v>1</v>
      </c>
    </row>
    <row r="1824" spans="1:15">
      <c r="A1824" s="1246" t="s">
        <v>1493</v>
      </c>
      <c r="B1824" s="1246" t="s">
        <v>434</v>
      </c>
      <c r="C1824" s="1247">
        <v>0.45</v>
      </c>
      <c r="E1824" s="1246" t="s">
        <v>279</v>
      </c>
      <c r="F1824" s="1248">
        <v>1</v>
      </c>
      <c r="G1824" s="1248">
        <v>1</v>
      </c>
      <c r="H1824" s="1249">
        <v>2</v>
      </c>
      <c r="I1824" s="1246" t="s">
        <v>1491</v>
      </c>
      <c r="J1824" s="1246" t="s">
        <v>1462</v>
      </c>
      <c r="K1824" s="1284" t="str">
        <f t="shared" si="28"/>
        <v>71</v>
      </c>
      <c r="L1824" s="1246" t="s">
        <v>1495</v>
      </c>
      <c r="M1824" s="1250">
        <v>9</v>
      </c>
      <c r="N1824" s="1251">
        <v>2</v>
      </c>
      <c r="O1824" s="1252">
        <v>2</v>
      </c>
    </row>
    <row r="1825" spans="1:15">
      <c r="A1825" s="1246" t="s">
        <v>1493</v>
      </c>
      <c r="B1825" s="1246" t="s">
        <v>434</v>
      </c>
      <c r="C1825" s="1247">
        <v>0.45</v>
      </c>
      <c r="E1825" s="1246" t="s">
        <v>1494</v>
      </c>
      <c r="F1825" s="1248">
        <v>1</v>
      </c>
      <c r="G1825" s="1248">
        <v>1</v>
      </c>
      <c r="H1825" s="1249">
        <v>2</v>
      </c>
      <c r="I1825" s="1246" t="s">
        <v>1491</v>
      </c>
      <c r="J1825" s="1246" t="s">
        <v>1462</v>
      </c>
      <c r="K1825" s="1284" t="str">
        <f t="shared" si="28"/>
        <v>71</v>
      </c>
      <c r="L1825" s="1246" t="s">
        <v>1495</v>
      </c>
      <c r="M1825" s="1250">
        <v>9</v>
      </c>
      <c r="N1825" s="1251">
        <v>3</v>
      </c>
      <c r="O1825" s="1252">
        <v>3</v>
      </c>
    </row>
    <row r="1826" spans="1:15">
      <c r="A1826" s="1246" t="s">
        <v>1493</v>
      </c>
      <c r="B1826" s="1246" t="s">
        <v>434</v>
      </c>
      <c r="C1826" s="1247">
        <v>0.45</v>
      </c>
      <c r="E1826" s="1246" t="s">
        <v>370</v>
      </c>
      <c r="F1826" s="1248">
        <v>1</v>
      </c>
      <c r="G1826" s="1248">
        <v>1</v>
      </c>
      <c r="H1826" s="1249">
        <v>2</v>
      </c>
      <c r="I1826" s="1246" t="s">
        <v>1491</v>
      </c>
      <c r="J1826" s="1246" t="s">
        <v>1462</v>
      </c>
      <c r="K1826" s="1284" t="str">
        <f t="shared" si="28"/>
        <v>71</v>
      </c>
      <c r="L1826" s="1246" t="s">
        <v>1495</v>
      </c>
      <c r="M1826" s="1250">
        <v>9</v>
      </c>
      <c r="N1826" s="1251">
        <v>4</v>
      </c>
      <c r="O1826" s="1252">
        <v>4</v>
      </c>
    </row>
    <row r="1827" spans="1:15">
      <c r="A1827" s="1246" t="s">
        <v>1493</v>
      </c>
      <c r="B1827" s="1246" t="s">
        <v>434</v>
      </c>
      <c r="C1827" s="1247">
        <v>0.45</v>
      </c>
      <c r="E1827" s="1246" t="s">
        <v>1494</v>
      </c>
      <c r="F1827" s="1248">
        <v>1</v>
      </c>
      <c r="G1827" s="1248">
        <v>1</v>
      </c>
      <c r="H1827" s="1249">
        <v>2</v>
      </c>
      <c r="I1827" s="1246" t="s">
        <v>1491</v>
      </c>
      <c r="J1827" s="1246" t="s">
        <v>1467</v>
      </c>
      <c r="K1827" s="1284" t="str">
        <f t="shared" si="28"/>
        <v>76</v>
      </c>
      <c r="L1827" s="1246" t="s">
        <v>1538</v>
      </c>
      <c r="M1827" s="1250">
        <v>9</v>
      </c>
      <c r="N1827" s="1251">
        <v>3</v>
      </c>
      <c r="O1827" s="1252">
        <v>3</v>
      </c>
    </row>
    <row r="1828" spans="1:15">
      <c r="A1828" s="1246" t="s">
        <v>1493</v>
      </c>
      <c r="B1828" s="1246" t="s">
        <v>434</v>
      </c>
      <c r="C1828" s="1247">
        <v>0.45</v>
      </c>
      <c r="E1828" s="1246" t="s">
        <v>1494</v>
      </c>
      <c r="F1828" s="1248">
        <v>1</v>
      </c>
      <c r="G1828" s="1248">
        <v>1</v>
      </c>
      <c r="H1828" s="1249">
        <v>2</v>
      </c>
      <c r="I1828" s="1246" t="s">
        <v>1491</v>
      </c>
      <c r="J1828" s="1246" t="s">
        <v>1400</v>
      </c>
      <c r="K1828" s="1284" t="str">
        <f t="shared" si="28"/>
        <v>70</v>
      </c>
      <c r="L1828" s="1246" t="s">
        <v>1536</v>
      </c>
      <c r="M1828" s="1250">
        <v>9</v>
      </c>
      <c r="N1828" s="1251">
        <v>1</v>
      </c>
      <c r="O1828" s="1252">
        <v>1</v>
      </c>
    </row>
    <row r="1829" spans="1:15">
      <c r="A1829" s="1246" t="s">
        <v>1493</v>
      </c>
      <c r="B1829" s="1246" t="s">
        <v>434</v>
      </c>
      <c r="C1829" s="1247">
        <v>0.45</v>
      </c>
      <c r="E1829" s="1246" t="s">
        <v>1494</v>
      </c>
      <c r="F1829" s="1248">
        <v>1</v>
      </c>
      <c r="G1829" s="1248">
        <v>1</v>
      </c>
      <c r="H1829" s="1249">
        <v>2</v>
      </c>
      <c r="I1829" s="1246" t="s">
        <v>1491</v>
      </c>
      <c r="J1829" s="1246" t="s">
        <v>1466</v>
      </c>
      <c r="K1829" s="1284" t="str">
        <f t="shared" si="28"/>
        <v>75</v>
      </c>
      <c r="L1829" s="1246" t="s">
        <v>1530</v>
      </c>
      <c r="M1829" s="1250">
        <v>9</v>
      </c>
      <c r="N1829" s="1251">
        <v>1</v>
      </c>
      <c r="O1829" s="1252">
        <v>1</v>
      </c>
    </row>
    <row r="1830" spans="1:15">
      <c r="A1830" s="1246" t="s">
        <v>1493</v>
      </c>
      <c r="B1830" s="1246" t="s">
        <v>434</v>
      </c>
      <c r="C1830" s="1247">
        <v>0.45</v>
      </c>
      <c r="E1830" s="1246" t="s">
        <v>1494</v>
      </c>
      <c r="F1830" s="1248">
        <v>1</v>
      </c>
      <c r="G1830" s="1248">
        <v>1</v>
      </c>
      <c r="H1830" s="1249">
        <v>2</v>
      </c>
      <c r="I1830" s="1246" t="s">
        <v>1491</v>
      </c>
      <c r="J1830" s="1246" t="s">
        <v>1400</v>
      </c>
      <c r="K1830" s="1284" t="str">
        <f t="shared" si="28"/>
        <v>70</v>
      </c>
      <c r="L1830" s="1246" t="s">
        <v>1532</v>
      </c>
      <c r="M1830" s="1250">
        <v>9</v>
      </c>
      <c r="N1830" s="1251">
        <v>18</v>
      </c>
      <c r="O1830" s="1252">
        <v>18</v>
      </c>
    </row>
    <row r="1831" spans="1:15">
      <c r="A1831" s="1246" t="s">
        <v>1493</v>
      </c>
      <c r="B1831" s="1246" t="s">
        <v>434</v>
      </c>
      <c r="C1831" s="1247">
        <v>0.45</v>
      </c>
      <c r="E1831" s="1246" t="s">
        <v>376</v>
      </c>
      <c r="F1831" s="1248">
        <v>1</v>
      </c>
      <c r="G1831" s="1248">
        <v>1</v>
      </c>
      <c r="H1831" s="1249">
        <v>2</v>
      </c>
      <c r="I1831" s="1246" t="s">
        <v>1491</v>
      </c>
      <c r="J1831" s="1246" t="s">
        <v>1400</v>
      </c>
      <c r="K1831" s="1284" t="str">
        <f t="shared" si="28"/>
        <v>70</v>
      </c>
      <c r="L1831" s="1246" t="s">
        <v>1532</v>
      </c>
      <c r="M1831" s="1250">
        <v>9</v>
      </c>
      <c r="N1831" s="1251">
        <v>2</v>
      </c>
      <c r="O1831" s="1252">
        <v>2</v>
      </c>
    </row>
    <row r="1832" spans="1:15">
      <c r="A1832" s="1246" t="s">
        <v>1493</v>
      </c>
      <c r="B1832" s="1246" t="s">
        <v>434</v>
      </c>
      <c r="C1832" s="1247">
        <v>0.45</v>
      </c>
      <c r="E1832" s="1246" t="s">
        <v>279</v>
      </c>
      <c r="F1832" s="1248">
        <v>1</v>
      </c>
      <c r="G1832" s="1248">
        <v>1</v>
      </c>
      <c r="H1832" s="1249">
        <v>2</v>
      </c>
      <c r="I1832" s="1246" t="s">
        <v>1491</v>
      </c>
      <c r="J1832" s="1246" t="s">
        <v>1464</v>
      </c>
      <c r="K1832" s="1284" t="str">
        <f t="shared" si="28"/>
        <v>73</v>
      </c>
      <c r="L1832" s="1246" t="s">
        <v>1533</v>
      </c>
      <c r="M1832" s="1250">
        <v>9</v>
      </c>
      <c r="N1832" s="1251">
        <v>1</v>
      </c>
      <c r="O1832" s="1252">
        <v>1</v>
      </c>
    </row>
    <row r="1833" spans="1:15">
      <c r="A1833" s="1246" t="s">
        <v>1493</v>
      </c>
      <c r="B1833" s="1246" t="s">
        <v>434</v>
      </c>
      <c r="C1833" s="1247">
        <v>0.45</v>
      </c>
      <c r="E1833" s="1246" t="s">
        <v>1494</v>
      </c>
      <c r="F1833" s="1248">
        <v>1</v>
      </c>
      <c r="G1833" s="1248">
        <v>1</v>
      </c>
      <c r="H1833" s="1249">
        <v>2</v>
      </c>
      <c r="I1833" s="1246" t="s">
        <v>1491</v>
      </c>
      <c r="J1833" s="1246" t="s">
        <v>1464</v>
      </c>
      <c r="K1833" s="1284" t="str">
        <f t="shared" si="28"/>
        <v>73</v>
      </c>
      <c r="L1833" s="1246" t="s">
        <v>1533</v>
      </c>
      <c r="M1833" s="1250">
        <v>9</v>
      </c>
      <c r="N1833" s="1251">
        <v>4</v>
      </c>
      <c r="O1833" s="1252">
        <v>4</v>
      </c>
    </row>
    <row r="1834" spans="1:15">
      <c r="A1834" s="1246" t="s">
        <v>1490</v>
      </c>
      <c r="B1834" s="1246" t="s">
        <v>434</v>
      </c>
      <c r="C1834" s="1247">
        <v>0.45</v>
      </c>
      <c r="F1834" s="1248">
        <v>1</v>
      </c>
      <c r="G1834" s="1248">
        <v>1</v>
      </c>
      <c r="H1834" s="1249">
        <v>16</v>
      </c>
      <c r="I1834" s="1246" t="s">
        <v>1491</v>
      </c>
      <c r="J1834" s="1246" t="s">
        <v>1454</v>
      </c>
      <c r="K1834" s="1284" t="str">
        <f t="shared" si="28"/>
        <v>31</v>
      </c>
      <c r="L1834" s="1246" t="s">
        <v>1500</v>
      </c>
      <c r="M1834" s="1250">
        <v>2</v>
      </c>
      <c r="N1834" s="1251">
        <v>1</v>
      </c>
      <c r="O1834" s="1252">
        <v>1</v>
      </c>
    </row>
    <row r="1835" spans="1:15">
      <c r="A1835" s="1246" t="s">
        <v>1490</v>
      </c>
      <c r="B1835" s="1246" t="s">
        <v>434</v>
      </c>
      <c r="C1835" s="1247">
        <v>0.45</v>
      </c>
      <c r="E1835" s="1246" t="s">
        <v>370</v>
      </c>
      <c r="F1835" s="1248">
        <v>1</v>
      </c>
      <c r="G1835" s="1248">
        <v>2</v>
      </c>
      <c r="H1835" s="1249">
        <v>1</v>
      </c>
      <c r="I1835" s="1246" t="s">
        <v>1491</v>
      </c>
      <c r="J1835" s="1246" t="s">
        <v>1456</v>
      </c>
      <c r="K1835" s="1284" t="str">
        <f t="shared" si="28"/>
        <v>33</v>
      </c>
      <c r="L1835" s="1246" t="s">
        <v>1519</v>
      </c>
      <c r="M1835" s="1250">
        <v>2</v>
      </c>
      <c r="N1835" s="1251">
        <v>1</v>
      </c>
      <c r="O1835" s="1252">
        <v>1</v>
      </c>
    </row>
    <row r="1836" spans="1:15">
      <c r="A1836" s="1246" t="s">
        <v>1490</v>
      </c>
      <c r="B1836" s="1246" t="s">
        <v>434</v>
      </c>
      <c r="C1836" s="1247">
        <v>0.45</v>
      </c>
      <c r="F1836" s="1248">
        <v>1</v>
      </c>
      <c r="G1836" s="1248">
        <v>2</v>
      </c>
      <c r="H1836" s="1249">
        <v>1</v>
      </c>
      <c r="I1836" s="1246" t="s">
        <v>1491</v>
      </c>
      <c r="J1836" s="1246" t="s">
        <v>1456</v>
      </c>
      <c r="K1836" s="1284" t="str">
        <f t="shared" si="28"/>
        <v>33</v>
      </c>
      <c r="L1836" s="1246" t="s">
        <v>1519</v>
      </c>
      <c r="M1836" s="1250">
        <v>2</v>
      </c>
      <c r="N1836" s="1251">
        <v>1</v>
      </c>
      <c r="O1836" s="1252">
        <v>1</v>
      </c>
    </row>
    <row r="1837" spans="1:15">
      <c r="A1837" s="1246" t="s">
        <v>1490</v>
      </c>
      <c r="B1837" s="1246" t="s">
        <v>434</v>
      </c>
      <c r="C1837" s="1247">
        <v>0.45</v>
      </c>
      <c r="F1837" s="1248">
        <v>1</v>
      </c>
      <c r="G1837" s="1248">
        <v>2</v>
      </c>
      <c r="H1837" s="1249">
        <v>1</v>
      </c>
      <c r="I1837" s="1246" t="s">
        <v>1491</v>
      </c>
      <c r="J1837" s="1246" t="s">
        <v>1454</v>
      </c>
      <c r="K1837" s="1284" t="str">
        <f t="shared" si="28"/>
        <v>31</v>
      </c>
      <c r="L1837" s="1246" t="s">
        <v>1523</v>
      </c>
      <c r="M1837" s="1250">
        <v>3</v>
      </c>
      <c r="N1837" s="1251">
        <v>1</v>
      </c>
      <c r="O1837" s="1252">
        <v>1</v>
      </c>
    </row>
    <row r="1838" spans="1:15">
      <c r="A1838" s="1246" t="s">
        <v>1490</v>
      </c>
      <c r="B1838" s="1246" t="s">
        <v>434</v>
      </c>
      <c r="C1838" s="1247">
        <v>0.45</v>
      </c>
      <c r="F1838" s="1248">
        <v>1</v>
      </c>
      <c r="G1838" s="1248">
        <v>2</v>
      </c>
      <c r="H1838" s="1249">
        <v>1</v>
      </c>
      <c r="I1838" s="1246" t="s">
        <v>1491</v>
      </c>
      <c r="J1838" s="1246" t="s">
        <v>1459</v>
      </c>
      <c r="K1838" s="1284" t="str">
        <f t="shared" si="28"/>
        <v>3A</v>
      </c>
      <c r="L1838" s="1246" t="s">
        <v>1492</v>
      </c>
      <c r="M1838" s="1250">
        <v>3</v>
      </c>
      <c r="N1838" s="1251">
        <v>1</v>
      </c>
      <c r="O1838" s="1252">
        <v>1</v>
      </c>
    </row>
    <row r="1839" spans="1:15">
      <c r="A1839" s="1246" t="s">
        <v>1493</v>
      </c>
      <c r="B1839" s="1246" t="s">
        <v>434</v>
      </c>
      <c r="C1839" s="1247">
        <v>0.45</v>
      </c>
      <c r="E1839" s="1246" t="s">
        <v>279</v>
      </c>
      <c r="F1839" s="1248">
        <v>1</v>
      </c>
      <c r="G1839" s="1248">
        <v>2</v>
      </c>
      <c r="H1839" s="1249">
        <v>1</v>
      </c>
      <c r="I1839" s="1246" t="s">
        <v>1491</v>
      </c>
      <c r="J1839" s="1246" t="s">
        <v>1462</v>
      </c>
      <c r="K1839" s="1284" t="str">
        <f t="shared" si="28"/>
        <v>71</v>
      </c>
      <c r="L1839" s="1246" t="s">
        <v>1495</v>
      </c>
      <c r="M1839" s="1250">
        <v>9</v>
      </c>
      <c r="N1839" s="1251">
        <v>1</v>
      </c>
      <c r="O1839" s="1252">
        <v>1</v>
      </c>
    </row>
    <row r="1840" spans="1:15">
      <c r="A1840" s="1246" t="s">
        <v>1493</v>
      </c>
      <c r="B1840" s="1246" t="s">
        <v>434</v>
      </c>
      <c r="C1840" s="1247">
        <v>0.45</v>
      </c>
      <c r="E1840" s="1246" t="s">
        <v>1494</v>
      </c>
      <c r="F1840" s="1248">
        <v>1</v>
      </c>
      <c r="G1840" s="1248">
        <v>2</v>
      </c>
      <c r="H1840" s="1249">
        <v>1</v>
      </c>
      <c r="I1840" s="1246" t="s">
        <v>1491</v>
      </c>
      <c r="J1840" s="1246" t="s">
        <v>1462</v>
      </c>
      <c r="K1840" s="1284" t="str">
        <f t="shared" si="28"/>
        <v>71</v>
      </c>
      <c r="L1840" s="1246" t="s">
        <v>1495</v>
      </c>
      <c r="M1840" s="1250">
        <v>9</v>
      </c>
      <c r="N1840" s="1251">
        <v>3</v>
      </c>
      <c r="O1840" s="1252">
        <v>3</v>
      </c>
    </row>
    <row r="1841" spans="1:15">
      <c r="A1841" s="1246" t="s">
        <v>683</v>
      </c>
      <c r="B1841" s="1246" t="s">
        <v>434</v>
      </c>
      <c r="C1841" s="1247">
        <v>0.45</v>
      </c>
      <c r="E1841" s="1246" t="s">
        <v>1494</v>
      </c>
      <c r="F1841" s="1248">
        <v>1</v>
      </c>
      <c r="G1841" s="1248">
        <v>2</v>
      </c>
      <c r="H1841" s="1249">
        <v>1</v>
      </c>
      <c r="I1841" s="1246" t="s">
        <v>1491</v>
      </c>
      <c r="J1841" s="1246" t="s">
        <v>1462</v>
      </c>
      <c r="K1841" s="1284" t="str">
        <f t="shared" si="28"/>
        <v>71</v>
      </c>
      <c r="L1841" s="1246" t="s">
        <v>1495</v>
      </c>
      <c r="M1841" s="1250">
        <v>9</v>
      </c>
      <c r="N1841" s="1251">
        <v>1</v>
      </c>
      <c r="O1841" s="1252">
        <v>1</v>
      </c>
    </row>
    <row r="1842" spans="1:15">
      <c r="A1842" s="1246" t="s">
        <v>1493</v>
      </c>
      <c r="B1842" s="1246" t="s">
        <v>434</v>
      </c>
      <c r="C1842" s="1247">
        <v>0.45</v>
      </c>
      <c r="E1842" s="1246" t="s">
        <v>376</v>
      </c>
      <c r="F1842" s="1248">
        <v>1</v>
      </c>
      <c r="G1842" s="1248">
        <v>2</v>
      </c>
      <c r="H1842" s="1249">
        <v>1</v>
      </c>
      <c r="I1842" s="1246" t="s">
        <v>1491</v>
      </c>
      <c r="J1842" s="1246" t="s">
        <v>1400</v>
      </c>
      <c r="K1842" s="1284" t="str">
        <f t="shared" si="28"/>
        <v>70</v>
      </c>
      <c r="L1842" s="1246" t="s">
        <v>1532</v>
      </c>
      <c r="M1842" s="1250">
        <v>9</v>
      </c>
      <c r="N1842" s="1251">
        <v>1</v>
      </c>
      <c r="O1842" s="1252">
        <v>1</v>
      </c>
    </row>
    <row r="1843" spans="1:15">
      <c r="A1843" s="1246" t="s">
        <v>1493</v>
      </c>
      <c r="B1843" s="1246" t="s">
        <v>434</v>
      </c>
      <c r="C1843" s="1247">
        <v>0.45</v>
      </c>
      <c r="E1843" s="1246" t="s">
        <v>1494</v>
      </c>
      <c r="F1843" s="1248">
        <v>1</v>
      </c>
      <c r="G1843" s="1248">
        <v>2</v>
      </c>
      <c r="H1843" s="1249">
        <v>2</v>
      </c>
      <c r="I1843" s="1246" t="s">
        <v>1491</v>
      </c>
      <c r="J1843" s="1246" t="s">
        <v>1464</v>
      </c>
      <c r="K1843" s="1284" t="str">
        <f t="shared" si="28"/>
        <v>73</v>
      </c>
      <c r="L1843" s="1246" t="s">
        <v>1533</v>
      </c>
      <c r="M1843" s="1250">
        <v>9</v>
      </c>
      <c r="N1843" s="1251">
        <v>1</v>
      </c>
      <c r="O1843" s="1252">
        <v>1</v>
      </c>
    </row>
    <row r="1844" spans="1:15">
      <c r="A1844" s="1246" t="s">
        <v>1493</v>
      </c>
      <c r="B1844" s="1246" t="s">
        <v>434</v>
      </c>
      <c r="C1844" s="1247">
        <v>0.45</v>
      </c>
      <c r="E1844" s="1246" t="s">
        <v>376</v>
      </c>
      <c r="F1844" s="1248">
        <v>1</v>
      </c>
      <c r="G1844" s="1248">
        <v>2</v>
      </c>
      <c r="H1844" s="1249">
        <v>2</v>
      </c>
      <c r="I1844" s="1246" t="s">
        <v>1491</v>
      </c>
      <c r="J1844" s="1246" t="s">
        <v>1464</v>
      </c>
      <c r="K1844" s="1284" t="str">
        <f t="shared" si="28"/>
        <v>73</v>
      </c>
      <c r="L1844" s="1246" t="s">
        <v>1533</v>
      </c>
      <c r="M1844" s="1250">
        <v>9</v>
      </c>
      <c r="N1844" s="1251">
        <v>1</v>
      </c>
      <c r="O1844" s="1252">
        <v>1</v>
      </c>
    </row>
    <row r="1845" spans="1:15">
      <c r="A1845" s="1246" t="s">
        <v>1490</v>
      </c>
      <c r="B1845" s="1246" t="s">
        <v>434</v>
      </c>
      <c r="C1845" s="1247">
        <v>0.45</v>
      </c>
      <c r="F1845" s="1248">
        <v>1</v>
      </c>
      <c r="G1845" s="1248">
        <v>3</v>
      </c>
      <c r="H1845" s="1249">
        <v>1</v>
      </c>
      <c r="I1845" s="1246" t="s">
        <v>1491</v>
      </c>
      <c r="J1845" s="1246" t="s">
        <v>1456</v>
      </c>
      <c r="K1845" s="1284" t="str">
        <f t="shared" si="28"/>
        <v>33</v>
      </c>
      <c r="L1845" s="1246" t="s">
        <v>1519</v>
      </c>
      <c r="M1845" s="1250">
        <v>2</v>
      </c>
      <c r="N1845" s="1251">
        <v>1</v>
      </c>
      <c r="O1845" s="1252">
        <v>1</v>
      </c>
    </row>
    <row r="1846" spans="1:15">
      <c r="A1846" s="1246" t="s">
        <v>1493</v>
      </c>
      <c r="B1846" s="1246" t="s">
        <v>434</v>
      </c>
      <c r="C1846" s="1247">
        <v>0.45</v>
      </c>
      <c r="E1846" s="1246" t="s">
        <v>1494</v>
      </c>
      <c r="F1846" s="1248">
        <v>1</v>
      </c>
      <c r="G1846" s="1248">
        <v>5</v>
      </c>
      <c r="H1846" s="1249">
        <v>1</v>
      </c>
      <c r="I1846" s="1246" t="s">
        <v>1491</v>
      </c>
      <c r="J1846" s="1246" t="s">
        <v>1462</v>
      </c>
      <c r="K1846" s="1284" t="str">
        <f t="shared" si="28"/>
        <v>71</v>
      </c>
      <c r="L1846" s="1246" t="s">
        <v>1495</v>
      </c>
      <c r="M1846" s="1250">
        <v>9</v>
      </c>
      <c r="N1846" s="1251">
        <v>1</v>
      </c>
      <c r="O1846" s="1252">
        <v>1</v>
      </c>
    </row>
    <row r="1847" spans="1:15">
      <c r="A1847" s="1246" t="s">
        <v>683</v>
      </c>
      <c r="B1847" s="1246" t="s">
        <v>434</v>
      </c>
      <c r="C1847" s="1247">
        <v>0.45</v>
      </c>
      <c r="E1847" s="1246" t="s">
        <v>1494</v>
      </c>
      <c r="F1847" s="1248">
        <v>2</v>
      </c>
      <c r="G1847" s="1248">
        <v>0</v>
      </c>
      <c r="H1847" s="1249">
        <v>0</v>
      </c>
      <c r="J1847" s="1246" t="s">
        <v>1462</v>
      </c>
      <c r="K1847" s="1284" t="str">
        <f t="shared" si="28"/>
        <v>71</v>
      </c>
      <c r="L1847" s="1246" t="s">
        <v>1495</v>
      </c>
      <c r="M1847" s="1250">
        <v>9</v>
      </c>
      <c r="N1847" s="1251">
        <v>2</v>
      </c>
      <c r="O1847" s="1252">
        <v>1</v>
      </c>
    </row>
    <row r="1848" spans="1:15">
      <c r="A1848" s="1246" t="s">
        <v>1490</v>
      </c>
      <c r="B1848" s="1246" t="s">
        <v>434</v>
      </c>
      <c r="C1848" s="1247">
        <v>0.45</v>
      </c>
      <c r="F1848" s="1248">
        <v>2</v>
      </c>
      <c r="G1848" s="1248">
        <v>1</v>
      </c>
      <c r="H1848" s="1249">
        <v>1</v>
      </c>
      <c r="I1848" s="1246" t="s">
        <v>1491</v>
      </c>
      <c r="J1848" s="1246" t="s">
        <v>1455</v>
      </c>
      <c r="K1848" s="1284" t="str">
        <f t="shared" si="28"/>
        <v>32</v>
      </c>
      <c r="L1848" s="1246" t="s">
        <v>1505</v>
      </c>
      <c r="M1848" s="1250">
        <v>1</v>
      </c>
      <c r="N1848" s="1251">
        <v>2</v>
      </c>
      <c r="O1848" s="1252">
        <v>1</v>
      </c>
    </row>
    <row r="1849" spans="1:15">
      <c r="A1849" s="1246" t="s">
        <v>1490</v>
      </c>
      <c r="B1849" s="1246" t="s">
        <v>434</v>
      </c>
      <c r="C1849" s="1247">
        <v>0.45</v>
      </c>
      <c r="F1849" s="1248">
        <v>2</v>
      </c>
      <c r="G1849" s="1248">
        <v>1</v>
      </c>
      <c r="H1849" s="1249">
        <v>1</v>
      </c>
      <c r="I1849" s="1246" t="s">
        <v>1491</v>
      </c>
      <c r="J1849" s="1246" t="s">
        <v>1454</v>
      </c>
      <c r="K1849" s="1284" t="str">
        <f t="shared" si="28"/>
        <v>31</v>
      </c>
      <c r="L1849" s="1246" t="s">
        <v>1506</v>
      </c>
      <c r="M1849" s="1250">
        <v>1</v>
      </c>
      <c r="N1849" s="1251">
        <v>4</v>
      </c>
      <c r="O1849" s="1252">
        <v>2</v>
      </c>
    </row>
    <row r="1850" spans="1:15">
      <c r="A1850" s="1246" t="s">
        <v>1490</v>
      </c>
      <c r="B1850" s="1246" t="s">
        <v>434</v>
      </c>
      <c r="C1850" s="1247">
        <v>0.45</v>
      </c>
      <c r="F1850" s="1248">
        <v>2</v>
      </c>
      <c r="G1850" s="1248">
        <v>1</v>
      </c>
      <c r="H1850" s="1249">
        <v>1</v>
      </c>
      <c r="I1850" s="1246" t="s">
        <v>1491</v>
      </c>
      <c r="J1850" s="1246" t="s">
        <v>1399</v>
      </c>
      <c r="K1850" s="1284" t="str">
        <f t="shared" si="28"/>
        <v>30</v>
      </c>
      <c r="L1850" s="1246" t="s">
        <v>1511</v>
      </c>
      <c r="M1850" s="1250">
        <v>2</v>
      </c>
      <c r="N1850" s="1251">
        <v>2</v>
      </c>
      <c r="O1850" s="1252">
        <v>1</v>
      </c>
    </row>
    <row r="1851" spans="1:15">
      <c r="A1851" s="1246" t="s">
        <v>1490</v>
      </c>
      <c r="B1851" s="1246" t="s">
        <v>434</v>
      </c>
      <c r="C1851" s="1247">
        <v>0.45</v>
      </c>
      <c r="F1851" s="1248">
        <v>2</v>
      </c>
      <c r="G1851" s="1248">
        <v>1</v>
      </c>
      <c r="H1851" s="1249">
        <v>1</v>
      </c>
      <c r="I1851" s="1246" t="s">
        <v>1491</v>
      </c>
      <c r="J1851" s="1246" t="s">
        <v>1456</v>
      </c>
      <c r="K1851" s="1284" t="str">
        <f t="shared" si="28"/>
        <v>33</v>
      </c>
      <c r="L1851" s="1246" t="s">
        <v>1519</v>
      </c>
      <c r="M1851" s="1250">
        <v>2</v>
      </c>
      <c r="N1851" s="1251">
        <v>4</v>
      </c>
      <c r="O1851" s="1252">
        <v>2</v>
      </c>
    </row>
    <row r="1852" spans="1:15">
      <c r="A1852" s="1246" t="s">
        <v>1490</v>
      </c>
      <c r="B1852" s="1246" t="s">
        <v>434</v>
      </c>
      <c r="C1852" s="1247">
        <v>0.45</v>
      </c>
      <c r="E1852" s="1246" t="s">
        <v>370</v>
      </c>
      <c r="F1852" s="1248">
        <v>2</v>
      </c>
      <c r="G1852" s="1248">
        <v>1</v>
      </c>
      <c r="H1852" s="1249">
        <v>1</v>
      </c>
      <c r="I1852" s="1246" t="s">
        <v>1491</v>
      </c>
      <c r="J1852" s="1246" t="s">
        <v>1456</v>
      </c>
      <c r="K1852" s="1284" t="str">
        <f t="shared" si="28"/>
        <v>33</v>
      </c>
      <c r="L1852" s="1246" t="s">
        <v>1519</v>
      </c>
      <c r="M1852" s="1250">
        <v>2</v>
      </c>
      <c r="N1852" s="1251">
        <v>4</v>
      </c>
      <c r="O1852" s="1252">
        <v>2</v>
      </c>
    </row>
    <row r="1853" spans="1:15">
      <c r="A1853" s="1246" t="s">
        <v>1490</v>
      </c>
      <c r="B1853" s="1246" t="s">
        <v>434</v>
      </c>
      <c r="C1853" s="1247">
        <v>0.45</v>
      </c>
      <c r="F1853" s="1248">
        <v>2</v>
      </c>
      <c r="G1853" s="1248">
        <v>1</v>
      </c>
      <c r="H1853" s="1249">
        <v>1</v>
      </c>
      <c r="I1853" s="1246" t="s">
        <v>1491</v>
      </c>
      <c r="J1853" s="1246" t="s">
        <v>1454</v>
      </c>
      <c r="K1853" s="1284" t="str">
        <f t="shared" si="28"/>
        <v>31</v>
      </c>
      <c r="L1853" s="1246" t="s">
        <v>1523</v>
      </c>
      <c r="M1853" s="1250">
        <v>3</v>
      </c>
      <c r="N1853" s="1251">
        <v>4</v>
      </c>
      <c r="O1853" s="1252">
        <v>2</v>
      </c>
    </row>
    <row r="1854" spans="1:15">
      <c r="A1854" s="1246" t="s">
        <v>1490</v>
      </c>
      <c r="B1854" s="1246" t="s">
        <v>434</v>
      </c>
      <c r="C1854" s="1247">
        <v>0.45</v>
      </c>
      <c r="F1854" s="1248">
        <v>2</v>
      </c>
      <c r="G1854" s="1248">
        <v>1</v>
      </c>
      <c r="H1854" s="1249">
        <v>1</v>
      </c>
      <c r="I1854" s="1246" t="s">
        <v>1491</v>
      </c>
      <c r="J1854" s="1246" t="s">
        <v>1458</v>
      </c>
      <c r="K1854" s="1284" t="str">
        <f t="shared" si="28"/>
        <v>36</v>
      </c>
      <c r="L1854" s="1246" t="s">
        <v>1524</v>
      </c>
      <c r="M1854" s="1250">
        <v>3</v>
      </c>
      <c r="N1854" s="1251">
        <v>2</v>
      </c>
      <c r="O1854" s="1252">
        <v>1</v>
      </c>
    </row>
    <row r="1855" spans="1:15">
      <c r="A1855" s="1246" t="s">
        <v>1493</v>
      </c>
      <c r="B1855" s="1246" t="s">
        <v>434</v>
      </c>
      <c r="C1855" s="1247">
        <v>0.45</v>
      </c>
      <c r="E1855" s="1246" t="s">
        <v>1494</v>
      </c>
      <c r="F1855" s="1248">
        <v>2</v>
      </c>
      <c r="G1855" s="1248">
        <v>1</v>
      </c>
      <c r="H1855" s="1249">
        <v>1</v>
      </c>
      <c r="I1855" s="1246" t="s">
        <v>1491</v>
      </c>
      <c r="J1855" s="1246" t="s">
        <v>1462</v>
      </c>
      <c r="K1855" s="1284" t="str">
        <f t="shared" si="28"/>
        <v>71</v>
      </c>
      <c r="L1855" s="1246" t="s">
        <v>1495</v>
      </c>
      <c r="M1855" s="1250">
        <v>9</v>
      </c>
      <c r="N1855" s="1251">
        <v>4</v>
      </c>
      <c r="O1855" s="1252">
        <v>2</v>
      </c>
    </row>
    <row r="1856" spans="1:15">
      <c r="A1856" s="1246" t="s">
        <v>1493</v>
      </c>
      <c r="B1856" s="1246" t="s">
        <v>434</v>
      </c>
      <c r="C1856" s="1247">
        <v>0.45</v>
      </c>
      <c r="E1856" s="1246" t="s">
        <v>1494</v>
      </c>
      <c r="F1856" s="1248">
        <v>2</v>
      </c>
      <c r="G1856" s="1248">
        <v>2</v>
      </c>
      <c r="H1856" s="1249">
        <v>1</v>
      </c>
      <c r="I1856" s="1246" t="s">
        <v>1491</v>
      </c>
      <c r="J1856" s="1246" t="s">
        <v>1462</v>
      </c>
      <c r="K1856" s="1284" t="str">
        <f t="shared" si="28"/>
        <v>71</v>
      </c>
      <c r="M1856" s="1250">
        <v>0</v>
      </c>
      <c r="N1856" s="1251">
        <v>4</v>
      </c>
      <c r="O1856" s="1252">
        <v>2</v>
      </c>
    </row>
    <row r="1857" spans="1:15">
      <c r="A1857" s="1246" t="s">
        <v>1490</v>
      </c>
      <c r="B1857" s="1246" t="s">
        <v>434</v>
      </c>
      <c r="C1857" s="1247">
        <v>0.45</v>
      </c>
      <c r="F1857" s="1248">
        <v>2</v>
      </c>
      <c r="G1857" s="1248">
        <v>2</v>
      </c>
      <c r="H1857" s="1249">
        <v>1</v>
      </c>
      <c r="I1857" s="1246" t="s">
        <v>1491</v>
      </c>
      <c r="J1857" s="1246" t="s">
        <v>1460</v>
      </c>
      <c r="K1857" s="1284" t="str">
        <f t="shared" si="28"/>
        <v>30</v>
      </c>
      <c r="L1857" s="1246" t="s">
        <v>1497</v>
      </c>
      <c r="M1857" s="1250">
        <v>1</v>
      </c>
      <c r="N1857" s="1251">
        <v>10</v>
      </c>
      <c r="O1857" s="1252">
        <v>5</v>
      </c>
    </row>
    <row r="1858" spans="1:15">
      <c r="A1858" s="1246" t="s">
        <v>1490</v>
      </c>
      <c r="B1858" s="1246" t="s">
        <v>434</v>
      </c>
      <c r="C1858" s="1247">
        <v>0.45</v>
      </c>
      <c r="F1858" s="1248">
        <v>2</v>
      </c>
      <c r="G1858" s="1248">
        <v>2</v>
      </c>
      <c r="H1858" s="1249">
        <v>1</v>
      </c>
      <c r="I1858" s="1246" t="s">
        <v>1491</v>
      </c>
      <c r="J1858" s="1246" t="s">
        <v>1461</v>
      </c>
      <c r="K1858" s="1284" t="str">
        <f t="shared" ref="K1858:K1921" si="29">IF(J1858="1B","10", IF(J1858="2B","20",IF(J1858="3B","30",IF(J1858="7B",70,J1858))))</f>
        <v>3C</v>
      </c>
      <c r="L1858" s="1246" t="s">
        <v>1502</v>
      </c>
      <c r="M1858" s="1250">
        <v>3</v>
      </c>
      <c r="N1858" s="1251">
        <v>4</v>
      </c>
      <c r="O1858" s="1252">
        <v>2</v>
      </c>
    </row>
    <row r="1859" spans="1:15">
      <c r="A1859" s="1246" t="s">
        <v>1493</v>
      </c>
      <c r="B1859" s="1246" t="s">
        <v>434</v>
      </c>
      <c r="C1859" s="1247">
        <v>0.45</v>
      </c>
      <c r="E1859" s="1246" t="s">
        <v>376</v>
      </c>
      <c r="F1859" s="1248">
        <v>2</v>
      </c>
      <c r="G1859" s="1248">
        <v>2</v>
      </c>
      <c r="H1859" s="1249">
        <v>1</v>
      </c>
      <c r="I1859" s="1246" t="s">
        <v>1491</v>
      </c>
      <c r="J1859" s="1246" t="s">
        <v>1470</v>
      </c>
      <c r="K1859" s="1284" t="str">
        <f t="shared" si="29"/>
        <v>7C</v>
      </c>
      <c r="L1859" s="1246" t="s">
        <v>1502</v>
      </c>
      <c r="M1859" s="1250">
        <v>4</v>
      </c>
      <c r="N1859" s="1251">
        <v>4</v>
      </c>
      <c r="O1859" s="1252">
        <v>2</v>
      </c>
    </row>
    <row r="1860" spans="1:15">
      <c r="A1860" s="1246" t="s">
        <v>1493</v>
      </c>
      <c r="B1860" s="1246" t="s">
        <v>434</v>
      </c>
      <c r="C1860" s="1247">
        <v>0.45</v>
      </c>
      <c r="E1860" s="1246" t="s">
        <v>1494</v>
      </c>
      <c r="F1860" s="1248">
        <v>2</v>
      </c>
      <c r="G1860" s="1248">
        <v>2</v>
      </c>
      <c r="H1860" s="1249">
        <v>1</v>
      </c>
      <c r="I1860" s="1246" t="s">
        <v>1491</v>
      </c>
      <c r="J1860" s="1246" t="s">
        <v>1470</v>
      </c>
      <c r="K1860" s="1284" t="str">
        <f t="shared" si="29"/>
        <v>7C</v>
      </c>
      <c r="L1860" s="1246" t="s">
        <v>1502</v>
      </c>
      <c r="M1860" s="1250">
        <v>4</v>
      </c>
      <c r="N1860" s="1251">
        <v>10</v>
      </c>
      <c r="O1860" s="1252">
        <v>5</v>
      </c>
    </row>
    <row r="1861" spans="1:15">
      <c r="A1861" s="1246" t="s">
        <v>1493</v>
      </c>
      <c r="B1861" s="1246" t="s">
        <v>434</v>
      </c>
      <c r="C1861" s="1247">
        <v>0.45</v>
      </c>
      <c r="E1861" s="1246" t="s">
        <v>279</v>
      </c>
      <c r="F1861" s="1248">
        <v>2</v>
      </c>
      <c r="G1861" s="1248">
        <v>2</v>
      </c>
      <c r="H1861" s="1249">
        <v>1</v>
      </c>
      <c r="I1861" s="1246" t="s">
        <v>1491</v>
      </c>
      <c r="J1861" s="1246" t="s">
        <v>1470</v>
      </c>
      <c r="K1861" s="1284" t="str">
        <f t="shared" si="29"/>
        <v>7C</v>
      </c>
      <c r="L1861" s="1246" t="s">
        <v>1502</v>
      </c>
      <c r="M1861" s="1250">
        <v>4</v>
      </c>
      <c r="N1861" s="1251">
        <v>6</v>
      </c>
      <c r="O1861" s="1252">
        <v>3</v>
      </c>
    </row>
    <row r="1862" spans="1:15">
      <c r="A1862" s="1246" t="s">
        <v>1490</v>
      </c>
      <c r="B1862" s="1246" t="s">
        <v>434</v>
      </c>
      <c r="C1862" s="1247">
        <v>0.45</v>
      </c>
      <c r="F1862" s="1248">
        <v>2</v>
      </c>
      <c r="G1862" s="1248">
        <v>2</v>
      </c>
      <c r="H1862" s="1249">
        <v>1</v>
      </c>
      <c r="I1862" s="1246" t="s">
        <v>1491</v>
      </c>
      <c r="J1862" s="1246" t="s">
        <v>1460</v>
      </c>
      <c r="K1862" s="1284" t="str">
        <f t="shared" si="29"/>
        <v>30</v>
      </c>
      <c r="L1862" s="1246" t="s">
        <v>1498</v>
      </c>
      <c r="M1862" s="1250">
        <v>2</v>
      </c>
      <c r="N1862" s="1251">
        <v>10</v>
      </c>
      <c r="O1862" s="1252">
        <v>5</v>
      </c>
    </row>
    <row r="1863" spans="1:15">
      <c r="A1863" s="1246" t="s">
        <v>1493</v>
      </c>
      <c r="B1863" s="1246" t="s">
        <v>434</v>
      </c>
      <c r="C1863" s="1247">
        <v>0.45</v>
      </c>
      <c r="E1863" s="1246" t="s">
        <v>1494</v>
      </c>
      <c r="F1863" s="1248">
        <v>2</v>
      </c>
      <c r="G1863" s="1248">
        <v>2</v>
      </c>
      <c r="H1863" s="1249">
        <v>1</v>
      </c>
      <c r="I1863" s="1246" t="s">
        <v>1491</v>
      </c>
      <c r="J1863" s="1246" t="s">
        <v>1469</v>
      </c>
      <c r="K1863" s="1284">
        <f t="shared" si="29"/>
        <v>70</v>
      </c>
      <c r="L1863" s="1246" t="s">
        <v>1534</v>
      </c>
      <c r="M1863" s="1250">
        <v>4</v>
      </c>
      <c r="N1863" s="1251">
        <v>4</v>
      </c>
      <c r="O1863" s="1252">
        <v>2</v>
      </c>
    </row>
    <row r="1864" spans="1:15">
      <c r="A1864" s="1246" t="s">
        <v>1490</v>
      </c>
      <c r="B1864" s="1246" t="s">
        <v>434</v>
      </c>
      <c r="C1864" s="1247">
        <v>0.45</v>
      </c>
      <c r="F1864" s="1248">
        <v>2</v>
      </c>
      <c r="G1864" s="1248">
        <v>2</v>
      </c>
      <c r="H1864" s="1249">
        <v>1</v>
      </c>
      <c r="I1864" s="1246" t="s">
        <v>1491</v>
      </c>
      <c r="J1864" s="1246" t="s">
        <v>1460</v>
      </c>
      <c r="K1864" s="1284" t="str">
        <f t="shared" si="29"/>
        <v>30</v>
      </c>
      <c r="L1864" s="1246" t="s">
        <v>1499</v>
      </c>
      <c r="M1864" s="1250">
        <v>5</v>
      </c>
      <c r="N1864" s="1251">
        <v>8</v>
      </c>
      <c r="O1864" s="1252">
        <v>4</v>
      </c>
    </row>
    <row r="1865" spans="1:15">
      <c r="A1865" s="1246" t="s">
        <v>1493</v>
      </c>
      <c r="B1865" s="1246" t="s">
        <v>434</v>
      </c>
      <c r="C1865" s="1247">
        <v>0.45</v>
      </c>
      <c r="E1865" s="1246" t="s">
        <v>279</v>
      </c>
      <c r="F1865" s="1248">
        <v>2</v>
      </c>
      <c r="G1865" s="1248">
        <v>2</v>
      </c>
      <c r="H1865" s="1249">
        <v>1</v>
      </c>
      <c r="I1865" s="1246" t="s">
        <v>1491</v>
      </c>
      <c r="J1865" s="1246" t="s">
        <v>1468</v>
      </c>
      <c r="K1865" s="1284" t="str">
        <f t="shared" si="29"/>
        <v>7A</v>
      </c>
      <c r="L1865" s="1246" t="s">
        <v>1545</v>
      </c>
      <c r="M1865" s="1250">
        <v>4</v>
      </c>
      <c r="N1865" s="1251">
        <v>2</v>
      </c>
      <c r="O1865" s="1252">
        <v>1</v>
      </c>
    </row>
    <row r="1866" spans="1:15">
      <c r="A1866" s="1246" t="s">
        <v>1490</v>
      </c>
      <c r="B1866" s="1246" t="s">
        <v>434</v>
      </c>
      <c r="C1866" s="1247">
        <v>0.45</v>
      </c>
      <c r="F1866" s="1248">
        <v>2</v>
      </c>
      <c r="G1866" s="1248">
        <v>2</v>
      </c>
      <c r="H1866" s="1249">
        <v>1</v>
      </c>
      <c r="I1866" s="1246" t="s">
        <v>1491</v>
      </c>
      <c r="J1866" s="1246" t="s">
        <v>1399</v>
      </c>
      <c r="K1866" s="1284" t="str">
        <f t="shared" si="29"/>
        <v>30</v>
      </c>
      <c r="L1866" s="1246" t="s">
        <v>1503</v>
      </c>
      <c r="M1866" s="1250">
        <v>1</v>
      </c>
      <c r="N1866" s="1251">
        <v>16</v>
      </c>
      <c r="O1866" s="1252">
        <v>8</v>
      </c>
    </row>
    <row r="1867" spans="1:15">
      <c r="A1867" s="1246" t="s">
        <v>1490</v>
      </c>
      <c r="B1867" s="1246" t="s">
        <v>434</v>
      </c>
      <c r="C1867" s="1247">
        <v>0.45</v>
      </c>
      <c r="E1867" s="1246" t="s">
        <v>370</v>
      </c>
      <c r="F1867" s="1248">
        <v>2</v>
      </c>
      <c r="G1867" s="1248">
        <v>2</v>
      </c>
      <c r="H1867" s="1249">
        <v>1</v>
      </c>
      <c r="I1867" s="1246" t="s">
        <v>1491</v>
      </c>
      <c r="J1867" s="1246" t="s">
        <v>1399</v>
      </c>
      <c r="K1867" s="1284" t="str">
        <f t="shared" si="29"/>
        <v>30</v>
      </c>
      <c r="L1867" s="1246" t="s">
        <v>1503</v>
      </c>
      <c r="M1867" s="1250">
        <v>1</v>
      </c>
      <c r="N1867" s="1251">
        <v>4</v>
      </c>
      <c r="O1867" s="1252">
        <v>2</v>
      </c>
    </row>
    <row r="1868" spans="1:15">
      <c r="A1868" s="1246" t="s">
        <v>1490</v>
      </c>
      <c r="B1868" s="1246" t="s">
        <v>434</v>
      </c>
      <c r="C1868" s="1247">
        <v>0.45</v>
      </c>
      <c r="F1868" s="1248">
        <v>2</v>
      </c>
      <c r="G1868" s="1248">
        <v>2</v>
      </c>
      <c r="H1868" s="1249">
        <v>1</v>
      </c>
      <c r="I1868" s="1246" t="s">
        <v>1491</v>
      </c>
      <c r="J1868" s="1246" t="s">
        <v>1399</v>
      </c>
      <c r="K1868" s="1284" t="str">
        <f t="shared" si="29"/>
        <v>30</v>
      </c>
      <c r="L1868" s="1246" t="s">
        <v>1504</v>
      </c>
      <c r="M1868" s="1250">
        <v>1</v>
      </c>
      <c r="N1868" s="1251">
        <v>2</v>
      </c>
      <c r="O1868" s="1252">
        <v>1</v>
      </c>
    </row>
    <row r="1869" spans="1:15">
      <c r="A1869" s="1246" t="s">
        <v>1490</v>
      </c>
      <c r="B1869" s="1246" t="s">
        <v>434</v>
      </c>
      <c r="C1869" s="1247">
        <v>0.45</v>
      </c>
      <c r="E1869" s="1246" t="s">
        <v>370</v>
      </c>
      <c r="F1869" s="1248">
        <v>2</v>
      </c>
      <c r="G1869" s="1248">
        <v>2</v>
      </c>
      <c r="H1869" s="1249">
        <v>1</v>
      </c>
      <c r="I1869" s="1246" t="s">
        <v>1491</v>
      </c>
      <c r="J1869" s="1246" t="s">
        <v>1399</v>
      </c>
      <c r="K1869" s="1284" t="str">
        <f t="shared" si="29"/>
        <v>30</v>
      </c>
      <c r="L1869" s="1246" t="s">
        <v>1504</v>
      </c>
      <c r="M1869" s="1250">
        <v>1</v>
      </c>
      <c r="N1869" s="1251">
        <v>2</v>
      </c>
      <c r="O1869" s="1252">
        <v>1</v>
      </c>
    </row>
    <row r="1870" spans="1:15">
      <c r="A1870" s="1246" t="s">
        <v>1490</v>
      </c>
      <c r="B1870" s="1246" t="s">
        <v>434</v>
      </c>
      <c r="C1870" s="1247">
        <v>0.45</v>
      </c>
      <c r="F1870" s="1248">
        <v>2</v>
      </c>
      <c r="G1870" s="1248">
        <v>2</v>
      </c>
      <c r="H1870" s="1249">
        <v>1</v>
      </c>
      <c r="I1870" s="1246" t="s">
        <v>1491</v>
      </c>
      <c r="J1870" s="1246" t="s">
        <v>1455</v>
      </c>
      <c r="K1870" s="1284" t="str">
        <f t="shared" si="29"/>
        <v>32</v>
      </c>
      <c r="L1870" s="1246" t="s">
        <v>1505</v>
      </c>
      <c r="M1870" s="1250">
        <v>1</v>
      </c>
      <c r="N1870" s="1251">
        <v>32</v>
      </c>
      <c r="O1870" s="1252">
        <v>16</v>
      </c>
    </row>
    <row r="1871" spans="1:15">
      <c r="A1871" s="1246" t="s">
        <v>1490</v>
      </c>
      <c r="B1871" s="1246" t="s">
        <v>434</v>
      </c>
      <c r="C1871" s="1247">
        <v>0.45</v>
      </c>
      <c r="E1871" s="1246" t="s">
        <v>370</v>
      </c>
      <c r="F1871" s="1248">
        <v>2</v>
      </c>
      <c r="G1871" s="1248">
        <v>2</v>
      </c>
      <c r="H1871" s="1249">
        <v>1</v>
      </c>
      <c r="I1871" s="1246" t="s">
        <v>1491</v>
      </c>
      <c r="J1871" s="1246" t="s">
        <v>1455</v>
      </c>
      <c r="K1871" s="1284" t="str">
        <f t="shared" si="29"/>
        <v>32</v>
      </c>
      <c r="L1871" s="1246" t="s">
        <v>1505</v>
      </c>
      <c r="M1871" s="1250">
        <v>1</v>
      </c>
      <c r="N1871" s="1251">
        <v>14</v>
      </c>
      <c r="O1871" s="1252">
        <v>7</v>
      </c>
    </row>
    <row r="1872" spans="1:15">
      <c r="A1872" s="1246" t="s">
        <v>1490</v>
      </c>
      <c r="B1872" s="1246" t="s">
        <v>434</v>
      </c>
      <c r="C1872" s="1247">
        <v>0.45</v>
      </c>
      <c r="F1872" s="1248">
        <v>2</v>
      </c>
      <c r="G1872" s="1248">
        <v>2</v>
      </c>
      <c r="H1872" s="1249">
        <v>1</v>
      </c>
      <c r="I1872" s="1246" t="s">
        <v>1491</v>
      </c>
      <c r="J1872" s="1246" t="s">
        <v>1454</v>
      </c>
      <c r="K1872" s="1284" t="str">
        <f t="shared" si="29"/>
        <v>31</v>
      </c>
      <c r="L1872" s="1246" t="s">
        <v>1506</v>
      </c>
      <c r="M1872" s="1250">
        <v>1</v>
      </c>
      <c r="N1872" s="1251">
        <v>88</v>
      </c>
      <c r="O1872" s="1252">
        <v>44</v>
      </c>
    </row>
    <row r="1873" spans="1:15">
      <c r="A1873" s="1246" t="s">
        <v>1490</v>
      </c>
      <c r="B1873" s="1246" t="s">
        <v>434</v>
      </c>
      <c r="C1873" s="1247">
        <v>0.45</v>
      </c>
      <c r="E1873" s="1246" t="s">
        <v>370</v>
      </c>
      <c r="F1873" s="1248">
        <v>2</v>
      </c>
      <c r="G1873" s="1248">
        <v>2</v>
      </c>
      <c r="H1873" s="1249">
        <v>1</v>
      </c>
      <c r="I1873" s="1246" t="s">
        <v>1491</v>
      </c>
      <c r="J1873" s="1246" t="s">
        <v>1454</v>
      </c>
      <c r="K1873" s="1284" t="str">
        <f t="shared" si="29"/>
        <v>31</v>
      </c>
      <c r="L1873" s="1246" t="s">
        <v>1506</v>
      </c>
      <c r="M1873" s="1250">
        <v>1</v>
      </c>
      <c r="N1873" s="1251">
        <v>42</v>
      </c>
      <c r="O1873" s="1252">
        <v>21</v>
      </c>
    </row>
    <row r="1874" spans="1:15">
      <c r="A1874" s="1246" t="s">
        <v>1490</v>
      </c>
      <c r="B1874" s="1246" t="s">
        <v>434</v>
      </c>
      <c r="C1874" s="1247">
        <v>0.45</v>
      </c>
      <c r="E1874" s="1246" t="s">
        <v>370</v>
      </c>
      <c r="F1874" s="1248">
        <v>2</v>
      </c>
      <c r="G1874" s="1248">
        <v>2</v>
      </c>
      <c r="H1874" s="1249">
        <v>1</v>
      </c>
      <c r="I1874" s="1246" t="s">
        <v>1491</v>
      </c>
      <c r="J1874" s="1246" t="s">
        <v>1458</v>
      </c>
      <c r="K1874" s="1284" t="str">
        <f t="shared" si="29"/>
        <v>36</v>
      </c>
      <c r="L1874" s="1246" t="s">
        <v>1507</v>
      </c>
      <c r="M1874" s="1250">
        <v>1</v>
      </c>
      <c r="N1874" s="1251">
        <v>14</v>
      </c>
      <c r="O1874" s="1252">
        <v>7</v>
      </c>
    </row>
    <row r="1875" spans="1:15">
      <c r="A1875" s="1246" t="s">
        <v>1490</v>
      </c>
      <c r="B1875" s="1246" t="s">
        <v>434</v>
      </c>
      <c r="C1875" s="1247">
        <v>0.45</v>
      </c>
      <c r="F1875" s="1248">
        <v>2</v>
      </c>
      <c r="G1875" s="1248">
        <v>2</v>
      </c>
      <c r="H1875" s="1249">
        <v>1</v>
      </c>
      <c r="I1875" s="1246" t="s">
        <v>1491</v>
      </c>
      <c r="J1875" s="1246" t="s">
        <v>1458</v>
      </c>
      <c r="K1875" s="1284" t="str">
        <f t="shared" si="29"/>
        <v>36</v>
      </c>
      <c r="L1875" s="1246" t="s">
        <v>1507</v>
      </c>
      <c r="M1875" s="1250">
        <v>1</v>
      </c>
      <c r="N1875" s="1251">
        <v>32</v>
      </c>
      <c r="O1875" s="1252">
        <v>16</v>
      </c>
    </row>
    <row r="1876" spans="1:15">
      <c r="A1876" s="1246" t="s">
        <v>1490</v>
      </c>
      <c r="B1876" s="1246" t="s">
        <v>434</v>
      </c>
      <c r="C1876" s="1247">
        <v>0.45</v>
      </c>
      <c r="F1876" s="1248">
        <v>2</v>
      </c>
      <c r="G1876" s="1248">
        <v>2</v>
      </c>
      <c r="H1876" s="1249">
        <v>1</v>
      </c>
      <c r="I1876" s="1246" t="s">
        <v>1491</v>
      </c>
      <c r="J1876" s="1246" t="s">
        <v>1399</v>
      </c>
      <c r="K1876" s="1284" t="str">
        <f t="shared" si="29"/>
        <v>30</v>
      </c>
      <c r="L1876" s="1246" t="s">
        <v>1508</v>
      </c>
      <c r="M1876" s="1250">
        <v>1</v>
      </c>
      <c r="N1876" s="1251">
        <v>26</v>
      </c>
      <c r="O1876" s="1252">
        <v>13</v>
      </c>
    </row>
    <row r="1877" spans="1:15">
      <c r="A1877" s="1246" t="s">
        <v>1490</v>
      </c>
      <c r="B1877" s="1246" t="s">
        <v>434</v>
      </c>
      <c r="C1877" s="1247">
        <v>0.45</v>
      </c>
      <c r="E1877" s="1246" t="s">
        <v>370</v>
      </c>
      <c r="F1877" s="1248">
        <v>2</v>
      </c>
      <c r="G1877" s="1248">
        <v>2</v>
      </c>
      <c r="H1877" s="1249">
        <v>1</v>
      </c>
      <c r="I1877" s="1246" t="s">
        <v>1491</v>
      </c>
      <c r="J1877" s="1246" t="s">
        <v>1399</v>
      </c>
      <c r="K1877" s="1284" t="str">
        <f t="shared" si="29"/>
        <v>30</v>
      </c>
      <c r="L1877" s="1246" t="s">
        <v>1508</v>
      </c>
      <c r="M1877" s="1250">
        <v>1</v>
      </c>
      <c r="N1877" s="1251">
        <v>4</v>
      </c>
      <c r="O1877" s="1252">
        <v>2</v>
      </c>
    </row>
    <row r="1878" spans="1:15">
      <c r="A1878" s="1246" t="s">
        <v>1490</v>
      </c>
      <c r="B1878" s="1246" t="s">
        <v>434</v>
      </c>
      <c r="C1878" s="1247">
        <v>0.45</v>
      </c>
      <c r="F1878" s="1248">
        <v>2</v>
      </c>
      <c r="G1878" s="1248">
        <v>2</v>
      </c>
      <c r="H1878" s="1249">
        <v>1</v>
      </c>
      <c r="I1878" s="1246" t="s">
        <v>1491</v>
      </c>
      <c r="J1878" s="1246" t="s">
        <v>1399</v>
      </c>
      <c r="K1878" s="1284" t="str">
        <f t="shared" si="29"/>
        <v>30</v>
      </c>
      <c r="L1878" s="1246" t="s">
        <v>1509</v>
      </c>
      <c r="M1878" s="1250">
        <v>1</v>
      </c>
      <c r="N1878" s="1251">
        <v>10</v>
      </c>
      <c r="O1878" s="1252">
        <v>5</v>
      </c>
    </row>
    <row r="1879" spans="1:15">
      <c r="A1879" s="1246" t="s">
        <v>1490</v>
      </c>
      <c r="B1879" s="1246" t="s">
        <v>434</v>
      </c>
      <c r="C1879" s="1247">
        <v>0.45</v>
      </c>
      <c r="F1879" s="1248">
        <v>2</v>
      </c>
      <c r="G1879" s="1248">
        <v>2</v>
      </c>
      <c r="H1879" s="1249">
        <v>1</v>
      </c>
      <c r="I1879" s="1246" t="s">
        <v>1491</v>
      </c>
      <c r="J1879" s="1246" t="s">
        <v>1457</v>
      </c>
      <c r="K1879" s="1284" t="str">
        <f t="shared" si="29"/>
        <v>35</v>
      </c>
      <c r="L1879" s="1246" t="s">
        <v>1501</v>
      </c>
      <c r="M1879" s="1250">
        <v>1</v>
      </c>
      <c r="N1879" s="1251">
        <v>10</v>
      </c>
      <c r="O1879" s="1252">
        <v>5</v>
      </c>
    </row>
    <row r="1880" spans="1:15">
      <c r="A1880" s="1246" t="s">
        <v>1490</v>
      </c>
      <c r="B1880" s="1246" t="s">
        <v>434</v>
      </c>
      <c r="C1880" s="1247">
        <v>0.45</v>
      </c>
      <c r="F1880" s="1248">
        <v>2</v>
      </c>
      <c r="G1880" s="1248">
        <v>2</v>
      </c>
      <c r="H1880" s="1249">
        <v>1</v>
      </c>
      <c r="I1880" s="1246" t="s">
        <v>1491</v>
      </c>
      <c r="J1880" s="1246" t="s">
        <v>1399</v>
      </c>
      <c r="K1880" s="1284" t="str">
        <f t="shared" si="29"/>
        <v>30</v>
      </c>
      <c r="L1880" s="1246" t="s">
        <v>1510</v>
      </c>
      <c r="M1880" s="1250">
        <v>1</v>
      </c>
      <c r="N1880" s="1251">
        <v>46</v>
      </c>
      <c r="O1880" s="1252">
        <v>23</v>
      </c>
    </row>
    <row r="1881" spans="1:15">
      <c r="A1881" s="1246" t="s">
        <v>1490</v>
      </c>
      <c r="B1881" s="1246" t="s">
        <v>434</v>
      </c>
      <c r="C1881" s="1247">
        <v>0.45</v>
      </c>
      <c r="E1881" s="1246" t="s">
        <v>370</v>
      </c>
      <c r="F1881" s="1248">
        <v>2</v>
      </c>
      <c r="G1881" s="1248">
        <v>2</v>
      </c>
      <c r="H1881" s="1249">
        <v>1</v>
      </c>
      <c r="I1881" s="1246" t="s">
        <v>1491</v>
      </c>
      <c r="J1881" s="1246" t="s">
        <v>1399</v>
      </c>
      <c r="K1881" s="1284" t="str">
        <f t="shared" si="29"/>
        <v>30</v>
      </c>
      <c r="L1881" s="1246" t="s">
        <v>1510</v>
      </c>
      <c r="M1881" s="1250">
        <v>1</v>
      </c>
      <c r="N1881" s="1251">
        <v>18</v>
      </c>
      <c r="O1881" s="1252">
        <v>9</v>
      </c>
    </row>
    <row r="1882" spans="1:15">
      <c r="A1882" s="1246" t="s">
        <v>1490</v>
      </c>
      <c r="B1882" s="1246" t="s">
        <v>434</v>
      </c>
      <c r="C1882" s="1247">
        <v>0.45</v>
      </c>
      <c r="F1882" s="1248">
        <v>2</v>
      </c>
      <c r="G1882" s="1248">
        <v>2</v>
      </c>
      <c r="H1882" s="1249">
        <v>1</v>
      </c>
      <c r="I1882" s="1246" t="s">
        <v>1491</v>
      </c>
      <c r="J1882" s="1246" t="s">
        <v>1399</v>
      </c>
      <c r="K1882" s="1284" t="str">
        <f t="shared" si="29"/>
        <v>30</v>
      </c>
      <c r="L1882" s="1246" t="s">
        <v>1511</v>
      </c>
      <c r="M1882" s="1250">
        <v>2</v>
      </c>
      <c r="N1882" s="1251">
        <v>8</v>
      </c>
      <c r="O1882" s="1252">
        <v>4</v>
      </c>
    </row>
    <row r="1883" spans="1:15">
      <c r="A1883" s="1246" t="s">
        <v>1490</v>
      </c>
      <c r="B1883" s="1246" t="s">
        <v>434</v>
      </c>
      <c r="C1883" s="1247">
        <v>0.45</v>
      </c>
      <c r="E1883" s="1246" t="s">
        <v>370</v>
      </c>
      <c r="F1883" s="1248">
        <v>2</v>
      </c>
      <c r="G1883" s="1248">
        <v>2</v>
      </c>
      <c r="H1883" s="1249">
        <v>1</v>
      </c>
      <c r="I1883" s="1246" t="s">
        <v>1491</v>
      </c>
      <c r="J1883" s="1246" t="s">
        <v>1399</v>
      </c>
      <c r="K1883" s="1284" t="str">
        <f t="shared" si="29"/>
        <v>30</v>
      </c>
      <c r="L1883" s="1246" t="s">
        <v>1511</v>
      </c>
      <c r="M1883" s="1250">
        <v>2</v>
      </c>
      <c r="N1883" s="1251">
        <v>4</v>
      </c>
      <c r="O1883" s="1252">
        <v>2</v>
      </c>
    </row>
    <row r="1884" spans="1:15">
      <c r="A1884" s="1246" t="s">
        <v>1490</v>
      </c>
      <c r="B1884" s="1246" t="s">
        <v>434</v>
      </c>
      <c r="C1884" s="1247">
        <v>0.45</v>
      </c>
      <c r="F1884" s="1248">
        <v>2</v>
      </c>
      <c r="G1884" s="1248">
        <v>2</v>
      </c>
      <c r="H1884" s="1249">
        <v>1</v>
      </c>
      <c r="I1884" s="1246" t="s">
        <v>1491</v>
      </c>
      <c r="J1884" s="1246" t="s">
        <v>1455</v>
      </c>
      <c r="K1884" s="1284" t="str">
        <f t="shared" si="29"/>
        <v>32</v>
      </c>
      <c r="L1884" s="1246" t="s">
        <v>1513</v>
      </c>
      <c r="M1884" s="1250">
        <v>2</v>
      </c>
      <c r="N1884" s="1251">
        <v>42</v>
      </c>
      <c r="O1884" s="1252">
        <v>21</v>
      </c>
    </row>
    <row r="1885" spans="1:15">
      <c r="A1885" s="1246" t="s">
        <v>1490</v>
      </c>
      <c r="B1885" s="1246" t="s">
        <v>434</v>
      </c>
      <c r="C1885" s="1247">
        <v>0.45</v>
      </c>
      <c r="E1885" s="1246" t="s">
        <v>370</v>
      </c>
      <c r="F1885" s="1248">
        <v>2</v>
      </c>
      <c r="G1885" s="1248">
        <v>2</v>
      </c>
      <c r="H1885" s="1249">
        <v>1</v>
      </c>
      <c r="I1885" s="1246" t="s">
        <v>1491</v>
      </c>
      <c r="J1885" s="1246" t="s">
        <v>1455</v>
      </c>
      <c r="K1885" s="1284" t="str">
        <f t="shared" si="29"/>
        <v>32</v>
      </c>
      <c r="L1885" s="1246" t="s">
        <v>1513</v>
      </c>
      <c r="M1885" s="1250">
        <v>2</v>
      </c>
      <c r="N1885" s="1251">
        <v>14</v>
      </c>
      <c r="O1885" s="1252">
        <v>7</v>
      </c>
    </row>
    <row r="1886" spans="1:15">
      <c r="A1886" s="1246" t="s">
        <v>1490</v>
      </c>
      <c r="B1886" s="1246" t="s">
        <v>434</v>
      </c>
      <c r="C1886" s="1247">
        <v>0.45</v>
      </c>
      <c r="F1886" s="1248">
        <v>2</v>
      </c>
      <c r="G1886" s="1248">
        <v>2</v>
      </c>
      <c r="H1886" s="1249">
        <v>1</v>
      </c>
      <c r="I1886" s="1246" t="s">
        <v>1491</v>
      </c>
      <c r="J1886" s="1246" t="s">
        <v>1454</v>
      </c>
      <c r="K1886" s="1284" t="str">
        <f t="shared" si="29"/>
        <v>31</v>
      </c>
      <c r="L1886" s="1246" t="s">
        <v>1500</v>
      </c>
      <c r="M1886" s="1250">
        <v>2</v>
      </c>
      <c r="N1886" s="1251">
        <v>114</v>
      </c>
      <c r="O1886" s="1252">
        <v>57</v>
      </c>
    </row>
    <row r="1887" spans="1:15">
      <c r="A1887" s="1246" t="s">
        <v>1490</v>
      </c>
      <c r="B1887" s="1246" t="s">
        <v>434</v>
      </c>
      <c r="C1887" s="1247">
        <v>0.45</v>
      </c>
      <c r="E1887" s="1246" t="s">
        <v>370</v>
      </c>
      <c r="F1887" s="1248">
        <v>2</v>
      </c>
      <c r="G1887" s="1248">
        <v>2</v>
      </c>
      <c r="H1887" s="1249">
        <v>1</v>
      </c>
      <c r="I1887" s="1246" t="s">
        <v>1491</v>
      </c>
      <c r="J1887" s="1246" t="s">
        <v>1454</v>
      </c>
      <c r="K1887" s="1284" t="str">
        <f t="shared" si="29"/>
        <v>31</v>
      </c>
      <c r="L1887" s="1246" t="s">
        <v>1500</v>
      </c>
      <c r="M1887" s="1250">
        <v>2</v>
      </c>
      <c r="N1887" s="1251">
        <v>34</v>
      </c>
      <c r="O1887" s="1252">
        <v>17</v>
      </c>
    </row>
    <row r="1888" spans="1:15">
      <c r="A1888" s="1246" t="s">
        <v>1490</v>
      </c>
      <c r="B1888" s="1246" t="s">
        <v>434</v>
      </c>
      <c r="C1888" s="1247">
        <v>0.45</v>
      </c>
      <c r="E1888" s="1246" t="s">
        <v>370</v>
      </c>
      <c r="F1888" s="1248">
        <v>2</v>
      </c>
      <c r="G1888" s="1248">
        <v>2</v>
      </c>
      <c r="H1888" s="1249">
        <v>1</v>
      </c>
      <c r="I1888" s="1246" t="s">
        <v>1491</v>
      </c>
      <c r="J1888" s="1246" t="s">
        <v>1458</v>
      </c>
      <c r="K1888" s="1284" t="str">
        <f t="shared" si="29"/>
        <v>36</v>
      </c>
      <c r="L1888" s="1246" t="s">
        <v>1514</v>
      </c>
      <c r="M1888" s="1250">
        <v>2</v>
      </c>
      <c r="N1888" s="1251">
        <v>6</v>
      </c>
      <c r="O1888" s="1252">
        <v>3</v>
      </c>
    </row>
    <row r="1889" spans="1:15">
      <c r="A1889" s="1246" t="s">
        <v>1490</v>
      </c>
      <c r="B1889" s="1246" t="s">
        <v>434</v>
      </c>
      <c r="C1889" s="1247">
        <v>0.45</v>
      </c>
      <c r="F1889" s="1248">
        <v>2</v>
      </c>
      <c r="G1889" s="1248">
        <v>2</v>
      </c>
      <c r="H1889" s="1249">
        <v>1</v>
      </c>
      <c r="I1889" s="1246" t="s">
        <v>1491</v>
      </c>
      <c r="J1889" s="1246" t="s">
        <v>1458</v>
      </c>
      <c r="K1889" s="1284" t="str">
        <f t="shared" si="29"/>
        <v>36</v>
      </c>
      <c r="L1889" s="1246" t="s">
        <v>1514</v>
      </c>
      <c r="M1889" s="1250">
        <v>2</v>
      </c>
      <c r="N1889" s="1251">
        <v>40</v>
      </c>
      <c r="O1889" s="1252">
        <v>20</v>
      </c>
    </row>
    <row r="1890" spans="1:15">
      <c r="A1890" s="1246" t="s">
        <v>1490</v>
      </c>
      <c r="B1890" s="1246" t="s">
        <v>434</v>
      </c>
      <c r="C1890" s="1247">
        <v>0.45</v>
      </c>
      <c r="F1890" s="1248">
        <v>2</v>
      </c>
      <c r="G1890" s="1248">
        <v>2</v>
      </c>
      <c r="H1890" s="1249">
        <v>1</v>
      </c>
      <c r="I1890" s="1246" t="s">
        <v>1491</v>
      </c>
      <c r="J1890" s="1246" t="s">
        <v>1399</v>
      </c>
      <c r="K1890" s="1284" t="str">
        <f t="shared" si="29"/>
        <v>30</v>
      </c>
      <c r="L1890" s="1246" t="s">
        <v>1515</v>
      </c>
      <c r="M1890" s="1250">
        <v>2</v>
      </c>
      <c r="N1890" s="1251">
        <v>28</v>
      </c>
      <c r="O1890" s="1252">
        <v>14</v>
      </c>
    </row>
    <row r="1891" spans="1:15">
      <c r="A1891" s="1246" t="s">
        <v>1490</v>
      </c>
      <c r="B1891" s="1246" t="s">
        <v>434</v>
      </c>
      <c r="C1891" s="1247">
        <v>0.45</v>
      </c>
      <c r="E1891" s="1246" t="s">
        <v>370</v>
      </c>
      <c r="F1891" s="1248">
        <v>2</v>
      </c>
      <c r="G1891" s="1248">
        <v>2</v>
      </c>
      <c r="H1891" s="1249">
        <v>1</v>
      </c>
      <c r="I1891" s="1246" t="s">
        <v>1491</v>
      </c>
      <c r="J1891" s="1246" t="s">
        <v>1399</v>
      </c>
      <c r="K1891" s="1284" t="str">
        <f t="shared" si="29"/>
        <v>30</v>
      </c>
      <c r="L1891" s="1246" t="s">
        <v>1515</v>
      </c>
      <c r="M1891" s="1250">
        <v>2</v>
      </c>
      <c r="N1891" s="1251">
        <v>6</v>
      </c>
      <c r="O1891" s="1252">
        <v>3</v>
      </c>
    </row>
    <row r="1892" spans="1:15">
      <c r="A1892" s="1246" t="s">
        <v>1490</v>
      </c>
      <c r="B1892" s="1246" t="s">
        <v>434</v>
      </c>
      <c r="C1892" s="1247">
        <v>0.45</v>
      </c>
      <c r="E1892" s="1246" t="s">
        <v>370</v>
      </c>
      <c r="F1892" s="1248">
        <v>2</v>
      </c>
      <c r="G1892" s="1248">
        <v>2</v>
      </c>
      <c r="H1892" s="1249">
        <v>1</v>
      </c>
      <c r="I1892" s="1246" t="s">
        <v>1491</v>
      </c>
      <c r="J1892" s="1246" t="s">
        <v>1399</v>
      </c>
      <c r="K1892" s="1284" t="str">
        <f t="shared" si="29"/>
        <v>30</v>
      </c>
      <c r="L1892" s="1246" t="s">
        <v>1516</v>
      </c>
      <c r="M1892" s="1250">
        <v>2</v>
      </c>
      <c r="N1892" s="1251">
        <v>2</v>
      </c>
      <c r="O1892" s="1252">
        <v>1</v>
      </c>
    </row>
    <row r="1893" spans="1:15">
      <c r="A1893" s="1246" t="s">
        <v>1490</v>
      </c>
      <c r="B1893" s="1246" t="s">
        <v>434</v>
      </c>
      <c r="C1893" s="1247">
        <v>0.45</v>
      </c>
      <c r="F1893" s="1248">
        <v>2</v>
      </c>
      <c r="G1893" s="1248">
        <v>2</v>
      </c>
      <c r="H1893" s="1249">
        <v>1</v>
      </c>
      <c r="I1893" s="1246" t="s">
        <v>1491</v>
      </c>
      <c r="J1893" s="1246" t="s">
        <v>1399</v>
      </c>
      <c r="K1893" s="1284" t="str">
        <f t="shared" si="29"/>
        <v>30</v>
      </c>
      <c r="L1893" s="1246" t="s">
        <v>1516</v>
      </c>
      <c r="M1893" s="1250">
        <v>2</v>
      </c>
      <c r="N1893" s="1251">
        <v>10</v>
      </c>
      <c r="O1893" s="1252">
        <v>5</v>
      </c>
    </row>
    <row r="1894" spans="1:15">
      <c r="A1894" s="1246" t="s">
        <v>1490</v>
      </c>
      <c r="B1894" s="1246" t="s">
        <v>434</v>
      </c>
      <c r="C1894" s="1247">
        <v>0.45</v>
      </c>
      <c r="F1894" s="1248">
        <v>2</v>
      </c>
      <c r="G1894" s="1248">
        <v>2</v>
      </c>
      <c r="H1894" s="1249">
        <v>1</v>
      </c>
      <c r="I1894" s="1246" t="s">
        <v>1491</v>
      </c>
      <c r="J1894" s="1246" t="s">
        <v>1457</v>
      </c>
      <c r="K1894" s="1284" t="str">
        <f t="shared" si="29"/>
        <v>35</v>
      </c>
      <c r="L1894" s="1246" t="s">
        <v>1517</v>
      </c>
      <c r="M1894" s="1250">
        <v>2</v>
      </c>
      <c r="N1894" s="1251">
        <v>22</v>
      </c>
      <c r="O1894" s="1252">
        <v>11</v>
      </c>
    </row>
    <row r="1895" spans="1:15">
      <c r="A1895" s="1246" t="s">
        <v>1490</v>
      </c>
      <c r="B1895" s="1246" t="s">
        <v>434</v>
      </c>
      <c r="C1895" s="1247">
        <v>0.45</v>
      </c>
      <c r="F1895" s="1248">
        <v>2</v>
      </c>
      <c r="G1895" s="1248">
        <v>2</v>
      </c>
      <c r="H1895" s="1249">
        <v>1</v>
      </c>
      <c r="I1895" s="1246" t="s">
        <v>1491</v>
      </c>
      <c r="J1895" s="1246" t="s">
        <v>1399</v>
      </c>
      <c r="K1895" s="1284" t="str">
        <f t="shared" si="29"/>
        <v>30</v>
      </c>
      <c r="L1895" s="1246" t="s">
        <v>1518</v>
      </c>
      <c r="M1895" s="1250">
        <v>2</v>
      </c>
      <c r="N1895" s="1251">
        <v>60</v>
      </c>
      <c r="O1895" s="1252">
        <v>30</v>
      </c>
    </row>
    <row r="1896" spans="1:15">
      <c r="A1896" s="1246" t="s">
        <v>1490</v>
      </c>
      <c r="B1896" s="1246" t="s">
        <v>434</v>
      </c>
      <c r="C1896" s="1247">
        <v>0.45</v>
      </c>
      <c r="E1896" s="1246" t="s">
        <v>370</v>
      </c>
      <c r="F1896" s="1248">
        <v>2</v>
      </c>
      <c r="G1896" s="1248">
        <v>2</v>
      </c>
      <c r="H1896" s="1249">
        <v>1</v>
      </c>
      <c r="I1896" s="1246" t="s">
        <v>1491</v>
      </c>
      <c r="J1896" s="1246" t="s">
        <v>1399</v>
      </c>
      <c r="K1896" s="1284" t="str">
        <f t="shared" si="29"/>
        <v>30</v>
      </c>
      <c r="L1896" s="1246" t="s">
        <v>1518</v>
      </c>
      <c r="M1896" s="1250">
        <v>2</v>
      </c>
      <c r="N1896" s="1251">
        <v>30</v>
      </c>
      <c r="O1896" s="1252">
        <v>15</v>
      </c>
    </row>
    <row r="1897" spans="1:15">
      <c r="A1897" s="1246" t="s">
        <v>1490</v>
      </c>
      <c r="B1897" s="1246" t="s">
        <v>434</v>
      </c>
      <c r="C1897" s="1247">
        <v>0.45</v>
      </c>
      <c r="F1897" s="1248">
        <v>2</v>
      </c>
      <c r="G1897" s="1248">
        <v>2</v>
      </c>
      <c r="H1897" s="1249">
        <v>1</v>
      </c>
      <c r="I1897" s="1246" t="s">
        <v>1491</v>
      </c>
      <c r="J1897" s="1246" t="s">
        <v>1456</v>
      </c>
      <c r="K1897" s="1284" t="str">
        <f t="shared" si="29"/>
        <v>33</v>
      </c>
      <c r="L1897" s="1246" t="s">
        <v>1519</v>
      </c>
      <c r="M1897" s="1250">
        <v>2</v>
      </c>
      <c r="N1897" s="1251">
        <v>726</v>
      </c>
      <c r="O1897" s="1252">
        <v>363</v>
      </c>
    </row>
    <row r="1898" spans="1:15">
      <c r="A1898" s="1246" t="s">
        <v>1490</v>
      </c>
      <c r="B1898" s="1246" t="s">
        <v>434</v>
      </c>
      <c r="C1898" s="1247">
        <v>0.45</v>
      </c>
      <c r="E1898" s="1246" t="s">
        <v>370</v>
      </c>
      <c r="F1898" s="1248">
        <v>2</v>
      </c>
      <c r="G1898" s="1248">
        <v>2</v>
      </c>
      <c r="H1898" s="1249">
        <v>1</v>
      </c>
      <c r="I1898" s="1246" t="s">
        <v>1491</v>
      </c>
      <c r="J1898" s="1246" t="s">
        <v>1456</v>
      </c>
      <c r="K1898" s="1284" t="str">
        <f t="shared" si="29"/>
        <v>33</v>
      </c>
      <c r="L1898" s="1246" t="s">
        <v>1519</v>
      </c>
      <c r="M1898" s="1250">
        <v>2</v>
      </c>
      <c r="N1898" s="1251">
        <v>194</v>
      </c>
      <c r="O1898" s="1252">
        <v>97</v>
      </c>
    </row>
    <row r="1899" spans="1:15">
      <c r="A1899" s="1246" t="s">
        <v>1490</v>
      </c>
      <c r="B1899" s="1246" t="s">
        <v>434</v>
      </c>
      <c r="C1899" s="1247">
        <v>0.45</v>
      </c>
      <c r="F1899" s="1248">
        <v>2</v>
      </c>
      <c r="G1899" s="1248">
        <v>2</v>
      </c>
      <c r="H1899" s="1249">
        <v>1</v>
      </c>
      <c r="I1899" s="1246" t="s">
        <v>1491</v>
      </c>
      <c r="J1899" s="1246" t="s">
        <v>1399</v>
      </c>
      <c r="K1899" s="1284" t="str">
        <f t="shared" si="29"/>
        <v>30</v>
      </c>
      <c r="L1899" s="1246" t="s">
        <v>1520</v>
      </c>
      <c r="M1899" s="1250">
        <v>3</v>
      </c>
      <c r="N1899" s="1251">
        <v>18</v>
      </c>
      <c r="O1899" s="1252">
        <v>9</v>
      </c>
    </row>
    <row r="1900" spans="1:15">
      <c r="A1900" s="1246" t="s">
        <v>1490</v>
      </c>
      <c r="B1900" s="1246" t="s">
        <v>434</v>
      </c>
      <c r="C1900" s="1247">
        <v>0.45</v>
      </c>
      <c r="E1900" s="1246" t="s">
        <v>370</v>
      </c>
      <c r="F1900" s="1248">
        <v>2</v>
      </c>
      <c r="G1900" s="1248">
        <v>2</v>
      </c>
      <c r="H1900" s="1249">
        <v>1</v>
      </c>
      <c r="I1900" s="1246" t="s">
        <v>1491</v>
      </c>
      <c r="J1900" s="1246" t="s">
        <v>1399</v>
      </c>
      <c r="K1900" s="1284" t="str">
        <f t="shared" si="29"/>
        <v>30</v>
      </c>
      <c r="L1900" s="1246" t="s">
        <v>1520</v>
      </c>
      <c r="M1900" s="1250">
        <v>3</v>
      </c>
      <c r="N1900" s="1251">
        <v>4</v>
      </c>
      <c r="O1900" s="1252">
        <v>2</v>
      </c>
    </row>
    <row r="1901" spans="1:15">
      <c r="A1901" s="1246" t="s">
        <v>1490</v>
      </c>
      <c r="B1901" s="1246" t="s">
        <v>434</v>
      </c>
      <c r="C1901" s="1247">
        <v>0.45</v>
      </c>
      <c r="F1901" s="1248">
        <v>2</v>
      </c>
      <c r="G1901" s="1248">
        <v>2</v>
      </c>
      <c r="H1901" s="1249">
        <v>1</v>
      </c>
      <c r="I1901" s="1246" t="s">
        <v>1491</v>
      </c>
      <c r="J1901" s="1246" t="s">
        <v>1399</v>
      </c>
      <c r="K1901" s="1284" t="str">
        <f t="shared" si="29"/>
        <v>30</v>
      </c>
      <c r="L1901" s="1246" t="s">
        <v>1521</v>
      </c>
      <c r="M1901" s="1250">
        <v>3</v>
      </c>
      <c r="N1901" s="1251">
        <v>2</v>
      </c>
      <c r="O1901" s="1252">
        <v>1</v>
      </c>
    </row>
    <row r="1902" spans="1:15">
      <c r="A1902" s="1246" t="s">
        <v>1490</v>
      </c>
      <c r="B1902" s="1246" t="s">
        <v>434</v>
      </c>
      <c r="C1902" s="1247">
        <v>0.45</v>
      </c>
      <c r="E1902" s="1246" t="s">
        <v>370</v>
      </c>
      <c r="F1902" s="1248">
        <v>2</v>
      </c>
      <c r="G1902" s="1248">
        <v>2</v>
      </c>
      <c r="H1902" s="1249">
        <v>1</v>
      </c>
      <c r="I1902" s="1246" t="s">
        <v>1491</v>
      </c>
      <c r="J1902" s="1246" t="s">
        <v>1455</v>
      </c>
      <c r="K1902" s="1284" t="str">
        <f t="shared" si="29"/>
        <v>32</v>
      </c>
      <c r="L1902" s="1246" t="s">
        <v>1522</v>
      </c>
      <c r="M1902" s="1250">
        <v>3</v>
      </c>
      <c r="N1902" s="1251">
        <v>20</v>
      </c>
      <c r="O1902" s="1252">
        <v>10</v>
      </c>
    </row>
    <row r="1903" spans="1:15">
      <c r="A1903" s="1246" t="s">
        <v>1490</v>
      </c>
      <c r="B1903" s="1246" t="s">
        <v>434</v>
      </c>
      <c r="C1903" s="1247">
        <v>0.45</v>
      </c>
      <c r="F1903" s="1248">
        <v>2</v>
      </c>
      <c r="G1903" s="1248">
        <v>2</v>
      </c>
      <c r="H1903" s="1249">
        <v>1</v>
      </c>
      <c r="I1903" s="1246" t="s">
        <v>1491</v>
      </c>
      <c r="J1903" s="1246" t="s">
        <v>1455</v>
      </c>
      <c r="K1903" s="1284" t="str">
        <f t="shared" si="29"/>
        <v>32</v>
      </c>
      <c r="L1903" s="1246" t="s">
        <v>1522</v>
      </c>
      <c r="M1903" s="1250">
        <v>3</v>
      </c>
      <c r="N1903" s="1251">
        <v>38</v>
      </c>
      <c r="O1903" s="1252">
        <v>19</v>
      </c>
    </row>
    <row r="1904" spans="1:15">
      <c r="A1904" s="1246" t="s">
        <v>1490</v>
      </c>
      <c r="B1904" s="1246" t="s">
        <v>434</v>
      </c>
      <c r="C1904" s="1247">
        <v>0.45</v>
      </c>
      <c r="F1904" s="1248">
        <v>2</v>
      </c>
      <c r="G1904" s="1248">
        <v>2</v>
      </c>
      <c r="H1904" s="1249">
        <v>1</v>
      </c>
      <c r="I1904" s="1246" t="s">
        <v>1491</v>
      </c>
      <c r="J1904" s="1246" t="s">
        <v>1454</v>
      </c>
      <c r="K1904" s="1284" t="str">
        <f t="shared" si="29"/>
        <v>31</v>
      </c>
      <c r="L1904" s="1246" t="s">
        <v>1523</v>
      </c>
      <c r="M1904" s="1250">
        <v>3</v>
      </c>
      <c r="N1904" s="1251">
        <v>110</v>
      </c>
      <c r="O1904" s="1252">
        <v>55</v>
      </c>
    </row>
    <row r="1905" spans="1:15">
      <c r="A1905" s="1246" t="s">
        <v>1490</v>
      </c>
      <c r="B1905" s="1246" t="s">
        <v>434</v>
      </c>
      <c r="C1905" s="1247">
        <v>0.45</v>
      </c>
      <c r="E1905" s="1246" t="s">
        <v>370</v>
      </c>
      <c r="F1905" s="1248">
        <v>2</v>
      </c>
      <c r="G1905" s="1248">
        <v>2</v>
      </c>
      <c r="H1905" s="1249">
        <v>1</v>
      </c>
      <c r="I1905" s="1246" t="s">
        <v>1491</v>
      </c>
      <c r="J1905" s="1246" t="s">
        <v>1454</v>
      </c>
      <c r="K1905" s="1284" t="str">
        <f t="shared" si="29"/>
        <v>31</v>
      </c>
      <c r="L1905" s="1246" t="s">
        <v>1523</v>
      </c>
      <c r="M1905" s="1250">
        <v>3</v>
      </c>
      <c r="N1905" s="1251">
        <v>42</v>
      </c>
      <c r="O1905" s="1252">
        <v>21</v>
      </c>
    </row>
    <row r="1906" spans="1:15">
      <c r="A1906" s="1246" t="s">
        <v>1490</v>
      </c>
      <c r="B1906" s="1246" t="s">
        <v>434</v>
      </c>
      <c r="C1906" s="1247">
        <v>0.45</v>
      </c>
      <c r="F1906" s="1248">
        <v>2</v>
      </c>
      <c r="G1906" s="1248">
        <v>2</v>
      </c>
      <c r="H1906" s="1249">
        <v>1</v>
      </c>
      <c r="I1906" s="1246" t="s">
        <v>1491</v>
      </c>
      <c r="J1906" s="1246" t="s">
        <v>1458</v>
      </c>
      <c r="K1906" s="1284" t="str">
        <f t="shared" si="29"/>
        <v>36</v>
      </c>
      <c r="L1906" s="1246" t="s">
        <v>1524</v>
      </c>
      <c r="M1906" s="1250">
        <v>3</v>
      </c>
      <c r="N1906" s="1251">
        <v>26</v>
      </c>
      <c r="O1906" s="1252">
        <v>13</v>
      </c>
    </row>
    <row r="1907" spans="1:15">
      <c r="A1907" s="1246" t="s">
        <v>1490</v>
      </c>
      <c r="B1907" s="1246" t="s">
        <v>434</v>
      </c>
      <c r="C1907" s="1247">
        <v>0.45</v>
      </c>
      <c r="E1907" s="1246" t="s">
        <v>370</v>
      </c>
      <c r="F1907" s="1248">
        <v>2</v>
      </c>
      <c r="G1907" s="1248">
        <v>2</v>
      </c>
      <c r="H1907" s="1249">
        <v>1</v>
      </c>
      <c r="I1907" s="1246" t="s">
        <v>1491</v>
      </c>
      <c r="J1907" s="1246" t="s">
        <v>1458</v>
      </c>
      <c r="K1907" s="1284" t="str">
        <f t="shared" si="29"/>
        <v>36</v>
      </c>
      <c r="L1907" s="1246" t="s">
        <v>1524</v>
      </c>
      <c r="M1907" s="1250">
        <v>3</v>
      </c>
      <c r="N1907" s="1251">
        <v>8</v>
      </c>
      <c r="O1907" s="1252">
        <v>4</v>
      </c>
    </row>
    <row r="1908" spans="1:15">
      <c r="A1908" s="1246" t="s">
        <v>1490</v>
      </c>
      <c r="B1908" s="1246" t="s">
        <v>434</v>
      </c>
      <c r="C1908" s="1247">
        <v>0.45</v>
      </c>
      <c r="E1908" s="1246" t="s">
        <v>370</v>
      </c>
      <c r="F1908" s="1248">
        <v>2</v>
      </c>
      <c r="G1908" s="1248">
        <v>2</v>
      </c>
      <c r="H1908" s="1249">
        <v>1</v>
      </c>
      <c r="I1908" s="1246" t="s">
        <v>1491</v>
      </c>
      <c r="J1908" s="1246" t="s">
        <v>1399</v>
      </c>
      <c r="K1908" s="1284" t="str">
        <f t="shared" si="29"/>
        <v>30</v>
      </c>
      <c r="L1908" s="1246" t="s">
        <v>1525</v>
      </c>
      <c r="M1908" s="1250">
        <v>3</v>
      </c>
      <c r="N1908" s="1251">
        <v>4</v>
      </c>
      <c r="O1908" s="1252">
        <v>2</v>
      </c>
    </row>
    <row r="1909" spans="1:15">
      <c r="A1909" s="1246" t="s">
        <v>1490</v>
      </c>
      <c r="B1909" s="1246" t="s">
        <v>434</v>
      </c>
      <c r="C1909" s="1247">
        <v>0.45</v>
      </c>
      <c r="F1909" s="1248">
        <v>2</v>
      </c>
      <c r="G1909" s="1248">
        <v>2</v>
      </c>
      <c r="H1909" s="1249">
        <v>1</v>
      </c>
      <c r="I1909" s="1246" t="s">
        <v>1491</v>
      </c>
      <c r="J1909" s="1246" t="s">
        <v>1399</v>
      </c>
      <c r="K1909" s="1284" t="str">
        <f t="shared" si="29"/>
        <v>30</v>
      </c>
      <c r="L1909" s="1246" t="s">
        <v>1525</v>
      </c>
      <c r="M1909" s="1250">
        <v>3</v>
      </c>
      <c r="N1909" s="1251">
        <v>50</v>
      </c>
      <c r="O1909" s="1252">
        <v>25</v>
      </c>
    </row>
    <row r="1910" spans="1:15">
      <c r="A1910" s="1246" t="s">
        <v>1490</v>
      </c>
      <c r="B1910" s="1246" t="s">
        <v>434</v>
      </c>
      <c r="C1910" s="1247">
        <v>0.45</v>
      </c>
      <c r="F1910" s="1248">
        <v>2</v>
      </c>
      <c r="G1910" s="1248">
        <v>2</v>
      </c>
      <c r="H1910" s="1249">
        <v>1</v>
      </c>
      <c r="I1910" s="1246" t="s">
        <v>1491</v>
      </c>
      <c r="J1910" s="1246" t="s">
        <v>1399</v>
      </c>
      <c r="K1910" s="1284" t="str">
        <f t="shared" si="29"/>
        <v>30</v>
      </c>
      <c r="L1910" s="1246" t="s">
        <v>1526</v>
      </c>
      <c r="M1910" s="1250">
        <v>3</v>
      </c>
      <c r="N1910" s="1251">
        <v>2</v>
      </c>
      <c r="O1910" s="1252">
        <v>1</v>
      </c>
    </row>
    <row r="1911" spans="1:15">
      <c r="A1911" s="1246" t="s">
        <v>1490</v>
      </c>
      <c r="B1911" s="1246" t="s">
        <v>434</v>
      </c>
      <c r="C1911" s="1247">
        <v>0.45</v>
      </c>
      <c r="E1911" s="1246" t="s">
        <v>370</v>
      </c>
      <c r="F1911" s="1248">
        <v>2</v>
      </c>
      <c r="G1911" s="1248">
        <v>2</v>
      </c>
      <c r="H1911" s="1249">
        <v>1</v>
      </c>
      <c r="I1911" s="1246" t="s">
        <v>1491</v>
      </c>
      <c r="J1911" s="1246" t="s">
        <v>1399</v>
      </c>
      <c r="K1911" s="1284" t="str">
        <f t="shared" si="29"/>
        <v>30</v>
      </c>
      <c r="L1911" s="1246" t="s">
        <v>1526</v>
      </c>
      <c r="M1911" s="1250">
        <v>3</v>
      </c>
      <c r="N1911" s="1251">
        <v>4</v>
      </c>
      <c r="O1911" s="1252">
        <v>2</v>
      </c>
    </row>
    <row r="1912" spans="1:15">
      <c r="A1912" s="1246" t="s">
        <v>1490</v>
      </c>
      <c r="B1912" s="1246" t="s">
        <v>434</v>
      </c>
      <c r="C1912" s="1247">
        <v>0.45</v>
      </c>
      <c r="F1912" s="1248">
        <v>2</v>
      </c>
      <c r="G1912" s="1248">
        <v>2</v>
      </c>
      <c r="H1912" s="1249">
        <v>1</v>
      </c>
      <c r="I1912" s="1246" t="s">
        <v>1491</v>
      </c>
      <c r="J1912" s="1246" t="s">
        <v>1457</v>
      </c>
      <c r="K1912" s="1284" t="str">
        <f t="shared" si="29"/>
        <v>35</v>
      </c>
      <c r="L1912" s="1246" t="s">
        <v>1527</v>
      </c>
      <c r="M1912" s="1250">
        <v>3</v>
      </c>
      <c r="N1912" s="1251">
        <v>16</v>
      </c>
      <c r="O1912" s="1252">
        <v>8</v>
      </c>
    </row>
    <row r="1913" spans="1:15">
      <c r="A1913" s="1246" t="s">
        <v>1490</v>
      </c>
      <c r="B1913" s="1246" t="s">
        <v>434</v>
      </c>
      <c r="C1913" s="1247">
        <v>0.45</v>
      </c>
      <c r="F1913" s="1248">
        <v>2</v>
      </c>
      <c r="G1913" s="1248">
        <v>2</v>
      </c>
      <c r="H1913" s="1249">
        <v>1</v>
      </c>
      <c r="I1913" s="1246" t="s">
        <v>1491</v>
      </c>
      <c r="J1913" s="1246" t="s">
        <v>1459</v>
      </c>
      <c r="K1913" s="1284" t="str">
        <f t="shared" si="29"/>
        <v>3A</v>
      </c>
      <c r="L1913" s="1246" t="s">
        <v>1492</v>
      </c>
      <c r="M1913" s="1250">
        <v>3</v>
      </c>
      <c r="N1913" s="1251">
        <v>14</v>
      </c>
      <c r="O1913" s="1252">
        <v>7</v>
      </c>
    </row>
    <row r="1914" spans="1:15">
      <c r="A1914" s="1246" t="s">
        <v>1490</v>
      </c>
      <c r="B1914" s="1246" t="s">
        <v>434</v>
      </c>
      <c r="C1914" s="1247">
        <v>0.45</v>
      </c>
      <c r="F1914" s="1248">
        <v>2</v>
      </c>
      <c r="G1914" s="1248">
        <v>2</v>
      </c>
      <c r="H1914" s="1249">
        <v>1</v>
      </c>
      <c r="I1914" s="1246" t="s">
        <v>1491</v>
      </c>
      <c r="J1914" s="1246" t="s">
        <v>1399</v>
      </c>
      <c r="K1914" s="1284" t="str">
        <f t="shared" si="29"/>
        <v>30</v>
      </c>
      <c r="L1914" s="1246" t="s">
        <v>1528</v>
      </c>
      <c r="M1914" s="1250">
        <v>3</v>
      </c>
      <c r="N1914" s="1251">
        <v>62</v>
      </c>
      <c r="O1914" s="1252">
        <v>31</v>
      </c>
    </row>
    <row r="1915" spans="1:15">
      <c r="A1915" s="1246" t="s">
        <v>1490</v>
      </c>
      <c r="B1915" s="1246" t="s">
        <v>434</v>
      </c>
      <c r="C1915" s="1247">
        <v>0.45</v>
      </c>
      <c r="E1915" s="1246" t="s">
        <v>370</v>
      </c>
      <c r="F1915" s="1248">
        <v>2</v>
      </c>
      <c r="G1915" s="1248">
        <v>2</v>
      </c>
      <c r="H1915" s="1249">
        <v>1</v>
      </c>
      <c r="I1915" s="1246" t="s">
        <v>1491</v>
      </c>
      <c r="J1915" s="1246" t="s">
        <v>1399</v>
      </c>
      <c r="K1915" s="1284" t="str">
        <f t="shared" si="29"/>
        <v>30</v>
      </c>
      <c r="L1915" s="1246" t="s">
        <v>1528</v>
      </c>
      <c r="M1915" s="1250">
        <v>3</v>
      </c>
      <c r="N1915" s="1251">
        <v>28</v>
      </c>
      <c r="O1915" s="1252">
        <v>14</v>
      </c>
    </row>
    <row r="1916" spans="1:15">
      <c r="A1916" s="1246" t="s">
        <v>1493</v>
      </c>
      <c r="B1916" s="1246" t="s">
        <v>434</v>
      </c>
      <c r="C1916" s="1247">
        <v>0.45</v>
      </c>
      <c r="E1916" s="1246" t="s">
        <v>1494</v>
      </c>
      <c r="F1916" s="1248">
        <v>2</v>
      </c>
      <c r="G1916" s="1248">
        <v>2</v>
      </c>
      <c r="H1916" s="1249">
        <v>1</v>
      </c>
      <c r="I1916" s="1246" t="s">
        <v>1491</v>
      </c>
      <c r="J1916" s="1246" t="s">
        <v>1463</v>
      </c>
      <c r="K1916" s="1284" t="str">
        <f t="shared" si="29"/>
        <v>72</v>
      </c>
      <c r="L1916" s="1246" t="s">
        <v>1529</v>
      </c>
      <c r="M1916" s="1250">
        <v>9</v>
      </c>
      <c r="N1916" s="1251">
        <v>4</v>
      </c>
      <c r="O1916" s="1252">
        <v>2</v>
      </c>
    </row>
    <row r="1917" spans="1:15">
      <c r="A1917" s="1246" t="s">
        <v>683</v>
      </c>
      <c r="B1917" s="1246" t="s">
        <v>434</v>
      </c>
      <c r="C1917" s="1247">
        <v>0.45</v>
      </c>
      <c r="E1917" s="1246" t="s">
        <v>1494</v>
      </c>
      <c r="F1917" s="1248">
        <v>2</v>
      </c>
      <c r="G1917" s="1248">
        <v>2</v>
      </c>
      <c r="H1917" s="1249">
        <v>1</v>
      </c>
      <c r="I1917" s="1246" t="s">
        <v>1491</v>
      </c>
      <c r="J1917" s="1246" t="s">
        <v>1462</v>
      </c>
      <c r="K1917" s="1284" t="str">
        <f t="shared" si="29"/>
        <v>71</v>
      </c>
      <c r="L1917" s="1246" t="s">
        <v>1495</v>
      </c>
      <c r="M1917" s="1250">
        <v>9</v>
      </c>
      <c r="N1917" s="1251">
        <v>8</v>
      </c>
      <c r="O1917" s="1252">
        <v>4</v>
      </c>
    </row>
    <row r="1918" spans="1:15">
      <c r="A1918" s="1246" t="s">
        <v>1493</v>
      </c>
      <c r="B1918" s="1246" t="s">
        <v>434</v>
      </c>
      <c r="C1918" s="1247">
        <v>0.45</v>
      </c>
      <c r="E1918" s="1246" t="s">
        <v>370</v>
      </c>
      <c r="F1918" s="1248">
        <v>2</v>
      </c>
      <c r="G1918" s="1248">
        <v>2</v>
      </c>
      <c r="H1918" s="1249">
        <v>1</v>
      </c>
      <c r="I1918" s="1246" t="s">
        <v>1491</v>
      </c>
      <c r="J1918" s="1246" t="s">
        <v>1462</v>
      </c>
      <c r="K1918" s="1284" t="str">
        <f t="shared" si="29"/>
        <v>71</v>
      </c>
      <c r="L1918" s="1246" t="s">
        <v>1495</v>
      </c>
      <c r="M1918" s="1250">
        <v>9</v>
      </c>
      <c r="N1918" s="1251">
        <v>20</v>
      </c>
      <c r="O1918" s="1252">
        <v>10</v>
      </c>
    </row>
    <row r="1919" spans="1:15">
      <c r="A1919" s="1246" t="s">
        <v>1493</v>
      </c>
      <c r="B1919" s="1246" t="s">
        <v>434</v>
      </c>
      <c r="C1919" s="1247">
        <v>0.45</v>
      </c>
      <c r="E1919" s="1246" t="s">
        <v>1494</v>
      </c>
      <c r="F1919" s="1248">
        <v>2</v>
      </c>
      <c r="G1919" s="1248">
        <v>2</v>
      </c>
      <c r="H1919" s="1249">
        <v>1</v>
      </c>
      <c r="I1919" s="1246" t="s">
        <v>1491</v>
      </c>
      <c r="J1919" s="1246" t="s">
        <v>1462</v>
      </c>
      <c r="K1919" s="1284" t="str">
        <f t="shared" si="29"/>
        <v>71</v>
      </c>
      <c r="L1919" s="1246" t="s">
        <v>1495</v>
      </c>
      <c r="M1919" s="1250">
        <v>9</v>
      </c>
      <c r="N1919" s="1251">
        <v>128</v>
      </c>
      <c r="O1919" s="1252">
        <v>64</v>
      </c>
    </row>
    <row r="1920" spans="1:15">
      <c r="A1920" s="1246" t="s">
        <v>1493</v>
      </c>
      <c r="B1920" s="1246" t="s">
        <v>434</v>
      </c>
      <c r="C1920" s="1247">
        <v>0.45</v>
      </c>
      <c r="E1920" s="1246" t="s">
        <v>1494</v>
      </c>
      <c r="F1920" s="1248">
        <v>2</v>
      </c>
      <c r="G1920" s="1248">
        <v>2</v>
      </c>
      <c r="H1920" s="1249">
        <v>1</v>
      </c>
      <c r="I1920" s="1246" t="s">
        <v>1491</v>
      </c>
      <c r="J1920" s="1246" t="s">
        <v>1466</v>
      </c>
      <c r="K1920" s="1284" t="str">
        <f t="shared" si="29"/>
        <v>75</v>
      </c>
      <c r="L1920" s="1246" t="s">
        <v>1530</v>
      </c>
      <c r="M1920" s="1250">
        <v>9</v>
      </c>
      <c r="N1920" s="1251">
        <v>16</v>
      </c>
      <c r="O1920" s="1252">
        <v>8</v>
      </c>
    </row>
    <row r="1921" spans="1:15">
      <c r="A1921" s="1246" t="s">
        <v>1493</v>
      </c>
      <c r="B1921" s="1246" t="s">
        <v>434</v>
      </c>
      <c r="C1921" s="1247">
        <v>0.45</v>
      </c>
      <c r="E1921" s="1246" t="s">
        <v>376</v>
      </c>
      <c r="F1921" s="1248">
        <v>2</v>
      </c>
      <c r="G1921" s="1248">
        <v>2</v>
      </c>
      <c r="H1921" s="1249">
        <v>1</v>
      </c>
      <c r="I1921" s="1246" t="s">
        <v>1491</v>
      </c>
      <c r="J1921" s="1246" t="s">
        <v>1464</v>
      </c>
      <c r="K1921" s="1284" t="str">
        <f t="shared" si="29"/>
        <v>73</v>
      </c>
      <c r="L1921" s="1246" t="s">
        <v>1533</v>
      </c>
      <c r="M1921" s="1250">
        <v>9</v>
      </c>
      <c r="N1921" s="1251">
        <v>2</v>
      </c>
      <c r="O1921" s="1252">
        <v>1</v>
      </c>
    </row>
    <row r="1922" spans="1:15">
      <c r="A1922" s="1246" t="s">
        <v>1493</v>
      </c>
      <c r="B1922" s="1246" t="s">
        <v>434</v>
      </c>
      <c r="C1922" s="1247">
        <v>0.45</v>
      </c>
      <c r="E1922" s="1246" t="s">
        <v>376</v>
      </c>
      <c r="F1922" s="1248">
        <v>2</v>
      </c>
      <c r="G1922" s="1248">
        <v>2</v>
      </c>
      <c r="H1922" s="1249">
        <v>1</v>
      </c>
      <c r="I1922" s="1246" t="s">
        <v>1491</v>
      </c>
      <c r="J1922" s="1246" t="s">
        <v>1462</v>
      </c>
      <c r="K1922" s="1284" t="str">
        <f t="shared" ref="K1922:K1985" si="30">IF(J1922="1B","10", IF(J1922="2B","20",IF(J1922="3B","30",IF(J1922="7B",70,J1922))))</f>
        <v>71</v>
      </c>
      <c r="L1922" s="1246" t="s">
        <v>1496</v>
      </c>
      <c r="M1922" s="1250">
        <v>9</v>
      </c>
      <c r="N1922" s="1251">
        <v>28</v>
      </c>
      <c r="O1922" s="1252">
        <v>14</v>
      </c>
    </row>
    <row r="1923" spans="1:15">
      <c r="A1923" s="1246" t="s">
        <v>1493</v>
      </c>
      <c r="B1923" s="1246" t="s">
        <v>434</v>
      </c>
      <c r="C1923" s="1247">
        <v>0.45</v>
      </c>
      <c r="E1923" s="1246" t="s">
        <v>1494</v>
      </c>
      <c r="F1923" s="1248">
        <v>2</v>
      </c>
      <c r="G1923" s="1248">
        <v>2</v>
      </c>
      <c r="H1923" s="1249">
        <v>2</v>
      </c>
      <c r="I1923" s="1246" t="s">
        <v>1491</v>
      </c>
      <c r="J1923" s="1246" t="s">
        <v>1400</v>
      </c>
      <c r="K1923" s="1284" t="str">
        <f t="shared" si="30"/>
        <v>70</v>
      </c>
      <c r="L1923" s="1246" t="s">
        <v>1544</v>
      </c>
      <c r="M1923" s="1250">
        <v>9</v>
      </c>
      <c r="N1923" s="1251">
        <v>4</v>
      </c>
      <c r="O1923" s="1252">
        <v>2</v>
      </c>
    </row>
    <row r="1924" spans="1:15">
      <c r="A1924" s="1246" t="s">
        <v>1493</v>
      </c>
      <c r="B1924" s="1246" t="s">
        <v>434</v>
      </c>
      <c r="C1924" s="1247">
        <v>0.45</v>
      </c>
      <c r="E1924" s="1246" t="s">
        <v>1494</v>
      </c>
      <c r="F1924" s="1248">
        <v>2</v>
      </c>
      <c r="G1924" s="1248">
        <v>2</v>
      </c>
      <c r="H1924" s="1249">
        <v>2</v>
      </c>
      <c r="I1924" s="1246" t="s">
        <v>1491</v>
      </c>
      <c r="J1924" s="1246" t="s">
        <v>1463</v>
      </c>
      <c r="K1924" s="1284" t="str">
        <f t="shared" si="30"/>
        <v>72</v>
      </c>
      <c r="L1924" s="1246" t="s">
        <v>1529</v>
      </c>
      <c r="M1924" s="1250">
        <v>9</v>
      </c>
      <c r="N1924" s="1251">
        <v>12</v>
      </c>
      <c r="O1924" s="1252">
        <v>6</v>
      </c>
    </row>
    <row r="1925" spans="1:15">
      <c r="A1925" s="1246" t="s">
        <v>1493</v>
      </c>
      <c r="B1925" s="1246" t="s">
        <v>434</v>
      </c>
      <c r="C1925" s="1247">
        <v>0.45</v>
      </c>
      <c r="E1925" s="1246" t="s">
        <v>376</v>
      </c>
      <c r="F1925" s="1248">
        <v>2</v>
      </c>
      <c r="G1925" s="1248">
        <v>2</v>
      </c>
      <c r="H1925" s="1249">
        <v>2</v>
      </c>
      <c r="I1925" s="1246" t="s">
        <v>1491</v>
      </c>
      <c r="J1925" s="1246" t="s">
        <v>1463</v>
      </c>
      <c r="K1925" s="1284" t="str">
        <f t="shared" si="30"/>
        <v>72</v>
      </c>
      <c r="L1925" s="1246" t="s">
        <v>1529</v>
      </c>
      <c r="M1925" s="1250">
        <v>9</v>
      </c>
      <c r="N1925" s="1251">
        <v>2</v>
      </c>
      <c r="O1925" s="1252">
        <v>1</v>
      </c>
    </row>
    <row r="1926" spans="1:15">
      <c r="A1926" s="1246" t="s">
        <v>1493</v>
      </c>
      <c r="B1926" s="1246" t="s">
        <v>434</v>
      </c>
      <c r="C1926" s="1247">
        <v>0.45</v>
      </c>
      <c r="E1926" s="1246" t="s">
        <v>1494</v>
      </c>
      <c r="F1926" s="1248">
        <v>2</v>
      </c>
      <c r="G1926" s="1248">
        <v>2</v>
      </c>
      <c r="H1926" s="1249">
        <v>2</v>
      </c>
      <c r="I1926" s="1246" t="s">
        <v>1491</v>
      </c>
      <c r="J1926" s="1246" t="s">
        <v>1462</v>
      </c>
      <c r="K1926" s="1284" t="str">
        <f t="shared" si="30"/>
        <v>71</v>
      </c>
      <c r="L1926" s="1246" t="s">
        <v>1495</v>
      </c>
      <c r="M1926" s="1250">
        <v>9</v>
      </c>
      <c r="N1926" s="1251">
        <v>2</v>
      </c>
      <c r="O1926" s="1252">
        <v>1</v>
      </c>
    </row>
    <row r="1927" spans="1:15">
      <c r="A1927" s="1246" t="s">
        <v>1493</v>
      </c>
      <c r="B1927" s="1246" t="s">
        <v>434</v>
      </c>
      <c r="C1927" s="1247">
        <v>0.45</v>
      </c>
      <c r="E1927" s="1246" t="s">
        <v>1494</v>
      </c>
      <c r="F1927" s="1248">
        <v>2</v>
      </c>
      <c r="G1927" s="1248">
        <v>2</v>
      </c>
      <c r="H1927" s="1249">
        <v>2</v>
      </c>
      <c r="I1927" s="1246" t="s">
        <v>1491</v>
      </c>
      <c r="J1927" s="1246" t="s">
        <v>1467</v>
      </c>
      <c r="K1927" s="1284" t="str">
        <f t="shared" si="30"/>
        <v>76</v>
      </c>
      <c r="L1927" s="1246" t="s">
        <v>1538</v>
      </c>
      <c r="M1927" s="1250">
        <v>9</v>
      </c>
      <c r="N1927" s="1251">
        <v>2</v>
      </c>
      <c r="O1927" s="1252">
        <v>1</v>
      </c>
    </row>
    <row r="1928" spans="1:15">
      <c r="A1928" s="1246" t="s">
        <v>1493</v>
      </c>
      <c r="B1928" s="1246" t="s">
        <v>434</v>
      </c>
      <c r="C1928" s="1247">
        <v>0.45</v>
      </c>
      <c r="E1928" s="1246" t="s">
        <v>1494</v>
      </c>
      <c r="F1928" s="1248">
        <v>2</v>
      </c>
      <c r="G1928" s="1248">
        <v>2</v>
      </c>
      <c r="H1928" s="1249">
        <v>2</v>
      </c>
      <c r="I1928" s="1246" t="s">
        <v>1491</v>
      </c>
      <c r="J1928" s="1246" t="s">
        <v>1400</v>
      </c>
      <c r="K1928" s="1284" t="str">
        <f t="shared" si="30"/>
        <v>70</v>
      </c>
      <c r="L1928" s="1246" t="s">
        <v>1540</v>
      </c>
      <c r="M1928" s="1250">
        <v>9</v>
      </c>
      <c r="N1928" s="1251">
        <v>2</v>
      </c>
      <c r="O1928" s="1252">
        <v>1</v>
      </c>
    </row>
    <row r="1929" spans="1:15">
      <c r="A1929" s="1246" t="s">
        <v>1493</v>
      </c>
      <c r="B1929" s="1246" t="s">
        <v>434</v>
      </c>
      <c r="C1929" s="1247">
        <v>0.45</v>
      </c>
      <c r="E1929" s="1246" t="s">
        <v>376</v>
      </c>
      <c r="F1929" s="1248">
        <v>2</v>
      </c>
      <c r="G1929" s="1248">
        <v>2</v>
      </c>
      <c r="H1929" s="1249">
        <v>2</v>
      </c>
      <c r="I1929" s="1246" t="s">
        <v>1491</v>
      </c>
      <c r="J1929" s="1246" t="s">
        <v>1400</v>
      </c>
      <c r="K1929" s="1284" t="str">
        <f t="shared" si="30"/>
        <v>70</v>
      </c>
      <c r="L1929" s="1246" t="s">
        <v>1532</v>
      </c>
      <c r="M1929" s="1250">
        <v>9</v>
      </c>
      <c r="N1929" s="1251">
        <v>16</v>
      </c>
      <c r="O1929" s="1252">
        <v>8</v>
      </c>
    </row>
    <row r="1930" spans="1:15">
      <c r="A1930" s="1246" t="s">
        <v>1493</v>
      </c>
      <c r="B1930" s="1246" t="s">
        <v>434</v>
      </c>
      <c r="C1930" s="1247">
        <v>0.45</v>
      </c>
      <c r="E1930" s="1246" t="s">
        <v>1494</v>
      </c>
      <c r="F1930" s="1248">
        <v>2</v>
      </c>
      <c r="G1930" s="1248">
        <v>2</v>
      </c>
      <c r="H1930" s="1249">
        <v>2</v>
      </c>
      <c r="I1930" s="1246" t="s">
        <v>1491</v>
      </c>
      <c r="J1930" s="1246" t="s">
        <v>1400</v>
      </c>
      <c r="K1930" s="1284" t="str">
        <f t="shared" si="30"/>
        <v>70</v>
      </c>
      <c r="L1930" s="1246" t="s">
        <v>1532</v>
      </c>
      <c r="M1930" s="1250">
        <v>9</v>
      </c>
      <c r="N1930" s="1251">
        <v>12</v>
      </c>
      <c r="O1930" s="1252">
        <v>6</v>
      </c>
    </row>
    <row r="1931" spans="1:15">
      <c r="A1931" s="1246" t="s">
        <v>1493</v>
      </c>
      <c r="B1931" s="1246" t="s">
        <v>434</v>
      </c>
      <c r="C1931" s="1247">
        <v>0.45</v>
      </c>
      <c r="E1931" s="1246" t="s">
        <v>376</v>
      </c>
      <c r="F1931" s="1248">
        <v>2</v>
      </c>
      <c r="G1931" s="1248">
        <v>2</v>
      </c>
      <c r="H1931" s="1249">
        <v>2</v>
      </c>
      <c r="I1931" s="1246" t="s">
        <v>1491</v>
      </c>
      <c r="J1931" s="1246" t="s">
        <v>1464</v>
      </c>
      <c r="K1931" s="1284" t="str">
        <f t="shared" si="30"/>
        <v>73</v>
      </c>
      <c r="L1931" s="1246" t="s">
        <v>1533</v>
      </c>
      <c r="M1931" s="1250">
        <v>9</v>
      </c>
      <c r="N1931" s="1251">
        <v>2</v>
      </c>
      <c r="O1931" s="1252">
        <v>1</v>
      </c>
    </row>
    <row r="1932" spans="1:15">
      <c r="A1932" s="1246" t="s">
        <v>1493</v>
      </c>
      <c r="B1932" s="1246" t="s">
        <v>434</v>
      </c>
      <c r="C1932" s="1247">
        <v>0.45</v>
      </c>
      <c r="E1932" s="1246" t="s">
        <v>1494</v>
      </c>
      <c r="F1932" s="1248">
        <v>2</v>
      </c>
      <c r="G1932" s="1248">
        <v>2</v>
      </c>
      <c r="H1932" s="1249">
        <v>2</v>
      </c>
      <c r="I1932" s="1246" t="s">
        <v>1491</v>
      </c>
      <c r="J1932" s="1246" t="s">
        <v>1464</v>
      </c>
      <c r="K1932" s="1284" t="str">
        <f t="shared" si="30"/>
        <v>73</v>
      </c>
      <c r="L1932" s="1246" t="s">
        <v>1533</v>
      </c>
      <c r="M1932" s="1250">
        <v>9</v>
      </c>
      <c r="N1932" s="1251">
        <v>6</v>
      </c>
      <c r="O1932" s="1252">
        <v>3</v>
      </c>
    </row>
    <row r="1933" spans="1:15">
      <c r="A1933" s="1246" t="s">
        <v>1490</v>
      </c>
      <c r="B1933" s="1246" t="s">
        <v>434</v>
      </c>
      <c r="C1933" s="1247">
        <v>0.45</v>
      </c>
      <c r="F1933" s="1248">
        <v>2</v>
      </c>
      <c r="G1933" s="1248">
        <v>3</v>
      </c>
      <c r="H1933" s="1249">
        <v>1</v>
      </c>
      <c r="I1933" s="1246" t="s">
        <v>1491</v>
      </c>
      <c r="J1933" s="1246" t="s">
        <v>1456</v>
      </c>
      <c r="K1933" s="1284" t="str">
        <f t="shared" si="30"/>
        <v>33</v>
      </c>
      <c r="L1933" s="1246" t="s">
        <v>1519</v>
      </c>
      <c r="M1933" s="1250">
        <v>2</v>
      </c>
      <c r="N1933" s="1251">
        <v>4</v>
      </c>
      <c r="O1933" s="1252">
        <v>2</v>
      </c>
    </row>
    <row r="1934" spans="1:15">
      <c r="A1934" s="1246" t="s">
        <v>1493</v>
      </c>
      <c r="B1934" s="1246" t="s">
        <v>434</v>
      </c>
      <c r="C1934" s="1247">
        <v>0.45</v>
      </c>
      <c r="E1934" s="1246" t="s">
        <v>376</v>
      </c>
      <c r="F1934" s="1248">
        <v>2</v>
      </c>
      <c r="G1934" s="1248">
        <v>3</v>
      </c>
      <c r="H1934" s="1249">
        <v>2</v>
      </c>
      <c r="I1934" s="1246" t="s">
        <v>1491</v>
      </c>
      <c r="J1934" s="1246" t="s">
        <v>1464</v>
      </c>
      <c r="K1934" s="1284" t="str">
        <f t="shared" si="30"/>
        <v>73</v>
      </c>
      <c r="L1934" s="1246" t="s">
        <v>1533</v>
      </c>
      <c r="M1934" s="1250">
        <v>9</v>
      </c>
      <c r="N1934" s="1251">
        <v>2</v>
      </c>
      <c r="O1934" s="1252">
        <v>1</v>
      </c>
    </row>
    <row r="1935" spans="1:15">
      <c r="A1935" s="1246" t="s">
        <v>1490</v>
      </c>
      <c r="B1935" s="1246" t="s">
        <v>434</v>
      </c>
      <c r="C1935" s="1247">
        <v>0.45</v>
      </c>
      <c r="F1935" s="1248">
        <v>2</v>
      </c>
      <c r="G1935" s="1248">
        <v>4</v>
      </c>
      <c r="H1935" s="1249">
        <v>1</v>
      </c>
      <c r="I1935" s="1246" t="s">
        <v>1491</v>
      </c>
      <c r="J1935" s="1246" t="s">
        <v>1456</v>
      </c>
      <c r="K1935" s="1284" t="str">
        <f t="shared" si="30"/>
        <v>33</v>
      </c>
      <c r="L1935" s="1246" t="s">
        <v>1519</v>
      </c>
      <c r="M1935" s="1250">
        <v>2</v>
      </c>
      <c r="N1935" s="1251">
        <v>4</v>
      </c>
      <c r="O1935" s="1252">
        <v>2</v>
      </c>
    </row>
    <row r="1936" spans="1:15">
      <c r="A1936" s="1246" t="s">
        <v>1493</v>
      </c>
      <c r="B1936" s="1246" t="s">
        <v>434</v>
      </c>
      <c r="C1936" s="1247">
        <v>0.45</v>
      </c>
      <c r="E1936" s="1246" t="s">
        <v>1494</v>
      </c>
      <c r="F1936" s="1248">
        <v>2</v>
      </c>
      <c r="G1936" s="1248">
        <v>4</v>
      </c>
      <c r="H1936" s="1249">
        <v>1</v>
      </c>
      <c r="I1936" s="1246" t="s">
        <v>1491</v>
      </c>
      <c r="J1936" s="1246" t="s">
        <v>1464</v>
      </c>
      <c r="K1936" s="1284" t="str">
        <f t="shared" si="30"/>
        <v>73</v>
      </c>
      <c r="L1936" s="1246" t="s">
        <v>1533</v>
      </c>
      <c r="M1936" s="1250">
        <v>9</v>
      </c>
      <c r="N1936" s="1251">
        <v>2</v>
      </c>
      <c r="O1936" s="1252">
        <v>1</v>
      </c>
    </row>
    <row r="1937" spans="1:15">
      <c r="A1937" s="1246" t="s">
        <v>1493</v>
      </c>
      <c r="B1937" s="1246" t="s">
        <v>434</v>
      </c>
      <c r="C1937" s="1247">
        <v>0.45</v>
      </c>
      <c r="E1937" s="1246" t="s">
        <v>376</v>
      </c>
      <c r="F1937" s="1248">
        <v>2</v>
      </c>
      <c r="G1937" s="1248">
        <v>4</v>
      </c>
      <c r="H1937" s="1249">
        <v>1</v>
      </c>
      <c r="I1937" s="1246" t="s">
        <v>1491</v>
      </c>
      <c r="J1937" s="1246" t="s">
        <v>1464</v>
      </c>
      <c r="K1937" s="1284" t="str">
        <f t="shared" si="30"/>
        <v>73</v>
      </c>
      <c r="L1937" s="1246" t="s">
        <v>1533</v>
      </c>
      <c r="M1937" s="1250">
        <v>9</v>
      </c>
      <c r="N1937" s="1251">
        <v>2</v>
      </c>
      <c r="O1937" s="1252">
        <v>1</v>
      </c>
    </row>
    <row r="1938" spans="1:15">
      <c r="A1938" s="1246" t="s">
        <v>1493</v>
      </c>
      <c r="B1938" s="1246" t="s">
        <v>434</v>
      </c>
      <c r="C1938" s="1247">
        <v>0.45</v>
      </c>
      <c r="E1938" s="1246" t="s">
        <v>376</v>
      </c>
      <c r="F1938" s="1248">
        <v>2</v>
      </c>
      <c r="G1938" s="1248">
        <v>4</v>
      </c>
      <c r="H1938" s="1249">
        <v>2</v>
      </c>
      <c r="I1938" s="1246" t="s">
        <v>1491</v>
      </c>
      <c r="J1938" s="1246" t="s">
        <v>1464</v>
      </c>
      <c r="K1938" s="1284" t="str">
        <f t="shared" si="30"/>
        <v>73</v>
      </c>
      <c r="L1938" s="1246" t="s">
        <v>1533</v>
      </c>
      <c r="M1938" s="1250">
        <v>9</v>
      </c>
      <c r="N1938" s="1251">
        <v>6</v>
      </c>
      <c r="O1938" s="1252">
        <v>3</v>
      </c>
    </row>
    <row r="1939" spans="1:15">
      <c r="A1939" s="1246" t="s">
        <v>1493</v>
      </c>
      <c r="B1939" s="1246" t="s">
        <v>434</v>
      </c>
      <c r="C1939" s="1247">
        <v>0.45</v>
      </c>
      <c r="E1939" s="1246" t="s">
        <v>1494</v>
      </c>
      <c r="F1939" s="1248">
        <v>3</v>
      </c>
      <c r="G1939" s="1248">
        <v>1</v>
      </c>
      <c r="H1939" s="1249">
        <v>1</v>
      </c>
      <c r="I1939" s="1246" t="s">
        <v>1491</v>
      </c>
      <c r="J1939" s="1246" t="s">
        <v>1462</v>
      </c>
      <c r="K1939" s="1284" t="str">
        <f t="shared" si="30"/>
        <v>71</v>
      </c>
      <c r="L1939" s="1246" t="s">
        <v>1495</v>
      </c>
      <c r="M1939" s="1250">
        <v>9</v>
      </c>
      <c r="N1939" s="1251">
        <v>3</v>
      </c>
      <c r="O1939" s="1252">
        <v>1</v>
      </c>
    </row>
    <row r="1940" spans="1:15">
      <c r="A1940" s="1246" t="s">
        <v>1493</v>
      </c>
      <c r="B1940" s="1246" t="s">
        <v>434</v>
      </c>
      <c r="C1940" s="1247">
        <v>0.45</v>
      </c>
      <c r="E1940" s="1246" t="s">
        <v>376</v>
      </c>
      <c r="F1940" s="1248">
        <v>3</v>
      </c>
      <c r="G1940" s="1248">
        <v>3</v>
      </c>
      <c r="H1940" s="1249">
        <v>1</v>
      </c>
      <c r="I1940" s="1246" t="s">
        <v>1491</v>
      </c>
      <c r="J1940" s="1246" t="s">
        <v>1470</v>
      </c>
      <c r="K1940" s="1284" t="str">
        <f t="shared" si="30"/>
        <v>7C</v>
      </c>
      <c r="L1940" s="1246" t="s">
        <v>1502</v>
      </c>
      <c r="M1940" s="1250">
        <v>4</v>
      </c>
      <c r="N1940" s="1251">
        <v>12</v>
      </c>
      <c r="O1940" s="1252">
        <v>4</v>
      </c>
    </row>
    <row r="1941" spans="1:15">
      <c r="A1941" s="1246" t="s">
        <v>1493</v>
      </c>
      <c r="B1941" s="1246" t="s">
        <v>434</v>
      </c>
      <c r="C1941" s="1247">
        <v>0.45</v>
      </c>
      <c r="E1941" s="1246" t="s">
        <v>1494</v>
      </c>
      <c r="F1941" s="1248">
        <v>3</v>
      </c>
      <c r="G1941" s="1248">
        <v>3</v>
      </c>
      <c r="H1941" s="1249">
        <v>1</v>
      </c>
      <c r="I1941" s="1246" t="s">
        <v>1491</v>
      </c>
      <c r="J1941" s="1246" t="s">
        <v>1470</v>
      </c>
      <c r="K1941" s="1284" t="str">
        <f t="shared" si="30"/>
        <v>7C</v>
      </c>
      <c r="L1941" s="1246" t="s">
        <v>1502</v>
      </c>
      <c r="M1941" s="1250">
        <v>4</v>
      </c>
      <c r="N1941" s="1251">
        <v>12</v>
      </c>
      <c r="O1941" s="1252">
        <v>4</v>
      </c>
    </row>
    <row r="1942" spans="1:15">
      <c r="A1942" s="1246" t="s">
        <v>1493</v>
      </c>
      <c r="B1942" s="1246" t="s">
        <v>434</v>
      </c>
      <c r="C1942" s="1247">
        <v>0.45</v>
      </c>
      <c r="E1942" s="1246" t="s">
        <v>279</v>
      </c>
      <c r="F1942" s="1248">
        <v>3</v>
      </c>
      <c r="G1942" s="1248">
        <v>3</v>
      </c>
      <c r="H1942" s="1249">
        <v>1</v>
      </c>
      <c r="I1942" s="1246" t="s">
        <v>1491</v>
      </c>
      <c r="J1942" s="1246" t="s">
        <v>1470</v>
      </c>
      <c r="K1942" s="1284" t="str">
        <f t="shared" si="30"/>
        <v>7C</v>
      </c>
      <c r="L1942" s="1246" t="s">
        <v>1502</v>
      </c>
      <c r="M1942" s="1250">
        <v>4</v>
      </c>
      <c r="N1942" s="1251">
        <v>18</v>
      </c>
      <c r="O1942" s="1252">
        <v>6</v>
      </c>
    </row>
    <row r="1943" spans="1:15">
      <c r="A1943" s="1246" t="s">
        <v>1490</v>
      </c>
      <c r="B1943" s="1246" t="s">
        <v>434</v>
      </c>
      <c r="C1943" s="1247">
        <v>0.45</v>
      </c>
      <c r="F1943" s="1248">
        <v>3</v>
      </c>
      <c r="G1943" s="1248">
        <v>3</v>
      </c>
      <c r="H1943" s="1249">
        <v>1</v>
      </c>
      <c r="I1943" s="1246" t="s">
        <v>1491</v>
      </c>
      <c r="J1943" s="1246" t="s">
        <v>1455</v>
      </c>
      <c r="K1943" s="1284" t="str">
        <f t="shared" si="30"/>
        <v>32</v>
      </c>
      <c r="L1943" s="1246" t="s">
        <v>1505</v>
      </c>
      <c r="M1943" s="1250">
        <v>1</v>
      </c>
      <c r="N1943" s="1251">
        <v>3</v>
      </c>
      <c r="O1943" s="1252">
        <v>1</v>
      </c>
    </row>
    <row r="1944" spans="1:15">
      <c r="A1944" s="1246" t="s">
        <v>1490</v>
      </c>
      <c r="B1944" s="1246" t="s">
        <v>434</v>
      </c>
      <c r="C1944" s="1247">
        <v>0.45</v>
      </c>
      <c r="F1944" s="1248">
        <v>3</v>
      </c>
      <c r="G1944" s="1248">
        <v>3</v>
      </c>
      <c r="H1944" s="1249">
        <v>1</v>
      </c>
      <c r="I1944" s="1246" t="s">
        <v>1491</v>
      </c>
      <c r="J1944" s="1246" t="s">
        <v>1454</v>
      </c>
      <c r="K1944" s="1284" t="str">
        <f t="shared" si="30"/>
        <v>31</v>
      </c>
      <c r="L1944" s="1246" t="s">
        <v>1506</v>
      </c>
      <c r="M1944" s="1250">
        <v>1</v>
      </c>
      <c r="N1944" s="1251">
        <v>6</v>
      </c>
      <c r="O1944" s="1252">
        <v>2</v>
      </c>
    </row>
    <row r="1945" spans="1:15">
      <c r="A1945" s="1246" t="s">
        <v>1490</v>
      </c>
      <c r="B1945" s="1246" t="s">
        <v>434</v>
      </c>
      <c r="C1945" s="1247">
        <v>0.45</v>
      </c>
      <c r="E1945" s="1246" t="s">
        <v>370</v>
      </c>
      <c r="F1945" s="1248">
        <v>3</v>
      </c>
      <c r="G1945" s="1248">
        <v>3</v>
      </c>
      <c r="H1945" s="1249">
        <v>1</v>
      </c>
      <c r="I1945" s="1246" t="s">
        <v>1491</v>
      </c>
      <c r="J1945" s="1246" t="s">
        <v>1454</v>
      </c>
      <c r="K1945" s="1284" t="str">
        <f t="shared" si="30"/>
        <v>31</v>
      </c>
      <c r="L1945" s="1246" t="s">
        <v>1506</v>
      </c>
      <c r="M1945" s="1250">
        <v>1</v>
      </c>
      <c r="N1945" s="1251">
        <v>3</v>
      </c>
      <c r="O1945" s="1252">
        <v>1</v>
      </c>
    </row>
    <row r="1946" spans="1:15">
      <c r="A1946" s="1246" t="s">
        <v>1490</v>
      </c>
      <c r="B1946" s="1246" t="s">
        <v>434</v>
      </c>
      <c r="C1946" s="1247">
        <v>0.45</v>
      </c>
      <c r="F1946" s="1248">
        <v>3</v>
      </c>
      <c r="G1946" s="1248">
        <v>3</v>
      </c>
      <c r="H1946" s="1249">
        <v>1</v>
      </c>
      <c r="I1946" s="1246" t="s">
        <v>1491</v>
      </c>
      <c r="J1946" s="1246" t="s">
        <v>1399</v>
      </c>
      <c r="K1946" s="1284" t="str">
        <f t="shared" si="30"/>
        <v>30</v>
      </c>
      <c r="L1946" s="1246" t="s">
        <v>1508</v>
      </c>
      <c r="M1946" s="1250">
        <v>1</v>
      </c>
      <c r="N1946" s="1251">
        <v>3</v>
      </c>
      <c r="O1946" s="1252">
        <v>1</v>
      </c>
    </row>
    <row r="1947" spans="1:15">
      <c r="A1947" s="1246" t="s">
        <v>1490</v>
      </c>
      <c r="B1947" s="1246" t="s">
        <v>434</v>
      </c>
      <c r="C1947" s="1247">
        <v>0.45</v>
      </c>
      <c r="F1947" s="1248">
        <v>3</v>
      </c>
      <c r="G1947" s="1248">
        <v>3</v>
      </c>
      <c r="H1947" s="1249">
        <v>1</v>
      </c>
      <c r="I1947" s="1246" t="s">
        <v>1491</v>
      </c>
      <c r="J1947" s="1246" t="s">
        <v>1399</v>
      </c>
      <c r="K1947" s="1284" t="str">
        <f t="shared" si="30"/>
        <v>30</v>
      </c>
      <c r="L1947" s="1246" t="s">
        <v>1510</v>
      </c>
      <c r="M1947" s="1250">
        <v>1</v>
      </c>
      <c r="N1947" s="1251">
        <v>9</v>
      </c>
      <c r="O1947" s="1252">
        <v>3</v>
      </c>
    </row>
    <row r="1948" spans="1:15">
      <c r="A1948" s="1246" t="s">
        <v>1490</v>
      </c>
      <c r="B1948" s="1246" t="s">
        <v>434</v>
      </c>
      <c r="C1948" s="1247">
        <v>0.45</v>
      </c>
      <c r="E1948" s="1246" t="s">
        <v>370</v>
      </c>
      <c r="F1948" s="1248">
        <v>3</v>
      </c>
      <c r="G1948" s="1248">
        <v>3</v>
      </c>
      <c r="H1948" s="1249">
        <v>1</v>
      </c>
      <c r="I1948" s="1246" t="s">
        <v>1491</v>
      </c>
      <c r="J1948" s="1246" t="s">
        <v>1455</v>
      </c>
      <c r="K1948" s="1284" t="str">
        <f t="shared" si="30"/>
        <v>32</v>
      </c>
      <c r="L1948" s="1246" t="s">
        <v>1513</v>
      </c>
      <c r="M1948" s="1250">
        <v>2</v>
      </c>
      <c r="N1948" s="1251">
        <v>3</v>
      </c>
      <c r="O1948" s="1252">
        <v>1</v>
      </c>
    </row>
    <row r="1949" spans="1:15">
      <c r="A1949" s="1246" t="s">
        <v>1490</v>
      </c>
      <c r="B1949" s="1246" t="s">
        <v>434</v>
      </c>
      <c r="C1949" s="1247">
        <v>0.45</v>
      </c>
      <c r="F1949" s="1248">
        <v>3</v>
      </c>
      <c r="G1949" s="1248">
        <v>3</v>
      </c>
      <c r="H1949" s="1249">
        <v>1</v>
      </c>
      <c r="I1949" s="1246" t="s">
        <v>1491</v>
      </c>
      <c r="J1949" s="1246" t="s">
        <v>1455</v>
      </c>
      <c r="K1949" s="1284" t="str">
        <f t="shared" si="30"/>
        <v>32</v>
      </c>
      <c r="L1949" s="1246" t="s">
        <v>1513</v>
      </c>
      <c r="M1949" s="1250">
        <v>2</v>
      </c>
      <c r="N1949" s="1251">
        <v>3</v>
      </c>
      <c r="O1949" s="1252">
        <v>1</v>
      </c>
    </row>
    <row r="1950" spans="1:15">
      <c r="A1950" s="1246" t="s">
        <v>1490</v>
      </c>
      <c r="B1950" s="1246" t="s">
        <v>434</v>
      </c>
      <c r="C1950" s="1247">
        <v>0.45</v>
      </c>
      <c r="F1950" s="1248">
        <v>3</v>
      </c>
      <c r="G1950" s="1248">
        <v>3</v>
      </c>
      <c r="H1950" s="1249">
        <v>1</v>
      </c>
      <c r="I1950" s="1246" t="s">
        <v>1491</v>
      </c>
      <c r="J1950" s="1246" t="s">
        <v>1454</v>
      </c>
      <c r="K1950" s="1284" t="str">
        <f t="shared" si="30"/>
        <v>31</v>
      </c>
      <c r="L1950" s="1246" t="s">
        <v>1500</v>
      </c>
      <c r="M1950" s="1250">
        <v>2</v>
      </c>
      <c r="N1950" s="1251">
        <v>3</v>
      </c>
      <c r="O1950" s="1252">
        <v>1</v>
      </c>
    </row>
    <row r="1951" spans="1:15">
      <c r="A1951" s="1246" t="s">
        <v>1490</v>
      </c>
      <c r="B1951" s="1246" t="s">
        <v>434</v>
      </c>
      <c r="C1951" s="1247">
        <v>0.45</v>
      </c>
      <c r="E1951" s="1246" t="s">
        <v>370</v>
      </c>
      <c r="F1951" s="1248">
        <v>3</v>
      </c>
      <c r="G1951" s="1248">
        <v>3</v>
      </c>
      <c r="H1951" s="1249">
        <v>1</v>
      </c>
      <c r="I1951" s="1246" t="s">
        <v>1491</v>
      </c>
      <c r="J1951" s="1246" t="s">
        <v>1454</v>
      </c>
      <c r="K1951" s="1284" t="str">
        <f t="shared" si="30"/>
        <v>31</v>
      </c>
      <c r="L1951" s="1246" t="s">
        <v>1500</v>
      </c>
      <c r="M1951" s="1250">
        <v>2</v>
      </c>
      <c r="N1951" s="1251">
        <v>3</v>
      </c>
      <c r="O1951" s="1252">
        <v>1</v>
      </c>
    </row>
    <row r="1952" spans="1:15">
      <c r="A1952" s="1246" t="s">
        <v>1490</v>
      </c>
      <c r="B1952" s="1246" t="s">
        <v>434</v>
      </c>
      <c r="C1952" s="1247">
        <v>0.45</v>
      </c>
      <c r="F1952" s="1248">
        <v>3</v>
      </c>
      <c r="G1952" s="1248">
        <v>3</v>
      </c>
      <c r="H1952" s="1249">
        <v>1</v>
      </c>
      <c r="I1952" s="1246" t="s">
        <v>1491</v>
      </c>
      <c r="J1952" s="1246" t="s">
        <v>1458</v>
      </c>
      <c r="K1952" s="1284" t="str">
        <f t="shared" si="30"/>
        <v>36</v>
      </c>
      <c r="L1952" s="1246" t="s">
        <v>1514</v>
      </c>
      <c r="M1952" s="1250">
        <v>2</v>
      </c>
      <c r="N1952" s="1251">
        <v>6</v>
      </c>
      <c r="O1952" s="1252">
        <v>2</v>
      </c>
    </row>
    <row r="1953" spans="1:15">
      <c r="A1953" s="1246" t="s">
        <v>1490</v>
      </c>
      <c r="B1953" s="1246" t="s">
        <v>434</v>
      </c>
      <c r="C1953" s="1247">
        <v>0.45</v>
      </c>
      <c r="F1953" s="1248">
        <v>3</v>
      </c>
      <c r="G1953" s="1248">
        <v>3</v>
      </c>
      <c r="H1953" s="1249">
        <v>1</v>
      </c>
      <c r="I1953" s="1246" t="s">
        <v>1491</v>
      </c>
      <c r="J1953" s="1246" t="s">
        <v>1399</v>
      </c>
      <c r="K1953" s="1284" t="str">
        <f t="shared" si="30"/>
        <v>30</v>
      </c>
      <c r="L1953" s="1246" t="s">
        <v>1515</v>
      </c>
      <c r="M1953" s="1250">
        <v>2</v>
      </c>
      <c r="N1953" s="1251">
        <v>6</v>
      </c>
      <c r="O1953" s="1252">
        <v>2</v>
      </c>
    </row>
    <row r="1954" spans="1:15">
      <c r="A1954" s="1246" t="s">
        <v>1490</v>
      </c>
      <c r="B1954" s="1246" t="s">
        <v>434</v>
      </c>
      <c r="C1954" s="1247">
        <v>0.45</v>
      </c>
      <c r="F1954" s="1248">
        <v>3</v>
      </c>
      <c r="G1954" s="1248">
        <v>3</v>
      </c>
      <c r="H1954" s="1249">
        <v>1</v>
      </c>
      <c r="I1954" s="1246" t="s">
        <v>1491</v>
      </c>
      <c r="J1954" s="1246" t="s">
        <v>1399</v>
      </c>
      <c r="K1954" s="1284" t="str">
        <f t="shared" si="30"/>
        <v>30</v>
      </c>
      <c r="L1954" s="1246" t="s">
        <v>1518</v>
      </c>
      <c r="M1954" s="1250">
        <v>2</v>
      </c>
      <c r="N1954" s="1251">
        <v>3</v>
      </c>
      <c r="O1954" s="1252">
        <v>1</v>
      </c>
    </row>
    <row r="1955" spans="1:15">
      <c r="A1955" s="1246" t="s">
        <v>1490</v>
      </c>
      <c r="B1955" s="1246" t="s">
        <v>434</v>
      </c>
      <c r="C1955" s="1247">
        <v>0.45</v>
      </c>
      <c r="F1955" s="1248">
        <v>3</v>
      </c>
      <c r="G1955" s="1248">
        <v>3</v>
      </c>
      <c r="H1955" s="1249">
        <v>1</v>
      </c>
      <c r="I1955" s="1246" t="s">
        <v>1491</v>
      </c>
      <c r="J1955" s="1246" t="s">
        <v>1456</v>
      </c>
      <c r="K1955" s="1284" t="str">
        <f t="shared" si="30"/>
        <v>33</v>
      </c>
      <c r="L1955" s="1246" t="s">
        <v>1519</v>
      </c>
      <c r="M1955" s="1250">
        <v>2</v>
      </c>
      <c r="N1955" s="1251">
        <v>45</v>
      </c>
      <c r="O1955" s="1252">
        <v>15</v>
      </c>
    </row>
    <row r="1956" spans="1:15">
      <c r="A1956" s="1246" t="s">
        <v>1490</v>
      </c>
      <c r="B1956" s="1246" t="s">
        <v>434</v>
      </c>
      <c r="C1956" s="1247">
        <v>0.45</v>
      </c>
      <c r="E1956" s="1246" t="s">
        <v>370</v>
      </c>
      <c r="F1956" s="1248">
        <v>3</v>
      </c>
      <c r="G1956" s="1248">
        <v>3</v>
      </c>
      <c r="H1956" s="1249">
        <v>1</v>
      </c>
      <c r="I1956" s="1246" t="s">
        <v>1491</v>
      </c>
      <c r="J1956" s="1246" t="s">
        <v>1456</v>
      </c>
      <c r="K1956" s="1284" t="str">
        <f t="shared" si="30"/>
        <v>33</v>
      </c>
      <c r="L1956" s="1246" t="s">
        <v>1519</v>
      </c>
      <c r="M1956" s="1250">
        <v>2</v>
      </c>
      <c r="N1956" s="1251">
        <v>18</v>
      </c>
      <c r="O1956" s="1252">
        <v>6</v>
      </c>
    </row>
    <row r="1957" spans="1:15">
      <c r="A1957" s="1246" t="s">
        <v>1490</v>
      </c>
      <c r="B1957" s="1246" t="s">
        <v>434</v>
      </c>
      <c r="C1957" s="1247">
        <v>0.45</v>
      </c>
      <c r="F1957" s="1248">
        <v>3</v>
      </c>
      <c r="G1957" s="1248">
        <v>3</v>
      </c>
      <c r="H1957" s="1249">
        <v>1</v>
      </c>
      <c r="I1957" s="1246" t="s">
        <v>1491</v>
      </c>
      <c r="J1957" s="1246" t="s">
        <v>1399</v>
      </c>
      <c r="K1957" s="1284" t="str">
        <f t="shared" si="30"/>
        <v>30</v>
      </c>
      <c r="L1957" s="1246" t="s">
        <v>1520</v>
      </c>
      <c r="M1957" s="1250">
        <v>3</v>
      </c>
      <c r="N1957" s="1251">
        <v>3</v>
      </c>
      <c r="O1957" s="1252">
        <v>1</v>
      </c>
    </row>
    <row r="1958" spans="1:15">
      <c r="A1958" s="1246" t="s">
        <v>1490</v>
      </c>
      <c r="B1958" s="1246" t="s">
        <v>434</v>
      </c>
      <c r="C1958" s="1247">
        <v>0.45</v>
      </c>
      <c r="F1958" s="1248">
        <v>3</v>
      </c>
      <c r="G1958" s="1248">
        <v>3</v>
      </c>
      <c r="H1958" s="1249">
        <v>1</v>
      </c>
      <c r="I1958" s="1246" t="s">
        <v>1491</v>
      </c>
      <c r="J1958" s="1246" t="s">
        <v>1455</v>
      </c>
      <c r="K1958" s="1284" t="str">
        <f t="shared" si="30"/>
        <v>32</v>
      </c>
      <c r="L1958" s="1246" t="s">
        <v>1522</v>
      </c>
      <c r="M1958" s="1250">
        <v>3</v>
      </c>
      <c r="N1958" s="1251">
        <v>3</v>
      </c>
      <c r="O1958" s="1252">
        <v>1</v>
      </c>
    </row>
    <row r="1959" spans="1:15">
      <c r="A1959" s="1246" t="s">
        <v>1490</v>
      </c>
      <c r="B1959" s="1246" t="s">
        <v>434</v>
      </c>
      <c r="C1959" s="1247">
        <v>0.45</v>
      </c>
      <c r="F1959" s="1248">
        <v>3</v>
      </c>
      <c r="G1959" s="1248">
        <v>3</v>
      </c>
      <c r="H1959" s="1249">
        <v>1</v>
      </c>
      <c r="I1959" s="1246" t="s">
        <v>1491</v>
      </c>
      <c r="J1959" s="1246" t="s">
        <v>1454</v>
      </c>
      <c r="K1959" s="1284" t="str">
        <f t="shared" si="30"/>
        <v>31</v>
      </c>
      <c r="L1959" s="1246" t="s">
        <v>1523</v>
      </c>
      <c r="M1959" s="1250">
        <v>3</v>
      </c>
      <c r="N1959" s="1251">
        <v>3</v>
      </c>
      <c r="O1959" s="1252">
        <v>1</v>
      </c>
    </row>
    <row r="1960" spans="1:15">
      <c r="A1960" s="1246" t="s">
        <v>1490</v>
      </c>
      <c r="B1960" s="1246" t="s">
        <v>434</v>
      </c>
      <c r="C1960" s="1247">
        <v>0.45</v>
      </c>
      <c r="F1960" s="1248">
        <v>3</v>
      </c>
      <c r="G1960" s="1248">
        <v>3</v>
      </c>
      <c r="H1960" s="1249">
        <v>1</v>
      </c>
      <c r="I1960" s="1246" t="s">
        <v>1491</v>
      </c>
      <c r="J1960" s="1246" t="s">
        <v>1458</v>
      </c>
      <c r="K1960" s="1284" t="str">
        <f t="shared" si="30"/>
        <v>36</v>
      </c>
      <c r="L1960" s="1246" t="s">
        <v>1524</v>
      </c>
      <c r="M1960" s="1250">
        <v>3</v>
      </c>
      <c r="N1960" s="1251">
        <v>3</v>
      </c>
      <c r="O1960" s="1252">
        <v>1</v>
      </c>
    </row>
    <row r="1961" spans="1:15">
      <c r="A1961" s="1246" t="s">
        <v>1490</v>
      </c>
      <c r="B1961" s="1246" t="s">
        <v>434</v>
      </c>
      <c r="C1961" s="1247">
        <v>0.45</v>
      </c>
      <c r="E1961" s="1246" t="s">
        <v>370</v>
      </c>
      <c r="F1961" s="1248">
        <v>3</v>
      </c>
      <c r="G1961" s="1248">
        <v>3</v>
      </c>
      <c r="H1961" s="1249">
        <v>1</v>
      </c>
      <c r="I1961" s="1246" t="s">
        <v>1491</v>
      </c>
      <c r="J1961" s="1246" t="s">
        <v>1399</v>
      </c>
      <c r="K1961" s="1284" t="str">
        <f t="shared" si="30"/>
        <v>30</v>
      </c>
      <c r="L1961" s="1246" t="s">
        <v>1525</v>
      </c>
      <c r="M1961" s="1250">
        <v>3</v>
      </c>
      <c r="N1961" s="1251">
        <v>3</v>
      </c>
      <c r="O1961" s="1252">
        <v>1</v>
      </c>
    </row>
    <row r="1962" spans="1:15">
      <c r="A1962" s="1246" t="s">
        <v>1490</v>
      </c>
      <c r="B1962" s="1246" t="s">
        <v>434</v>
      </c>
      <c r="C1962" s="1247">
        <v>0.45</v>
      </c>
      <c r="F1962" s="1248">
        <v>3</v>
      </c>
      <c r="G1962" s="1248">
        <v>3</v>
      </c>
      <c r="H1962" s="1249">
        <v>1</v>
      </c>
      <c r="I1962" s="1246" t="s">
        <v>1491</v>
      </c>
      <c r="J1962" s="1246" t="s">
        <v>1399</v>
      </c>
      <c r="K1962" s="1284" t="str">
        <f t="shared" si="30"/>
        <v>30</v>
      </c>
      <c r="L1962" s="1246" t="s">
        <v>1528</v>
      </c>
      <c r="M1962" s="1250">
        <v>3</v>
      </c>
      <c r="N1962" s="1251">
        <v>6</v>
      </c>
      <c r="O1962" s="1252">
        <v>2</v>
      </c>
    </row>
    <row r="1963" spans="1:15">
      <c r="A1963" s="1246" t="s">
        <v>1493</v>
      </c>
      <c r="B1963" s="1246" t="s">
        <v>434</v>
      </c>
      <c r="C1963" s="1247">
        <v>0.45</v>
      </c>
      <c r="E1963" s="1246" t="s">
        <v>370</v>
      </c>
      <c r="F1963" s="1248">
        <v>3</v>
      </c>
      <c r="G1963" s="1248">
        <v>3</v>
      </c>
      <c r="H1963" s="1249">
        <v>1</v>
      </c>
      <c r="I1963" s="1246" t="s">
        <v>1491</v>
      </c>
      <c r="J1963" s="1246" t="s">
        <v>1462</v>
      </c>
      <c r="K1963" s="1284" t="str">
        <f t="shared" si="30"/>
        <v>71</v>
      </c>
      <c r="L1963" s="1246" t="s">
        <v>1495</v>
      </c>
      <c r="M1963" s="1250">
        <v>9</v>
      </c>
      <c r="N1963" s="1251">
        <v>12</v>
      </c>
      <c r="O1963" s="1252">
        <v>4</v>
      </c>
    </row>
    <row r="1964" spans="1:15">
      <c r="A1964" s="1246" t="s">
        <v>683</v>
      </c>
      <c r="B1964" s="1246" t="s">
        <v>434</v>
      </c>
      <c r="C1964" s="1247">
        <v>0.45</v>
      </c>
      <c r="E1964" s="1246" t="s">
        <v>279</v>
      </c>
      <c r="F1964" s="1248">
        <v>3</v>
      </c>
      <c r="G1964" s="1248">
        <v>3</v>
      </c>
      <c r="H1964" s="1249">
        <v>1</v>
      </c>
      <c r="I1964" s="1246" t="s">
        <v>1491</v>
      </c>
      <c r="J1964" s="1246" t="s">
        <v>1462</v>
      </c>
      <c r="K1964" s="1284" t="str">
        <f t="shared" si="30"/>
        <v>71</v>
      </c>
      <c r="L1964" s="1246" t="s">
        <v>1495</v>
      </c>
      <c r="M1964" s="1250">
        <v>9</v>
      </c>
      <c r="N1964" s="1251">
        <v>3</v>
      </c>
      <c r="O1964" s="1252">
        <v>1</v>
      </c>
    </row>
    <row r="1965" spans="1:15">
      <c r="A1965" s="1246" t="s">
        <v>1493</v>
      </c>
      <c r="B1965" s="1246" t="s">
        <v>434</v>
      </c>
      <c r="C1965" s="1247">
        <v>0.45</v>
      </c>
      <c r="E1965" s="1246" t="s">
        <v>365</v>
      </c>
      <c r="F1965" s="1248">
        <v>3</v>
      </c>
      <c r="G1965" s="1248">
        <v>3</v>
      </c>
      <c r="H1965" s="1249">
        <v>1</v>
      </c>
      <c r="I1965" s="1246" t="s">
        <v>1491</v>
      </c>
      <c r="J1965" s="1246" t="s">
        <v>1462</v>
      </c>
      <c r="K1965" s="1284" t="str">
        <f t="shared" si="30"/>
        <v>71</v>
      </c>
      <c r="L1965" s="1246" t="s">
        <v>1495</v>
      </c>
      <c r="M1965" s="1250">
        <v>9</v>
      </c>
      <c r="N1965" s="1251">
        <v>3</v>
      </c>
      <c r="O1965" s="1252">
        <v>1</v>
      </c>
    </row>
    <row r="1966" spans="1:15">
      <c r="A1966" s="1246" t="s">
        <v>1493</v>
      </c>
      <c r="B1966" s="1246" t="s">
        <v>434</v>
      </c>
      <c r="C1966" s="1247">
        <v>0.45</v>
      </c>
      <c r="E1966" s="1246" t="s">
        <v>1494</v>
      </c>
      <c r="F1966" s="1248">
        <v>3</v>
      </c>
      <c r="G1966" s="1248">
        <v>3</v>
      </c>
      <c r="H1966" s="1249">
        <v>1</v>
      </c>
      <c r="I1966" s="1246" t="s">
        <v>1491</v>
      </c>
      <c r="J1966" s="1246" t="s">
        <v>1462</v>
      </c>
      <c r="K1966" s="1284" t="str">
        <f t="shared" si="30"/>
        <v>71</v>
      </c>
      <c r="L1966" s="1246" t="s">
        <v>1495</v>
      </c>
      <c r="M1966" s="1250">
        <v>9</v>
      </c>
      <c r="N1966" s="1251">
        <v>39</v>
      </c>
      <c r="O1966" s="1252">
        <v>13</v>
      </c>
    </row>
    <row r="1967" spans="1:15">
      <c r="A1967" s="1246" t="s">
        <v>683</v>
      </c>
      <c r="B1967" s="1246" t="s">
        <v>434</v>
      </c>
      <c r="C1967" s="1247">
        <v>0.45</v>
      </c>
      <c r="E1967" s="1246" t="s">
        <v>1494</v>
      </c>
      <c r="F1967" s="1248">
        <v>3</v>
      </c>
      <c r="G1967" s="1248">
        <v>3</v>
      </c>
      <c r="H1967" s="1249">
        <v>1</v>
      </c>
      <c r="I1967" s="1246" t="s">
        <v>1491</v>
      </c>
      <c r="J1967" s="1246" t="s">
        <v>1462</v>
      </c>
      <c r="K1967" s="1284" t="str">
        <f t="shared" si="30"/>
        <v>71</v>
      </c>
      <c r="L1967" s="1246" t="s">
        <v>1495</v>
      </c>
      <c r="M1967" s="1250">
        <v>9</v>
      </c>
      <c r="N1967" s="1251">
        <v>12</v>
      </c>
      <c r="O1967" s="1252">
        <v>4</v>
      </c>
    </row>
    <row r="1968" spans="1:15">
      <c r="A1968" s="1246" t="s">
        <v>1493</v>
      </c>
      <c r="B1968" s="1246" t="s">
        <v>434</v>
      </c>
      <c r="C1968" s="1247">
        <v>0.45</v>
      </c>
      <c r="E1968" s="1246" t="s">
        <v>1494</v>
      </c>
      <c r="F1968" s="1248">
        <v>3</v>
      </c>
      <c r="G1968" s="1248">
        <v>3</v>
      </c>
      <c r="H1968" s="1249">
        <v>1</v>
      </c>
      <c r="I1968" s="1246" t="s">
        <v>1491</v>
      </c>
      <c r="J1968" s="1246" t="s">
        <v>1466</v>
      </c>
      <c r="K1968" s="1284" t="str">
        <f t="shared" si="30"/>
        <v>75</v>
      </c>
      <c r="L1968" s="1246" t="s">
        <v>1530</v>
      </c>
      <c r="M1968" s="1250">
        <v>9</v>
      </c>
      <c r="N1968" s="1251">
        <v>6</v>
      </c>
      <c r="O1968" s="1252">
        <v>2</v>
      </c>
    </row>
    <row r="1969" spans="1:15">
      <c r="A1969" s="1246" t="s">
        <v>1493</v>
      </c>
      <c r="B1969" s="1246" t="s">
        <v>434</v>
      </c>
      <c r="C1969" s="1247">
        <v>0.45</v>
      </c>
      <c r="E1969" s="1246" t="s">
        <v>376</v>
      </c>
      <c r="F1969" s="1248">
        <v>3</v>
      </c>
      <c r="G1969" s="1248">
        <v>3</v>
      </c>
      <c r="H1969" s="1249">
        <v>1</v>
      </c>
      <c r="I1969" s="1246" t="s">
        <v>1491</v>
      </c>
      <c r="J1969" s="1246" t="s">
        <v>1462</v>
      </c>
      <c r="K1969" s="1284" t="str">
        <f t="shared" si="30"/>
        <v>71</v>
      </c>
      <c r="L1969" s="1246" t="s">
        <v>1496</v>
      </c>
      <c r="M1969" s="1250">
        <v>9</v>
      </c>
      <c r="N1969" s="1251">
        <v>57</v>
      </c>
      <c r="O1969" s="1252">
        <v>19</v>
      </c>
    </row>
    <row r="1970" spans="1:15">
      <c r="A1970" s="1246" t="s">
        <v>1493</v>
      </c>
      <c r="B1970" s="1246" t="s">
        <v>434</v>
      </c>
      <c r="C1970" s="1247">
        <v>0.45</v>
      </c>
      <c r="E1970" s="1246" t="s">
        <v>1494</v>
      </c>
      <c r="F1970" s="1248">
        <v>3</v>
      </c>
      <c r="G1970" s="1248">
        <v>3</v>
      </c>
      <c r="H1970" s="1249">
        <v>2</v>
      </c>
      <c r="I1970" s="1246" t="s">
        <v>1491</v>
      </c>
      <c r="J1970" s="1246" t="s">
        <v>1463</v>
      </c>
      <c r="K1970" s="1284" t="str">
        <f t="shared" si="30"/>
        <v>72</v>
      </c>
      <c r="L1970" s="1246" t="s">
        <v>1529</v>
      </c>
      <c r="M1970" s="1250">
        <v>9</v>
      </c>
      <c r="N1970" s="1251">
        <v>6</v>
      </c>
      <c r="O1970" s="1252">
        <v>2</v>
      </c>
    </row>
    <row r="1971" spans="1:15">
      <c r="A1971" s="1246" t="s">
        <v>1493</v>
      </c>
      <c r="B1971" s="1246" t="s">
        <v>434</v>
      </c>
      <c r="C1971" s="1247">
        <v>0.45</v>
      </c>
      <c r="E1971" s="1246" t="s">
        <v>1494</v>
      </c>
      <c r="F1971" s="1248">
        <v>3</v>
      </c>
      <c r="G1971" s="1248">
        <v>3</v>
      </c>
      <c r="H1971" s="1249">
        <v>2</v>
      </c>
      <c r="I1971" s="1246" t="s">
        <v>1491</v>
      </c>
      <c r="J1971" s="1246" t="s">
        <v>1467</v>
      </c>
      <c r="K1971" s="1284" t="str">
        <f t="shared" si="30"/>
        <v>76</v>
      </c>
      <c r="L1971" s="1246" t="s">
        <v>1538</v>
      </c>
      <c r="M1971" s="1250">
        <v>9</v>
      </c>
      <c r="N1971" s="1251">
        <v>3</v>
      </c>
      <c r="O1971" s="1252">
        <v>1</v>
      </c>
    </row>
    <row r="1972" spans="1:15">
      <c r="A1972" s="1246" t="s">
        <v>1493</v>
      </c>
      <c r="B1972" s="1246" t="s">
        <v>434</v>
      </c>
      <c r="C1972" s="1247">
        <v>0.45</v>
      </c>
      <c r="E1972" s="1246" t="s">
        <v>1494</v>
      </c>
      <c r="F1972" s="1248">
        <v>3</v>
      </c>
      <c r="G1972" s="1248">
        <v>3</v>
      </c>
      <c r="H1972" s="1249">
        <v>2</v>
      </c>
      <c r="I1972" s="1246" t="s">
        <v>1491</v>
      </c>
      <c r="J1972" s="1246" t="s">
        <v>1400</v>
      </c>
      <c r="K1972" s="1284" t="str">
        <f t="shared" si="30"/>
        <v>70</v>
      </c>
      <c r="L1972" s="1246" t="s">
        <v>1532</v>
      </c>
      <c r="M1972" s="1250">
        <v>9</v>
      </c>
      <c r="N1972" s="1251">
        <v>6</v>
      </c>
      <c r="O1972" s="1252">
        <v>2</v>
      </c>
    </row>
    <row r="1973" spans="1:15">
      <c r="A1973" s="1246" t="s">
        <v>1493</v>
      </c>
      <c r="B1973" s="1246" t="s">
        <v>434</v>
      </c>
      <c r="C1973" s="1247">
        <v>0.45</v>
      </c>
      <c r="E1973" s="1246" t="s">
        <v>376</v>
      </c>
      <c r="F1973" s="1248">
        <v>3</v>
      </c>
      <c r="G1973" s="1248">
        <v>3</v>
      </c>
      <c r="H1973" s="1249">
        <v>2</v>
      </c>
      <c r="I1973" s="1246" t="s">
        <v>1491</v>
      </c>
      <c r="J1973" s="1246" t="s">
        <v>1400</v>
      </c>
      <c r="K1973" s="1284" t="str">
        <f t="shared" si="30"/>
        <v>70</v>
      </c>
      <c r="L1973" s="1246" t="s">
        <v>1532</v>
      </c>
      <c r="M1973" s="1250">
        <v>9</v>
      </c>
      <c r="N1973" s="1251">
        <v>6</v>
      </c>
      <c r="O1973" s="1252">
        <v>2</v>
      </c>
    </row>
    <row r="1974" spans="1:15">
      <c r="A1974" s="1246" t="s">
        <v>1493</v>
      </c>
      <c r="B1974" s="1246" t="s">
        <v>434</v>
      </c>
      <c r="C1974" s="1247">
        <v>0.45</v>
      </c>
      <c r="E1974" s="1246" t="s">
        <v>376</v>
      </c>
      <c r="F1974" s="1248">
        <v>3</v>
      </c>
      <c r="G1974" s="1248">
        <v>5</v>
      </c>
      <c r="H1974" s="1249">
        <v>1</v>
      </c>
      <c r="I1974" s="1246" t="s">
        <v>1491</v>
      </c>
      <c r="J1974" s="1246" t="s">
        <v>1464</v>
      </c>
      <c r="K1974" s="1284" t="str">
        <f t="shared" si="30"/>
        <v>73</v>
      </c>
      <c r="L1974" s="1246" t="s">
        <v>1533</v>
      </c>
      <c r="M1974" s="1250">
        <v>9</v>
      </c>
      <c r="N1974" s="1251">
        <v>3</v>
      </c>
      <c r="O1974" s="1252">
        <v>1</v>
      </c>
    </row>
    <row r="1975" spans="1:15">
      <c r="A1975" s="1246" t="s">
        <v>1493</v>
      </c>
      <c r="B1975" s="1246" t="s">
        <v>434</v>
      </c>
      <c r="C1975" s="1247">
        <v>0.45</v>
      </c>
      <c r="E1975" s="1246" t="s">
        <v>370</v>
      </c>
      <c r="F1975" s="1248">
        <v>3</v>
      </c>
      <c r="G1975" s="1248">
        <v>6</v>
      </c>
      <c r="H1975" s="1249">
        <v>1</v>
      </c>
      <c r="I1975" s="1246" t="s">
        <v>1491</v>
      </c>
      <c r="J1975" s="1246" t="s">
        <v>1462</v>
      </c>
      <c r="K1975" s="1284" t="str">
        <f t="shared" si="30"/>
        <v>71</v>
      </c>
      <c r="L1975" s="1246" t="s">
        <v>1495</v>
      </c>
      <c r="M1975" s="1250">
        <v>9</v>
      </c>
      <c r="N1975" s="1251">
        <v>3</v>
      </c>
      <c r="O1975" s="1252">
        <v>1</v>
      </c>
    </row>
    <row r="1976" spans="1:15">
      <c r="A1976" s="1246" t="s">
        <v>1493</v>
      </c>
      <c r="B1976" s="1246" t="s">
        <v>434</v>
      </c>
      <c r="C1976" s="1247">
        <v>0.45</v>
      </c>
      <c r="E1976" s="1246" t="s">
        <v>1494</v>
      </c>
      <c r="F1976" s="1248">
        <v>3</v>
      </c>
      <c r="G1976" s="1248">
        <v>6</v>
      </c>
      <c r="H1976" s="1249">
        <v>2</v>
      </c>
      <c r="I1976" s="1246" t="s">
        <v>1491</v>
      </c>
      <c r="J1976" s="1246" t="s">
        <v>1464</v>
      </c>
      <c r="K1976" s="1284" t="str">
        <f t="shared" si="30"/>
        <v>73</v>
      </c>
      <c r="L1976" s="1246" t="s">
        <v>1533</v>
      </c>
      <c r="M1976" s="1250">
        <v>9</v>
      </c>
      <c r="N1976" s="1251">
        <v>6</v>
      </c>
      <c r="O1976" s="1252">
        <v>2</v>
      </c>
    </row>
    <row r="1977" spans="1:15">
      <c r="A1977" s="1246" t="s">
        <v>1493</v>
      </c>
      <c r="B1977" s="1246" t="s">
        <v>434</v>
      </c>
      <c r="C1977" s="1247">
        <v>0.45</v>
      </c>
      <c r="E1977" s="1246" t="s">
        <v>1494</v>
      </c>
      <c r="F1977" s="1248">
        <v>4</v>
      </c>
      <c r="G1977" s="1248">
        <v>4</v>
      </c>
      <c r="H1977" s="1249">
        <v>1</v>
      </c>
      <c r="I1977" s="1246" t="s">
        <v>1491</v>
      </c>
      <c r="J1977" s="1246" t="s">
        <v>1470</v>
      </c>
      <c r="K1977" s="1284" t="str">
        <f t="shared" si="30"/>
        <v>7C</v>
      </c>
      <c r="L1977" s="1246" t="s">
        <v>1502</v>
      </c>
      <c r="M1977" s="1250">
        <v>4</v>
      </c>
      <c r="N1977" s="1251">
        <v>12</v>
      </c>
      <c r="O1977" s="1252">
        <v>3</v>
      </c>
    </row>
    <row r="1978" spans="1:15">
      <c r="A1978" s="1246" t="s">
        <v>1493</v>
      </c>
      <c r="B1978" s="1246" t="s">
        <v>434</v>
      </c>
      <c r="C1978" s="1247">
        <v>0.45</v>
      </c>
      <c r="E1978" s="1246" t="s">
        <v>376</v>
      </c>
      <c r="F1978" s="1248">
        <v>4</v>
      </c>
      <c r="G1978" s="1248">
        <v>4</v>
      </c>
      <c r="H1978" s="1249">
        <v>1</v>
      </c>
      <c r="I1978" s="1246" t="s">
        <v>1491</v>
      </c>
      <c r="J1978" s="1246" t="s">
        <v>1470</v>
      </c>
      <c r="K1978" s="1284" t="str">
        <f t="shared" si="30"/>
        <v>7C</v>
      </c>
      <c r="L1978" s="1246" t="s">
        <v>1502</v>
      </c>
      <c r="M1978" s="1250">
        <v>4</v>
      </c>
      <c r="N1978" s="1251">
        <v>4</v>
      </c>
      <c r="O1978" s="1252">
        <v>1</v>
      </c>
    </row>
    <row r="1979" spans="1:15">
      <c r="A1979" s="1246" t="s">
        <v>1493</v>
      </c>
      <c r="B1979" s="1246" t="s">
        <v>434</v>
      </c>
      <c r="C1979" s="1247">
        <v>0.45</v>
      </c>
      <c r="E1979" s="1246" t="s">
        <v>279</v>
      </c>
      <c r="F1979" s="1248">
        <v>4</v>
      </c>
      <c r="G1979" s="1248">
        <v>4</v>
      </c>
      <c r="H1979" s="1249">
        <v>1</v>
      </c>
      <c r="I1979" s="1246" t="s">
        <v>1491</v>
      </c>
      <c r="J1979" s="1246" t="s">
        <v>1468</v>
      </c>
      <c r="K1979" s="1284" t="str">
        <f t="shared" si="30"/>
        <v>7A</v>
      </c>
      <c r="L1979" s="1246" t="s">
        <v>1545</v>
      </c>
      <c r="M1979" s="1250">
        <v>4</v>
      </c>
      <c r="N1979" s="1251">
        <v>4</v>
      </c>
      <c r="O1979" s="1252">
        <v>1</v>
      </c>
    </row>
    <row r="1980" spans="1:15">
      <c r="A1980" s="1246" t="s">
        <v>1490</v>
      </c>
      <c r="B1980" s="1246" t="s">
        <v>434</v>
      </c>
      <c r="C1980" s="1247">
        <v>0.45</v>
      </c>
      <c r="F1980" s="1248">
        <v>4</v>
      </c>
      <c r="G1980" s="1248">
        <v>4</v>
      </c>
      <c r="H1980" s="1249">
        <v>1</v>
      </c>
      <c r="I1980" s="1246" t="s">
        <v>1491</v>
      </c>
      <c r="J1980" s="1246" t="s">
        <v>1454</v>
      </c>
      <c r="K1980" s="1284" t="str">
        <f t="shared" si="30"/>
        <v>31</v>
      </c>
      <c r="L1980" s="1246" t="s">
        <v>1506</v>
      </c>
      <c r="M1980" s="1250">
        <v>1</v>
      </c>
      <c r="N1980" s="1251">
        <v>4</v>
      </c>
      <c r="O1980" s="1252">
        <v>1</v>
      </c>
    </row>
    <row r="1981" spans="1:15">
      <c r="A1981" s="1246" t="s">
        <v>1490</v>
      </c>
      <c r="B1981" s="1246" t="s">
        <v>434</v>
      </c>
      <c r="C1981" s="1247">
        <v>0.45</v>
      </c>
      <c r="F1981" s="1248">
        <v>4</v>
      </c>
      <c r="G1981" s="1248">
        <v>4</v>
      </c>
      <c r="H1981" s="1249">
        <v>1</v>
      </c>
      <c r="I1981" s="1246" t="s">
        <v>1491</v>
      </c>
      <c r="J1981" s="1246" t="s">
        <v>1399</v>
      </c>
      <c r="K1981" s="1284" t="str">
        <f t="shared" si="30"/>
        <v>30</v>
      </c>
      <c r="L1981" s="1246" t="s">
        <v>1510</v>
      </c>
      <c r="M1981" s="1250">
        <v>1</v>
      </c>
      <c r="N1981" s="1251">
        <v>4</v>
      </c>
      <c r="O1981" s="1252">
        <v>1</v>
      </c>
    </row>
    <row r="1982" spans="1:15">
      <c r="A1982" s="1246" t="s">
        <v>1490</v>
      </c>
      <c r="B1982" s="1246" t="s">
        <v>434</v>
      </c>
      <c r="C1982" s="1247">
        <v>0.45</v>
      </c>
      <c r="E1982" s="1246" t="s">
        <v>370</v>
      </c>
      <c r="F1982" s="1248">
        <v>4</v>
      </c>
      <c r="G1982" s="1248">
        <v>4</v>
      </c>
      <c r="H1982" s="1249">
        <v>1</v>
      </c>
      <c r="I1982" s="1246" t="s">
        <v>1491</v>
      </c>
      <c r="J1982" s="1246" t="s">
        <v>1399</v>
      </c>
      <c r="K1982" s="1284" t="str">
        <f t="shared" si="30"/>
        <v>30</v>
      </c>
      <c r="L1982" s="1246" t="s">
        <v>1528</v>
      </c>
      <c r="M1982" s="1250">
        <v>3</v>
      </c>
      <c r="N1982" s="1251">
        <v>4</v>
      </c>
      <c r="O1982" s="1252">
        <v>1</v>
      </c>
    </row>
    <row r="1983" spans="1:15">
      <c r="A1983" s="1246" t="s">
        <v>1493</v>
      </c>
      <c r="B1983" s="1246" t="s">
        <v>434</v>
      </c>
      <c r="C1983" s="1247">
        <v>0.45</v>
      </c>
      <c r="E1983" s="1246" t="s">
        <v>365</v>
      </c>
      <c r="F1983" s="1248">
        <v>4</v>
      </c>
      <c r="G1983" s="1248">
        <v>4</v>
      </c>
      <c r="H1983" s="1249">
        <v>1</v>
      </c>
      <c r="I1983" s="1246" t="s">
        <v>1491</v>
      </c>
      <c r="J1983" s="1246" t="s">
        <v>1462</v>
      </c>
      <c r="K1983" s="1284" t="str">
        <f t="shared" si="30"/>
        <v>71</v>
      </c>
      <c r="L1983" s="1246" t="s">
        <v>1495</v>
      </c>
      <c r="M1983" s="1250">
        <v>9</v>
      </c>
      <c r="N1983" s="1251">
        <v>4</v>
      </c>
      <c r="O1983" s="1252">
        <v>1</v>
      </c>
    </row>
    <row r="1984" spans="1:15">
      <c r="A1984" s="1246" t="s">
        <v>1493</v>
      </c>
      <c r="B1984" s="1246" t="s">
        <v>434</v>
      </c>
      <c r="C1984" s="1247">
        <v>0.45</v>
      </c>
      <c r="E1984" s="1246" t="s">
        <v>1494</v>
      </c>
      <c r="F1984" s="1248">
        <v>4</v>
      </c>
      <c r="G1984" s="1248">
        <v>4</v>
      </c>
      <c r="H1984" s="1249">
        <v>1</v>
      </c>
      <c r="I1984" s="1246" t="s">
        <v>1491</v>
      </c>
      <c r="J1984" s="1246" t="s">
        <v>1462</v>
      </c>
      <c r="K1984" s="1284" t="str">
        <f t="shared" si="30"/>
        <v>71</v>
      </c>
      <c r="L1984" s="1246" t="s">
        <v>1495</v>
      </c>
      <c r="M1984" s="1250">
        <v>9</v>
      </c>
      <c r="N1984" s="1251">
        <v>24</v>
      </c>
      <c r="O1984" s="1252">
        <v>6</v>
      </c>
    </row>
    <row r="1985" spans="1:15">
      <c r="A1985" s="1246" t="s">
        <v>683</v>
      </c>
      <c r="B1985" s="1246" t="s">
        <v>434</v>
      </c>
      <c r="C1985" s="1247">
        <v>0.45</v>
      </c>
      <c r="E1985" s="1246" t="s">
        <v>1494</v>
      </c>
      <c r="F1985" s="1248">
        <v>4</v>
      </c>
      <c r="G1985" s="1248">
        <v>4</v>
      </c>
      <c r="H1985" s="1249">
        <v>1</v>
      </c>
      <c r="I1985" s="1246" t="s">
        <v>1491</v>
      </c>
      <c r="J1985" s="1246" t="s">
        <v>1462</v>
      </c>
      <c r="K1985" s="1284" t="str">
        <f t="shared" si="30"/>
        <v>71</v>
      </c>
      <c r="L1985" s="1246" t="s">
        <v>1495</v>
      </c>
      <c r="M1985" s="1250">
        <v>9</v>
      </c>
      <c r="N1985" s="1251">
        <v>12</v>
      </c>
      <c r="O1985" s="1252">
        <v>3</v>
      </c>
    </row>
    <row r="1986" spans="1:15">
      <c r="A1986" s="1246" t="s">
        <v>1493</v>
      </c>
      <c r="B1986" s="1246" t="s">
        <v>434</v>
      </c>
      <c r="C1986" s="1247">
        <v>0.45</v>
      </c>
      <c r="E1986" s="1246" t="s">
        <v>370</v>
      </c>
      <c r="F1986" s="1248">
        <v>4</v>
      </c>
      <c r="G1986" s="1248">
        <v>4</v>
      </c>
      <c r="H1986" s="1249">
        <v>1</v>
      </c>
      <c r="I1986" s="1246" t="s">
        <v>1491</v>
      </c>
      <c r="J1986" s="1246" t="s">
        <v>1462</v>
      </c>
      <c r="K1986" s="1284" t="str">
        <f t="shared" ref="K1986:K2049" si="31">IF(J1986="1B","10", IF(J1986="2B","20",IF(J1986="3B","30",IF(J1986="7B",70,J1986))))</f>
        <v>71</v>
      </c>
      <c r="L1986" s="1246" t="s">
        <v>1495</v>
      </c>
      <c r="M1986" s="1250">
        <v>9</v>
      </c>
      <c r="N1986" s="1251">
        <v>4</v>
      </c>
      <c r="O1986" s="1252">
        <v>1</v>
      </c>
    </row>
    <row r="1987" spans="1:15">
      <c r="A1987" s="1246" t="s">
        <v>1493</v>
      </c>
      <c r="B1987" s="1246" t="s">
        <v>434</v>
      </c>
      <c r="C1987" s="1247">
        <v>0.45</v>
      </c>
      <c r="E1987" s="1246" t="s">
        <v>1494</v>
      </c>
      <c r="F1987" s="1248">
        <v>4</v>
      </c>
      <c r="G1987" s="1248">
        <v>4</v>
      </c>
      <c r="H1987" s="1249">
        <v>1</v>
      </c>
      <c r="I1987" s="1246" t="s">
        <v>1491</v>
      </c>
      <c r="J1987" s="1246" t="s">
        <v>1400</v>
      </c>
      <c r="K1987" s="1284" t="str">
        <f t="shared" si="31"/>
        <v>70</v>
      </c>
      <c r="L1987" s="1246" t="s">
        <v>1536</v>
      </c>
      <c r="M1987" s="1250">
        <v>9</v>
      </c>
      <c r="N1987" s="1251">
        <v>4</v>
      </c>
      <c r="O1987" s="1252">
        <v>1</v>
      </c>
    </row>
    <row r="1988" spans="1:15">
      <c r="A1988" s="1246" t="s">
        <v>1493</v>
      </c>
      <c r="B1988" s="1246" t="s">
        <v>434</v>
      </c>
      <c r="C1988" s="1247">
        <v>0.45</v>
      </c>
      <c r="E1988" s="1246" t="s">
        <v>376</v>
      </c>
      <c r="F1988" s="1248">
        <v>4</v>
      </c>
      <c r="G1988" s="1248">
        <v>4</v>
      </c>
      <c r="H1988" s="1249">
        <v>1</v>
      </c>
      <c r="I1988" s="1246" t="s">
        <v>1491</v>
      </c>
      <c r="J1988" s="1246" t="s">
        <v>1400</v>
      </c>
      <c r="K1988" s="1284" t="str">
        <f t="shared" si="31"/>
        <v>70</v>
      </c>
      <c r="L1988" s="1246" t="s">
        <v>1532</v>
      </c>
      <c r="M1988" s="1250">
        <v>9</v>
      </c>
      <c r="N1988" s="1251">
        <v>4</v>
      </c>
      <c r="O1988" s="1252">
        <v>1</v>
      </c>
    </row>
    <row r="1989" spans="1:15">
      <c r="A1989" s="1246" t="s">
        <v>1493</v>
      </c>
      <c r="B1989" s="1246" t="s">
        <v>434</v>
      </c>
      <c r="C1989" s="1247">
        <v>0.45</v>
      </c>
      <c r="E1989" s="1246" t="s">
        <v>376</v>
      </c>
      <c r="F1989" s="1248">
        <v>4</v>
      </c>
      <c r="G1989" s="1248">
        <v>4</v>
      </c>
      <c r="H1989" s="1249">
        <v>1</v>
      </c>
      <c r="I1989" s="1246" t="s">
        <v>1491</v>
      </c>
      <c r="J1989" s="1246" t="s">
        <v>1464</v>
      </c>
      <c r="K1989" s="1284" t="str">
        <f t="shared" si="31"/>
        <v>73</v>
      </c>
      <c r="L1989" s="1246" t="s">
        <v>1533</v>
      </c>
      <c r="M1989" s="1250">
        <v>9</v>
      </c>
      <c r="N1989" s="1251">
        <v>4</v>
      </c>
      <c r="O1989" s="1252">
        <v>1</v>
      </c>
    </row>
    <row r="1990" spans="1:15">
      <c r="A1990" s="1246" t="s">
        <v>1493</v>
      </c>
      <c r="B1990" s="1246" t="s">
        <v>434</v>
      </c>
      <c r="C1990" s="1247">
        <v>0.45</v>
      </c>
      <c r="E1990" s="1246" t="s">
        <v>376</v>
      </c>
      <c r="F1990" s="1248">
        <v>4</v>
      </c>
      <c r="G1990" s="1248">
        <v>4</v>
      </c>
      <c r="H1990" s="1249">
        <v>1</v>
      </c>
      <c r="I1990" s="1246" t="s">
        <v>1491</v>
      </c>
      <c r="J1990" s="1246" t="s">
        <v>1462</v>
      </c>
      <c r="K1990" s="1284" t="str">
        <f t="shared" si="31"/>
        <v>71</v>
      </c>
      <c r="L1990" s="1246" t="s">
        <v>1496</v>
      </c>
      <c r="M1990" s="1250">
        <v>9</v>
      </c>
      <c r="N1990" s="1251">
        <v>36</v>
      </c>
      <c r="O1990" s="1252">
        <v>9</v>
      </c>
    </row>
    <row r="1991" spans="1:15">
      <c r="A1991" s="1246" t="s">
        <v>1493</v>
      </c>
      <c r="B1991" s="1246" t="s">
        <v>434</v>
      </c>
      <c r="C1991" s="1247">
        <v>0.45</v>
      </c>
      <c r="E1991" s="1246" t="s">
        <v>1494</v>
      </c>
      <c r="F1991" s="1248">
        <v>4</v>
      </c>
      <c r="G1991" s="1248">
        <v>4</v>
      </c>
      <c r="H1991" s="1249">
        <v>2</v>
      </c>
      <c r="I1991" s="1246" t="s">
        <v>1491</v>
      </c>
      <c r="J1991" s="1246" t="s">
        <v>1463</v>
      </c>
      <c r="K1991" s="1284" t="str">
        <f t="shared" si="31"/>
        <v>72</v>
      </c>
      <c r="L1991" s="1246" t="s">
        <v>1529</v>
      </c>
      <c r="M1991" s="1250">
        <v>9</v>
      </c>
      <c r="N1991" s="1251">
        <v>4</v>
      </c>
      <c r="O1991" s="1252">
        <v>1</v>
      </c>
    </row>
    <row r="1992" spans="1:15">
      <c r="A1992" s="1246" t="s">
        <v>1493</v>
      </c>
      <c r="B1992" s="1246" t="s">
        <v>434</v>
      </c>
      <c r="C1992" s="1247">
        <v>0.45</v>
      </c>
      <c r="E1992" s="1246" t="s">
        <v>376</v>
      </c>
      <c r="F1992" s="1248">
        <v>4</v>
      </c>
      <c r="G1992" s="1248">
        <v>4</v>
      </c>
      <c r="H1992" s="1249">
        <v>2</v>
      </c>
      <c r="I1992" s="1246" t="s">
        <v>1491</v>
      </c>
      <c r="J1992" s="1246" t="s">
        <v>1463</v>
      </c>
      <c r="K1992" s="1284" t="str">
        <f t="shared" si="31"/>
        <v>72</v>
      </c>
      <c r="L1992" s="1246" t="s">
        <v>1529</v>
      </c>
      <c r="M1992" s="1250">
        <v>9</v>
      </c>
      <c r="N1992" s="1251">
        <v>8</v>
      </c>
      <c r="O1992" s="1252">
        <v>2</v>
      </c>
    </row>
    <row r="1993" spans="1:15">
      <c r="A1993" s="1246" t="s">
        <v>1493</v>
      </c>
      <c r="B1993" s="1246" t="s">
        <v>434</v>
      </c>
      <c r="C1993" s="1247">
        <v>0.45</v>
      </c>
      <c r="E1993" s="1246" t="s">
        <v>1494</v>
      </c>
      <c r="F1993" s="1248">
        <v>4</v>
      </c>
      <c r="G1993" s="1248">
        <v>4</v>
      </c>
      <c r="H1993" s="1249">
        <v>2</v>
      </c>
      <c r="I1993" s="1246" t="s">
        <v>1491</v>
      </c>
      <c r="J1993" s="1246" t="s">
        <v>1400</v>
      </c>
      <c r="K1993" s="1284" t="str">
        <f t="shared" si="31"/>
        <v>70</v>
      </c>
      <c r="L1993" s="1246" t="s">
        <v>1532</v>
      </c>
      <c r="M1993" s="1250">
        <v>9</v>
      </c>
      <c r="N1993" s="1251">
        <v>4</v>
      </c>
      <c r="O1993" s="1252">
        <v>1</v>
      </c>
    </row>
    <row r="1994" spans="1:15">
      <c r="A1994" s="1246" t="s">
        <v>1493</v>
      </c>
      <c r="B1994" s="1246" t="s">
        <v>434</v>
      </c>
      <c r="C1994" s="1247">
        <v>0.45</v>
      </c>
      <c r="E1994" s="1246" t="s">
        <v>376</v>
      </c>
      <c r="F1994" s="1248">
        <v>4</v>
      </c>
      <c r="G1994" s="1248">
        <v>4</v>
      </c>
      <c r="H1994" s="1249">
        <v>2</v>
      </c>
      <c r="I1994" s="1246" t="s">
        <v>1491</v>
      </c>
      <c r="J1994" s="1246" t="s">
        <v>1400</v>
      </c>
      <c r="K1994" s="1284" t="str">
        <f t="shared" si="31"/>
        <v>70</v>
      </c>
      <c r="L1994" s="1246" t="s">
        <v>1532</v>
      </c>
      <c r="M1994" s="1250">
        <v>9</v>
      </c>
      <c r="N1994" s="1251">
        <v>16</v>
      </c>
      <c r="O1994" s="1252">
        <v>4</v>
      </c>
    </row>
    <row r="1995" spans="1:15">
      <c r="A1995" s="1246" t="s">
        <v>1493</v>
      </c>
      <c r="B1995" s="1246" t="s">
        <v>434</v>
      </c>
      <c r="C1995" s="1247">
        <v>0.45</v>
      </c>
      <c r="E1995" s="1246" t="s">
        <v>1494</v>
      </c>
      <c r="F1995" s="1248">
        <v>4</v>
      </c>
      <c r="G1995" s="1248">
        <v>8</v>
      </c>
      <c r="H1995" s="1249">
        <v>1</v>
      </c>
      <c r="I1995" s="1246" t="s">
        <v>1491</v>
      </c>
      <c r="J1995" s="1246" t="s">
        <v>1462</v>
      </c>
      <c r="K1995" s="1284" t="str">
        <f t="shared" si="31"/>
        <v>71</v>
      </c>
      <c r="L1995" s="1246" t="s">
        <v>1495</v>
      </c>
      <c r="M1995" s="1250">
        <v>9</v>
      </c>
      <c r="N1995" s="1251">
        <v>4</v>
      </c>
      <c r="O1995" s="1252">
        <v>1</v>
      </c>
    </row>
    <row r="1996" spans="1:15">
      <c r="A1996" s="1246" t="s">
        <v>683</v>
      </c>
      <c r="B1996" s="1246" t="s">
        <v>434</v>
      </c>
      <c r="C1996" s="1247">
        <v>0.45</v>
      </c>
      <c r="E1996" s="1246" t="s">
        <v>1494</v>
      </c>
      <c r="F1996" s="1248">
        <v>4</v>
      </c>
      <c r="G1996" s="1248">
        <v>8</v>
      </c>
      <c r="H1996" s="1249">
        <v>1</v>
      </c>
      <c r="I1996" s="1246" t="s">
        <v>1491</v>
      </c>
      <c r="J1996" s="1246" t="s">
        <v>1462</v>
      </c>
      <c r="K1996" s="1284" t="str">
        <f t="shared" si="31"/>
        <v>71</v>
      </c>
      <c r="L1996" s="1246" t="s">
        <v>1495</v>
      </c>
      <c r="M1996" s="1250">
        <v>9</v>
      </c>
      <c r="N1996" s="1251">
        <v>4</v>
      </c>
      <c r="O1996" s="1252">
        <v>1</v>
      </c>
    </row>
    <row r="1997" spans="1:15">
      <c r="A1997" s="1246" t="s">
        <v>1493</v>
      </c>
      <c r="B1997" s="1246" t="s">
        <v>434</v>
      </c>
      <c r="C1997" s="1247">
        <v>0.45</v>
      </c>
      <c r="E1997" s="1246" t="s">
        <v>370</v>
      </c>
      <c r="F1997" s="1248">
        <v>4</v>
      </c>
      <c r="G1997" s="1248">
        <v>8</v>
      </c>
      <c r="H1997" s="1249">
        <v>1</v>
      </c>
      <c r="I1997" s="1246" t="s">
        <v>1491</v>
      </c>
      <c r="J1997" s="1246" t="s">
        <v>1462</v>
      </c>
      <c r="K1997" s="1284" t="str">
        <f t="shared" si="31"/>
        <v>71</v>
      </c>
      <c r="L1997" s="1246" t="s">
        <v>1495</v>
      </c>
      <c r="M1997" s="1250">
        <v>9</v>
      </c>
      <c r="N1997" s="1251">
        <v>4</v>
      </c>
      <c r="O1997" s="1252">
        <v>1</v>
      </c>
    </row>
    <row r="1998" spans="1:15">
      <c r="A1998" s="1246" t="s">
        <v>1493</v>
      </c>
      <c r="B1998" s="1246" t="s">
        <v>434</v>
      </c>
      <c r="C1998" s="1247">
        <v>0.45</v>
      </c>
      <c r="E1998" s="1246" t="s">
        <v>376</v>
      </c>
      <c r="F1998" s="1248">
        <v>4</v>
      </c>
      <c r="G1998" s="1248">
        <v>8</v>
      </c>
      <c r="H1998" s="1249">
        <v>2</v>
      </c>
      <c r="I1998" s="1246" t="s">
        <v>1491</v>
      </c>
      <c r="J1998" s="1246" t="s">
        <v>1464</v>
      </c>
      <c r="K1998" s="1284" t="str">
        <f t="shared" si="31"/>
        <v>73</v>
      </c>
      <c r="L1998" s="1246" t="s">
        <v>1533</v>
      </c>
      <c r="M1998" s="1250">
        <v>9</v>
      </c>
      <c r="N1998" s="1251">
        <v>12</v>
      </c>
      <c r="O1998" s="1252">
        <v>3</v>
      </c>
    </row>
    <row r="1999" spans="1:15">
      <c r="A1999" s="1246" t="s">
        <v>683</v>
      </c>
      <c r="B1999" s="1246" t="s">
        <v>434</v>
      </c>
      <c r="C1999" s="1247">
        <v>0.45</v>
      </c>
      <c r="E1999" s="1246" t="s">
        <v>1494</v>
      </c>
      <c r="F1999" s="1248">
        <v>5</v>
      </c>
      <c r="G1999" s="1248">
        <v>0</v>
      </c>
      <c r="H1999" s="1249">
        <v>0</v>
      </c>
      <c r="J1999" s="1246" t="s">
        <v>1462</v>
      </c>
      <c r="K1999" s="1284" t="str">
        <f t="shared" si="31"/>
        <v>71</v>
      </c>
      <c r="L1999" s="1246" t="s">
        <v>1495</v>
      </c>
      <c r="M1999" s="1250">
        <v>9</v>
      </c>
      <c r="N1999" s="1251">
        <v>5</v>
      </c>
      <c r="O1999" s="1252">
        <v>1</v>
      </c>
    </row>
    <row r="2000" spans="1:15">
      <c r="A2000" s="1246" t="s">
        <v>1493</v>
      </c>
      <c r="B2000" s="1246" t="s">
        <v>434</v>
      </c>
      <c r="C2000" s="1247">
        <v>0.45</v>
      </c>
      <c r="E2000" s="1246" t="s">
        <v>279</v>
      </c>
      <c r="F2000" s="1248">
        <v>5</v>
      </c>
      <c r="G2000" s="1248">
        <v>5</v>
      </c>
      <c r="H2000" s="1249">
        <v>1</v>
      </c>
      <c r="I2000" s="1246" t="s">
        <v>1491</v>
      </c>
      <c r="J2000" s="1246" t="s">
        <v>1470</v>
      </c>
      <c r="K2000" s="1284" t="str">
        <f t="shared" si="31"/>
        <v>7C</v>
      </c>
      <c r="L2000" s="1246" t="s">
        <v>1502</v>
      </c>
      <c r="M2000" s="1250">
        <v>4</v>
      </c>
      <c r="N2000" s="1251">
        <v>5</v>
      </c>
      <c r="O2000" s="1252">
        <v>1</v>
      </c>
    </row>
    <row r="2001" spans="1:15">
      <c r="A2001" s="1246" t="s">
        <v>1493</v>
      </c>
      <c r="B2001" s="1246" t="s">
        <v>434</v>
      </c>
      <c r="C2001" s="1247">
        <v>0.45</v>
      </c>
      <c r="E2001" s="1246" t="s">
        <v>376</v>
      </c>
      <c r="F2001" s="1248">
        <v>5</v>
      </c>
      <c r="G2001" s="1248">
        <v>5</v>
      </c>
      <c r="H2001" s="1249">
        <v>1</v>
      </c>
      <c r="I2001" s="1246" t="s">
        <v>1491</v>
      </c>
      <c r="J2001" s="1246" t="s">
        <v>1470</v>
      </c>
      <c r="K2001" s="1284" t="str">
        <f t="shared" si="31"/>
        <v>7C</v>
      </c>
      <c r="L2001" s="1246" t="s">
        <v>1502</v>
      </c>
      <c r="M2001" s="1250">
        <v>4</v>
      </c>
      <c r="N2001" s="1251">
        <v>5</v>
      </c>
      <c r="O2001" s="1252">
        <v>1</v>
      </c>
    </row>
    <row r="2002" spans="1:15">
      <c r="A2002" s="1246" t="s">
        <v>1493</v>
      </c>
      <c r="B2002" s="1246" t="s">
        <v>434</v>
      </c>
      <c r="C2002" s="1247">
        <v>0.45</v>
      </c>
      <c r="E2002" s="1246" t="s">
        <v>1494</v>
      </c>
      <c r="F2002" s="1248">
        <v>5</v>
      </c>
      <c r="G2002" s="1248">
        <v>5</v>
      </c>
      <c r="H2002" s="1249">
        <v>1</v>
      </c>
      <c r="I2002" s="1246" t="s">
        <v>1491</v>
      </c>
      <c r="J2002" s="1246" t="s">
        <v>1470</v>
      </c>
      <c r="K2002" s="1284" t="str">
        <f t="shared" si="31"/>
        <v>7C</v>
      </c>
      <c r="L2002" s="1246" t="s">
        <v>1502</v>
      </c>
      <c r="M2002" s="1250">
        <v>4</v>
      </c>
      <c r="N2002" s="1251">
        <v>5</v>
      </c>
      <c r="O2002" s="1252">
        <v>1</v>
      </c>
    </row>
    <row r="2003" spans="1:15">
      <c r="A2003" s="1246" t="s">
        <v>1493</v>
      </c>
      <c r="B2003" s="1246" t="s">
        <v>434</v>
      </c>
      <c r="C2003" s="1247">
        <v>0.45</v>
      </c>
      <c r="E2003" s="1246" t="s">
        <v>279</v>
      </c>
      <c r="F2003" s="1248">
        <v>5</v>
      </c>
      <c r="G2003" s="1248">
        <v>5</v>
      </c>
      <c r="H2003" s="1249">
        <v>1</v>
      </c>
      <c r="I2003" s="1246" t="s">
        <v>1491</v>
      </c>
      <c r="J2003" s="1246" t="s">
        <v>1468</v>
      </c>
      <c r="K2003" s="1284" t="str">
        <f t="shared" si="31"/>
        <v>7A</v>
      </c>
      <c r="L2003" s="1246" t="s">
        <v>1545</v>
      </c>
      <c r="M2003" s="1250">
        <v>4</v>
      </c>
      <c r="N2003" s="1251">
        <v>5</v>
      </c>
      <c r="O2003" s="1252">
        <v>1</v>
      </c>
    </row>
    <row r="2004" spans="1:15">
      <c r="A2004" s="1246" t="s">
        <v>1490</v>
      </c>
      <c r="B2004" s="1246" t="s">
        <v>434</v>
      </c>
      <c r="C2004" s="1247">
        <v>0.45</v>
      </c>
      <c r="E2004" s="1246" t="s">
        <v>370</v>
      </c>
      <c r="F2004" s="1248">
        <v>5</v>
      </c>
      <c r="G2004" s="1248">
        <v>5</v>
      </c>
      <c r="H2004" s="1249">
        <v>1</v>
      </c>
      <c r="I2004" s="1246" t="s">
        <v>1491</v>
      </c>
      <c r="J2004" s="1246" t="s">
        <v>1454</v>
      </c>
      <c r="K2004" s="1284" t="str">
        <f t="shared" si="31"/>
        <v>31</v>
      </c>
      <c r="L2004" s="1246" t="s">
        <v>1506</v>
      </c>
      <c r="M2004" s="1250">
        <v>1</v>
      </c>
      <c r="N2004" s="1251">
        <v>5</v>
      </c>
      <c r="O2004" s="1252">
        <v>1</v>
      </c>
    </row>
    <row r="2005" spans="1:15">
      <c r="A2005" s="1246" t="s">
        <v>1493</v>
      </c>
      <c r="B2005" s="1246" t="s">
        <v>434</v>
      </c>
      <c r="C2005" s="1247">
        <v>0.45</v>
      </c>
      <c r="E2005" s="1246" t="s">
        <v>1494</v>
      </c>
      <c r="F2005" s="1248">
        <v>5</v>
      </c>
      <c r="G2005" s="1248">
        <v>5</v>
      </c>
      <c r="H2005" s="1249">
        <v>1</v>
      </c>
      <c r="I2005" s="1246" t="s">
        <v>1491</v>
      </c>
      <c r="J2005" s="1246" t="s">
        <v>1462</v>
      </c>
      <c r="K2005" s="1284" t="str">
        <f t="shared" si="31"/>
        <v>71</v>
      </c>
      <c r="L2005" s="1246" t="s">
        <v>1495</v>
      </c>
      <c r="M2005" s="1250">
        <v>9</v>
      </c>
      <c r="N2005" s="1251">
        <v>10</v>
      </c>
      <c r="O2005" s="1252">
        <v>2</v>
      </c>
    </row>
    <row r="2006" spans="1:15">
      <c r="A2006" s="1246" t="s">
        <v>683</v>
      </c>
      <c r="B2006" s="1246" t="s">
        <v>434</v>
      </c>
      <c r="C2006" s="1247">
        <v>0.45</v>
      </c>
      <c r="E2006" s="1246" t="s">
        <v>1494</v>
      </c>
      <c r="F2006" s="1248">
        <v>5</v>
      </c>
      <c r="G2006" s="1248">
        <v>5</v>
      </c>
      <c r="H2006" s="1249">
        <v>1</v>
      </c>
      <c r="I2006" s="1246" t="s">
        <v>1491</v>
      </c>
      <c r="J2006" s="1246" t="s">
        <v>1462</v>
      </c>
      <c r="K2006" s="1284" t="str">
        <f t="shared" si="31"/>
        <v>71</v>
      </c>
      <c r="L2006" s="1246" t="s">
        <v>1495</v>
      </c>
      <c r="M2006" s="1250">
        <v>9</v>
      </c>
      <c r="N2006" s="1251">
        <v>5</v>
      </c>
      <c r="O2006" s="1252">
        <v>1</v>
      </c>
    </row>
    <row r="2007" spans="1:15">
      <c r="A2007" s="1246" t="s">
        <v>1493</v>
      </c>
      <c r="B2007" s="1246" t="s">
        <v>434</v>
      </c>
      <c r="C2007" s="1247">
        <v>0.45</v>
      </c>
      <c r="E2007" s="1246" t="s">
        <v>376</v>
      </c>
      <c r="F2007" s="1248">
        <v>5</v>
      </c>
      <c r="G2007" s="1248">
        <v>5</v>
      </c>
      <c r="H2007" s="1249">
        <v>1</v>
      </c>
      <c r="I2007" s="1246" t="s">
        <v>1491</v>
      </c>
      <c r="J2007" s="1246" t="s">
        <v>1462</v>
      </c>
      <c r="K2007" s="1284" t="str">
        <f t="shared" si="31"/>
        <v>71</v>
      </c>
      <c r="L2007" s="1246" t="s">
        <v>1496</v>
      </c>
      <c r="M2007" s="1250">
        <v>9</v>
      </c>
      <c r="N2007" s="1251">
        <v>10</v>
      </c>
      <c r="O2007" s="1252">
        <v>2</v>
      </c>
    </row>
    <row r="2008" spans="1:15">
      <c r="A2008" s="1246" t="s">
        <v>1493</v>
      </c>
      <c r="B2008" s="1246" t="s">
        <v>434</v>
      </c>
      <c r="C2008" s="1247">
        <v>0.45</v>
      </c>
      <c r="E2008" s="1246" t="s">
        <v>1494</v>
      </c>
      <c r="F2008" s="1248">
        <v>5</v>
      </c>
      <c r="G2008" s="1248">
        <v>10</v>
      </c>
      <c r="H2008" s="1249">
        <v>1</v>
      </c>
      <c r="I2008" s="1246" t="s">
        <v>1491</v>
      </c>
      <c r="J2008" s="1246" t="s">
        <v>1462</v>
      </c>
      <c r="K2008" s="1284" t="str">
        <f t="shared" si="31"/>
        <v>71</v>
      </c>
      <c r="L2008" s="1246" t="s">
        <v>1495</v>
      </c>
      <c r="M2008" s="1250">
        <v>9</v>
      </c>
      <c r="N2008" s="1251">
        <v>5</v>
      </c>
      <c r="O2008" s="1252">
        <v>1</v>
      </c>
    </row>
    <row r="2009" spans="1:15">
      <c r="A2009" s="1246" t="s">
        <v>1493</v>
      </c>
      <c r="B2009" s="1246" t="s">
        <v>434</v>
      </c>
      <c r="C2009" s="1247">
        <v>0.45</v>
      </c>
      <c r="E2009" s="1246" t="s">
        <v>376</v>
      </c>
      <c r="F2009" s="1248">
        <v>5</v>
      </c>
      <c r="G2009" s="1248">
        <v>10</v>
      </c>
      <c r="H2009" s="1249">
        <v>1</v>
      </c>
      <c r="I2009" s="1246" t="s">
        <v>1491</v>
      </c>
      <c r="J2009" s="1246" t="s">
        <v>1462</v>
      </c>
      <c r="K2009" s="1284" t="str">
        <f t="shared" si="31"/>
        <v>71</v>
      </c>
      <c r="L2009" s="1246" t="s">
        <v>1496</v>
      </c>
      <c r="M2009" s="1250">
        <v>9</v>
      </c>
      <c r="N2009" s="1251">
        <v>5</v>
      </c>
      <c r="O2009" s="1252">
        <v>1</v>
      </c>
    </row>
    <row r="2010" spans="1:15">
      <c r="A2010" s="1246" t="s">
        <v>1493</v>
      </c>
      <c r="B2010" s="1246" t="s">
        <v>434</v>
      </c>
      <c r="C2010" s="1247">
        <v>0.45</v>
      </c>
      <c r="E2010" s="1246" t="s">
        <v>376</v>
      </c>
      <c r="F2010" s="1248">
        <v>5</v>
      </c>
      <c r="G2010" s="1248">
        <v>10</v>
      </c>
      <c r="H2010" s="1249">
        <v>2</v>
      </c>
      <c r="I2010" s="1246" t="s">
        <v>1491</v>
      </c>
      <c r="J2010" s="1246" t="s">
        <v>1464</v>
      </c>
      <c r="K2010" s="1284" t="str">
        <f t="shared" si="31"/>
        <v>73</v>
      </c>
      <c r="L2010" s="1246" t="s">
        <v>1533</v>
      </c>
      <c r="M2010" s="1250">
        <v>9</v>
      </c>
      <c r="N2010" s="1251">
        <v>5</v>
      </c>
      <c r="O2010" s="1252">
        <v>1</v>
      </c>
    </row>
    <row r="2011" spans="1:15">
      <c r="A2011" s="1246" t="s">
        <v>1493</v>
      </c>
      <c r="B2011" s="1246" t="s">
        <v>434</v>
      </c>
      <c r="C2011" s="1247">
        <v>0.45</v>
      </c>
      <c r="E2011" s="1246" t="s">
        <v>1494</v>
      </c>
      <c r="F2011" s="1248">
        <v>5</v>
      </c>
      <c r="G2011" s="1248">
        <v>10</v>
      </c>
      <c r="H2011" s="1249">
        <v>2</v>
      </c>
      <c r="I2011" s="1246" t="s">
        <v>1491</v>
      </c>
      <c r="J2011" s="1246" t="s">
        <v>1464</v>
      </c>
      <c r="K2011" s="1284" t="str">
        <f t="shared" si="31"/>
        <v>73</v>
      </c>
      <c r="L2011" s="1246" t="s">
        <v>1533</v>
      </c>
      <c r="M2011" s="1250">
        <v>9</v>
      </c>
      <c r="N2011" s="1251">
        <v>5</v>
      </c>
      <c r="O2011" s="1252">
        <v>1</v>
      </c>
    </row>
    <row r="2012" spans="1:15">
      <c r="A2012" s="1246" t="s">
        <v>1493</v>
      </c>
      <c r="B2012" s="1246" t="s">
        <v>434</v>
      </c>
      <c r="C2012" s="1247">
        <v>0.45</v>
      </c>
      <c r="E2012" s="1246" t="s">
        <v>376</v>
      </c>
      <c r="F2012" s="1248">
        <v>6</v>
      </c>
      <c r="G2012" s="1248">
        <v>6</v>
      </c>
      <c r="H2012" s="1249">
        <v>1</v>
      </c>
      <c r="I2012" s="1246" t="s">
        <v>1491</v>
      </c>
      <c r="J2012" s="1246" t="s">
        <v>1470</v>
      </c>
      <c r="K2012" s="1284" t="str">
        <f t="shared" si="31"/>
        <v>7C</v>
      </c>
      <c r="L2012" s="1246" t="s">
        <v>1502</v>
      </c>
      <c r="M2012" s="1250">
        <v>4</v>
      </c>
      <c r="N2012" s="1251">
        <v>6</v>
      </c>
      <c r="O2012" s="1252">
        <v>1</v>
      </c>
    </row>
    <row r="2013" spans="1:15">
      <c r="A2013" s="1246" t="s">
        <v>1493</v>
      </c>
      <c r="B2013" s="1246" t="s">
        <v>434</v>
      </c>
      <c r="C2013" s="1247">
        <v>0.45</v>
      </c>
      <c r="E2013" s="1246" t="s">
        <v>376</v>
      </c>
      <c r="F2013" s="1248">
        <v>6</v>
      </c>
      <c r="G2013" s="1248">
        <v>6</v>
      </c>
      <c r="H2013" s="1249">
        <v>1</v>
      </c>
      <c r="I2013" s="1246" t="s">
        <v>1491</v>
      </c>
      <c r="J2013" s="1246" t="s">
        <v>1469</v>
      </c>
      <c r="K2013" s="1284">
        <f t="shared" si="31"/>
        <v>70</v>
      </c>
      <c r="L2013" s="1246" t="s">
        <v>1542</v>
      </c>
      <c r="M2013" s="1250">
        <v>6</v>
      </c>
      <c r="N2013" s="1251">
        <v>6</v>
      </c>
      <c r="O2013" s="1252">
        <v>1</v>
      </c>
    </row>
    <row r="2014" spans="1:15">
      <c r="A2014" s="1246" t="s">
        <v>1493</v>
      </c>
      <c r="B2014" s="1246" t="s">
        <v>434</v>
      </c>
      <c r="C2014" s="1247">
        <v>0.45</v>
      </c>
      <c r="E2014" s="1246" t="s">
        <v>1494</v>
      </c>
      <c r="F2014" s="1248">
        <v>6</v>
      </c>
      <c r="G2014" s="1248">
        <v>6</v>
      </c>
      <c r="H2014" s="1249">
        <v>1</v>
      </c>
      <c r="I2014" s="1246" t="s">
        <v>1491</v>
      </c>
      <c r="J2014" s="1246" t="s">
        <v>1462</v>
      </c>
      <c r="K2014" s="1284" t="str">
        <f t="shared" si="31"/>
        <v>71</v>
      </c>
      <c r="L2014" s="1246" t="s">
        <v>1495</v>
      </c>
      <c r="M2014" s="1250">
        <v>9</v>
      </c>
      <c r="N2014" s="1251">
        <v>24</v>
      </c>
      <c r="O2014" s="1252">
        <v>4</v>
      </c>
    </row>
    <row r="2015" spans="1:15">
      <c r="A2015" s="1246" t="s">
        <v>1493</v>
      </c>
      <c r="B2015" s="1246" t="s">
        <v>434</v>
      </c>
      <c r="C2015" s="1247">
        <v>0.45</v>
      </c>
      <c r="E2015" s="1246" t="s">
        <v>376</v>
      </c>
      <c r="F2015" s="1248">
        <v>6</v>
      </c>
      <c r="G2015" s="1248">
        <v>6</v>
      </c>
      <c r="H2015" s="1249">
        <v>1</v>
      </c>
      <c r="I2015" s="1246" t="s">
        <v>1491</v>
      </c>
      <c r="J2015" s="1246" t="s">
        <v>1462</v>
      </c>
      <c r="K2015" s="1284" t="str">
        <f t="shared" si="31"/>
        <v>71</v>
      </c>
      <c r="L2015" s="1246" t="s">
        <v>1496</v>
      </c>
      <c r="M2015" s="1250">
        <v>9</v>
      </c>
      <c r="N2015" s="1251">
        <v>12</v>
      </c>
      <c r="O2015" s="1252">
        <v>2</v>
      </c>
    </row>
    <row r="2016" spans="1:15">
      <c r="A2016" s="1246" t="s">
        <v>1493</v>
      </c>
      <c r="B2016" s="1246" t="s">
        <v>434</v>
      </c>
      <c r="C2016" s="1247">
        <v>0.45</v>
      </c>
      <c r="E2016" s="1246" t="s">
        <v>376</v>
      </c>
      <c r="F2016" s="1248">
        <v>6</v>
      </c>
      <c r="G2016" s="1248">
        <v>6</v>
      </c>
      <c r="H2016" s="1249">
        <v>2</v>
      </c>
      <c r="I2016" s="1246" t="s">
        <v>1491</v>
      </c>
      <c r="J2016" s="1246" t="s">
        <v>1463</v>
      </c>
      <c r="K2016" s="1284" t="str">
        <f t="shared" si="31"/>
        <v>72</v>
      </c>
      <c r="L2016" s="1246" t="s">
        <v>1529</v>
      </c>
      <c r="M2016" s="1250">
        <v>9</v>
      </c>
      <c r="N2016" s="1251">
        <v>6</v>
      </c>
      <c r="O2016" s="1252">
        <v>1</v>
      </c>
    </row>
    <row r="2017" spans="1:15">
      <c r="A2017" s="1246" t="s">
        <v>1493</v>
      </c>
      <c r="B2017" s="1246" t="s">
        <v>434</v>
      </c>
      <c r="C2017" s="1247">
        <v>0.45</v>
      </c>
      <c r="E2017" s="1246" t="s">
        <v>376</v>
      </c>
      <c r="F2017" s="1248">
        <v>6</v>
      </c>
      <c r="G2017" s="1248">
        <v>6</v>
      </c>
      <c r="H2017" s="1249">
        <v>2</v>
      </c>
      <c r="I2017" s="1246" t="s">
        <v>1491</v>
      </c>
      <c r="J2017" s="1246" t="s">
        <v>1400</v>
      </c>
      <c r="K2017" s="1284" t="str">
        <f t="shared" si="31"/>
        <v>70</v>
      </c>
      <c r="L2017" s="1246" t="s">
        <v>1532</v>
      </c>
      <c r="M2017" s="1250">
        <v>9</v>
      </c>
      <c r="N2017" s="1251">
        <v>6</v>
      </c>
      <c r="O2017" s="1252">
        <v>1</v>
      </c>
    </row>
    <row r="2018" spans="1:15">
      <c r="A2018" s="1246" t="s">
        <v>1493</v>
      </c>
      <c r="B2018" s="1246" t="s">
        <v>434</v>
      </c>
      <c r="C2018" s="1247">
        <v>0.45</v>
      </c>
      <c r="E2018" s="1246" t="s">
        <v>1494</v>
      </c>
      <c r="F2018" s="1248">
        <v>6</v>
      </c>
      <c r="G2018" s="1248">
        <v>6</v>
      </c>
      <c r="H2018" s="1249">
        <v>2</v>
      </c>
      <c r="I2018" s="1246" t="s">
        <v>1491</v>
      </c>
      <c r="J2018" s="1246" t="s">
        <v>1464</v>
      </c>
      <c r="K2018" s="1284" t="str">
        <f t="shared" si="31"/>
        <v>73</v>
      </c>
      <c r="L2018" s="1246" t="s">
        <v>1533</v>
      </c>
      <c r="M2018" s="1250">
        <v>9</v>
      </c>
      <c r="N2018" s="1251">
        <v>6</v>
      </c>
      <c r="O2018" s="1252">
        <v>1</v>
      </c>
    </row>
    <row r="2019" spans="1:15">
      <c r="A2019" s="1246" t="s">
        <v>1493</v>
      </c>
      <c r="B2019" s="1246" t="s">
        <v>434</v>
      </c>
      <c r="C2019" s="1247">
        <v>0.45</v>
      </c>
      <c r="E2019" s="1246" t="s">
        <v>376</v>
      </c>
      <c r="F2019" s="1248">
        <v>6</v>
      </c>
      <c r="G2019" s="1248">
        <v>12</v>
      </c>
      <c r="H2019" s="1249">
        <v>1</v>
      </c>
      <c r="I2019" s="1246" t="s">
        <v>1491</v>
      </c>
      <c r="J2019" s="1246" t="s">
        <v>1462</v>
      </c>
      <c r="K2019" s="1284" t="str">
        <f t="shared" si="31"/>
        <v>71</v>
      </c>
      <c r="L2019" s="1246" t="s">
        <v>1496</v>
      </c>
      <c r="M2019" s="1250">
        <v>9</v>
      </c>
      <c r="N2019" s="1251">
        <v>6</v>
      </c>
      <c r="O2019" s="1252">
        <v>1</v>
      </c>
    </row>
    <row r="2020" spans="1:15">
      <c r="A2020" s="1246" t="s">
        <v>1493</v>
      </c>
      <c r="B2020" s="1246" t="s">
        <v>434</v>
      </c>
      <c r="C2020" s="1247">
        <v>0.45</v>
      </c>
      <c r="E2020" s="1246" t="s">
        <v>376</v>
      </c>
      <c r="F2020" s="1248">
        <v>6</v>
      </c>
      <c r="G2020" s="1248">
        <v>12</v>
      </c>
      <c r="H2020" s="1249">
        <v>2</v>
      </c>
      <c r="I2020" s="1246" t="s">
        <v>1491</v>
      </c>
      <c r="J2020" s="1246" t="s">
        <v>1464</v>
      </c>
      <c r="K2020" s="1284" t="str">
        <f t="shared" si="31"/>
        <v>73</v>
      </c>
      <c r="L2020" s="1246" t="s">
        <v>1533</v>
      </c>
      <c r="M2020" s="1250">
        <v>9</v>
      </c>
      <c r="N2020" s="1251">
        <v>12</v>
      </c>
      <c r="O2020" s="1252">
        <v>2</v>
      </c>
    </row>
    <row r="2021" spans="1:15">
      <c r="A2021" s="1246" t="s">
        <v>1493</v>
      </c>
      <c r="B2021" s="1246" t="s">
        <v>434</v>
      </c>
      <c r="C2021" s="1247">
        <v>0.45</v>
      </c>
      <c r="E2021" s="1246" t="s">
        <v>279</v>
      </c>
      <c r="F2021" s="1248">
        <v>7</v>
      </c>
      <c r="G2021" s="1248">
        <v>7</v>
      </c>
      <c r="H2021" s="1249">
        <v>1</v>
      </c>
      <c r="I2021" s="1246" t="s">
        <v>1491</v>
      </c>
      <c r="J2021" s="1246" t="s">
        <v>1470</v>
      </c>
      <c r="K2021" s="1284" t="str">
        <f t="shared" si="31"/>
        <v>7C</v>
      </c>
      <c r="L2021" s="1246" t="s">
        <v>1502</v>
      </c>
      <c r="M2021" s="1250">
        <v>4</v>
      </c>
      <c r="N2021" s="1251">
        <v>7</v>
      </c>
      <c r="O2021" s="1252">
        <v>1</v>
      </c>
    </row>
    <row r="2022" spans="1:15">
      <c r="A2022" s="1246" t="s">
        <v>1493</v>
      </c>
      <c r="B2022" s="1246" t="s">
        <v>434</v>
      </c>
      <c r="C2022" s="1247">
        <v>0.45</v>
      </c>
      <c r="E2022" s="1246" t="s">
        <v>1494</v>
      </c>
      <c r="F2022" s="1248">
        <v>7</v>
      </c>
      <c r="G2022" s="1248">
        <v>7</v>
      </c>
      <c r="H2022" s="1249">
        <v>1</v>
      </c>
      <c r="I2022" s="1246" t="s">
        <v>1491</v>
      </c>
      <c r="J2022" s="1246" t="s">
        <v>1462</v>
      </c>
      <c r="K2022" s="1284" t="str">
        <f t="shared" si="31"/>
        <v>71</v>
      </c>
      <c r="L2022" s="1246" t="s">
        <v>1495</v>
      </c>
      <c r="M2022" s="1250">
        <v>9</v>
      </c>
      <c r="N2022" s="1251">
        <v>7</v>
      </c>
      <c r="O2022" s="1252">
        <v>1</v>
      </c>
    </row>
    <row r="2023" spans="1:15">
      <c r="A2023" s="1246" t="s">
        <v>1493</v>
      </c>
      <c r="B2023" s="1246" t="s">
        <v>434</v>
      </c>
      <c r="C2023" s="1247">
        <v>0.45</v>
      </c>
      <c r="E2023" s="1246" t="s">
        <v>376</v>
      </c>
      <c r="F2023" s="1248">
        <v>7</v>
      </c>
      <c r="G2023" s="1248">
        <v>7</v>
      </c>
      <c r="H2023" s="1249">
        <v>1</v>
      </c>
      <c r="I2023" s="1246" t="s">
        <v>1491</v>
      </c>
      <c r="J2023" s="1246" t="s">
        <v>1462</v>
      </c>
      <c r="K2023" s="1284" t="str">
        <f t="shared" si="31"/>
        <v>71</v>
      </c>
      <c r="L2023" s="1246" t="s">
        <v>1496</v>
      </c>
      <c r="M2023" s="1250">
        <v>9</v>
      </c>
      <c r="N2023" s="1251">
        <v>14</v>
      </c>
      <c r="O2023" s="1252">
        <v>2</v>
      </c>
    </row>
    <row r="2024" spans="1:15">
      <c r="A2024" s="1246" t="s">
        <v>1493</v>
      </c>
      <c r="B2024" s="1246" t="s">
        <v>434</v>
      </c>
      <c r="C2024" s="1247">
        <v>0.45</v>
      </c>
      <c r="E2024" s="1246" t="s">
        <v>376</v>
      </c>
      <c r="F2024" s="1248">
        <v>7</v>
      </c>
      <c r="G2024" s="1248">
        <v>7</v>
      </c>
      <c r="H2024" s="1249">
        <v>2</v>
      </c>
      <c r="I2024" s="1246" t="s">
        <v>1491</v>
      </c>
      <c r="J2024" s="1246" t="s">
        <v>1400</v>
      </c>
      <c r="K2024" s="1284" t="str">
        <f t="shared" si="31"/>
        <v>70</v>
      </c>
      <c r="L2024" s="1246" t="s">
        <v>1532</v>
      </c>
      <c r="M2024" s="1250">
        <v>9</v>
      </c>
      <c r="N2024" s="1251">
        <v>14</v>
      </c>
      <c r="O2024" s="1252">
        <v>2</v>
      </c>
    </row>
    <row r="2025" spans="1:15">
      <c r="A2025" s="1246" t="s">
        <v>1493</v>
      </c>
      <c r="B2025" s="1246" t="s">
        <v>434</v>
      </c>
      <c r="C2025" s="1247">
        <v>0.45</v>
      </c>
      <c r="E2025" s="1246" t="s">
        <v>1494</v>
      </c>
      <c r="F2025" s="1248">
        <v>7</v>
      </c>
      <c r="G2025" s="1248">
        <v>7</v>
      </c>
      <c r="H2025" s="1249">
        <v>2</v>
      </c>
      <c r="I2025" s="1246" t="s">
        <v>1491</v>
      </c>
      <c r="J2025" s="1246" t="s">
        <v>1464</v>
      </c>
      <c r="K2025" s="1284" t="str">
        <f t="shared" si="31"/>
        <v>73</v>
      </c>
      <c r="L2025" s="1246" t="s">
        <v>1533</v>
      </c>
      <c r="M2025" s="1250">
        <v>9</v>
      </c>
      <c r="N2025" s="1251">
        <v>7</v>
      </c>
      <c r="O2025" s="1252">
        <v>1</v>
      </c>
    </row>
    <row r="2026" spans="1:15">
      <c r="A2026" s="1246" t="s">
        <v>1493</v>
      </c>
      <c r="B2026" s="1246" t="s">
        <v>434</v>
      </c>
      <c r="C2026" s="1247">
        <v>0.45</v>
      </c>
      <c r="E2026" s="1246" t="s">
        <v>376</v>
      </c>
      <c r="F2026" s="1248">
        <v>7</v>
      </c>
      <c r="G2026" s="1248">
        <v>14</v>
      </c>
      <c r="H2026" s="1249">
        <v>1</v>
      </c>
      <c r="I2026" s="1246" t="s">
        <v>1491</v>
      </c>
      <c r="J2026" s="1246" t="s">
        <v>1462</v>
      </c>
      <c r="K2026" s="1284" t="str">
        <f t="shared" si="31"/>
        <v>71</v>
      </c>
      <c r="L2026" s="1246" t="s">
        <v>1496</v>
      </c>
      <c r="M2026" s="1250">
        <v>9</v>
      </c>
      <c r="N2026" s="1251">
        <v>7</v>
      </c>
      <c r="O2026" s="1252">
        <v>1</v>
      </c>
    </row>
    <row r="2027" spans="1:15">
      <c r="A2027" s="1246" t="s">
        <v>1493</v>
      </c>
      <c r="B2027" s="1246" t="s">
        <v>434</v>
      </c>
      <c r="C2027" s="1247">
        <v>0.45</v>
      </c>
      <c r="E2027" s="1246" t="s">
        <v>376</v>
      </c>
      <c r="F2027" s="1248">
        <v>7</v>
      </c>
      <c r="G2027" s="1248">
        <v>14</v>
      </c>
      <c r="H2027" s="1249">
        <v>2</v>
      </c>
      <c r="I2027" s="1246" t="s">
        <v>1491</v>
      </c>
      <c r="J2027" s="1246" t="s">
        <v>1464</v>
      </c>
      <c r="K2027" s="1284" t="str">
        <f t="shared" si="31"/>
        <v>73</v>
      </c>
      <c r="L2027" s="1246" t="s">
        <v>1533</v>
      </c>
      <c r="M2027" s="1250">
        <v>9</v>
      </c>
      <c r="N2027" s="1251">
        <v>14</v>
      </c>
      <c r="O2027" s="1252">
        <v>2</v>
      </c>
    </row>
    <row r="2028" spans="1:15">
      <c r="A2028" s="1246" t="s">
        <v>1493</v>
      </c>
      <c r="B2028" s="1246" t="s">
        <v>434</v>
      </c>
      <c r="C2028" s="1247">
        <v>0.45</v>
      </c>
      <c r="E2028" s="1246" t="s">
        <v>376</v>
      </c>
      <c r="F2028" s="1248">
        <v>8</v>
      </c>
      <c r="G2028" s="1248">
        <v>8</v>
      </c>
      <c r="H2028" s="1249">
        <v>1</v>
      </c>
      <c r="I2028" s="1246" t="s">
        <v>1491</v>
      </c>
      <c r="J2028" s="1246" t="s">
        <v>1469</v>
      </c>
      <c r="K2028" s="1284">
        <f t="shared" si="31"/>
        <v>70</v>
      </c>
      <c r="L2028" s="1246" t="s">
        <v>1542</v>
      </c>
      <c r="M2028" s="1250">
        <v>6</v>
      </c>
      <c r="N2028" s="1251">
        <v>8</v>
      </c>
      <c r="O2028" s="1252">
        <v>1</v>
      </c>
    </row>
    <row r="2029" spans="1:15">
      <c r="A2029" s="1246" t="s">
        <v>1493</v>
      </c>
      <c r="B2029" s="1246" t="s">
        <v>434</v>
      </c>
      <c r="C2029" s="1247">
        <v>0.45</v>
      </c>
      <c r="E2029" s="1246" t="s">
        <v>370</v>
      </c>
      <c r="F2029" s="1248">
        <v>8</v>
      </c>
      <c r="G2029" s="1248">
        <v>8</v>
      </c>
      <c r="H2029" s="1249">
        <v>1</v>
      </c>
      <c r="I2029" s="1246" t="s">
        <v>1491</v>
      </c>
      <c r="J2029" s="1246" t="s">
        <v>1462</v>
      </c>
      <c r="K2029" s="1284" t="str">
        <f t="shared" si="31"/>
        <v>71</v>
      </c>
      <c r="L2029" s="1246" t="s">
        <v>1495</v>
      </c>
      <c r="M2029" s="1250">
        <v>9</v>
      </c>
      <c r="N2029" s="1251">
        <v>8</v>
      </c>
      <c r="O2029" s="1252">
        <v>1</v>
      </c>
    </row>
    <row r="2030" spans="1:15">
      <c r="A2030" s="1246" t="s">
        <v>1493</v>
      </c>
      <c r="B2030" s="1246" t="s">
        <v>434</v>
      </c>
      <c r="C2030" s="1247">
        <v>0.45</v>
      </c>
      <c r="E2030" s="1246" t="s">
        <v>376</v>
      </c>
      <c r="F2030" s="1248">
        <v>8</v>
      </c>
      <c r="G2030" s="1248">
        <v>8</v>
      </c>
      <c r="H2030" s="1249">
        <v>1</v>
      </c>
      <c r="I2030" s="1246" t="s">
        <v>1491</v>
      </c>
      <c r="J2030" s="1246" t="s">
        <v>1462</v>
      </c>
      <c r="K2030" s="1284" t="str">
        <f t="shared" si="31"/>
        <v>71</v>
      </c>
      <c r="L2030" s="1246" t="s">
        <v>1496</v>
      </c>
      <c r="M2030" s="1250">
        <v>9</v>
      </c>
      <c r="N2030" s="1251">
        <v>32</v>
      </c>
      <c r="O2030" s="1252">
        <v>4</v>
      </c>
    </row>
    <row r="2031" spans="1:15">
      <c r="A2031" s="1246" t="s">
        <v>1493</v>
      </c>
      <c r="B2031" s="1246" t="s">
        <v>434</v>
      </c>
      <c r="C2031" s="1247">
        <v>0.45</v>
      </c>
      <c r="E2031" s="1246" t="s">
        <v>376</v>
      </c>
      <c r="F2031" s="1248">
        <v>8</v>
      </c>
      <c r="G2031" s="1248">
        <v>16</v>
      </c>
      <c r="H2031" s="1249">
        <v>1</v>
      </c>
      <c r="I2031" s="1246" t="s">
        <v>1491</v>
      </c>
      <c r="J2031" s="1246" t="s">
        <v>1464</v>
      </c>
      <c r="K2031" s="1284" t="str">
        <f t="shared" si="31"/>
        <v>73</v>
      </c>
      <c r="L2031" s="1246" t="s">
        <v>1533</v>
      </c>
      <c r="M2031" s="1250">
        <v>9</v>
      </c>
      <c r="N2031" s="1251">
        <v>8</v>
      </c>
      <c r="O2031" s="1252">
        <v>1</v>
      </c>
    </row>
    <row r="2032" spans="1:15">
      <c r="A2032" s="1246" t="s">
        <v>1493</v>
      </c>
      <c r="B2032" s="1246" t="s">
        <v>434</v>
      </c>
      <c r="C2032" s="1247">
        <v>0.45</v>
      </c>
      <c r="E2032" s="1246" t="s">
        <v>376</v>
      </c>
      <c r="F2032" s="1248">
        <v>9</v>
      </c>
      <c r="G2032" s="1248">
        <v>9</v>
      </c>
      <c r="H2032" s="1249">
        <v>1</v>
      </c>
      <c r="I2032" s="1246" t="s">
        <v>1491</v>
      </c>
      <c r="J2032" s="1246" t="s">
        <v>1469</v>
      </c>
      <c r="K2032" s="1284">
        <f t="shared" si="31"/>
        <v>70</v>
      </c>
      <c r="L2032" s="1246" t="s">
        <v>1542</v>
      </c>
      <c r="M2032" s="1250">
        <v>6</v>
      </c>
      <c r="N2032" s="1251">
        <v>9</v>
      </c>
      <c r="O2032" s="1252">
        <v>1</v>
      </c>
    </row>
    <row r="2033" spans="1:15">
      <c r="A2033" s="1246" t="s">
        <v>1493</v>
      </c>
      <c r="B2033" s="1246" t="s">
        <v>434</v>
      </c>
      <c r="C2033" s="1247">
        <v>0.45</v>
      </c>
      <c r="E2033" s="1246" t="s">
        <v>1494</v>
      </c>
      <c r="F2033" s="1248">
        <v>9</v>
      </c>
      <c r="G2033" s="1248">
        <v>9</v>
      </c>
      <c r="H2033" s="1249">
        <v>1</v>
      </c>
      <c r="I2033" s="1246" t="s">
        <v>1491</v>
      </c>
      <c r="J2033" s="1246" t="s">
        <v>1462</v>
      </c>
      <c r="K2033" s="1284" t="str">
        <f t="shared" si="31"/>
        <v>71</v>
      </c>
      <c r="L2033" s="1246" t="s">
        <v>1495</v>
      </c>
      <c r="M2033" s="1250">
        <v>9</v>
      </c>
      <c r="N2033" s="1251">
        <v>9</v>
      </c>
      <c r="O2033" s="1252">
        <v>1</v>
      </c>
    </row>
    <row r="2034" spans="1:15">
      <c r="A2034" s="1246" t="s">
        <v>1493</v>
      </c>
      <c r="B2034" s="1246" t="s">
        <v>434</v>
      </c>
      <c r="C2034" s="1247">
        <v>0.45</v>
      </c>
      <c r="E2034" s="1246" t="s">
        <v>376</v>
      </c>
      <c r="F2034" s="1248">
        <v>9</v>
      </c>
      <c r="G2034" s="1248">
        <v>9</v>
      </c>
      <c r="H2034" s="1249">
        <v>1</v>
      </c>
      <c r="I2034" s="1246" t="s">
        <v>1491</v>
      </c>
      <c r="J2034" s="1246" t="s">
        <v>1462</v>
      </c>
      <c r="K2034" s="1284" t="str">
        <f t="shared" si="31"/>
        <v>71</v>
      </c>
      <c r="L2034" s="1246" t="s">
        <v>1496</v>
      </c>
      <c r="M2034" s="1250">
        <v>9</v>
      </c>
      <c r="N2034" s="1251">
        <v>9</v>
      </c>
      <c r="O2034" s="1252">
        <v>1</v>
      </c>
    </row>
    <row r="2035" spans="1:15">
      <c r="A2035" s="1246" t="s">
        <v>683</v>
      </c>
      <c r="B2035" s="1246" t="s">
        <v>434</v>
      </c>
      <c r="C2035" s="1247">
        <v>0.45</v>
      </c>
      <c r="E2035" s="1246" t="s">
        <v>376</v>
      </c>
      <c r="F2035" s="1248">
        <v>9</v>
      </c>
      <c r="G2035" s="1248">
        <v>16</v>
      </c>
      <c r="H2035" s="1249">
        <v>1</v>
      </c>
      <c r="I2035" s="1246" t="s">
        <v>1491</v>
      </c>
      <c r="J2035" s="1246" t="s">
        <v>1466</v>
      </c>
      <c r="K2035" s="1284" t="str">
        <f t="shared" si="31"/>
        <v>75</v>
      </c>
      <c r="L2035" s="1246" t="s">
        <v>1530</v>
      </c>
      <c r="M2035" s="1250">
        <v>9</v>
      </c>
      <c r="N2035" s="1251">
        <v>9</v>
      </c>
      <c r="O2035" s="1252">
        <v>1</v>
      </c>
    </row>
    <row r="2036" spans="1:15">
      <c r="A2036" s="1246" t="s">
        <v>1493</v>
      </c>
      <c r="B2036" s="1246" t="s">
        <v>434</v>
      </c>
      <c r="C2036" s="1247">
        <v>0.45</v>
      </c>
      <c r="E2036" s="1246" t="s">
        <v>376</v>
      </c>
      <c r="F2036" s="1248">
        <v>10</v>
      </c>
      <c r="G2036" s="1248">
        <v>10</v>
      </c>
      <c r="H2036" s="1249">
        <v>1</v>
      </c>
      <c r="I2036" s="1246" t="s">
        <v>1491</v>
      </c>
      <c r="J2036" s="1246" t="s">
        <v>1469</v>
      </c>
      <c r="K2036" s="1284">
        <f t="shared" si="31"/>
        <v>70</v>
      </c>
      <c r="L2036" s="1246" t="s">
        <v>1542</v>
      </c>
      <c r="M2036" s="1250">
        <v>6</v>
      </c>
      <c r="N2036" s="1251">
        <v>10</v>
      </c>
      <c r="O2036" s="1252">
        <v>1</v>
      </c>
    </row>
    <row r="2037" spans="1:15">
      <c r="A2037" s="1246" t="s">
        <v>1493</v>
      </c>
      <c r="B2037" s="1246" t="s">
        <v>434</v>
      </c>
      <c r="C2037" s="1247">
        <v>0.45</v>
      </c>
      <c r="E2037" s="1246" t="s">
        <v>376</v>
      </c>
      <c r="F2037" s="1248">
        <v>10</v>
      </c>
      <c r="G2037" s="1248">
        <v>10</v>
      </c>
      <c r="H2037" s="1249">
        <v>2</v>
      </c>
      <c r="I2037" s="1246" t="s">
        <v>1491</v>
      </c>
      <c r="J2037" s="1246" t="s">
        <v>1400</v>
      </c>
      <c r="K2037" s="1284" t="str">
        <f t="shared" si="31"/>
        <v>70</v>
      </c>
      <c r="L2037" s="1246" t="s">
        <v>1532</v>
      </c>
      <c r="M2037" s="1250">
        <v>9</v>
      </c>
      <c r="N2037" s="1251">
        <v>10</v>
      </c>
      <c r="O2037" s="1252">
        <v>1</v>
      </c>
    </row>
    <row r="2038" spans="1:15">
      <c r="A2038" s="1246" t="s">
        <v>1493</v>
      </c>
      <c r="B2038" s="1246" t="s">
        <v>434</v>
      </c>
      <c r="C2038" s="1247">
        <v>0.45</v>
      </c>
      <c r="E2038" s="1246" t="s">
        <v>376</v>
      </c>
      <c r="F2038" s="1248">
        <v>10</v>
      </c>
      <c r="G2038" s="1248">
        <v>15</v>
      </c>
      <c r="H2038" s="1249">
        <v>2</v>
      </c>
      <c r="I2038" s="1246" t="s">
        <v>1491</v>
      </c>
      <c r="J2038" s="1246" t="s">
        <v>1464</v>
      </c>
      <c r="K2038" s="1284" t="str">
        <f t="shared" si="31"/>
        <v>73</v>
      </c>
      <c r="L2038" s="1246" t="s">
        <v>1533</v>
      </c>
      <c r="M2038" s="1250">
        <v>9</v>
      </c>
      <c r="N2038" s="1251">
        <v>10</v>
      </c>
      <c r="O2038" s="1252">
        <v>1</v>
      </c>
    </row>
    <row r="2039" spans="1:15">
      <c r="A2039" s="1246" t="s">
        <v>1493</v>
      </c>
      <c r="B2039" s="1246" t="s">
        <v>434</v>
      </c>
      <c r="C2039" s="1247">
        <v>0.45</v>
      </c>
      <c r="E2039" s="1246" t="s">
        <v>376</v>
      </c>
      <c r="F2039" s="1248">
        <v>11</v>
      </c>
      <c r="G2039" s="1248">
        <v>11</v>
      </c>
      <c r="H2039" s="1249">
        <v>1</v>
      </c>
      <c r="I2039" s="1246" t="s">
        <v>1491</v>
      </c>
      <c r="J2039" s="1246" t="s">
        <v>1462</v>
      </c>
      <c r="K2039" s="1284" t="str">
        <f t="shared" si="31"/>
        <v>71</v>
      </c>
      <c r="L2039" s="1246" t="s">
        <v>1496</v>
      </c>
      <c r="M2039" s="1250">
        <v>9</v>
      </c>
      <c r="N2039" s="1251">
        <v>11</v>
      </c>
      <c r="O2039" s="1252">
        <v>1</v>
      </c>
    </row>
    <row r="2040" spans="1:15">
      <c r="A2040" s="1246" t="s">
        <v>1493</v>
      </c>
      <c r="B2040" s="1246" t="s">
        <v>434</v>
      </c>
      <c r="C2040" s="1247">
        <v>0.45</v>
      </c>
      <c r="E2040" s="1246" t="s">
        <v>376</v>
      </c>
      <c r="F2040" s="1248">
        <v>13</v>
      </c>
      <c r="G2040" s="1248">
        <v>26</v>
      </c>
      <c r="H2040" s="1249">
        <v>2</v>
      </c>
      <c r="I2040" s="1246" t="s">
        <v>1491</v>
      </c>
      <c r="J2040" s="1246" t="s">
        <v>1464</v>
      </c>
      <c r="K2040" s="1284" t="str">
        <f t="shared" si="31"/>
        <v>73</v>
      </c>
      <c r="L2040" s="1246" t="s">
        <v>1533</v>
      </c>
      <c r="M2040" s="1250">
        <v>9</v>
      </c>
      <c r="N2040" s="1251">
        <v>13</v>
      </c>
      <c r="O2040" s="1252">
        <v>1</v>
      </c>
    </row>
    <row r="2041" spans="1:15">
      <c r="A2041" s="1246" t="s">
        <v>683</v>
      </c>
      <c r="B2041" s="1246" t="s">
        <v>434</v>
      </c>
      <c r="C2041" s="1247">
        <v>0.45</v>
      </c>
      <c r="E2041" s="1246" t="s">
        <v>1494</v>
      </c>
      <c r="F2041" s="1248">
        <v>14</v>
      </c>
      <c r="G2041" s="1248">
        <v>14</v>
      </c>
      <c r="H2041" s="1249">
        <v>1</v>
      </c>
      <c r="I2041" s="1246" t="s">
        <v>1491</v>
      </c>
      <c r="J2041" s="1246" t="s">
        <v>1462</v>
      </c>
      <c r="K2041" s="1284" t="str">
        <f t="shared" si="31"/>
        <v>71</v>
      </c>
      <c r="L2041" s="1246" t="s">
        <v>1495</v>
      </c>
      <c r="M2041" s="1250">
        <v>9</v>
      </c>
      <c r="N2041" s="1251">
        <v>14</v>
      </c>
      <c r="O2041" s="1252">
        <v>1</v>
      </c>
    </row>
    <row r="2042" spans="1:15">
      <c r="A2042" s="1246" t="s">
        <v>1493</v>
      </c>
      <c r="B2042" s="1246" t="s">
        <v>434</v>
      </c>
      <c r="C2042" s="1247">
        <v>0.45</v>
      </c>
      <c r="E2042" s="1246" t="s">
        <v>376</v>
      </c>
      <c r="F2042" s="1248">
        <v>14</v>
      </c>
      <c r="G2042" s="1248">
        <v>14</v>
      </c>
      <c r="H2042" s="1249">
        <v>2</v>
      </c>
      <c r="I2042" s="1246" t="s">
        <v>1491</v>
      </c>
      <c r="J2042" s="1246" t="s">
        <v>1463</v>
      </c>
      <c r="K2042" s="1284" t="str">
        <f t="shared" si="31"/>
        <v>72</v>
      </c>
      <c r="L2042" s="1246" t="s">
        <v>1529</v>
      </c>
      <c r="M2042" s="1250">
        <v>9</v>
      </c>
      <c r="N2042" s="1251">
        <v>14</v>
      </c>
      <c r="O2042" s="1252">
        <v>1</v>
      </c>
    </row>
    <row r="2043" spans="1:15">
      <c r="A2043" s="1246" t="s">
        <v>1493</v>
      </c>
      <c r="B2043" s="1246" t="s">
        <v>434</v>
      </c>
      <c r="C2043" s="1247">
        <v>0.45</v>
      </c>
      <c r="E2043" s="1246" t="s">
        <v>376</v>
      </c>
      <c r="F2043" s="1248">
        <v>14</v>
      </c>
      <c r="G2043" s="1248">
        <v>28</v>
      </c>
      <c r="H2043" s="1249">
        <v>2</v>
      </c>
      <c r="I2043" s="1246" t="s">
        <v>1491</v>
      </c>
      <c r="J2043" s="1246" t="s">
        <v>1400</v>
      </c>
      <c r="K2043" s="1284" t="str">
        <f t="shared" si="31"/>
        <v>70</v>
      </c>
      <c r="L2043" s="1246" t="s">
        <v>1532</v>
      </c>
      <c r="M2043" s="1250">
        <v>9</v>
      </c>
      <c r="N2043" s="1251">
        <v>14</v>
      </c>
      <c r="O2043" s="1252">
        <v>1</v>
      </c>
    </row>
    <row r="2044" spans="1:15">
      <c r="A2044" s="1246" t="s">
        <v>1493</v>
      </c>
      <c r="B2044" s="1246" t="s">
        <v>434</v>
      </c>
      <c r="C2044" s="1247">
        <v>0.45</v>
      </c>
      <c r="E2044" s="1246" t="s">
        <v>376</v>
      </c>
      <c r="F2044" s="1248">
        <v>14</v>
      </c>
      <c r="G2044" s="1248">
        <v>28</v>
      </c>
      <c r="H2044" s="1249">
        <v>2</v>
      </c>
      <c r="I2044" s="1246" t="s">
        <v>1491</v>
      </c>
      <c r="J2044" s="1246" t="s">
        <v>1464</v>
      </c>
      <c r="K2044" s="1284" t="str">
        <f t="shared" si="31"/>
        <v>73</v>
      </c>
      <c r="L2044" s="1246" t="s">
        <v>1533</v>
      </c>
      <c r="M2044" s="1250">
        <v>9</v>
      </c>
      <c r="N2044" s="1251">
        <v>14</v>
      </c>
      <c r="O2044" s="1252">
        <v>1</v>
      </c>
    </row>
    <row r="2045" spans="1:15">
      <c r="A2045" s="1246" t="s">
        <v>1493</v>
      </c>
      <c r="B2045" s="1246" t="s">
        <v>434</v>
      </c>
      <c r="C2045" s="1247">
        <v>0.45</v>
      </c>
      <c r="E2045" s="1246" t="s">
        <v>1494</v>
      </c>
      <c r="F2045" s="1248">
        <v>15</v>
      </c>
      <c r="G2045" s="1248">
        <v>15</v>
      </c>
      <c r="H2045" s="1249">
        <v>1</v>
      </c>
      <c r="I2045" s="1246" t="s">
        <v>1491</v>
      </c>
      <c r="J2045" s="1246" t="s">
        <v>1470</v>
      </c>
      <c r="K2045" s="1284" t="str">
        <f t="shared" si="31"/>
        <v>7C</v>
      </c>
      <c r="L2045" s="1246" t="s">
        <v>1502</v>
      </c>
      <c r="M2045" s="1250">
        <v>4</v>
      </c>
      <c r="N2045" s="1251">
        <v>15</v>
      </c>
      <c r="O2045" s="1252">
        <v>1</v>
      </c>
    </row>
    <row r="2046" spans="1:15">
      <c r="A2046" s="1246" t="s">
        <v>1493</v>
      </c>
      <c r="B2046" s="1246" t="s">
        <v>434</v>
      </c>
      <c r="C2046" s="1247">
        <v>0.45</v>
      </c>
      <c r="E2046" s="1246" t="s">
        <v>376</v>
      </c>
      <c r="F2046" s="1248">
        <v>15</v>
      </c>
      <c r="G2046" s="1248">
        <v>15</v>
      </c>
      <c r="H2046" s="1249">
        <v>1</v>
      </c>
      <c r="I2046" s="1246" t="s">
        <v>1491</v>
      </c>
      <c r="J2046" s="1246" t="s">
        <v>1462</v>
      </c>
      <c r="K2046" s="1284" t="str">
        <f t="shared" si="31"/>
        <v>71</v>
      </c>
      <c r="L2046" s="1246" t="s">
        <v>1496</v>
      </c>
      <c r="M2046" s="1250">
        <v>9</v>
      </c>
      <c r="N2046" s="1251">
        <v>30</v>
      </c>
      <c r="O2046" s="1252">
        <v>2</v>
      </c>
    </row>
    <row r="2047" spans="1:15">
      <c r="A2047" s="1246" t="s">
        <v>1493</v>
      </c>
      <c r="B2047" s="1246" t="s">
        <v>434</v>
      </c>
      <c r="C2047" s="1247">
        <v>0.45</v>
      </c>
      <c r="E2047" s="1246" t="s">
        <v>376</v>
      </c>
      <c r="F2047" s="1248">
        <v>15</v>
      </c>
      <c r="G2047" s="1248">
        <v>15</v>
      </c>
      <c r="H2047" s="1249">
        <v>2</v>
      </c>
      <c r="I2047" s="1246" t="s">
        <v>1491</v>
      </c>
      <c r="J2047" s="1246" t="s">
        <v>1400</v>
      </c>
      <c r="K2047" s="1284" t="str">
        <f t="shared" si="31"/>
        <v>70</v>
      </c>
      <c r="L2047" s="1246" t="s">
        <v>1532</v>
      </c>
      <c r="M2047" s="1250">
        <v>9</v>
      </c>
      <c r="N2047" s="1251">
        <v>15</v>
      </c>
      <c r="O2047" s="1252">
        <v>1</v>
      </c>
    </row>
    <row r="2048" spans="1:15">
      <c r="A2048" s="1246" t="s">
        <v>1493</v>
      </c>
      <c r="B2048" s="1246" t="s">
        <v>434</v>
      </c>
      <c r="C2048" s="1247">
        <v>0.45</v>
      </c>
      <c r="E2048" s="1246" t="s">
        <v>376</v>
      </c>
      <c r="F2048" s="1248">
        <v>15</v>
      </c>
      <c r="G2048" s="1248">
        <v>28</v>
      </c>
      <c r="H2048" s="1249">
        <v>2</v>
      </c>
      <c r="I2048" s="1246" t="s">
        <v>1491</v>
      </c>
      <c r="J2048" s="1246" t="s">
        <v>1464</v>
      </c>
      <c r="K2048" s="1284" t="str">
        <f t="shared" si="31"/>
        <v>73</v>
      </c>
      <c r="L2048" s="1246" t="s">
        <v>1533</v>
      </c>
      <c r="M2048" s="1250">
        <v>9</v>
      </c>
      <c r="N2048" s="1251">
        <v>15</v>
      </c>
      <c r="O2048" s="1252">
        <v>1</v>
      </c>
    </row>
    <row r="2049" spans="1:15">
      <c r="A2049" s="1246" t="s">
        <v>1493</v>
      </c>
      <c r="B2049" s="1246" t="s">
        <v>434</v>
      </c>
      <c r="C2049" s="1247">
        <v>0.45</v>
      </c>
      <c r="E2049" s="1246" t="s">
        <v>1494</v>
      </c>
      <c r="F2049" s="1248">
        <v>16</v>
      </c>
      <c r="G2049" s="1248">
        <v>16</v>
      </c>
      <c r="H2049" s="1249">
        <v>2</v>
      </c>
      <c r="I2049" s="1246" t="s">
        <v>1491</v>
      </c>
      <c r="J2049" s="1246" t="s">
        <v>1464</v>
      </c>
      <c r="K2049" s="1284" t="str">
        <f t="shared" si="31"/>
        <v>73</v>
      </c>
      <c r="L2049" s="1246" t="s">
        <v>1533</v>
      </c>
      <c r="M2049" s="1250">
        <v>9</v>
      </c>
      <c r="N2049" s="1251">
        <v>16</v>
      </c>
      <c r="O2049" s="1252">
        <v>1</v>
      </c>
    </row>
    <row r="2050" spans="1:15">
      <c r="A2050" s="1246" t="s">
        <v>683</v>
      </c>
      <c r="B2050" s="1246" t="s">
        <v>434</v>
      </c>
      <c r="C2050" s="1247">
        <v>0.45</v>
      </c>
      <c r="E2050" s="1246" t="s">
        <v>376</v>
      </c>
      <c r="F2050" s="1248">
        <v>17</v>
      </c>
      <c r="G2050" s="1248">
        <v>0</v>
      </c>
      <c r="H2050" s="1249">
        <v>0</v>
      </c>
      <c r="J2050" s="1246" t="s">
        <v>1462</v>
      </c>
      <c r="K2050" s="1284" t="str">
        <f t="shared" ref="K2050:K2113" si="32">IF(J2050="1B","10", IF(J2050="2B","20",IF(J2050="3B","30",IF(J2050="7B",70,J2050))))</f>
        <v>71</v>
      </c>
      <c r="L2050" s="1246" t="s">
        <v>1496</v>
      </c>
      <c r="M2050" s="1250">
        <v>9</v>
      </c>
      <c r="N2050" s="1251">
        <v>17</v>
      </c>
      <c r="O2050" s="1252">
        <v>1</v>
      </c>
    </row>
    <row r="2051" spans="1:15">
      <c r="A2051" s="1246" t="s">
        <v>1493</v>
      </c>
      <c r="B2051" s="1246" t="s">
        <v>434</v>
      </c>
      <c r="C2051" s="1247">
        <v>0.45</v>
      </c>
      <c r="E2051" s="1246" t="s">
        <v>376</v>
      </c>
      <c r="F2051" s="1248">
        <v>17</v>
      </c>
      <c r="G2051" s="1248">
        <v>17</v>
      </c>
      <c r="H2051" s="1249">
        <v>1</v>
      </c>
      <c r="I2051" s="1246" t="s">
        <v>1491</v>
      </c>
      <c r="J2051" s="1246" t="s">
        <v>1466</v>
      </c>
      <c r="K2051" s="1284" t="str">
        <f t="shared" si="32"/>
        <v>75</v>
      </c>
      <c r="L2051" s="1246" t="s">
        <v>1530</v>
      </c>
      <c r="M2051" s="1250">
        <v>9</v>
      </c>
      <c r="N2051" s="1251">
        <v>17</v>
      </c>
      <c r="O2051" s="1252">
        <v>1</v>
      </c>
    </row>
    <row r="2052" spans="1:15">
      <c r="A2052" s="1246" t="s">
        <v>1493</v>
      </c>
      <c r="B2052" s="1246" t="s">
        <v>434</v>
      </c>
      <c r="C2052" s="1247">
        <v>0.45</v>
      </c>
      <c r="E2052" s="1246" t="s">
        <v>376</v>
      </c>
      <c r="F2052" s="1248">
        <v>18</v>
      </c>
      <c r="G2052" s="1248">
        <v>18</v>
      </c>
      <c r="H2052" s="1249">
        <v>2</v>
      </c>
      <c r="I2052" s="1246" t="s">
        <v>1491</v>
      </c>
      <c r="J2052" s="1246" t="s">
        <v>1463</v>
      </c>
      <c r="K2052" s="1284" t="str">
        <f t="shared" si="32"/>
        <v>72</v>
      </c>
      <c r="L2052" s="1246" t="s">
        <v>1529</v>
      </c>
      <c r="M2052" s="1250">
        <v>9</v>
      </c>
      <c r="N2052" s="1251">
        <v>18</v>
      </c>
      <c r="O2052" s="1252">
        <v>1</v>
      </c>
    </row>
    <row r="2053" spans="1:15">
      <c r="A2053" s="1246" t="s">
        <v>1493</v>
      </c>
      <c r="B2053" s="1246" t="s">
        <v>434</v>
      </c>
      <c r="C2053" s="1247">
        <v>0.45</v>
      </c>
      <c r="E2053" s="1246" t="s">
        <v>1494</v>
      </c>
      <c r="F2053" s="1248">
        <v>19</v>
      </c>
      <c r="G2053" s="1248">
        <v>19</v>
      </c>
      <c r="H2053" s="1249">
        <v>1</v>
      </c>
      <c r="I2053" s="1246" t="s">
        <v>1491</v>
      </c>
      <c r="J2053" s="1246" t="s">
        <v>1470</v>
      </c>
      <c r="K2053" s="1284" t="str">
        <f t="shared" si="32"/>
        <v>7C</v>
      </c>
      <c r="L2053" s="1246" t="s">
        <v>1502</v>
      </c>
      <c r="M2053" s="1250">
        <v>4</v>
      </c>
      <c r="N2053" s="1251">
        <v>19</v>
      </c>
      <c r="O2053" s="1252">
        <v>1</v>
      </c>
    </row>
    <row r="2054" spans="1:15">
      <c r="A2054" s="1246" t="s">
        <v>1493</v>
      </c>
      <c r="B2054" s="1246" t="s">
        <v>434</v>
      </c>
      <c r="C2054" s="1247">
        <v>0.45</v>
      </c>
      <c r="E2054" s="1246" t="s">
        <v>376</v>
      </c>
      <c r="F2054" s="1248">
        <v>19</v>
      </c>
      <c r="G2054" s="1248">
        <v>19</v>
      </c>
      <c r="H2054" s="1249">
        <v>2</v>
      </c>
      <c r="I2054" s="1246" t="s">
        <v>1491</v>
      </c>
      <c r="J2054" s="1246" t="s">
        <v>1463</v>
      </c>
      <c r="K2054" s="1284" t="str">
        <f t="shared" si="32"/>
        <v>72</v>
      </c>
      <c r="L2054" s="1246" t="s">
        <v>1529</v>
      </c>
      <c r="M2054" s="1250">
        <v>9</v>
      </c>
      <c r="N2054" s="1251">
        <v>19</v>
      </c>
      <c r="O2054" s="1252">
        <v>1</v>
      </c>
    </row>
    <row r="2055" spans="1:15">
      <c r="A2055" s="1246" t="s">
        <v>1493</v>
      </c>
      <c r="B2055" s="1246" t="s">
        <v>434</v>
      </c>
      <c r="C2055" s="1247">
        <v>0.45</v>
      </c>
      <c r="E2055" s="1246" t="s">
        <v>376</v>
      </c>
      <c r="F2055" s="1248">
        <v>21</v>
      </c>
      <c r="G2055" s="1248">
        <v>21</v>
      </c>
      <c r="H2055" s="1249">
        <v>1</v>
      </c>
      <c r="I2055" s="1246" t="s">
        <v>1491</v>
      </c>
      <c r="J2055" s="1246" t="s">
        <v>1462</v>
      </c>
      <c r="K2055" s="1284" t="str">
        <f t="shared" si="32"/>
        <v>71</v>
      </c>
      <c r="L2055" s="1246" t="s">
        <v>1496</v>
      </c>
      <c r="M2055" s="1250">
        <v>9</v>
      </c>
      <c r="N2055" s="1251">
        <v>42</v>
      </c>
      <c r="O2055" s="1252">
        <v>2</v>
      </c>
    </row>
    <row r="2056" spans="1:15">
      <c r="A2056" s="1246" t="s">
        <v>1493</v>
      </c>
      <c r="B2056" s="1246" t="s">
        <v>434</v>
      </c>
      <c r="C2056" s="1247">
        <v>0.45</v>
      </c>
      <c r="E2056" s="1246" t="s">
        <v>376</v>
      </c>
      <c r="F2056" s="1248">
        <v>21</v>
      </c>
      <c r="G2056" s="1248">
        <v>42</v>
      </c>
      <c r="H2056" s="1249">
        <v>1</v>
      </c>
      <c r="I2056" s="1246" t="s">
        <v>1491</v>
      </c>
      <c r="J2056" s="1246" t="s">
        <v>1469</v>
      </c>
      <c r="K2056" s="1284">
        <f t="shared" si="32"/>
        <v>70</v>
      </c>
      <c r="L2056" s="1246" t="s">
        <v>1542</v>
      </c>
      <c r="M2056" s="1250">
        <v>6</v>
      </c>
      <c r="N2056" s="1251">
        <v>21</v>
      </c>
      <c r="O2056" s="1252">
        <v>1</v>
      </c>
    </row>
    <row r="2057" spans="1:15">
      <c r="A2057" s="1246" t="s">
        <v>1493</v>
      </c>
      <c r="B2057" s="1246" t="s">
        <v>434</v>
      </c>
      <c r="C2057" s="1247">
        <v>0.45</v>
      </c>
      <c r="E2057" s="1246" t="s">
        <v>279</v>
      </c>
      <c r="F2057" s="1248">
        <v>26</v>
      </c>
      <c r="G2057" s="1248">
        <v>26</v>
      </c>
      <c r="H2057" s="1249">
        <v>1</v>
      </c>
      <c r="I2057" s="1246" t="s">
        <v>1491</v>
      </c>
      <c r="J2057" s="1246" t="s">
        <v>1462</v>
      </c>
      <c r="K2057" s="1284" t="str">
        <f t="shared" si="32"/>
        <v>71</v>
      </c>
      <c r="L2057" s="1246" t="s">
        <v>1496</v>
      </c>
      <c r="M2057" s="1250">
        <v>9</v>
      </c>
      <c r="N2057" s="1251">
        <v>26</v>
      </c>
      <c r="O2057" s="1252">
        <v>1</v>
      </c>
    </row>
    <row r="2058" spans="1:15">
      <c r="A2058" s="1246" t="s">
        <v>1493</v>
      </c>
      <c r="B2058" s="1246" t="s">
        <v>434</v>
      </c>
      <c r="C2058" s="1247">
        <v>0.45</v>
      </c>
      <c r="E2058" s="1246" t="s">
        <v>376</v>
      </c>
      <c r="F2058" s="1248">
        <v>27</v>
      </c>
      <c r="G2058" s="1248">
        <v>27</v>
      </c>
      <c r="H2058" s="1249">
        <v>1</v>
      </c>
      <c r="I2058" s="1246" t="s">
        <v>1491</v>
      </c>
      <c r="J2058" s="1246" t="s">
        <v>1462</v>
      </c>
      <c r="K2058" s="1284" t="str">
        <f t="shared" si="32"/>
        <v>71</v>
      </c>
      <c r="L2058" s="1246" t="s">
        <v>1496</v>
      </c>
      <c r="M2058" s="1250">
        <v>9</v>
      </c>
      <c r="N2058" s="1251">
        <v>27</v>
      </c>
      <c r="O2058" s="1252">
        <v>1</v>
      </c>
    </row>
    <row r="2059" spans="1:15">
      <c r="A2059" s="1246" t="s">
        <v>1493</v>
      </c>
      <c r="B2059" s="1246" t="s">
        <v>434</v>
      </c>
      <c r="C2059" s="1247">
        <v>0.45</v>
      </c>
      <c r="E2059" s="1246" t="s">
        <v>376</v>
      </c>
      <c r="F2059" s="1248">
        <v>29</v>
      </c>
      <c r="G2059" s="1248">
        <v>29</v>
      </c>
      <c r="H2059" s="1249">
        <v>2</v>
      </c>
      <c r="I2059" s="1246" t="s">
        <v>1491</v>
      </c>
      <c r="J2059" s="1246" t="s">
        <v>1400</v>
      </c>
      <c r="K2059" s="1284" t="str">
        <f t="shared" si="32"/>
        <v>70</v>
      </c>
      <c r="L2059" s="1246" t="s">
        <v>1532</v>
      </c>
      <c r="M2059" s="1250">
        <v>9</v>
      </c>
      <c r="N2059" s="1251">
        <v>29</v>
      </c>
      <c r="O2059" s="1252">
        <v>1</v>
      </c>
    </row>
    <row r="2060" spans="1:15">
      <c r="A2060" s="1246" t="s">
        <v>1493</v>
      </c>
      <c r="B2060" s="1246" t="s">
        <v>434</v>
      </c>
      <c r="C2060" s="1247">
        <v>0.45</v>
      </c>
      <c r="E2060" s="1246" t="s">
        <v>376</v>
      </c>
      <c r="F2060" s="1248">
        <v>30</v>
      </c>
      <c r="G2060" s="1248">
        <v>30</v>
      </c>
      <c r="H2060" s="1249">
        <v>1</v>
      </c>
      <c r="I2060" s="1246" t="s">
        <v>1491</v>
      </c>
      <c r="J2060" s="1246" t="s">
        <v>1469</v>
      </c>
      <c r="K2060" s="1284">
        <f t="shared" si="32"/>
        <v>70</v>
      </c>
      <c r="L2060" s="1246" t="s">
        <v>1542</v>
      </c>
      <c r="M2060" s="1250">
        <v>6</v>
      </c>
      <c r="N2060" s="1251">
        <v>30</v>
      </c>
      <c r="O2060" s="1252">
        <v>1</v>
      </c>
    </row>
    <row r="2061" spans="1:15">
      <c r="A2061" s="1246" t="s">
        <v>1493</v>
      </c>
      <c r="B2061" s="1246" t="s">
        <v>434</v>
      </c>
      <c r="C2061" s="1247">
        <v>0.45</v>
      </c>
      <c r="E2061" s="1246" t="s">
        <v>376</v>
      </c>
      <c r="F2061" s="1248">
        <v>36</v>
      </c>
      <c r="G2061" s="1248">
        <v>36</v>
      </c>
      <c r="H2061" s="1249">
        <v>1</v>
      </c>
      <c r="I2061" s="1246" t="s">
        <v>1491</v>
      </c>
      <c r="J2061" s="1246" t="s">
        <v>1462</v>
      </c>
      <c r="K2061" s="1284" t="str">
        <f t="shared" si="32"/>
        <v>71</v>
      </c>
      <c r="L2061" s="1246" t="s">
        <v>1496</v>
      </c>
      <c r="M2061" s="1250">
        <v>9</v>
      </c>
      <c r="N2061" s="1251">
        <v>36</v>
      </c>
      <c r="O2061" s="1252">
        <v>1</v>
      </c>
    </row>
    <row r="2062" spans="1:15">
      <c r="A2062" s="1246" t="s">
        <v>1493</v>
      </c>
      <c r="B2062" s="1246" t="s">
        <v>434</v>
      </c>
      <c r="C2062" s="1247">
        <v>0.45</v>
      </c>
      <c r="E2062" s="1246" t="s">
        <v>376</v>
      </c>
      <c r="F2062" s="1248">
        <v>39</v>
      </c>
      <c r="G2062" s="1248">
        <v>39</v>
      </c>
      <c r="H2062" s="1249">
        <v>1</v>
      </c>
      <c r="I2062" s="1246" t="s">
        <v>1491</v>
      </c>
      <c r="J2062" s="1246" t="s">
        <v>1468</v>
      </c>
      <c r="K2062" s="1284" t="str">
        <f t="shared" si="32"/>
        <v>7A</v>
      </c>
      <c r="L2062" s="1246" t="s">
        <v>1531</v>
      </c>
      <c r="M2062" s="1250">
        <v>9</v>
      </c>
      <c r="N2062" s="1251">
        <v>39</v>
      </c>
      <c r="O2062" s="1252">
        <v>1</v>
      </c>
    </row>
    <row r="2063" spans="1:15">
      <c r="A2063" s="1246" t="s">
        <v>1493</v>
      </c>
      <c r="B2063" s="1246" t="s">
        <v>434</v>
      </c>
      <c r="C2063" s="1247">
        <v>0.45</v>
      </c>
      <c r="E2063" s="1246" t="s">
        <v>376</v>
      </c>
      <c r="F2063" s="1248">
        <v>51</v>
      </c>
      <c r="G2063" s="1248">
        <v>51</v>
      </c>
      <c r="H2063" s="1249">
        <v>1</v>
      </c>
      <c r="I2063" s="1246" t="s">
        <v>1491</v>
      </c>
      <c r="J2063" s="1246" t="s">
        <v>1462</v>
      </c>
      <c r="K2063" s="1284" t="str">
        <f t="shared" si="32"/>
        <v>71</v>
      </c>
      <c r="L2063" s="1246" t="s">
        <v>1496</v>
      </c>
      <c r="M2063" s="1250">
        <v>9</v>
      </c>
      <c r="N2063" s="1251">
        <v>51</v>
      </c>
      <c r="O2063" s="1252">
        <v>1</v>
      </c>
    </row>
    <row r="2064" spans="1:15">
      <c r="A2064" s="1246" t="s">
        <v>1493</v>
      </c>
      <c r="B2064" s="1246" t="s">
        <v>434</v>
      </c>
      <c r="C2064" s="1247">
        <v>0.45</v>
      </c>
      <c r="E2064" s="1246" t="s">
        <v>376</v>
      </c>
      <c r="F2064" s="1248">
        <v>52</v>
      </c>
      <c r="G2064" s="1248">
        <v>104</v>
      </c>
      <c r="H2064" s="1249">
        <v>1</v>
      </c>
      <c r="I2064" s="1246" t="s">
        <v>1491</v>
      </c>
      <c r="J2064" s="1246" t="s">
        <v>1469</v>
      </c>
      <c r="K2064" s="1284">
        <f t="shared" si="32"/>
        <v>70</v>
      </c>
      <c r="L2064" s="1246" t="s">
        <v>1542</v>
      </c>
      <c r="M2064" s="1250">
        <v>6</v>
      </c>
      <c r="N2064" s="1251">
        <v>52</v>
      </c>
      <c r="O2064" s="1252">
        <v>1</v>
      </c>
    </row>
    <row r="2065" spans="1:15">
      <c r="A2065" s="1246" t="s">
        <v>1493</v>
      </c>
      <c r="B2065" s="1246" t="s">
        <v>434</v>
      </c>
      <c r="C2065" s="1247">
        <v>0.45</v>
      </c>
      <c r="E2065" s="1246" t="s">
        <v>376</v>
      </c>
      <c r="F2065" s="1248">
        <v>86</v>
      </c>
      <c r="G2065" s="1248">
        <v>86</v>
      </c>
      <c r="H2065" s="1249">
        <v>2</v>
      </c>
      <c r="I2065" s="1246" t="s">
        <v>1491</v>
      </c>
      <c r="J2065" s="1246" t="s">
        <v>1400</v>
      </c>
      <c r="K2065" s="1284" t="str">
        <f t="shared" si="32"/>
        <v>70</v>
      </c>
      <c r="L2065" s="1246" t="s">
        <v>1532</v>
      </c>
      <c r="M2065" s="1250">
        <v>9</v>
      </c>
      <c r="N2065" s="1251">
        <v>86</v>
      </c>
      <c r="O2065" s="1252">
        <v>1</v>
      </c>
    </row>
    <row r="2066" spans="1:15">
      <c r="A2066" s="1246" t="s">
        <v>1493</v>
      </c>
      <c r="B2066" s="1246" t="s">
        <v>434</v>
      </c>
      <c r="C2066" s="1247">
        <v>0.5</v>
      </c>
      <c r="E2066" s="1246" t="s">
        <v>376</v>
      </c>
      <c r="F2066" s="1248">
        <v>2</v>
      </c>
      <c r="G2066" s="1248">
        <v>2</v>
      </c>
      <c r="H2066" s="1249">
        <v>1</v>
      </c>
      <c r="I2066" s="1246" t="s">
        <v>1491</v>
      </c>
      <c r="J2066" s="1246" t="s">
        <v>1462</v>
      </c>
      <c r="K2066" s="1284" t="str">
        <f t="shared" si="32"/>
        <v>71</v>
      </c>
      <c r="L2066" s="1246" t="s">
        <v>1496</v>
      </c>
      <c r="M2066" s="1250">
        <v>9</v>
      </c>
      <c r="N2066" s="1251">
        <v>2</v>
      </c>
      <c r="O2066" s="1252">
        <v>1</v>
      </c>
    </row>
    <row r="2067" spans="1:15">
      <c r="A2067" s="1246" t="s">
        <v>1493</v>
      </c>
      <c r="B2067" s="1246" t="s">
        <v>434</v>
      </c>
      <c r="C2067" s="1247">
        <v>0.5</v>
      </c>
      <c r="E2067" s="1246" t="s">
        <v>376</v>
      </c>
      <c r="F2067" s="1248">
        <v>3</v>
      </c>
      <c r="G2067" s="1248">
        <v>3</v>
      </c>
      <c r="H2067" s="1249">
        <v>1</v>
      </c>
      <c r="I2067" s="1246" t="s">
        <v>1491</v>
      </c>
      <c r="J2067" s="1246" t="s">
        <v>1462</v>
      </c>
      <c r="K2067" s="1284" t="str">
        <f t="shared" si="32"/>
        <v>71</v>
      </c>
      <c r="L2067" s="1246" t="s">
        <v>1496</v>
      </c>
      <c r="M2067" s="1250">
        <v>9</v>
      </c>
      <c r="N2067" s="1251">
        <v>69</v>
      </c>
      <c r="O2067" s="1252">
        <v>23</v>
      </c>
    </row>
    <row r="2068" spans="1:15">
      <c r="A2068" s="1246" t="s">
        <v>1493</v>
      </c>
      <c r="B2068" s="1246" t="s">
        <v>434</v>
      </c>
      <c r="C2068" s="1247">
        <v>0.5</v>
      </c>
      <c r="E2068" s="1246" t="s">
        <v>376</v>
      </c>
      <c r="F2068" s="1248">
        <v>4</v>
      </c>
      <c r="G2068" s="1248">
        <v>4</v>
      </c>
      <c r="H2068" s="1249">
        <v>1</v>
      </c>
      <c r="I2068" s="1246" t="s">
        <v>1491</v>
      </c>
      <c r="J2068" s="1246" t="s">
        <v>1462</v>
      </c>
      <c r="K2068" s="1284" t="str">
        <f t="shared" si="32"/>
        <v>71</v>
      </c>
      <c r="L2068" s="1246" t="s">
        <v>1496</v>
      </c>
      <c r="M2068" s="1250">
        <v>9</v>
      </c>
      <c r="N2068" s="1251">
        <v>64</v>
      </c>
      <c r="O2068" s="1252">
        <v>16</v>
      </c>
    </row>
    <row r="2069" spans="1:15">
      <c r="A2069" s="1246" t="s">
        <v>1493</v>
      </c>
      <c r="B2069" s="1246" t="s">
        <v>434</v>
      </c>
      <c r="C2069" s="1247">
        <v>0.5</v>
      </c>
      <c r="E2069" s="1246" t="s">
        <v>376</v>
      </c>
      <c r="F2069" s="1248">
        <v>5</v>
      </c>
      <c r="G2069" s="1248">
        <v>5</v>
      </c>
      <c r="H2069" s="1249">
        <v>1</v>
      </c>
      <c r="I2069" s="1246" t="s">
        <v>1491</v>
      </c>
      <c r="J2069" s="1246" t="s">
        <v>1462</v>
      </c>
      <c r="K2069" s="1284" t="str">
        <f t="shared" si="32"/>
        <v>71</v>
      </c>
      <c r="L2069" s="1246" t="s">
        <v>1496</v>
      </c>
      <c r="M2069" s="1250">
        <v>9</v>
      </c>
      <c r="N2069" s="1251">
        <v>65</v>
      </c>
      <c r="O2069" s="1252">
        <v>13</v>
      </c>
    </row>
    <row r="2070" spans="1:15">
      <c r="A2070" s="1246" t="s">
        <v>1493</v>
      </c>
      <c r="B2070" s="1246" t="s">
        <v>434</v>
      </c>
      <c r="C2070" s="1247">
        <v>0.5</v>
      </c>
      <c r="E2070" s="1246" t="s">
        <v>376</v>
      </c>
      <c r="F2070" s="1248">
        <v>6</v>
      </c>
      <c r="G2070" s="1248">
        <v>6</v>
      </c>
      <c r="H2070" s="1249">
        <v>1</v>
      </c>
      <c r="I2070" s="1246" t="s">
        <v>1491</v>
      </c>
      <c r="J2070" s="1246" t="s">
        <v>1462</v>
      </c>
      <c r="K2070" s="1284" t="str">
        <f t="shared" si="32"/>
        <v>71</v>
      </c>
      <c r="L2070" s="1246" t="s">
        <v>1496</v>
      </c>
      <c r="M2070" s="1250">
        <v>9</v>
      </c>
      <c r="N2070" s="1251">
        <v>96</v>
      </c>
      <c r="O2070" s="1252">
        <v>16</v>
      </c>
    </row>
    <row r="2071" spans="1:15">
      <c r="A2071" s="1246" t="s">
        <v>1493</v>
      </c>
      <c r="B2071" s="1246" t="s">
        <v>434</v>
      </c>
      <c r="C2071" s="1247">
        <v>0.5</v>
      </c>
      <c r="E2071" s="1246" t="s">
        <v>376</v>
      </c>
      <c r="F2071" s="1248">
        <v>7</v>
      </c>
      <c r="G2071" s="1248">
        <v>7</v>
      </c>
      <c r="H2071" s="1249">
        <v>1</v>
      </c>
      <c r="I2071" s="1246" t="s">
        <v>1491</v>
      </c>
      <c r="J2071" s="1246" t="s">
        <v>1462</v>
      </c>
      <c r="K2071" s="1284" t="str">
        <f t="shared" si="32"/>
        <v>71</v>
      </c>
      <c r="L2071" s="1246" t="s">
        <v>1496</v>
      </c>
      <c r="M2071" s="1250">
        <v>9</v>
      </c>
      <c r="N2071" s="1251">
        <v>42</v>
      </c>
      <c r="O2071" s="1252">
        <v>6</v>
      </c>
    </row>
    <row r="2072" spans="1:15">
      <c r="A2072" s="1246" t="s">
        <v>1493</v>
      </c>
      <c r="B2072" s="1246" t="s">
        <v>434</v>
      </c>
      <c r="C2072" s="1247">
        <v>0.5</v>
      </c>
      <c r="E2072" s="1246" t="s">
        <v>279</v>
      </c>
      <c r="F2072" s="1248">
        <v>7</v>
      </c>
      <c r="G2072" s="1248">
        <v>7</v>
      </c>
      <c r="H2072" s="1249">
        <v>1</v>
      </c>
      <c r="I2072" s="1246" t="s">
        <v>1491</v>
      </c>
      <c r="J2072" s="1246" t="s">
        <v>1462</v>
      </c>
      <c r="K2072" s="1284" t="str">
        <f t="shared" si="32"/>
        <v>71</v>
      </c>
      <c r="L2072" s="1246" t="s">
        <v>1496</v>
      </c>
      <c r="M2072" s="1250">
        <v>9</v>
      </c>
      <c r="N2072" s="1251">
        <v>7</v>
      </c>
      <c r="O2072" s="1252">
        <v>1</v>
      </c>
    </row>
    <row r="2073" spans="1:15">
      <c r="A2073" s="1246" t="s">
        <v>1493</v>
      </c>
      <c r="B2073" s="1246" t="s">
        <v>434</v>
      </c>
      <c r="C2073" s="1247">
        <v>0.5</v>
      </c>
      <c r="E2073" s="1246" t="s">
        <v>376</v>
      </c>
      <c r="F2073" s="1248">
        <v>8</v>
      </c>
      <c r="G2073" s="1248">
        <v>8</v>
      </c>
      <c r="H2073" s="1249">
        <v>1</v>
      </c>
      <c r="I2073" s="1246" t="s">
        <v>1491</v>
      </c>
      <c r="J2073" s="1246" t="s">
        <v>1462</v>
      </c>
      <c r="K2073" s="1284" t="str">
        <f t="shared" si="32"/>
        <v>71</v>
      </c>
      <c r="L2073" s="1246" t="s">
        <v>1496</v>
      </c>
      <c r="M2073" s="1250">
        <v>9</v>
      </c>
      <c r="N2073" s="1251">
        <v>72</v>
      </c>
      <c r="O2073" s="1252">
        <v>9</v>
      </c>
    </row>
    <row r="2074" spans="1:15">
      <c r="A2074" s="1246" t="s">
        <v>1493</v>
      </c>
      <c r="B2074" s="1246" t="s">
        <v>434</v>
      </c>
      <c r="C2074" s="1247">
        <v>0.5</v>
      </c>
      <c r="E2074" s="1246" t="s">
        <v>376</v>
      </c>
      <c r="F2074" s="1248">
        <v>9</v>
      </c>
      <c r="G2074" s="1248">
        <v>9</v>
      </c>
      <c r="H2074" s="1249">
        <v>1</v>
      </c>
      <c r="I2074" s="1246" t="s">
        <v>1491</v>
      </c>
      <c r="J2074" s="1246" t="s">
        <v>1462</v>
      </c>
      <c r="K2074" s="1284" t="str">
        <f t="shared" si="32"/>
        <v>71</v>
      </c>
      <c r="L2074" s="1246" t="s">
        <v>1496</v>
      </c>
      <c r="M2074" s="1250">
        <v>9</v>
      </c>
      <c r="N2074" s="1251">
        <v>126</v>
      </c>
      <c r="O2074" s="1252">
        <v>14</v>
      </c>
    </row>
    <row r="2075" spans="1:15">
      <c r="A2075" s="1246" t="s">
        <v>1493</v>
      </c>
      <c r="B2075" s="1246" t="s">
        <v>434</v>
      </c>
      <c r="C2075" s="1247">
        <v>0.5</v>
      </c>
      <c r="E2075" s="1246" t="s">
        <v>376</v>
      </c>
      <c r="F2075" s="1248">
        <v>10</v>
      </c>
      <c r="G2075" s="1248">
        <v>10</v>
      </c>
      <c r="H2075" s="1249">
        <v>1</v>
      </c>
      <c r="I2075" s="1246" t="s">
        <v>1491</v>
      </c>
      <c r="J2075" s="1246" t="s">
        <v>1462</v>
      </c>
      <c r="K2075" s="1284" t="str">
        <f t="shared" si="32"/>
        <v>71</v>
      </c>
      <c r="L2075" s="1246" t="s">
        <v>1496</v>
      </c>
      <c r="M2075" s="1250">
        <v>9</v>
      </c>
      <c r="N2075" s="1251">
        <v>80</v>
      </c>
      <c r="O2075" s="1252">
        <v>8</v>
      </c>
    </row>
    <row r="2076" spans="1:15">
      <c r="A2076" s="1246" t="s">
        <v>1493</v>
      </c>
      <c r="B2076" s="1246" t="s">
        <v>434</v>
      </c>
      <c r="C2076" s="1247">
        <v>0.5</v>
      </c>
      <c r="E2076" s="1246" t="s">
        <v>376</v>
      </c>
      <c r="F2076" s="1248">
        <v>11</v>
      </c>
      <c r="G2076" s="1248">
        <v>11</v>
      </c>
      <c r="H2076" s="1249">
        <v>1</v>
      </c>
      <c r="I2076" s="1246" t="s">
        <v>1491</v>
      </c>
      <c r="J2076" s="1246" t="s">
        <v>1462</v>
      </c>
      <c r="K2076" s="1284" t="str">
        <f t="shared" si="32"/>
        <v>71</v>
      </c>
      <c r="L2076" s="1246" t="s">
        <v>1496</v>
      </c>
      <c r="M2076" s="1250">
        <v>9</v>
      </c>
      <c r="N2076" s="1251">
        <v>33</v>
      </c>
      <c r="O2076" s="1252">
        <v>3</v>
      </c>
    </row>
    <row r="2077" spans="1:15">
      <c r="A2077" s="1246" t="s">
        <v>1493</v>
      </c>
      <c r="B2077" s="1246" t="s">
        <v>434</v>
      </c>
      <c r="C2077" s="1247">
        <v>0.5</v>
      </c>
      <c r="E2077" s="1246" t="s">
        <v>376</v>
      </c>
      <c r="F2077" s="1248">
        <v>12</v>
      </c>
      <c r="G2077" s="1248">
        <v>12</v>
      </c>
      <c r="H2077" s="1249">
        <v>1</v>
      </c>
      <c r="I2077" s="1246" t="s">
        <v>1491</v>
      </c>
      <c r="J2077" s="1246" t="s">
        <v>1462</v>
      </c>
      <c r="K2077" s="1284" t="str">
        <f t="shared" si="32"/>
        <v>71</v>
      </c>
      <c r="L2077" s="1246" t="s">
        <v>1496</v>
      </c>
      <c r="M2077" s="1250">
        <v>9</v>
      </c>
      <c r="N2077" s="1251">
        <v>120</v>
      </c>
      <c r="O2077" s="1252">
        <v>10</v>
      </c>
    </row>
    <row r="2078" spans="1:15">
      <c r="A2078" s="1246" t="s">
        <v>1493</v>
      </c>
      <c r="B2078" s="1246" t="s">
        <v>434</v>
      </c>
      <c r="C2078" s="1247">
        <v>0.5</v>
      </c>
      <c r="E2078" s="1246" t="s">
        <v>376</v>
      </c>
      <c r="F2078" s="1248">
        <v>13</v>
      </c>
      <c r="G2078" s="1248">
        <v>13</v>
      </c>
      <c r="H2078" s="1249">
        <v>1</v>
      </c>
      <c r="I2078" s="1246" t="s">
        <v>1491</v>
      </c>
      <c r="J2078" s="1246" t="s">
        <v>1462</v>
      </c>
      <c r="K2078" s="1284" t="str">
        <f t="shared" si="32"/>
        <v>71</v>
      </c>
      <c r="L2078" s="1246" t="s">
        <v>1496</v>
      </c>
      <c r="M2078" s="1250">
        <v>9</v>
      </c>
      <c r="N2078" s="1251">
        <v>13</v>
      </c>
      <c r="O2078" s="1252">
        <v>1</v>
      </c>
    </row>
    <row r="2079" spans="1:15">
      <c r="A2079" s="1246" t="s">
        <v>1493</v>
      </c>
      <c r="B2079" s="1246" t="s">
        <v>434</v>
      </c>
      <c r="C2079" s="1247">
        <v>0.5</v>
      </c>
      <c r="E2079" s="1246" t="s">
        <v>376</v>
      </c>
      <c r="F2079" s="1248">
        <v>13</v>
      </c>
      <c r="G2079" s="1248">
        <v>26</v>
      </c>
      <c r="H2079" s="1249">
        <v>1</v>
      </c>
      <c r="I2079" s="1246" t="s">
        <v>1491</v>
      </c>
      <c r="J2079" s="1246" t="s">
        <v>1462</v>
      </c>
      <c r="K2079" s="1284" t="str">
        <f t="shared" si="32"/>
        <v>71</v>
      </c>
      <c r="L2079" s="1246" t="s">
        <v>1496</v>
      </c>
      <c r="M2079" s="1250">
        <v>9</v>
      </c>
      <c r="N2079" s="1251">
        <v>13</v>
      </c>
      <c r="O2079" s="1252">
        <v>1</v>
      </c>
    </row>
    <row r="2080" spans="1:15">
      <c r="A2080" s="1246" t="s">
        <v>1493</v>
      </c>
      <c r="B2080" s="1246" t="s">
        <v>434</v>
      </c>
      <c r="C2080" s="1247">
        <v>0.5</v>
      </c>
      <c r="E2080" s="1246" t="s">
        <v>376</v>
      </c>
      <c r="F2080" s="1248">
        <v>14</v>
      </c>
      <c r="G2080" s="1248">
        <v>14</v>
      </c>
      <c r="H2080" s="1249">
        <v>1</v>
      </c>
      <c r="I2080" s="1246" t="s">
        <v>1491</v>
      </c>
      <c r="J2080" s="1246" t="s">
        <v>1462</v>
      </c>
      <c r="K2080" s="1284" t="str">
        <f t="shared" si="32"/>
        <v>71</v>
      </c>
      <c r="L2080" s="1246" t="s">
        <v>1496</v>
      </c>
      <c r="M2080" s="1250">
        <v>9</v>
      </c>
      <c r="N2080" s="1251">
        <v>28</v>
      </c>
      <c r="O2080" s="1252">
        <v>2</v>
      </c>
    </row>
    <row r="2081" spans="1:15">
      <c r="A2081" s="1246" t="s">
        <v>1493</v>
      </c>
      <c r="B2081" s="1246" t="s">
        <v>434</v>
      </c>
      <c r="C2081" s="1247">
        <v>0.5</v>
      </c>
      <c r="E2081" s="1246" t="s">
        <v>376</v>
      </c>
      <c r="F2081" s="1248">
        <v>15</v>
      </c>
      <c r="G2081" s="1248">
        <v>15</v>
      </c>
      <c r="H2081" s="1249">
        <v>1</v>
      </c>
      <c r="I2081" s="1246" t="s">
        <v>1491</v>
      </c>
      <c r="J2081" s="1246" t="s">
        <v>1462</v>
      </c>
      <c r="K2081" s="1284" t="str">
        <f t="shared" si="32"/>
        <v>71</v>
      </c>
      <c r="L2081" s="1246" t="s">
        <v>1496</v>
      </c>
      <c r="M2081" s="1250">
        <v>9</v>
      </c>
      <c r="N2081" s="1251">
        <v>45</v>
      </c>
      <c r="O2081" s="1252">
        <v>3</v>
      </c>
    </row>
    <row r="2082" spans="1:15">
      <c r="A2082" s="1246" t="s">
        <v>1493</v>
      </c>
      <c r="B2082" s="1246" t="s">
        <v>434</v>
      </c>
      <c r="C2082" s="1247">
        <v>0.5</v>
      </c>
      <c r="E2082" s="1246" t="s">
        <v>376</v>
      </c>
      <c r="F2082" s="1248">
        <v>16</v>
      </c>
      <c r="G2082" s="1248">
        <v>16</v>
      </c>
      <c r="H2082" s="1249">
        <v>1</v>
      </c>
      <c r="I2082" s="1246" t="s">
        <v>1491</v>
      </c>
      <c r="J2082" s="1246" t="s">
        <v>1462</v>
      </c>
      <c r="K2082" s="1284" t="str">
        <f t="shared" si="32"/>
        <v>71</v>
      </c>
      <c r="L2082" s="1246" t="s">
        <v>1496</v>
      </c>
      <c r="M2082" s="1250">
        <v>9</v>
      </c>
      <c r="N2082" s="1251">
        <v>16</v>
      </c>
      <c r="O2082" s="1252">
        <v>1</v>
      </c>
    </row>
    <row r="2083" spans="1:15">
      <c r="A2083" s="1246" t="s">
        <v>1493</v>
      </c>
      <c r="B2083" s="1246" t="s">
        <v>434</v>
      </c>
      <c r="C2083" s="1247">
        <v>0.5</v>
      </c>
      <c r="E2083" s="1246" t="s">
        <v>376</v>
      </c>
      <c r="F2083" s="1248">
        <v>16</v>
      </c>
      <c r="G2083" s="1248">
        <v>32</v>
      </c>
      <c r="H2083" s="1249">
        <v>1</v>
      </c>
      <c r="I2083" s="1246" t="s">
        <v>1491</v>
      </c>
      <c r="J2083" s="1246" t="s">
        <v>1462</v>
      </c>
      <c r="K2083" s="1284" t="str">
        <f t="shared" si="32"/>
        <v>71</v>
      </c>
      <c r="L2083" s="1246" t="s">
        <v>1496</v>
      </c>
      <c r="M2083" s="1250">
        <v>9</v>
      </c>
      <c r="N2083" s="1251">
        <v>16</v>
      </c>
      <c r="O2083" s="1252">
        <v>1</v>
      </c>
    </row>
    <row r="2084" spans="1:15">
      <c r="A2084" s="1246" t="s">
        <v>1493</v>
      </c>
      <c r="B2084" s="1246" t="s">
        <v>434</v>
      </c>
      <c r="C2084" s="1247">
        <v>0.5</v>
      </c>
      <c r="E2084" s="1246" t="s">
        <v>376</v>
      </c>
      <c r="F2084" s="1248">
        <v>17</v>
      </c>
      <c r="G2084" s="1248">
        <v>17</v>
      </c>
      <c r="H2084" s="1249">
        <v>1</v>
      </c>
      <c r="I2084" s="1246" t="s">
        <v>1491</v>
      </c>
      <c r="J2084" s="1246" t="s">
        <v>1462</v>
      </c>
      <c r="K2084" s="1284" t="str">
        <f t="shared" si="32"/>
        <v>71</v>
      </c>
      <c r="L2084" s="1246" t="s">
        <v>1496</v>
      </c>
      <c r="M2084" s="1250">
        <v>9</v>
      </c>
      <c r="N2084" s="1251">
        <v>34</v>
      </c>
      <c r="O2084" s="1252">
        <v>2</v>
      </c>
    </row>
    <row r="2085" spans="1:15">
      <c r="A2085" s="1246" t="s">
        <v>1493</v>
      </c>
      <c r="B2085" s="1246" t="s">
        <v>434</v>
      </c>
      <c r="C2085" s="1247">
        <v>0.5</v>
      </c>
      <c r="E2085" s="1246" t="s">
        <v>376</v>
      </c>
      <c r="F2085" s="1248">
        <v>18</v>
      </c>
      <c r="G2085" s="1248">
        <v>18</v>
      </c>
      <c r="H2085" s="1249">
        <v>1</v>
      </c>
      <c r="I2085" s="1246" t="s">
        <v>1491</v>
      </c>
      <c r="J2085" s="1246" t="s">
        <v>1462</v>
      </c>
      <c r="K2085" s="1284" t="str">
        <f t="shared" si="32"/>
        <v>71</v>
      </c>
      <c r="L2085" s="1246" t="s">
        <v>1496</v>
      </c>
      <c r="M2085" s="1250">
        <v>9</v>
      </c>
      <c r="N2085" s="1251">
        <v>54</v>
      </c>
      <c r="O2085" s="1252">
        <v>3</v>
      </c>
    </row>
    <row r="2086" spans="1:15">
      <c r="A2086" s="1246" t="s">
        <v>1493</v>
      </c>
      <c r="B2086" s="1246" t="s">
        <v>434</v>
      </c>
      <c r="C2086" s="1247">
        <v>0.5</v>
      </c>
      <c r="E2086" s="1246" t="s">
        <v>376</v>
      </c>
      <c r="F2086" s="1248">
        <v>19</v>
      </c>
      <c r="G2086" s="1248">
        <v>38</v>
      </c>
      <c r="H2086" s="1249">
        <v>1</v>
      </c>
      <c r="I2086" s="1246" t="s">
        <v>1491</v>
      </c>
      <c r="J2086" s="1246" t="s">
        <v>1462</v>
      </c>
      <c r="K2086" s="1284" t="str">
        <f t="shared" si="32"/>
        <v>71</v>
      </c>
      <c r="L2086" s="1246" t="s">
        <v>1496</v>
      </c>
      <c r="M2086" s="1250">
        <v>9</v>
      </c>
      <c r="N2086" s="1251">
        <v>19</v>
      </c>
      <c r="O2086" s="1252">
        <v>1</v>
      </c>
    </row>
    <row r="2087" spans="1:15">
      <c r="A2087" s="1246" t="s">
        <v>1493</v>
      </c>
      <c r="B2087" s="1246" t="s">
        <v>434</v>
      </c>
      <c r="C2087" s="1247">
        <v>0.5</v>
      </c>
      <c r="E2087" s="1246" t="s">
        <v>376</v>
      </c>
      <c r="F2087" s="1248">
        <v>21</v>
      </c>
      <c r="G2087" s="1248">
        <v>21</v>
      </c>
      <c r="H2087" s="1249">
        <v>1</v>
      </c>
      <c r="I2087" s="1246" t="s">
        <v>1491</v>
      </c>
      <c r="J2087" s="1246" t="s">
        <v>1462</v>
      </c>
      <c r="K2087" s="1284" t="str">
        <f t="shared" si="32"/>
        <v>71</v>
      </c>
      <c r="L2087" s="1246" t="s">
        <v>1496</v>
      </c>
      <c r="M2087" s="1250">
        <v>9</v>
      </c>
      <c r="N2087" s="1251">
        <v>21</v>
      </c>
      <c r="O2087" s="1252">
        <v>1</v>
      </c>
    </row>
    <row r="2088" spans="1:15">
      <c r="A2088" s="1246" t="s">
        <v>1493</v>
      </c>
      <c r="B2088" s="1246" t="s">
        <v>434</v>
      </c>
      <c r="C2088" s="1247">
        <v>0.5</v>
      </c>
      <c r="E2088" s="1246" t="s">
        <v>376</v>
      </c>
      <c r="F2088" s="1248">
        <v>21</v>
      </c>
      <c r="G2088" s="1248">
        <v>42</v>
      </c>
      <c r="H2088" s="1249">
        <v>1</v>
      </c>
      <c r="I2088" s="1246" t="s">
        <v>1491</v>
      </c>
      <c r="J2088" s="1246" t="s">
        <v>1462</v>
      </c>
      <c r="K2088" s="1284" t="str">
        <f t="shared" si="32"/>
        <v>71</v>
      </c>
      <c r="L2088" s="1246" t="s">
        <v>1496</v>
      </c>
      <c r="M2088" s="1250">
        <v>9</v>
      </c>
      <c r="N2088" s="1251">
        <v>21</v>
      </c>
      <c r="O2088" s="1252">
        <v>1</v>
      </c>
    </row>
    <row r="2089" spans="1:15">
      <c r="A2089" s="1246" t="s">
        <v>1493</v>
      </c>
      <c r="B2089" s="1246" t="s">
        <v>434</v>
      </c>
      <c r="C2089" s="1247">
        <v>0.5</v>
      </c>
      <c r="E2089" s="1246" t="s">
        <v>376</v>
      </c>
      <c r="F2089" s="1248">
        <v>22</v>
      </c>
      <c r="G2089" s="1248">
        <v>22</v>
      </c>
      <c r="H2089" s="1249">
        <v>1</v>
      </c>
      <c r="I2089" s="1246" t="s">
        <v>1491</v>
      </c>
      <c r="J2089" s="1246" t="s">
        <v>1462</v>
      </c>
      <c r="K2089" s="1284" t="str">
        <f t="shared" si="32"/>
        <v>71</v>
      </c>
      <c r="L2089" s="1246" t="s">
        <v>1496</v>
      </c>
      <c r="M2089" s="1250">
        <v>9</v>
      </c>
      <c r="N2089" s="1251">
        <v>22</v>
      </c>
      <c r="O2089" s="1252">
        <v>1</v>
      </c>
    </row>
    <row r="2090" spans="1:15">
      <c r="A2090" s="1246" t="s">
        <v>1493</v>
      </c>
      <c r="B2090" s="1246" t="s">
        <v>434</v>
      </c>
      <c r="C2090" s="1247">
        <v>0.5</v>
      </c>
      <c r="E2090" s="1246" t="s">
        <v>376</v>
      </c>
      <c r="F2090" s="1248">
        <v>22</v>
      </c>
      <c r="G2090" s="1248">
        <v>44</v>
      </c>
      <c r="H2090" s="1249">
        <v>1</v>
      </c>
      <c r="I2090" s="1246" t="s">
        <v>1491</v>
      </c>
      <c r="J2090" s="1246" t="s">
        <v>1462</v>
      </c>
      <c r="K2090" s="1284" t="str">
        <f t="shared" si="32"/>
        <v>71</v>
      </c>
      <c r="L2090" s="1246" t="s">
        <v>1496</v>
      </c>
      <c r="M2090" s="1250">
        <v>9</v>
      </c>
      <c r="N2090" s="1251">
        <v>22</v>
      </c>
      <c r="O2090" s="1252">
        <v>1</v>
      </c>
    </row>
    <row r="2091" spans="1:15">
      <c r="A2091" s="1246" t="s">
        <v>1493</v>
      </c>
      <c r="B2091" s="1246" t="s">
        <v>434</v>
      </c>
      <c r="C2091" s="1247">
        <v>0.5</v>
      </c>
      <c r="E2091" s="1246" t="s">
        <v>376</v>
      </c>
      <c r="F2091" s="1248">
        <v>23</v>
      </c>
      <c r="G2091" s="1248">
        <v>23</v>
      </c>
      <c r="H2091" s="1249">
        <v>1</v>
      </c>
      <c r="I2091" s="1246" t="s">
        <v>1491</v>
      </c>
      <c r="J2091" s="1246" t="s">
        <v>1462</v>
      </c>
      <c r="K2091" s="1284" t="str">
        <f t="shared" si="32"/>
        <v>71</v>
      </c>
      <c r="L2091" s="1246" t="s">
        <v>1496</v>
      </c>
      <c r="M2091" s="1250">
        <v>9</v>
      </c>
      <c r="N2091" s="1251">
        <v>23</v>
      </c>
      <c r="O2091" s="1252">
        <v>1</v>
      </c>
    </row>
    <row r="2092" spans="1:15">
      <c r="A2092" s="1246" t="s">
        <v>1493</v>
      </c>
      <c r="B2092" s="1246" t="s">
        <v>434</v>
      </c>
      <c r="C2092" s="1247">
        <v>0.5</v>
      </c>
      <c r="E2092" s="1246" t="s">
        <v>376</v>
      </c>
      <c r="F2092" s="1248">
        <v>24</v>
      </c>
      <c r="G2092" s="1248">
        <v>24</v>
      </c>
      <c r="H2092" s="1249">
        <v>1</v>
      </c>
      <c r="I2092" s="1246" t="s">
        <v>1491</v>
      </c>
      <c r="J2092" s="1246" t="s">
        <v>1462</v>
      </c>
      <c r="K2092" s="1284" t="str">
        <f t="shared" si="32"/>
        <v>71</v>
      </c>
      <c r="L2092" s="1246" t="s">
        <v>1496</v>
      </c>
      <c r="M2092" s="1250">
        <v>9</v>
      </c>
      <c r="N2092" s="1251">
        <v>72</v>
      </c>
      <c r="O2092" s="1252">
        <v>3</v>
      </c>
    </row>
    <row r="2093" spans="1:15">
      <c r="A2093" s="1246" t="s">
        <v>1493</v>
      </c>
      <c r="B2093" s="1246" t="s">
        <v>434</v>
      </c>
      <c r="C2093" s="1247">
        <v>0.5</v>
      </c>
      <c r="E2093" s="1246" t="s">
        <v>376</v>
      </c>
      <c r="F2093" s="1248">
        <v>25</v>
      </c>
      <c r="G2093" s="1248">
        <v>25</v>
      </c>
      <c r="H2093" s="1249">
        <v>1</v>
      </c>
      <c r="I2093" s="1246" t="s">
        <v>1491</v>
      </c>
      <c r="J2093" s="1246" t="s">
        <v>1462</v>
      </c>
      <c r="K2093" s="1284" t="str">
        <f t="shared" si="32"/>
        <v>71</v>
      </c>
      <c r="L2093" s="1246" t="s">
        <v>1496</v>
      </c>
      <c r="M2093" s="1250">
        <v>9</v>
      </c>
      <c r="N2093" s="1251">
        <v>25</v>
      </c>
      <c r="O2093" s="1252">
        <v>1</v>
      </c>
    </row>
    <row r="2094" spans="1:15">
      <c r="A2094" s="1246" t="s">
        <v>1493</v>
      </c>
      <c r="B2094" s="1246" t="s">
        <v>434</v>
      </c>
      <c r="C2094" s="1247">
        <v>0.5</v>
      </c>
      <c r="E2094" s="1246" t="s">
        <v>376</v>
      </c>
      <c r="F2094" s="1248">
        <v>26</v>
      </c>
      <c r="G2094" s="1248">
        <v>26</v>
      </c>
      <c r="H2094" s="1249">
        <v>1</v>
      </c>
      <c r="I2094" s="1246" t="s">
        <v>1491</v>
      </c>
      <c r="J2094" s="1246" t="s">
        <v>1462</v>
      </c>
      <c r="K2094" s="1284" t="str">
        <f t="shared" si="32"/>
        <v>71</v>
      </c>
      <c r="L2094" s="1246" t="s">
        <v>1496</v>
      </c>
      <c r="M2094" s="1250">
        <v>9</v>
      </c>
      <c r="N2094" s="1251">
        <v>26</v>
      </c>
      <c r="O2094" s="1252">
        <v>1</v>
      </c>
    </row>
    <row r="2095" spans="1:15">
      <c r="A2095" s="1246" t="s">
        <v>1493</v>
      </c>
      <c r="B2095" s="1246" t="s">
        <v>434</v>
      </c>
      <c r="C2095" s="1247">
        <v>0.5</v>
      </c>
      <c r="E2095" s="1246" t="s">
        <v>376</v>
      </c>
      <c r="F2095" s="1248">
        <v>27</v>
      </c>
      <c r="G2095" s="1248">
        <v>27</v>
      </c>
      <c r="H2095" s="1249">
        <v>1</v>
      </c>
      <c r="I2095" s="1246" t="s">
        <v>1491</v>
      </c>
      <c r="J2095" s="1246" t="s">
        <v>1462</v>
      </c>
      <c r="K2095" s="1284" t="str">
        <f t="shared" si="32"/>
        <v>71</v>
      </c>
      <c r="L2095" s="1246" t="s">
        <v>1496</v>
      </c>
      <c r="M2095" s="1250">
        <v>9</v>
      </c>
      <c r="N2095" s="1251">
        <v>54</v>
      </c>
      <c r="O2095" s="1252">
        <v>2</v>
      </c>
    </row>
    <row r="2096" spans="1:15">
      <c r="A2096" s="1246" t="s">
        <v>1493</v>
      </c>
      <c r="B2096" s="1246" t="s">
        <v>434</v>
      </c>
      <c r="C2096" s="1247">
        <v>0.5</v>
      </c>
      <c r="E2096" s="1246" t="s">
        <v>376</v>
      </c>
      <c r="F2096" s="1248">
        <v>28</v>
      </c>
      <c r="G2096" s="1248">
        <v>28</v>
      </c>
      <c r="H2096" s="1249">
        <v>1</v>
      </c>
      <c r="I2096" s="1246" t="s">
        <v>1491</v>
      </c>
      <c r="J2096" s="1246" t="s">
        <v>1462</v>
      </c>
      <c r="K2096" s="1284" t="str">
        <f t="shared" si="32"/>
        <v>71</v>
      </c>
      <c r="L2096" s="1246" t="s">
        <v>1496</v>
      </c>
      <c r="M2096" s="1250">
        <v>9</v>
      </c>
      <c r="N2096" s="1251">
        <v>28</v>
      </c>
      <c r="O2096" s="1252">
        <v>1</v>
      </c>
    </row>
    <row r="2097" spans="1:15">
      <c r="A2097" s="1246" t="s">
        <v>1493</v>
      </c>
      <c r="B2097" s="1246" t="s">
        <v>434</v>
      </c>
      <c r="C2097" s="1247">
        <v>0.5</v>
      </c>
      <c r="E2097" s="1246" t="s">
        <v>376</v>
      </c>
      <c r="F2097" s="1248">
        <v>28</v>
      </c>
      <c r="G2097" s="1248">
        <v>56</v>
      </c>
      <c r="H2097" s="1249">
        <v>1</v>
      </c>
      <c r="I2097" s="1246" t="s">
        <v>1491</v>
      </c>
      <c r="J2097" s="1246" t="s">
        <v>1462</v>
      </c>
      <c r="K2097" s="1284" t="str">
        <f t="shared" si="32"/>
        <v>71</v>
      </c>
      <c r="L2097" s="1246" t="s">
        <v>1496</v>
      </c>
      <c r="M2097" s="1250">
        <v>9</v>
      </c>
      <c r="N2097" s="1251">
        <v>28</v>
      </c>
      <c r="O2097" s="1252">
        <v>1</v>
      </c>
    </row>
    <row r="2098" spans="1:15">
      <c r="A2098" s="1246" t="s">
        <v>1493</v>
      </c>
      <c r="B2098" s="1246" t="s">
        <v>434</v>
      </c>
      <c r="C2098" s="1247">
        <v>0.5</v>
      </c>
      <c r="E2098" s="1246" t="s">
        <v>376</v>
      </c>
      <c r="F2098" s="1248">
        <v>30</v>
      </c>
      <c r="G2098" s="1248">
        <v>30</v>
      </c>
      <c r="H2098" s="1249">
        <v>1</v>
      </c>
      <c r="I2098" s="1246" t="s">
        <v>1491</v>
      </c>
      <c r="J2098" s="1246" t="s">
        <v>1462</v>
      </c>
      <c r="K2098" s="1284" t="str">
        <f t="shared" si="32"/>
        <v>71</v>
      </c>
      <c r="L2098" s="1246" t="s">
        <v>1496</v>
      </c>
      <c r="M2098" s="1250">
        <v>9</v>
      </c>
      <c r="N2098" s="1251">
        <v>60</v>
      </c>
      <c r="O2098" s="1252">
        <v>2</v>
      </c>
    </row>
    <row r="2099" spans="1:15">
      <c r="A2099" s="1246" t="s">
        <v>1493</v>
      </c>
      <c r="B2099" s="1246" t="s">
        <v>434</v>
      </c>
      <c r="C2099" s="1247">
        <v>0.5</v>
      </c>
      <c r="E2099" s="1246" t="s">
        <v>376</v>
      </c>
      <c r="F2099" s="1248">
        <v>31</v>
      </c>
      <c r="G2099" s="1248">
        <v>31</v>
      </c>
      <c r="H2099" s="1249">
        <v>1</v>
      </c>
      <c r="I2099" s="1246" t="s">
        <v>1491</v>
      </c>
      <c r="J2099" s="1246" t="s">
        <v>1462</v>
      </c>
      <c r="K2099" s="1284" t="str">
        <f t="shared" si="32"/>
        <v>71</v>
      </c>
      <c r="L2099" s="1246" t="s">
        <v>1496</v>
      </c>
      <c r="M2099" s="1250">
        <v>9</v>
      </c>
      <c r="N2099" s="1251">
        <v>62</v>
      </c>
      <c r="O2099" s="1252">
        <v>2</v>
      </c>
    </row>
    <row r="2100" spans="1:15">
      <c r="A2100" s="1246" t="s">
        <v>1493</v>
      </c>
      <c r="B2100" s="1246" t="s">
        <v>434</v>
      </c>
      <c r="C2100" s="1247">
        <v>0.5</v>
      </c>
      <c r="E2100" s="1246" t="s">
        <v>376</v>
      </c>
      <c r="F2100" s="1248">
        <v>34</v>
      </c>
      <c r="G2100" s="1248">
        <v>34</v>
      </c>
      <c r="H2100" s="1249">
        <v>1</v>
      </c>
      <c r="I2100" s="1246" t="s">
        <v>1491</v>
      </c>
      <c r="J2100" s="1246" t="s">
        <v>1462</v>
      </c>
      <c r="K2100" s="1284" t="str">
        <f t="shared" si="32"/>
        <v>71</v>
      </c>
      <c r="L2100" s="1246" t="s">
        <v>1496</v>
      </c>
      <c r="M2100" s="1250">
        <v>9</v>
      </c>
      <c r="N2100" s="1251">
        <v>34</v>
      </c>
      <c r="O2100" s="1252">
        <v>1</v>
      </c>
    </row>
    <row r="2101" spans="1:15">
      <c r="A2101" s="1246" t="s">
        <v>1493</v>
      </c>
      <c r="B2101" s="1246" t="s">
        <v>434</v>
      </c>
      <c r="C2101" s="1247">
        <v>0.5</v>
      </c>
      <c r="E2101" s="1246" t="s">
        <v>376</v>
      </c>
      <c r="F2101" s="1248">
        <v>35</v>
      </c>
      <c r="G2101" s="1248">
        <v>35</v>
      </c>
      <c r="H2101" s="1249">
        <v>1</v>
      </c>
      <c r="I2101" s="1246" t="s">
        <v>1491</v>
      </c>
      <c r="J2101" s="1246" t="s">
        <v>1462</v>
      </c>
      <c r="K2101" s="1284" t="str">
        <f t="shared" si="32"/>
        <v>71</v>
      </c>
      <c r="L2101" s="1246" t="s">
        <v>1496</v>
      </c>
      <c r="M2101" s="1250">
        <v>9</v>
      </c>
      <c r="N2101" s="1251">
        <v>35</v>
      </c>
      <c r="O2101" s="1252">
        <v>1</v>
      </c>
    </row>
    <row r="2102" spans="1:15">
      <c r="A2102" s="1246" t="s">
        <v>1493</v>
      </c>
      <c r="B2102" s="1246" t="s">
        <v>434</v>
      </c>
      <c r="C2102" s="1247">
        <v>0.5</v>
      </c>
      <c r="E2102" s="1246" t="s">
        <v>376</v>
      </c>
      <c r="F2102" s="1248">
        <v>44</v>
      </c>
      <c r="G2102" s="1248">
        <v>44</v>
      </c>
      <c r="H2102" s="1249">
        <v>1</v>
      </c>
      <c r="I2102" s="1246" t="s">
        <v>1491</v>
      </c>
      <c r="J2102" s="1246" t="s">
        <v>1462</v>
      </c>
      <c r="K2102" s="1284" t="str">
        <f t="shared" si="32"/>
        <v>71</v>
      </c>
      <c r="L2102" s="1246" t="s">
        <v>1496</v>
      </c>
      <c r="M2102" s="1250">
        <v>9</v>
      </c>
      <c r="N2102" s="1251">
        <v>44</v>
      </c>
      <c r="O2102" s="1252">
        <v>1</v>
      </c>
    </row>
    <row r="2103" spans="1:15">
      <c r="A2103" s="1246" t="s">
        <v>1493</v>
      </c>
      <c r="B2103" s="1246" t="s">
        <v>434</v>
      </c>
      <c r="C2103" s="1247">
        <v>0.5</v>
      </c>
      <c r="E2103" s="1246" t="s">
        <v>376</v>
      </c>
      <c r="F2103" s="1248">
        <v>56</v>
      </c>
      <c r="G2103" s="1248">
        <v>56</v>
      </c>
      <c r="H2103" s="1249">
        <v>1</v>
      </c>
      <c r="I2103" s="1246" t="s">
        <v>1491</v>
      </c>
      <c r="J2103" s="1246" t="s">
        <v>1462</v>
      </c>
      <c r="K2103" s="1284" t="str">
        <f t="shared" si="32"/>
        <v>71</v>
      </c>
      <c r="L2103" s="1246" t="s">
        <v>1496</v>
      </c>
      <c r="M2103" s="1250">
        <v>9</v>
      </c>
      <c r="N2103" s="1251">
        <v>56</v>
      </c>
      <c r="O2103" s="1252">
        <v>1</v>
      </c>
    </row>
    <row r="2104" spans="1:15">
      <c r="A2104" s="1246" t="s">
        <v>1493</v>
      </c>
      <c r="B2104" s="1246" t="s">
        <v>434</v>
      </c>
      <c r="C2104" s="1247">
        <v>0.5</v>
      </c>
      <c r="E2104" s="1246" t="s">
        <v>376</v>
      </c>
      <c r="F2104" s="1248">
        <v>63</v>
      </c>
      <c r="G2104" s="1248">
        <v>126</v>
      </c>
      <c r="H2104" s="1249">
        <v>1</v>
      </c>
      <c r="I2104" s="1246" t="s">
        <v>1491</v>
      </c>
      <c r="J2104" s="1246" t="s">
        <v>1462</v>
      </c>
      <c r="K2104" s="1284" t="str">
        <f t="shared" si="32"/>
        <v>71</v>
      </c>
      <c r="L2104" s="1246" t="s">
        <v>1496</v>
      </c>
      <c r="M2104" s="1250">
        <v>9</v>
      </c>
      <c r="N2104" s="1251">
        <v>63</v>
      </c>
      <c r="O2104" s="1252">
        <v>1</v>
      </c>
    </row>
    <row r="2105" spans="1:15">
      <c r="A2105" s="1246" t="s">
        <v>1493</v>
      </c>
      <c r="B2105" s="1246" t="s">
        <v>434</v>
      </c>
      <c r="C2105" s="1247">
        <v>0.5</v>
      </c>
      <c r="E2105" s="1246" t="s">
        <v>376</v>
      </c>
      <c r="F2105" s="1248">
        <v>66</v>
      </c>
      <c r="G2105" s="1248">
        <v>66</v>
      </c>
      <c r="H2105" s="1249">
        <v>1</v>
      </c>
      <c r="I2105" s="1246" t="s">
        <v>1491</v>
      </c>
      <c r="J2105" s="1246" t="s">
        <v>1462</v>
      </c>
      <c r="K2105" s="1284" t="str">
        <f t="shared" si="32"/>
        <v>71</v>
      </c>
      <c r="L2105" s="1246" t="s">
        <v>1496</v>
      </c>
      <c r="M2105" s="1250">
        <v>9</v>
      </c>
      <c r="N2105" s="1251">
        <v>66</v>
      </c>
      <c r="O2105" s="1252">
        <v>1</v>
      </c>
    </row>
    <row r="2106" spans="1:15">
      <c r="A2106" s="1246" t="s">
        <v>1493</v>
      </c>
      <c r="B2106" s="1246" t="s">
        <v>434</v>
      </c>
      <c r="C2106" s="1247">
        <v>0.5</v>
      </c>
      <c r="E2106" s="1246" t="s">
        <v>376</v>
      </c>
      <c r="F2106" s="1248">
        <v>67</v>
      </c>
      <c r="G2106" s="1248">
        <v>67</v>
      </c>
      <c r="H2106" s="1249">
        <v>1</v>
      </c>
      <c r="I2106" s="1246" t="s">
        <v>1491</v>
      </c>
      <c r="J2106" s="1246" t="s">
        <v>1462</v>
      </c>
      <c r="K2106" s="1284" t="str">
        <f t="shared" si="32"/>
        <v>71</v>
      </c>
      <c r="L2106" s="1246" t="s">
        <v>1496</v>
      </c>
      <c r="M2106" s="1250">
        <v>9</v>
      </c>
      <c r="N2106" s="1251">
        <v>67</v>
      </c>
      <c r="O2106" s="1252">
        <v>1</v>
      </c>
    </row>
    <row r="2107" spans="1:15">
      <c r="A2107" s="1246" t="s">
        <v>683</v>
      </c>
      <c r="B2107" s="1246" t="s">
        <v>430</v>
      </c>
      <c r="C2107" s="1247">
        <v>10</v>
      </c>
      <c r="E2107" s="1246" t="s">
        <v>370</v>
      </c>
      <c r="F2107" s="1248">
        <v>1</v>
      </c>
      <c r="G2107" s="1248">
        <v>0</v>
      </c>
      <c r="H2107" s="1249">
        <v>0</v>
      </c>
      <c r="J2107" s="1246" t="s">
        <v>1444</v>
      </c>
      <c r="K2107" s="1284" t="str">
        <f t="shared" si="32"/>
        <v>21</v>
      </c>
      <c r="L2107" s="1246" t="s">
        <v>1550</v>
      </c>
      <c r="M2107" s="1250">
        <v>8</v>
      </c>
      <c r="N2107" s="1251">
        <v>1</v>
      </c>
      <c r="O2107" s="1252">
        <v>1</v>
      </c>
    </row>
    <row r="2108" spans="1:15">
      <c r="A2108" s="1246" t="s">
        <v>1493</v>
      </c>
      <c r="B2108" s="1246" t="s">
        <v>430</v>
      </c>
      <c r="C2108" s="1247">
        <v>10</v>
      </c>
      <c r="D2108" s="1246" t="s">
        <v>1412</v>
      </c>
      <c r="E2108" s="1246" t="s">
        <v>370</v>
      </c>
      <c r="F2108" s="1248">
        <v>1</v>
      </c>
      <c r="G2108" s="1248">
        <v>0</v>
      </c>
      <c r="H2108" s="1249">
        <v>0</v>
      </c>
      <c r="J2108" s="1246" t="s">
        <v>1444</v>
      </c>
      <c r="K2108" s="1284" t="str">
        <f t="shared" si="32"/>
        <v>21</v>
      </c>
      <c r="L2108" s="1246" t="s">
        <v>1550</v>
      </c>
      <c r="M2108" s="1250">
        <v>8</v>
      </c>
      <c r="N2108" s="1251">
        <v>1</v>
      </c>
      <c r="O2108" s="1252">
        <v>1</v>
      </c>
    </row>
    <row r="2109" spans="1:15">
      <c r="A2109" s="1246" t="s">
        <v>683</v>
      </c>
      <c r="B2109" s="1246" t="s">
        <v>430</v>
      </c>
      <c r="C2109" s="1247">
        <v>10</v>
      </c>
      <c r="D2109" s="1246" t="s">
        <v>1412</v>
      </c>
      <c r="E2109" s="1246" t="s">
        <v>370</v>
      </c>
      <c r="F2109" s="1248">
        <v>1</v>
      </c>
      <c r="G2109" s="1248">
        <v>1</v>
      </c>
      <c r="H2109" s="1249">
        <v>2</v>
      </c>
      <c r="I2109" s="1246" t="s">
        <v>1491</v>
      </c>
      <c r="J2109" s="1246" t="s">
        <v>1446</v>
      </c>
      <c r="K2109" s="1284" t="str">
        <f t="shared" si="32"/>
        <v>23</v>
      </c>
      <c r="L2109" s="1246" t="s">
        <v>1556</v>
      </c>
      <c r="M2109" s="1250">
        <v>8</v>
      </c>
      <c r="N2109" s="1251">
        <v>1</v>
      </c>
      <c r="O2109" s="1252">
        <v>1</v>
      </c>
    </row>
    <row r="2110" spans="1:15">
      <c r="A2110" s="1246" t="s">
        <v>683</v>
      </c>
      <c r="B2110" s="1246" t="s">
        <v>430</v>
      </c>
      <c r="C2110" s="1247">
        <v>12</v>
      </c>
      <c r="E2110" s="1246" t="s">
        <v>370</v>
      </c>
      <c r="F2110" s="1248">
        <v>1</v>
      </c>
      <c r="G2110" s="1248">
        <v>0</v>
      </c>
      <c r="H2110" s="1249">
        <v>0</v>
      </c>
      <c r="J2110" s="1246" t="s">
        <v>1444</v>
      </c>
      <c r="K2110" s="1284" t="str">
        <f t="shared" si="32"/>
        <v>21</v>
      </c>
      <c r="L2110" s="1246" t="s">
        <v>1550</v>
      </c>
      <c r="M2110" s="1250">
        <v>8</v>
      </c>
      <c r="N2110" s="1251">
        <v>1</v>
      </c>
      <c r="O2110" s="1252">
        <v>1</v>
      </c>
    </row>
    <row r="2111" spans="1:15">
      <c r="A2111" s="1246" t="s">
        <v>683</v>
      </c>
      <c r="B2111" s="1246" t="s">
        <v>430</v>
      </c>
      <c r="C2111" s="1247">
        <v>12</v>
      </c>
      <c r="E2111" s="1246" t="s">
        <v>370</v>
      </c>
      <c r="F2111" s="1248">
        <v>1</v>
      </c>
      <c r="G2111" s="1248">
        <v>0</v>
      </c>
      <c r="H2111" s="1249">
        <v>0</v>
      </c>
      <c r="J2111" s="1246" t="s">
        <v>1446</v>
      </c>
      <c r="K2111" s="1284" t="str">
        <f t="shared" si="32"/>
        <v>23</v>
      </c>
      <c r="L2111" s="1246" t="s">
        <v>1556</v>
      </c>
      <c r="M2111" s="1250">
        <v>8</v>
      </c>
      <c r="N2111" s="1251">
        <v>1</v>
      </c>
      <c r="O2111" s="1252">
        <v>1</v>
      </c>
    </row>
    <row r="2112" spans="1:15">
      <c r="A2112" s="1246" t="s">
        <v>683</v>
      </c>
      <c r="B2112" s="1246" t="s">
        <v>430</v>
      </c>
      <c r="C2112" s="1247">
        <v>12</v>
      </c>
      <c r="E2112" s="1246" t="s">
        <v>1541</v>
      </c>
      <c r="F2112" s="1248">
        <v>2</v>
      </c>
      <c r="G2112" s="1248">
        <v>0</v>
      </c>
      <c r="H2112" s="1249">
        <v>0</v>
      </c>
      <c r="J2112" s="1246" t="s">
        <v>1444</v>
      </c>
      <c r="K2112" s="1284" t="str">
        <f t="shared" si="32"/>
        <v>21</v>
      </c>
      <c r="L2112" s="1246" t="s">
        <v>1550</v>
      </c>
      <c r="M2112" s="1250">
        <v>8</v>
      </c>
      <c r="N2112" s="1251">
        <v>2</v>
      </c>
      <c r="O2112" s="1252">
        <v>1</v>
      </c>
    </row>
    <row r="2113" spans="1:15">
      <c r="A2113" s="1246" t="s">
        <v>683</v>
      </c>
      <c r="B2113" s="1246" t="s">
        <v>430</v>
      </c>
      <c r="C2113" s="1247">
        <v>12</v>
      </c>
      <c r="E2113" s="1246" t="s">
        <v>374</v>
      </c>
      <c r="F2113" s="1248">
        <v>4</v>
      </c>
      <c r="G2113" s="1248">
        <v>0</v>
      </c>
      <c r="H2113" s="1249">
        <v>0</v>
      </c>
      <c r="J2113" s="1246" t="s">
        <v>1444</v>
      </c>
      <c r="K2113" s="1284" t="str">
        <f t="shared" si="32"/>
        <v>21</v>
      </c>
      <c r="L2113" s="1246" t="s">
        <v>1550</v>
      </c>
      <c r="M2113" s="1250">
        <v>8</v>
      </c>
      <c r="N2113" s="1251">
        <v>4</v>
      </c>
      <c r="O2113" s="1252">
        <v>1</v>
      </c>
    </row>
    <row r="2114" spans="1:15">
      <c r="A2114" s="1246" t="s">
        <v>683</v>
      </c>
      <c r="B2114" s="1246" t="s">
        <v>430</v>
      </c>
      <c r="C2114" s="1247">
        <v>12</v>
      </c>
      <c r="E2114" s="1246" t="s">
        <v>1541</v>
      </c>
      <c r="F2114" s="1248">
        <v>4</v>
      </c>
      <c r="G2114" s="1248">
        <v>0</v>
      </c>
      <c r="H2114" s="1249">
        <v>0</v>
      </c>
      <c r="J2114" s="1246" t="s">
        <v>1444</v>
      </c>
      <c r="K2114" s="1284" t="str">
        <f t="shared" ref="K2114:K2177" si="33">IF(J2114="1B","10", IF(J2114="2B","20",IF(J2114="3B","30",IF(J2114="7B",70,J2114))))</f>
        <v>21</v>
      </c>
      <c r="L2114" s="1246" t="s">
        <v>1550</v>
      </c>
      <c r="M2114" s="1250">
        <v>8</v>
      </c>
      <c r="N2114" s="1251">
        <v>4</v>
      </c>
      <c r="O2114" s="1252">
        <v>1</v>
      </c>
    </row>
    <row r="2115" spans="1:15">
      <c r="A2115" s="1246" t="s">
        <v>1493</v>
      </c>
      <c r="B2115" s="1246" t="s">
        <v>430</v>
      </c>
      <c r="C2115" s="1247">
        <v>15</v>
      </c>
      <c r="E2115" s="1246" t="s">
        <v>370</v>
      </c>
      <c r="F2115" s="1248">
        <v>1</v>
      </c>
      <c r="G2115" s="1248">
        <v>0</v>
      </c>
      <c r="H2115" s="1249">
        <v>0</v>
      </c>
      <c r="J2115" s="1246" t="s">
        <v>1444</v>
      </c>
      <c r="K2115" s="1284" t="str">
        <f t="shared" si="33"/>
        <v>21</v>
      </c>
      <c r="L2115" s="1246" t="s">
        <v>1550</v>
      </c>
      <c r="M2115" s="1250">
        <v>8</v>
      </c>
      <c r="N2115" s="1251">
        <v>1</v>
      </c>
      <c r="O2115" s="1252">
        <v>1</v>
      </c>
    </row>
    <row r="2116" spans="1:15">
      <c r="A2116" s="1246" t="s">
        <v>683</v>
      </c>
      <c r="B2116" s="1246" t="s">
        <v>430</v>
      </c>
      <c r="C2116" s="1247">
        <v>15</v>
      </c>
      <c r="E2116" s="1246" t="s">
        <v>370</v>
      </c>
      <c r="F2116" s="1248">
        <v>1</v>
      </c>
      <c r="G2116" s="1248">
        <v>0</v>
      </c>
      <c r="H2116" s="1249">
        <v>0</v>
      </c>
      <c r="J2116" s="1246" t="s">
        <v>1444</v>
      </c>
      <c r="K2116" s="1284" t="str">
        <f t="shared" si="33"/>
        <v>21</v>
      </c>
      <c r="L2116" s="1246" t="s">
        <v>1550</v>
      </c>
      <c r="M2116" s="1250">
        <v>8</v>
      </c>
      <c r="N2116" s="1251">
        <v>2</v>
      </c>
      <c r="O2116" s="1252">
        <v>2</v>
      </c>
    </row>
    <row r="2117" spans="1:15">
      <c r="A2117" s="1246" t="s">
        <v>683</v>
      </c>
      <c r="B2117" s="1246" t="s">
        <v>430</v>
      </c>
      <c r="C2117" s="1247">
        <v>15</v>
      </c>
      <c r="E2117" s="1246" t="s">
        <v>376</v>
      </c>
      <c r="F2117" s="1248">
        <v>1</v>
      </c>
      <c r="G2117" s="1248">
        <v>0</v>
      </c>
      <c r="H2117" s="1249">
        <v>0</v>
      </c>
      <c r="J2117" s="1246" t="s">
        <v>1444</v>
      </c>
      <c r="K2117" s="1284" t="str">
        <f t="shared" si="33"/>
        <v>21</v>
      </c>
      <c r="L2117" s="1246" t="s">
        <v>1496</v>
      </c>
      <c r="M2117" s="1250">
        <v>9</v>
      </c>
      <c r="N2117" s="1251">
        <v>1</v>
      </c>
      <c r="O2117" s="1252">
        <v>1</v>
      </c>
    </row>
    <row r="2118" spans="1:15">
      <c r="A2118" s="1246" t="s">
        <v>683</v>
      </c>
      <c r="B2118" s="1246" t="s">
        <v>430</v>
      </c>
      <c r="C2118" s="1247">
        <v>15</v>
      </c>
      <c r="D2118" s="1246" t="s">
        <v>1412</v>
      </c>
      <c r="E2118" s="1246" t="s">
        <v>370</v>
      </c>
      <c r="F2118" s="1248">
        <v>1</v>
      </c>
      <c r="G2118" s="1248">
        <v>1</v>
      </c>
      <c r="H2118" s="1249">
        <v>1</v>
      </c>
      <c r="I2118" s="1246" t="s">
        <v>1491</v>
      </c>
      <c r="J2118" s="1246" t="s">
        <v>1444</v>
      </c>
      <c r="K2118" s="1284" t="str">
        <f t="shared" si="33"/>
        <v>21</v>
      </c>
      <c r="L2118" s="1246" t="s">
        <v>1550</v>
      </c>
      <c r="M2118" s="1250">
        <v>8</v>
      </c>
      <c r="N2118" s="1251">
        <v>1</v>
      </c>
      <c r="O2118" s="1252">
        <v>1</v>
      </c>
    </row>
    <row r="2119" spans="1:15">
      <c r="A2119" s="1246" t="s">
        <v>683</v>
      </c>
      <c r="B2119" s="1246" t="s">
        <v>430</v>
      </c>
      <c r="C2119" s="1247">
        <v>15</v>
      </c>
      <c r="D2119" s="1246" t="s">
        <v>1412</v>
      </c>
      <c r="E2119" s="1246" t="s">
        <v>370</v>
      </c>
      <c r="F2119" s="1248">
        <v>1</v>
      </c>
      <c r="G2119" s="1248">
        <v>1</v>
      </c>
      <c r="H2119" s="1249">
        <v>1</v>
      </c>
      <c r="I2119" s="1246" t="s">
        <v>1491</v>
      </c>
      <c r="J2119" s="1246" t="s">
        <v>1446</v>
      </c>
      <c r="K2119" s="1284" t="str">
        <f t="shared" si="33"/>
        <v>23</v>
      </c>
      <c r="L2119" s="1246" t="s">
        <v>1556</v>
      </c>
      <c r="M2119" s="1250">
        <v>8</v>
      </c>
      <c r="N2119" s="1251">
        <v>1</v>
      </c>
      <c r="O2119" s="1252">
        <v>1</v>
      </c>
    </row>
    <row r="2120" spans="1:15">
      <c r="A2120" s="1246" t="s">
        <v>683</v>
      </c>
      <c r="B2120" s="1246" t="s">
        <v>430</v>
      </c>
      <c r="C2120" s="1247">
        <v>15</v>
      </c>
      <c r="D2120" s="1246" t="s">
        <v>1412</v>
      </c>
      <c r="E2120" s="1246" t="s">
        <v>376</v>
      </c>
      <c r="F2120" s="1248">
        <v>1</v>
      </c>
      <c r="G2120" s="1248">
        <v>1</v>
      </c>
      <c r="H2120" s="1249">
        <v>1</v>
      </c>
      <c r="I2120" s="1246" t="s">
        <v>1491</v>
      </c>
      <c r="J2120" s="1246" t="s">
        <v>1446</v>
      </c>
      <c r="K2120" s="1284" t="str">
        <f t="shared" si="33"/>
        <v>23</v>
      </c>
      <c r="L2120" s="1246" t="s">
        <v>1556</v>
      </c>
      <c r="M2120" s="1250">
        <v>8</v>
      </c>
      <c r="N2120" s="1251">
        <v>1</v>
      </c>
      <c r="O2120" s="1252">
        <v>1</v>
      </c>
    </row>
    <row r="2121" spans="1:15">
      <c r="A2121" s="1246" t="s">
        <v>683</v>
      </c>
      <c r="B2121" s="1246" t="s">
        <v>430</v>
      </c>
      <c r="C2121" s="1247">
        <v>15</v>
      </c>
      <c r="D2121" s="1246" t="s">
        <v>1412</v>
      </c>
      <c r="E2121" s="1246" t="s">
        <v>370</v>
      </c>
      <c r="F2121" s="1248">
        <v>1</v>
      </c>
      <c r="G2121" s="1248">
        <v>1</v>
      </c>
      <c r="H2121" s="1249">
        <v>2</v>
      </c>
      <c r="I2121" s="1246" t="s">
        <v>1491</v>
      </c>
      <c r="J2121" s="1246" t="s">
        <v>1445</v>
      </c>
      <c r="K2121" s="1284" t="str">
        <f t="shared" si="33"/>
        <v>22</v>
      </c>
      <c r="L2121" s="1246" t="s">
        <v>1559</v>
      </c>
      <c r="M2121" s="1250">
        <v>8</v>
      </c>
      <c r="N2121" s="1251">
        <v>1</v>
      </c>
      <c r="O2121" s="1252">
        <v>1</v>
      </c>
    </row>
    <row r="2122" spans="1:15">
      <c r="A2122" s="1246" t="s">
        <v>683</v>
      </c>
      <c r="B2122" s="1246" t="s">
        <v>430</v>
      </c>
      <c r="C2122" s="1247">
        <v>15</v>
      </c>
      <c r="D2122" s="1246" t="s">
        <v>1412</v>
      </c>
      <c r="E2122" s="1246" t="s">
        <v>370</v>
      </c>
      <c r="F2122" s="1248">
        <v>1</v>
      </c>
      <c r="G2122" s="1248">
        <v>1</v>
      </c>
      <c r="H2122" s="1249">
        <v>2</v>
      </c>
      <c r="I2122" s="1246" t="s">
        <v>1491</v>
      </c>
      <c r="J2122" s="1246" t="s">
        <v>1444</v>
      </c>
      <c r="K2122" s="1284" t="str">
        <f t="shared" si="33"/>
        <v>21</v>
      </c>
      <c r="L2122" s="1246" t="s">
        <v>1550</v>
      </c>
      <c r="M2122" s="1250">
        <v>8</v>
      </c>
      <c r="N2122" s="1251">
        <v>3</v>
      </c>
      <c r="O2122" s="1252">
        <v>3</v>
      </c>
    </row>
    <row r="2123" spans="1:15">
      <c r="A2123" s="1246" t="s">
        <v>683</v>
      </c>
      <c r="B2123" s="1246" t="s">
        <v>430</v>
      </c>
      <c r="C2123" s="1247">
        <v>15</v>
      </c>
      <c r="D2123" s="1246" t="s">
        <v>1412</v>
      </c>
      <c r="E2123" s="1246" t="s">
        <v>370</v>
      </c>
      <c r="F2123" s="1248">
        <v>1</v>
      </c>
      <c r="G2123" s="1248">
        <v>1</v>
      </c>
      <c r="H2123" s="1249">
        <v>4</v>
      </c>
      <c r="I2123" s="1246" t="s">
        <v>1491</v>
      </c>
      <c r="J2123" s="1246" t="s">
        <v>1444</v>
      </c>
      <c r="K2123" s="1284" t="str">
        <f t="shared" si="33"/>
        <v>21</v>
      </c>
      <c r="L2123" s="1246" t="s">
        <v>1550</v>
      </c>
      <c r="M2123" s="1250">
        <v>8</v>
      </c>
      <c r="N2123" s="1251">
        <v>2</v>
      </c>
      <c r="O2123" s="1252">
        <v>2</v>
      </c>
    </row>
    <row r="2124" spans="1:15">
      <c r="A2124" s="1246" t="s">
        <v>683</v>
      </c>
      <c r="B2124" s="1246" t="s">
        <v>430</v>
      </c>
      <c r="C2124" s="1247">
        <v>20</v>
      </c>
      <c r="D2124" s="1246" t="s">
        <v>1412</v>
      </c>
      <c r="E2124" s="1246" t="s">
        <v>370</v>
      </c>
      <c r="F2124" s="1248">
        <v>1</v>
      </c>
      <c r="G2124" s="1248">
        <v>0</v>
      </c>
      <c r="H2124" s="1249">
        <v>0</v>
      </c>
      <c r="J2124" s="1246" t="s">
        <v>1445</v>
      </c>
      <c r="K2124" s="1284" t="str">
        <f t="shared" si="33"/>
        <v>22</v>
      </c>
      <c r="L2124" s="1246" t="s">
        <v>1559</v>
      </c>
      <c r="M2124" s="1250">
        <v>8</v>
      </c>
      <c r="N2124" s="1251">
        <v>1</v>
      </c>
      <c r="O2124" s="1252">
        <v>1</v>
      </c>
    </row>
    <row r="2125" spans="1:15">
      <c r="A2125" s="1246" t="s">
        <v>1493</v>
      </c>
      <c r="B2125" s="1246" t="s">
        <v>430</v>
      </c>
      <c r="C2125" s="1247">
        <v>20</v>
      </c>
      <c r="E2125" s="1246" t="s">
        <v>370</v>
      </c>
      <c r="F2125" s="1248">
        <v>1</v>
      </c>
      <c r="G2125" s="1248">
        <v>0</v>
      </c>
      <c r="H2125" s="1249">
        <v>0</v>
      </c>
      <c r="J2125" s="1246" t="s">
        <v>1444</v>
      </c>
      <c r="K2125" s="1284" t="str">
        <f t="shared" si="33"/>
        <v>21</v>
      </c>
      <c r="L2125" s="1246" t="s">
        <v>1550</v>
      </c>
      <c r="M2125" s="1250">
        <v>8</v>
      </c>
      <c r="N2125" s="1251">
        <v>2</v>
      </c>
      <c r="O2125" s="1252">
        <v>2</v>
      </c>
    </row>
    <row r="2126" spans="1:15">
      <c r="A2126" s="1246" t="s">
        <v>683</v>
      </c>
      <c r="B2126" s="1246" t="s">
        <v>430</v>
      </c>
      <c r="C2126" s="1247">
        <v>20</v>
      </c>
      <c r="E2126" s="1246" t="s">
        <v>370</v>
      </c>
      <c r="F2126" s="1248">
        <v>1</v>
      </c>
      <c r="G2126" s="1248">
        <v>0</v>
      </c>
      <c r="H2126" s="1249">
        <v>0</v>
      </c>
      <c r="J2126" s="1246" t="s">
        <v>1444</v>
      </c>
      <c r="K2126" s="1284" t="str">
        <f t="shared" si="33"/>
        <v>21</v>
      </c>
      <c r="L2126" s="1246" t="s">
        <v>1550</v>
      </c>
      <c r="M2126" s="1250">
        <v>8</v>
      </c>
      <c r="N2126" s="1251">
        <v>6</v>
      </c>
      <c r="O2126" s="1252">
        <v>6</v>
      </c>
    </row>
    <row r="2127" spans="1:15">
      <c r="A2127" s="1246" t="s">
        <v>683</v>
      </c>
      <c r="B2127" s="1246" t="s">
        <v>430</v>
      </c>
      <c r="C2127" s="1247">
        <v>20</v>
      </c>
      <c r="D2127" s="1246" t="s">
        <v>1412</v>
      </c>
      <c r="E2127" s="1246" t="s">
        <v>370</v>
      </c>
      <c r="F2127" s="1248">
        <v>1</v>
      </c>
      <c r="G2127" s="1248">
        <v>0</v>
      </c>
      <c r="H2127" s="1249">
        <v>0</v>
      </c>
      <c r="J2127" s="1246" t="s">
        <v>1444</v>
      </c>
      <c r="K2127" s="1284" t="str">
        <f t="shared" si="33"/>
        <v>21</v>
      </c>
      <c r="L2127" s="1246" t="s">
        <v>1550</v>
      </c>
      <c r="M2127" s="1250">
        <v>8</v>
      </c>
      <c r="N2127" s="1251">
        <v>10</v>
      </c>
      <c r="O2127" s="1252">
        <v>10</v>
      </c>
    </row>
    <row r="2128" spans="1:15">
      <c r="A2128" s="1246" t="s">
        <v>683</v>
      </c>
      <c r="B2128" s="1246" t="s">
        <v>430</v>
      </c>
      <c r="C2128" s="1247">
        <v>20</v>
      </c>
      <c r="D2128" s="1246" t="s">
        <v>1412</v>
      </c>
      <c r="E2128" s="1246" t="s">
        <v>370</v>
      </c>
      <c r="F2128" s="1248">
        <v>1</v>
      </c>
      <c r="G2128" s="1248">
        <v>0</v>
      </c>
      <c r="H2128" s="1249">
        <v>0</v>
      </c>
      <c r="J2128" s="1246" t="s">
        <v>1398</v>
      </c>
      <c r="K2128" s="1284" t="str">
        <f t="shared" si="33"/>
        <v>20</v>
      </c>
      <c r="L2128" s="1246" t="s">
        <v>1548</v>
      </c>
      <c r="M2128" s="1250">
        <v>8</v>
      </c>
      <c r="N2128" s="1251">
        <v>2</v>
      </c>
      <c r="O2128" s="1252">
        <v>2</v>
      </c>
    </row>
    <row r="2129" spans="1:15">
      <c r="A2129" s="1246" t="s">
        <v>683</v>
      </c>
      <c r="B2129" s="1246" t="s">
        <v>430</v>
      </c>
      <c r="C2129" s="1247">
        <v>20</v>
      </c>
      <c r="E2129" s="1246" t="s">
        <v>370</v>
      </c>
      <c r="F2129" s="1248">
        <v>1</v>
      </c>
      <c r="G2129" s="1248">
        <v>0</v>
      </c>
      <c r="H2129" s="1249">
        <v>0</v>
      </c>
      <c r="J2129" s="1246" t="s">
        <v>1446</v>
      </c>
      <c r="K2129" s="1284" t="str">
        <f t="shared" si="33"/>
        <v>23</v>
      </c>
      <c r="L2129" s="1246" t="s">
        <v>1556</v>
      </c>
      <c r="M2129" s="1250">
        <v>8</v>
      </c>
      <c r="N2129" s="1251">
        <v>1</v>
      </c>
      <c r="O2129" s="1252">
        <v>1</v>
      </c>
    </row>
    <row r="2130" spans="1:15">
      <c r="A2130" s="1246" t="s">
        <v>683</v>
      </c>
      <c r="B2130" s="1246" t="s">
        <v>430</v>
      </c>
      <c r="C2130" s="1247">
        <v>20</v>
      </c>
      <c r="D2130" s="1246" t="s">
        <v>1412</v>
      </c>
      <c r="E2130" s="1246" t="s">
        <v>370</v>
      </c>
      <c r="F2130" s="1248">
        <v>1</v>
      </c>
      <c r="G2130" s="1248">
        <v>0</v>
      </c>
      <c r="H2130" s="1249">
        <v>0</v>
      </c>
      <c r="J2130" s="1246" t="s">
        <v>1446</v>
      </c>
      <c r="K2130" s="1284" t="str">
        <f t="shared" si="33"/>
        <v>23</v>
      </c>
      <c r="L2130" s="1246" t="s">
        <v>1556</v>
      </c>
      <c r="M2130" s="1250">
        <v>8</v>
      </c>
      <c r="N2130" s="1251">
        <v>1</v>
      </c>
      <c r="O2130" s="1252">
        <v>1</v>
      </c>
    </row>
    <row r="2131" spans="1:15">
      <c r="A2131" s="1246" t="s">
        <v>1493</v>
      </c>
      <c r="B2131" s="1246" t="s">
        <v>430</v>
      </c>
      <c r="C2131" s="1247">
        <v>20</v>
      </c>
      <c r="D2131" s="1246" t="s">
        <v>1412</v>
      </c>
      <c r="E2131" s="1246" t="s">
        <v>370</v>
      </c>
      <c r="F2131" s="1248">
        <v>1</v>
      </c>
      <c r="G2131" s="1248">
        <v>0</v>
      </c>
      <c r="H2131" s="1249">
        <v>0</v>
      </c>
      <c r="J2131" s="1246" t="s">
        <v>1452</v>
      </c>
      <c r="K2131" s="1284" t="str">
        <f t="shared" si="33"/>
        <v>2C</v>
      </c>
      <c r="L2131" s="1246" t="s">
        <v>1502</v>
      </c>
      <c r="M2131" s="1250">
        <v>4</v>
      </c>
      <c r="N2131" s="1251">
        <v>2</v>
      </c>
      <c r="O2131" s="1252">
        <v>2</v>
      </c>
    </row>
    <row r="2132" spans="1:15">
      <c r="A2132" s="1246" t="s">
        <v>683</v>
      </c>
      <c r="B2132" s="1246" t="s">
        <v>430</v>
      </c>
      <c r="C2132" s="1247">
        <v>20</v>
      </c>
      <c r="E2132" s="1246" t="s">
        <v>370</v>
      </c>
      <c r="F2132" s="1248">
        <v>1</v>
      </c>
      <c r="G2132" s="1248">
        <v>0</v>
      </c>
      <c r="H2132" s="1249">
        <v>0</v>
      </c>
      <c r="J2132" s="1246" t="s">
        <v>1452</v>
      </c>
      <c r="K2132" s="1284" t="str">
        <f t="shared" si="33"/>
        <v>2C</v>
      </c>
      <c r="L2132" s="1246" t="s">
        <v>1560</v>
      </c>
      <c r="M2132" s="1250">
        <v>1</v>
      </c>
      <c r="N2132" s="1251">
        <v>1</v>
      </c>
      <c r="O2132" s="1252">
        <v>1</v>
      </c>
    </row>
    <row r="2133" spans="1:15">
      <c r="A2133" s="1246" t="s">
        <v>1493</v>
      </c>
      <c r="B2133" s="1246" t="s">
        <v>430</v>
      </c>
      <c r="C2133" s="1247">
        <v>20</v>
      </c>
      <c r="D2133" s="1246" t="s">
        <v>1412</v>
      </c>
      <c r="E2133" s="1246" t="s">
        <v>370</v>
      </c>
      <c r="F2133" s="1248">
        <v>1</v>
      </c>
      <c r="G2133" s="1248">
        <v>0</v>
      </c>
      <c r="H2133" s="1249">
        <v>0</v>
      </c>
      <c r="J2133" s="1246" t="s">
        <v>1451</v>
      </c>
      <c r="K2133" s="1284" t="str">
        <f t="shared" si="33"/>
        <v>20</v>
      </c>
      <c r="L2133" s="1246" t="s">
        <v>1534</v>
      </c>
      <c r="M2133" s="1250">
        <v>4</v>
      </c>
      <c r="N2133" s="1251">
        <v>1</v>
      </c>
      <c r="O2133" s="1252">
        <v>1</v>
      </c>
    </row>
    <row r="2134" spans="1:15">
      <c r="A2134" s="1246" t="s">
        <v>1493</v>
      </c>
      <c r="B2134" s="1246" t="s">
        <v>430</v>
      </c>
      <c r="C2134" s="1247">
        <v>20</v>
      </c>
      <c r="D2134" s="1246" t="s">
        <v>1412</v>
      </c>
      <c r="E2134" s="1246" t="s">
        <v>370</v>
      </c>
      <c r="F2134" s="1248">
        <v>1</v>
      </c>
      <c r="G2134" s="1248">
        <v>0</v>
      </c>
      <c r="H2134" s="1249">
        <v>0</v>
      </c>
      <c r="J2134" s="1246" t="s">
        <v>1448</v>
      </c>
      <c r="K2134" s="1284" t="str">
        <f t="shared" si="33"/>
        <v>25</v>
      </c>
      <c r="L2134" s="1246" t="s">
        <v>1530</v>
      </c>
      <c r="M2134" s="1250">
        <v>9</v>
      </c>
      <c r="N2134" s="1251">
        <v>2</v>
      </c>
      <c r="O2134" s="1252">
        <v>2</v>
      </c>
    </row>
    <row r="2135" spans="1:15">
      <c r="A2135" s="1246" t="s">
        <v>683</v>
      </c>
      <c r="B2135" s="1246" t="s">
        <v>430</v>
      </c>
      <c r="C2135" s="1247">
        <v>20</v>
      </c>
      <c r="E2135" s="1246" t="s">
        <v>370</v>
      </c>
      <c r="F2135" s="1248">
        <v>1</v>
      </c>
      <c r="G2135" s="1248">
        <v>0</v>
      </c>
      <c r="H2135" s="1249">
        <v>0</v>
      </c>
      <c r="J2135" s="1246" t="s">
        <v>1448</v>
      </c>
      <c r="K2135" s="1284" t="str">
        <f t="shared" si="33"/>
        <v>25</v>
      </c>
      <c r="L2135" s="1246" t="s">
        <v>1530</v>
      </c>
      <c r="M2135" s="1250">
        <v>9</v>
      </c>
      <c r="N2135" s="1251">
        <v>2</v>
      </c>
      <c r="O2135" s="1252">
        <v>2</v>
      </c>
    </row>
    <row r="2136" spans="1:15">
      <c r="A2136" s="1246" t="s">
        <v>683</v>
      </c>
      <c r="B2136" s="1246" t="s">
        <v>430</v>
      </c>
      <c r="C2136" s="1247">
        <v>20</v>
      </c>
      <c r="D2136" s="1246" t="s">
        <v>1412</v>
      </c>
      <c r="E2136" s="1246" t="s">
        <v>370</v>
      </c>
      <c r="F2136" s="1248">
        <v>1</v>
      </c>
      <c r="G2136" s="1248">
        <v>0</v>
      </c>
      <c r="H2136" s="1249">
        <v>0</v>
      </c>
      <c r="J2136" s="1246" t="s">
        <v>1448</v>
      </c>
      <c r="K2136" s="1284" t="str">
        <f t="shared" si="33"/>
        <v>25</v>
      </c>
      <c r="L2136" s="1246" t="s">
        <v>1530</v>
      </c>
      <c r="M2136" s="1250">
        <v>9</v>
      </c>
      <c r="N2136" s="1251">
        <v>1</v>
      </c>
      <c r="O2136" s="1252">
        <v>1</v>
      </c>
    </row>
    <row r="2137" spans="1:15">
      <c r="A2137" s="1246" t="s">
        <v>683</v>
      </c>
      <c r="B2137" s="1246" t="s">
        <v>430</v>
      </c>
      <c r="C2137" s="1247">
        <v>20</v>
      </c>
      <c r="D2137" s="1246" t="s">
        <v>1412</v>
      </c>
      <c r="E2137" s="1246" t="s">
        <v>376</v>
      </c>
      <c r="F2137" s="1248">
        <v>1</v>
      </c>
      <c r="G2137" s="1248">
        <v>0</v>
      </c>
      <c r="H2137" s="1249">
        <v>0</v>
      </c>
      <c r="J2137" s="1246" t="s">
        <v>1444</v>
      </c>
      <c r="K2137" s="1284" t="str">
        <f t="shared" si="33"/>
        <v>21</v>
      </c>
      <c r="L2137" s="1246" t="s">
        <v>1496</v>
      </c>
      <c r="M2137" s="1250">
        <v>9</v>
      </c>
      <c r="N2137" s="1251">
        <v>2</v>
      </c>
      <c r="O2137" s="1252">
        <v>2</v>
      </c>
    </row>
    <row r="2138" spans="1:15">
      <c r="A2138" s="1246" t="s">
        <v>1493</v>
      </c>
      <c r="B2138" s="1246" t="s">
        <v>430</v>
      </c>
      <c r="C2138" s="1247">
        <v>20</v>
      </c>
      <c r="D2138" s="1246" t="s">
        <v>1412</v>
      </c>
      <c r="E2138" s="1246" t="s">
        <v>370</v>
      </c>
      <c r="F2138" s="1248">
        <v>1</v>
      </c>
      <c r="G2138" s="1248">
        <v>1</v>
      </c>
      <c r="H2138" s="1249">
        <v>1</v>
      </c>
      <c r="I2138" s="1246" t="s">
        <v>1491</v>
      </c>
      <c r="J2138" s="1246" t="s">
        <v>1444</v>
      </c>
      <c r="K2138" s="1284" t="str">
        <f t="shared" si="33"/>
        <v>21</v>
      </c>
      <c r="L2138" s="1246" t="s">
        <v>1550</v>
      </c>
      <c r="M2138" s="1250">
        <v>8</v>
      </c>
      <c r="N2138" s="1251">
        <v>1</v>
      </c>
      <c r="O2138" s="1252">
        <v>1</v>
      </c>
    </row>
    <row r="2139" spans="1:15">
      <c r="A2139" s="1246" t="s">
        <v>683</v>
      </c>
      <c r="B2139" s="1246" t="s">
        <v>430</v>
      </c>
      <c r="C2139" s="1247">
        <v>20</v>
      </c>
      <c r="D2139" s="1246" t="s">
        <v>1412</v>
      </c>
      <c r="E2139" s="1246" t="s">
        <v>370</v>
      </c>
      <c r="F2139" s="1248">
        <v>1</v>
      </c>
      <c r="G2139" s="1248">
        <v>1</v>
      </c>
      <c r="H2139" s="1249">
        <v>1</v>
      </c>
      <c r="I2139" s="1246" t="s">
        <v>1491</v>
      </c>
      <c r="J2139" s="1246" t="s">
        <v>1444</v>
      </c>
      <c r="K2139" s="1284" t="str">
        <f t="shared" si="33"/>
        <v>21</v>
      </c>
      <c r="L2139" s="1246" t="s">
        <v>1550</v>
      </c>
      <c r="M2139" s="1250">
        <v>8</v>
      </c>
      <c r="N2139" s="1251">
        <v>6</v>
      </c>
      <c r="O2139" s="1252">
        <v>6</v>
      </c>
    </row>
    <row r="2140" spans="1:15">
      <c r="A2140" s="1246" t="s">
        <v>1493</v>
      </c>
      <c r="B2140" s="1246" t="s">
        <v>430</v>
      </c>
      <c r="C2140" s="1247">
        <v>20</v>
      </c>
      <c r="D2140" s="1246" t="s">
        <v>1412</v>
      </c>
      <c r="E2140" s="1246" t="s">
        <v>376</v>
      </c>
      <c r="F2140" s="1248">
        <v>1</v>
      </c>
      <c r="G2140" s="1248">
        <v>1</v>
      </c>
      <c r="H2140" s="1249">
        <v>1</v>
      </c>
      <c r="I2140" s="1246" t="s">
        <v>1491</v>
      </c>
      <c r="J2140" s="1246" t="s">
        <v>1451</v>
      </c>
      <c r="K2140" s="1284" t="str">
        <f t="shared" si="33"/>
        <v>20</v>
      </c>
      <c r="L2140" s="1246" t="s">
        <v>1542</v>
      </c>
      <c r="M2140" s="1250">
        <v>6</v>
      </c>
      <c r="N2140" s="1251">
        <v>1</v>
      </c>
      <c r="O2140" s="1252">
        <v>1</v>
      </c>
    </row>
    <row r="2141" spans="1:15">
      <c r="A2141" s="1246" t="s">
        <v>1493</v>
      </c>
      <c r="B2141" s="1246" t="s">
        <v>430</v>
      </c>
      <c r="C2141" s="1247">
        <v>20</v>
      </c>
      <c r="D2141" s="1246" t="s">
        <v>1412</v>
      </c>
      <c r="E2141" s="1246" t="s">
        <v>376</v>
      </c>
      <c r="F2141" s="1248">
        <v>1</v>
      </c>
      <c r="G2141" s="1248">
        <v>1</v>
      </c>
      <c r="H2141" s="1249">
        <v>1</v>
      </c>
      <c r="I2141" s="1246" t="s">
        <v>1491</v>
      </c>
      <c r="J2141" s="1246" t="s">
        <v>1448</v>
      </c>
      <c r="K2141" s="1284" t="str">
        <f t="shared" si="33"/>
        <v>25</v>
      </c>
      <c r="L2141" s="1246" t="s">
        <v>1530</v>
      </c>
      <c r="M2141" s="1250">
        <v>9</v>
      </c>
      <c r="N2141" s="1251">
        <v>1</v>
      </c>
      <c r="O2141" s="1252">
        <v>1</v>
      </c>
    </row>
    <row r="2142" spans="1:15">
      <c r="A2142" s="1246" t="s">
        <v>683</v>
      </c>
      <c r="B2142" s="1246" t="s">
        <v>430</v>
      </c>
      <c r="C2142" s="1247">
        <v>20</v>
      </c>
      <c r="D2142" s="1246" t="s">
        <v>1412</v>
      </c>
      <c r="E2142" s="1246" t="s">
        <v>376</v>
      </c>
      <c r="F2142" s="1248">
        <v>1</v>
      </c>
      <c r="G2142" s="1248">
        <v>1</v>
      </c>
      <c r="H2142" s="1249">
        <v>1</v>
      </c>
      <c r="I2142" s="1246" t="s">
        <v>1491</v>
      </c>
      <c r="J2142" s="1246" t="s">
        <v>1444</v>
      </c>
      <c r="K2142" s="1284" t="str">
        <f t="shared" si="33"/>
        <v>21</v>
      </c>
      <c r="L2142" s="1246" t="s">
        <v>1496</v>
      </c>
      <c r="M2142" s="1250">
        <v>9</v>
      </c>
      <c r="N2142" s="1251">
        <v>3</v>
      </c>
      <c r="O2142" s="1252">
        <v>3</v>
      </c>
    </row>
    <row r="2143" spans="1:15">
      <c r="A2143" s="1246" t="s">
        <v>683</v>
      </c>
      <c r="B2143" s="1246" t="s">
        <v>430</v>
      </c>
      <c r="C2143" s="1247">
        <v>20</v>
      </c>
      <c r="D2143" s="1246" t="s">
        <v>1412</v>
      </c>
      <c r="E2143" s="1246" t="s">
        <v>1547</v>
      </c>
      <c r="F2143" s="1248">
        <v>1</v>
      </c>
      <c r="G2143" s="1248">
        <v>1</v>
      </c>
      <c r="H2143" s="1249">
        <v>2</v>
      </c>
      <c r="I2143" s="1246" t="s">
        <v>1491</v>
      </c>
      <c r="J2143" s="1246" t="s">
        <v>1444</v>
      </c>
      <c r="K2143" s="1284" t="str">
        <f t="shared" si="33"/>
        <v>21</v>
      </c>
      <c r="L2143" s="1246" t="s">
        <v>1550</v>
      </c>
      <c r="M2143" s="1250">
        <v>8</v>
      </c>
      <c r="N2143" s="1251">
        <v>2</v>
      </c>
      <c r="O2143" s="1252">
        <v>2</v>
      </c>
    </row>
    <row r="2144" spans="1:15">
      <c r="A2144" s="1246" t="s">
        <v>683</v>
      </c>
      <c r="B2144" s="1246" t="s">
        <v>430</v>
      </c>
      <c r="C2144" s="1247">
        <v>20</v>
      </c>
      <c r="D2144" s="1246" t="s">
        <v>1412</v>
      </c>
      <c r="E2144" s="1246" t="s">
        <v>370</v>
      </c>
      <c r="F2144" s="1248">
        <v>1</v>
      </c>
      <c r="G2144" s="1248">
        <v>1</v>
      </c>
      <c r="H2144" s="1249">
        <v>2</v>
      </c>
      <c r="I2144" s="1246" t="s">
        <v>1491</v>
      </c>
      <c r="J2144" s="1246" t="s">
        <v>1444</v>
      </c>
      <c r="K2144" s="1284" t="str">
        <f t="shared" si="33"/>
        <v>21</v>
      </c>
      <c r="L2144" s="1246" t="s">
        <v>1550</v>
      </c>
      <c r="M2144" s="1250">
        <v>8</v>
      </c>
      <c r="N2144" s="1251">
        <v>2</v>
      </c>
      <c r="O2144" s="1252">
        <v>2</v>
      </c>
    </row>
    <row r="2145" spans="1:15">
      <c r="A2145" s="1246" t="s">
        <v>1493</v>
      </c>
      <c r="B2145" s="1246" t="s">
        <v>430</v>
      </c>
      <c r="C2145" s="1247">
        <v>20</v>
      </c>
      <c r="D2145" s="1246" t="s">
        <v>1412</v>
      </c>
      <c r="E2145" s="1246" t="s">
        <v>376</v>
      </c>
      <c r="F2145" s="1248">
        <v>1</v>
      </c>
      <c r="G2145" s="1248">
        <v>1</v>
      </c>
      <c r="H2145" s="1249">
        <v>2</v>
      </c>
      <c r="I2145" s="1246" t="s">
        <v>1491</v>
      </c>
      <c r="J2145" s="1246" t="s">
        <v>1451</v>
      </c>
      <c r="K2145" s="1284" t="str">
        <f t="shared" si="33"/>
        <v>20</v>
      </c>
      <c r="L2145" s="1246" t="s">
        <v>1542</v>
      </c>
      <c r="M2145" s="1250">
        <v>6</v>
      </c>
      <c r="N2145" s="1251">
        <v>1</v>
      </c>
      <c r="O2145" s="1252">
        <v>1</v>
      </c>
    </row>
    <row r="2146" spans="1:15">
      <c r="A2146" s="1246" t="s">
        <v>1493</v>
      </c>
      <c r="B2146" s="1246" t="s">
        <v>430</v>
      </c>
      <c r="C2146" s="1247">
        <v>20</v>
      </c>
      <c r="D2146" s="1246" t="s">
        <v>1412</v>
      </c>
      <c r="E2146" s="1246" t="s">
        <v>376</v>
      </c>
      <c r="F2146" s="1248">
        <v>1</v>
      </c>
      <c r="G2146" s="1248">
        <v>1</v>
      </c>
      <c r="H2146" s="1249">
        <v>2</v>
      </c>
      <c r="I2146" s="1246" t="s">
        <v>1491</v>
      </c>
      <c r="J2146" s="1246" t="s">
        <v>1444</v>
      </c>
      <c r="K2146" s="1284" t="str">
        <f t="shared" si="33"/>
        <v>21</v>
      </c>
      <c r="L2146" s="1246" t="s">
        <v>1496</v>
      </c>
      <c r="M2146" s="1250">
        <v>9</v>
      </c>
      <c r="N2146" s="1251">
        <v>1</v>
      </c>
      <c r="O2146" s="1252">
        <v>1</v>
      </c>
    </row>
    <row r="2147" spans="1:15">
      <c r="A2147" s="1246" t="s">
        <v>683</v>
      </c>
      <c r="B2147" s="1246" t="s">
        <v>430</v>
      </c>
      <c r="C2147" s="1247">
        <v>20</v>
      </c>
      <c r="D2147" s="1246" t="s">
        <v>1412</v>
      </c>
      <c r="E2147" s="1246" t="s">
        <v>370</v>
      </c>
      <c r="F2147" s="1248">
        <v>1</v>
      </c>
      <c r="G2147" s="1248">
        <v>1</v>
      </c>
      <c r="H2147" s="1249">
        <v>3</v>
      </c>
      <c r="I2147" s="1246" t="s">
        <v>1491</v>
      </c>
      <c r="J2147" s="1246" t="s">
        <v>1444</v>
      </c>
      <c r="K2147" s="1284" t="str">
        <f t="shared" si="33"/>
        <v>21</v>
      </c>
      <c r="L2147" s="1246" t="s">
        <v>1550</v>
      </c>
      <c r="M2147" s="1250">
        <v>8</v>
      </c>
      <c r="N2147" s="1251">
        <v>1</v>
      </c>
      <c r="O2147" s="1252">
        <v>1</v>
      </c>
    </row>
    <row r="2148" spans="1:15">
      <c r="A2148" s="1246" t="s">
        <v>683</v>
      </c>
      <c r="B2148" s="1246" t="s">
        <v>430</v>
      </c>
      <c r="C2148" s="1247">
        <v>20</v>
      </c>
      <c r="D2148" s="1246" t="s">
        <v>1412</v>
      </c>
      <c r="E2148" s="1246" t="s">
        <v>370</v>
      </c>
      <c r="F2148" s="1248">
        <v>1</v>
      </c>
      <c r="G2148" s="1248">
        <v>1</v>
      </c>
      <c r="H2148" s="1249">
        <v>4</v>
      </c>
      <c r="I2148" s="1246" t="s">
        <v>1491</v>
      </c>
      <c r="J2148" s="1246" t="s">
        <v>1444</v>
      </c>
      <c r="K2148" s="1284" t="str">
        <f t="shared" si="33"/>
        <v>21</v>
      </c>
      <c r="L2148" s="1246" t="s">
        <v>1550</v>
      </c>
      <c r="M2148" s="1250">
        <v>8</v>
      </c>
      <c r="N2148" s="1251">
        <v>1</v>
      </c>
      <c r="O2148" s="1252">
        <v>1</v>
      </c>
    </row>
    <row r="2149" spans="1:15">
      <c r="A2149" s="1246" t="s">
        <v>683</v>
      </c>
      <c r="B2149" s="1246" t="s">
        <v>430</v>
      </c>
      <c r="C2149" s="1247">
        <v>20</v>
      </c>
      <c r="D2149" s="1246" t="s">
        <v>1412</v>
      </c>
      <c r="E2149" s="1246" t="s">
        <v>370</v>
      </c>
      <c r="F2149" s="1248">
        <v>1</v>
      </c>
      <c r="G2149" s="1248">
        <v>2</v>
      </c>
      <c r="H2149" s="1249">
        <v>1</v>
      </c>
      <c r="I2149" s="1246" t="s">
        <v>1491</v>
      </c>
      <c r="J2149" s="1246" t="s">
        <v>1444</v>
      </c>
      <c r="K2149" s="1284" t="str">
        <f t="shared" si="33"/>
        <v>21</v>
      </c>
      <c r="L2149" s="1246" t="s">
        <v>1550</v>
      </c>
      <c r="M2149" s="1250">
        <v>8</v>
      </c>
      <c r="N2149" s="1251">
        <v>1</v>
      </c>
      <c r="O2149" s="1252">
        <v>1</v>
      </c>
    </row>
    <row r="2150" spans="1:15">
      <c r="A2150" s="1246" t="s">
        <v>683</v>
      </c>
      <c r="B2150" s="1246" t="s">
        <v>430</v>
      </c>
      <c r="C2150" s="1247">
        <v>25</v>
      </c>
      <c r="E2150" s="1246" t="s">
        <v>1547</v>
      </c>
      <c r="F2150" s="1248">
        <v>1</v>
      </c>
      <c r="G2150" s="1248">
        <v>0</v>
      </c>
      <c r="H2150" s="1249">
        <v>0</v>
      </c>
      <c r="J2150" s="1246" t="s">
        <v>1444</v>
      </c>
      <c r="K2150" s="1284" t="str">
        <f t="shared" si="33"/>
        <v>21</v>
      </c>
      <c r="L2150" s="1246" t="s">
        <v>1550</v>
      </c>
      <c r="M2150" s="1250">
        <v>8</v>
      </c>
      <c r="N2150" s="1251">
        <v>1</v>
      </c>
      <c r="O2150" s="1252">
        <v>1</v>
      </c>
    </row>
    <row r="2151" spans="1:15">
      <c r="A2151" s="1246" t="s">
        <v>683</v>
      </c>
      <c r="B2151" s="1246" t="s">
        <v>430</v>
      </c>
      <c r="C2151" s="1247">
        <v>25</v>
      </c>
      <c r="D2151" s="1246" t="s">
        <v>1412</v>
      </c>
      <c r="E2151" s="1246" t="s">
        <v>370</v>
      </c>
      <c r="F2151" s="1248">
        <v>1</v>
      </c>
      <c r="G2151" s="1248">
        <v>0</v>
      </c>
      <c r="H2151" s="1249">
        <v>0</v>
      </c>
      <c r="J2151" s="1246" t="s">
        <v>1444</v>
      </c>
      <c r="K2151" s="1284" t="str">
        <f t="shared" si="33"/>
        <v>21</v>
      </c>
      <c r="L2151" s="1246" t="s">
        <v>1550</v>
      </c>
      <c r="M2151" s="1250">
        <v>8</v>
      </c>
      <c r="N2151" s="1251">
        <v>6</v>
      </c>
      <c r="O2151" s="1252">
        <v>6</v>
      </c>
    </row>
    <row r="2152" spans="1:15">
      <c r="A2152" s="1246" t="s">
        <v>1493</v>
      </c>
      <c r="B2152" s="1246" t="s">
        <v>430</v>
      </c>
      <c r="C2152" s="1247">
        <v>25</v>
      </c>
      <c r="E2152" s="1246" t="s">
        <v>370</v>
      </c>
      <c r="F2152" s="1248">
        <v>1</v>
      </c>
      <c r="G2152" s="1248">
        <v>0</v>
      </c>
      <c r="H2152" s="1249">
        <v>0</v>
      </c>
      <c r="J2152" s="1246" t="s">
        <v>1444</v>
      </c>
      <c r="K2152" s="1284" t="str">
        <f t="shared" si="33"/>
        <v>21</v>
      </c>
      <c r="L2152" s="1246" t="s">
        <v>1550</v>
      </c>
      <c r="M2152" s="1250">
        <v>8</v>
      </c>
      <c r="N2152" s="1251">
        <v>6</v>
      </c>
      <c r="O2152" s="1252">
        <v>6</v>
      </c>
    </row>
    <row r="2153" spans="1:15">
      <c r="A2153" s="1246" t="s">
        <v>683</v>
      </c>
      <c r="B2153" s="1246" t="s">
        <v>430</v>
      </c>
      <c r="C2153" s="1247">
        <v>25</v>
      </c>
      <c r="E2153" s="1246" t="s">
        <v>370</v>
      </c>
      <c r="F2153" s="1248">
        <v>1</v>
      </c>
      <c r="G2153" s="1248">
        <v>0</v>
      </c>
      <c r="H2153" s="1249">
        <v>0</v>
      </c>
      <c r="J2153" s="1246" t="s">
        <v>1444</v>
      </c>
      <c r="K2153" s="1284" t="str">
        <f t="shared" si="33"/>
        <v>21</v>
      </c>
      <c r="L2153" s="1246" t="s">
        <v>1550</v>
      </c>
      <c r="M2153" s="1250">
        <v>8</v>
      </c>
      <c r="N2153" s="1251">
        <v>12</v>
      </c>
      <c r="O2153" s="1252">
        <v>12</v>
      </c>
    </row>
    <row r="2154" spans="1:15">
      <c r="A2154" s="1246" t="s">
        <v>683</v>
      </c>
      <c r="B2154" s="1246" t="s">
        <v>430</v>
      </c>
      <c r="C2154" s="1247">
        <v>25</v>
      </c>
      <c r="D2154" s="1246" t="s">
        <v>1412</v>
      </c>
      <c r="E2154" s="1246" t="s">
        <v>1547</v>
      </c>
      <c r="F2154" s="1248">
        <v>1</v>
      </c>
      <c r="G2154" s="1248">
        <v>0</v>
      </c>
      <c r="H2154" s="1249">
        <v>0</v>
      </c>
      <c r="J2154" s="1246" t="s">
        <v>1444</v>
      </c>
      <c r="K2154" s="1284" t="str">
        <f t="shared" si="33"/>
        <v>21</v>
      </c>
      <c r="L2154" s="1246" t="s">
        <v>1550</v>
      </c>
      <c r="M2154" s="1250">
        <v>8</v>
      </c>
      <c r="N2154" s="1251">
        <v>1</v>
      </c>
      <c r="O2154" s="1252">
        <v>1</v>
      </c>
    </row>
    <row r="2155" spans="1:15">
      <c r="A2155" s="1246" t="s">
        <v>683</v>
      </c>
      <c r="B2155" s="1246" t="s">
        <v>430</v>
      </c>
      <c r="C2155" s="1247">
        <v>25</v>
      </c>
      <c r="E2155" s="1246" t="s">
        <v>370</v>
      </c>
      <c r="F2155" s="1248">
        <v>1</v>
      </c>
      <c r="G2155" s="1248">
        <v>0</v>
      </c>
      <c r="H2155" s="1249">
        <v>0</v>
      </c>
      <c r="J2155" s="1246" t="s">
        <v>1449</v>
      </c>
      <c r="K2155" s="1284" t="str">
        <f t="shared" si="33"/>
        <v>26</v>
      </c>
      <c r="L2155" s="1246" t="s">
        <v>1557</v>
      </c>
      <c r="M2155" s="1250">
        <v>8</v>
      </c>
      <c r="N2155" s="1251">
        <v>1</v>
      </c>
      <c r="O2155" s="1252">
        <v>1</v>
      </c>
    </row>
    <row r="2156" spans="1:15">
      <c r="A2156" s="1246" t="s">
        <v>683</v>
      </c>
      <c r="B2156" s="1246" t="s">
        <v>430</v>
      </c>
      <c r="C2156" s="1247">
        <v>25</v>
      </c>
      <c r="E2156" s="1246" t="s">
        <v>370</v>
      </c>
      <c r="F2156" s="1248">
        <v>1</v>
      </c>
      <c r="G2156" s="1248">
        <v>0</v>
      </c>
      <c r="H2156" s="1249">
        <v>0</v>
      </c>
      <c r="J2156" s="1246" t="s">
        <v>1446</v>
      </c>
      <c r="K2156" s="1284" t="str">
        <f t="shared" si="33"/>
        <v>23</v>
      </c>
      <c r="L2156" s="1246" t="s">
        <v>1556</v>
      </c>
      <c r="M2156" s="1250">
        <v>8</v>
      </c>
      <c r="N2156" s="1251">
        <v>1</v>
      </c>
      <c r="O2156" s="1252">
        <v>1</v>
      </c>
    </row>
    <row r="2157" spans="1:15">
      <c r="A2157" s="1246" t="s">
        <v>683</v>
      </c>
      <c r="B2157" s="1246" t="s">
        <v>430</v>
      </c>
      <c r="C2157" s="1247">
        <v>25</v>
      </c>
      <c r="E2157" s="1246" t="s">
        <v>370</v>
      </c>
      <c r="F2157" s="1248">
        <v>1</v>
      </c>
      <c r="G2157" s="1248">
        <v>0</v>
      </c>
      <c r="H2157" s="1249">
        <v>0</v>
      </c>
      <c r="J2157" s="1246" t="s">
        <v>1452</v>
      </c>
      <c r="K2157" s="1284" t="str">
        <f t="shared" si="33"/>
        <v>2C</v>
      </c>
      <c r="L2157" s="1246" t="s">
        <v>1502</v>
      </c>
      <c r="M2157" s="1250">
        <v>4</v>
      </c>
      <c r="N2157" s="1251">
        <v>1</v>
      </c>
      <c r="O2157" s="1252">
        <v>1</v>
      </c>
    </row>
    <row r="2158" spans="1:15">
      <c r="A2158" s="1246" t="s">
        <v>683</v>
      </c>
      <c r="B2158" s="1246" t="s">
        <v>430</v>
      </c>
      <c r="C2158" s="1247">
        <v>25</v>
      </c>
      <c r="D2158" s="1246" t="s">
        <v>1412</v>
      </c>
      <c r="E2158" s="1246" t="s">
        <v>370</v>
      </c>
      <c r="F2158" s="1248">
        <v>1</v>
      </c>
      <c r="G2158" s="1248">
        <v>0</v>
      </c>
      <c r="H2158" s="1249">
        <v>0</v>
      </c>
      <c r="J2158" s="1246" t="s">
        <v>1452</v>
      </c>
      <c r="K2158" s="1284" t="str">
        <f t="shared" si="33"/>
        <v>2C</v>
      </c>
      <c r="L2158" s="1246" t="s">
        <v>1502</v>
      </c>
      <c r="M2158" s="1250">
        <v>4</v>
      </c>
      <c r="N2158" s="1251">
        <v>1</v>
      </c>
      <c r="O2158" s="1252">
        <v>1</v>
      </c>
    </row>
    <row r="2159" spans="1:15">
      <c r="A2159" s="1246" t="s">
        <v>1493</v>
      </c>
      <c r="B2159" s="1246" t="s">
        <v>430</v>
      </c>
      <c r="C2159" s="1247">
        <v>25</v>
      </c>
      <c r="D2159" s="1246" t="s">
        <v>1412</v>
      </c>
      <c r="E2159" s="1246" t="s">
        <v>370</v>
      </c>
      <c r="F2159" s="1248">
        <v>1</v>
      </c>
      <c r="G2159" s="1248">
        <v>0</v>
      </c>
      <c r="H2159" s="1249">
        <v>0</v>
      </c>
      <c r="J2159" s="1246" t="s">
        <v>1451</v>
      </c>
      <c r="K2159" s="1284" t="str">
        <f t="shared" si="33"/>
        <v>20</v>
      </c>
      <c r="L2159" s="1246" t="s">
        <v>1534</v>
      </c>
      <c r="M2159" s="1250">
        <v>4</v>
      </c>
      <c r="N2159" s="1251">
        <v>1</v>
      </c>
      <c r="O2159" s="1252">
        <v>1</v>
      </c>
    </row>
    <row r="2160" spans="1:15">
      <c r="A2160" s="1246" t="s">
        <v>1493</v>
      </c>
      <c r="B2160" s="1246" t="s">
        <v>430</v>
      </c>
      <c r="C2160" s="1247">
        <v>25</v>
      </c>
      <c r="E2160" s="1246" t="s">
        <v>370</v>
      </c>
      <c r="F2160" s="1248">
        <v>1</v>
      </c>
      <c r="G2160" s="1248">
        <v>0</v>
      </c>
      <c r="H2160" s="1249">
        <v>0</v>
      </c>
      <c r="J2160" s="1246" t="s">
        <v>1448</v>
      </c>
      <c r="K2160" s="1284" t="str">
        <f t="shared" si="33"/>
        <v>25</v>
      </c>
      <c r="L2160" s="1246" t="s">
        <v>1530</v>
      </c>
      <c r="M2160" s="1250">
        <v>9</v>
      </c>
      <c r="N2160" s="1251">
        <v>1</v>
      </c>
      <c r="O2160" s="1252">
        <v>1</v>
      </c>
    </row>
    <row r="2161" spans="1:15">
      <c r="A2161" s="1246" t="s">
        <v>1493</v>
      </c>
      <c r="B2161" s="1246" t="s">
        <v>430</v>
      </c>
      <c r="C2161" s="1247">
        <v>25</v>
      </c>
      <c r="E2161" s="1246" t="s">
        <v>376</v>
      </c>
      <c r="F2161" s="1248">
        <v>1</v>
      </c>
      <c r="G2161" s="1248">
        <v>0</v>
      </c>
      <c r="H2161" s="1249">
        <v>0</v>
      </c>
      <c r="J2161" s="1246" t="s">
        <v>1444</v>
      </c>
      <c r="K2161" s="1284" t="str">
        <f t="shared" si="33"/>
        <v>21</v>
      </c>
      <c r="L2161" s="1246" t="s">
        <v>1496</v>
      </c>
      <c r="M2161" s="1250">
        <v>9</v>
      </c>
      <c r="N2161" s="1251">
        <v>2</v>
      </c>
      <c r="O2161" s="1252">
        <v>2</v>
      </c>
    </row>
    <row r="2162" spans="1:15">
      <c r="A2162" s="1246" t="s">
        <v>683</v>
      </c>
      <c r="B2162" s="1246" t="s">
        <v>430</v>
      </c>
      <c r="C2162" s="1247">
        <v>25</v>
      </c>
      <c r="D2162" s="1246" t="s">
        <v>1412</v>
      </c>
      <c r="E2162" s="1246" t="s">
        <v>376</v>
      </c>
      <c r="F2162" s="1248">
        <v>1</v>
      </c>
      <c r="G2162" s="1248">
        <v>0</v>
      </c>
      <c r="H2162" s="1249">
        <v>0</v>
      </c>
      <c r="J2162" s="1246" t="s">
        <v>1444</v>
      </c>
      <c r="K2162" s="1284" t="str">
        <f t="shared" si="33"/>
        <v>21</v>
      </c>
      <c r="L2162" s="1246" t="s">
        <v>1496</v>
      </c>
      <c r="M2162" s="1250">
        <v>9</v>
      </c>
      <c r="N2162" s="1251">
        <v>1</v>
      </c>
      <c r="O2162" s="1252">
        <v>1</v>
      </c>
    </row>
    <row r="2163" spans="1:15">
      <c r="A2163" s="1246" t="s">
        <v>683</v>
      </c>
      <c r="B2163" s="1246" t="s">
        <v>430</v>
      </c>
      <c r="C2163" s="1247">
        <v>25</v>
      </c>
      <c r="E2163" s="1246" t="s">
        <v>376</v>
      </c>
      <c r="F2163" s="1248">
        <v>1</v>
      </c>
      <c r="G2163" s="1248">
        <v>0</v>
      </c>
      <c r="H2163" s="1249">
        <v>0</v>
      </c>
      <c r="J2163" s="1246" t="s">
        <v>1444</v>
      </c>
      <c r="K2163" s="1284" t="str">
        <f t="shared" si="33"/>
        <v>21</v>
      </c>
      <c r="L2163" s="1246" t="s">
        <v>1496</v>
      </c>
      <c r="M2163" s="1250">
        <v>9</v>
      </c>
      <c r="N2163" s="1251">
        <v>1</v>
      </c>
      <c r="O2163" s="1252">
        <v>1</v>
      </c>
    </row>
    <row r="2164" spans="1:15">
      <c r="A2164" s="1246" t="s">
        <v>1493</v>
      </c>
      <c r="B2164" s="1246" t="s">
        <v>430</v>
      </c>
      <c r="C2164" s="1247">
        <v>25</v>
      </c>
      <c r="D2164" s="1246" t="s">
        <v>1412</v>
      </c>
      <c r="E2164" s="1246" t="s">
        <v>370</v>
      </c>
      <c r="F2164" s="1248">
        <v>1</v>
      </c>
      <c r="G2164" s="1248">
        <v>1</v>
      </c>
      <c r="H2164" s="1249">
        <v>1</v>
      </c>
      <c r="I2164" s="1246" t="s">
        <v>1491</v>
      </c>
      <c r="J2164" s="1246" t="s">
        <v>1444</v>
      </c>
      <c r="K2164" s="1284" t="str">
        <f t="shared" si="33"/>
        <v>21</v>
      </c>
      <c r="L2164" s="1246" t="s">
        <v>1550</v>
      </c>
      <c r="M2164" s="1250">
        <v>8</v>
      </c>
      <c r="N2164" s="1251">
        <v>1</v>
      </c>
      <c r="O2164" s="1252">
        <v>1</v>
      </c>
    </row>
    <row r="2165" spans="1:15">
      <c r="A2165" s="1246" t="s">
        <v>1493</v>
      </c>
      <c r="B2165" s="1246" t="s">
        <v>430</v>
      </c>
      <c r="C2165" s="1247">
        <v>25</v>
      </c>
      <c r="E2165" s="1246" t="s">
        <v>370</v>
      </c>
      <c r="F2165" s="1248">
        <v>1</v>
      </c>
      <c r="G2165" s="1248">
        <v>1</v>
      </c>
      <c r="H2165" s="1249">
        <v>1</v>
      </c>
      <c r="I2165" s="1246" t="s">
        <v>1491</v>
      </c>
      <c r="J2165" s="1246" t="s">
        <v>1444</v>
      </c>
      <c r="K2165" s="1284" t="str">
        <f t="shared" si="33"/>
        <v>21</v>
      </c>
      <c r="L2165" s="1246" t="s">
        <v>1550</v>
      </c>
      <c r="M2165" s="1250">
        <v>8</v>
      </c>
      <c r="N2165" s="1251">
        <v>1</v>
      </c>
      <c r="O2165" s="1252">
        <v>1</v>
      </c>
    </row>
    <row r="2166" spans="1:15">
      <c r="A2166" s="1246" t="s">
        <v>683</v>
      </c>
      <c r="B2166" s="1246" t="s">
        <v>430</v>
      </c>
      <c r="C2166" s="1247">
        <v>25</v>
      </c>
      <c r="E2166" s="1246" t="s">
        <v>370</v>
      </c>
      <c r="F2166" s="1248">
        <v>1</v>
      </c>
      <c r="G2166" s="1248">
        <v>1</v>
      </c>
      <c r="H2166" s="1249">
        <v>1</v>
      </c>
      <c r="I2166" s="1246" t="s">
        <v>1491</v>
      </c>
      <c r="J2166" s="1246" t="s">
        <v>1444</v>
      </c>
      <c r="K2166" s="1284" t="str">
        <f t="shared" si="33"/>
        <v>21</v>
      </c>
      <c r="L2166" s="1246" t="s">
        <v>1550</v>
      </c>
      <c r="M2166" s="1250">
        <v>8</v>
      </c>
      <c r="N2166" s="1251">
        <v>2</v>
      </c>
      <c r="O2166" s="1252">
        <v>2</v>
      </c>
    </row>
    <row r="2167" spans="1:15">
      <c r="A2167" s="1246" t="s">
        <v>683</v>
      </c>
      <c r="B2167" s="1246" t="s">
        <v>430</v>
      </c>
      <c r="C2167" s="1247">
        <v>25</v>
      </c>
      <c r="D2167" s="1246" t="s">
        <v>1412</v>
      </c>
      <c r="E2167" s="1246" t="s">
        <v>370</v>
      </c>
      <c r="F2167" s="1248">
        <v>1</v>
      </c>
      <c r="G2167" s="1248">
        <v>1</v>
      </c>
      <c r="H2167" s="1249">
        <v>1</v>
      </c>
      <c r="I2167" s="1246" t="s">
        <v>1491</v>
      </c>
      <c r="J2167" s="1246" t="s">
        <v>1444</v>
      </c>
      <c r="K2167" s="1284" t="str">
        <f t="shared" si="33"/>
        <v>21</v>
      </c>
      <c r="L2167" s="1246" t="s">
        <v>1550</v>
      </c>
      <c r="M2167" s="1250">
        <v>8</v>
      </c>
      <c r="N2167" s="1251">
        <v>8</v>
      </c>
      <c r="O2167" s="1252">
        <v>8</v>
      </c>
    </row>
    <row r="2168" spans="1:15">
      <c r="A2168" s="1246" t="s">
        <v>683</v>
      </c>
      <c r="B2168" s="1246" t="s">
        <v>430</v>
      </c>
      <c r="C2168" s="1247">
        <v>25</v>
      </c>
      <c r="D2168" s="1246" t="s">
        <v>1412</v>
      </c>
      <c r="E2168" s="1246" t="s">
        <v>1547</v>
      </c>
      <c r="F2168" s="1248">
        <v>1</v>
      </c>
      <c r="G2168" s="1248">
        <v>1</v>
      </c>
      <c r="H2168" s="1249">
        <v>1</v>
      </c>
      <c r="I2168" s="1246" t="s">
        <v>1491</v>
      </c>
      <c r="J2168" s="1246" t="s">
        <v>1444</v>
      </c>
      <c r="K2168" s="1284" t="str">
        <f t="shared" si="33"/>
        <v>21</v>
      </c>
      <c r="L2168" s="1246" t="s">
        <v>1550</v>
      </c>
      <c r="M2168" s="1250">
        <v>8</v>
      </c>
      <c r="N2168" s="1251">
        <v>1</v>
      </c>
      <c r="O2168" s="1252">
        <v>1</v>
      </c>
    </row>
    <row r="2169" spans="1:15">
      <c r="A2169" s="1246" t="s">
        <v>683</v>
      </c>
      <c r="B2169" s="1246" t="s">
        <v>430</v>
      </c>
      <c r="C2169" s="1247">
        <v>25</v>
      </c>
      <c r="E2169" s="1246" t="s">
        <v>370</v>
      </c>
      <c r="F2169" s="1248">
        <v>1</v>
      </c>
      <c r="G2169" s="1248">
        <v>1</v>
      </c>
      <c r="H2169" s="1249">
        <v>1</v>
      </c>
      <c r="I2169" s="1246" t="s">
        <v>1491</v>
      </c>
      <c r="J2169" s="1246" t="s">
        <v>1446</v>
      </c>
      <c r="K2169" s="1284" t="str">
        <f t="shared" si="33"/>
        <v>23</v>
      </c>
      <c r="L2169" s="1246" t="s">
        <v>1556</v>
      </c>
      <c r="M2169" s="1250">
        <v>8</v>
      </c>
      <c r="N2169" s="1251">
        <v>1</v>
      </c>
      <c r="O2169" s="1252">
        <v>1</v>
      </c>
    </row>
    <row r="2170" spans="1:15">
      <c r="A2170" s="1246" t="s">
        <v>683</v>
      </c>
      <c r="B2170" s="1246" t="s">
        <v>430</v>
      </c>
      <c r="C2170" s="1247">
        <v>25</v>
      </c>
      <c r="D2170" s="1246" t="s">
        <v>1412</v>
      </c>
      <c r="E2170" s="1246" t="s">
        <v>370</v>
      </c>
      <c r="F2170" s="1248">
        <v>1</v>
      </c>
      <c r="G2170" s="1248">
        <v>1</v>
      </c>
      <c r="H2170" s="1249">
        <v>1</v>
      </c>
      <c r="I2170" s="1246" t="s">
        <v>1491</v>
      </c>
      <c r="J2170" s="1246" t="s">
        <v>1446</v>
      </c>
      <c r="K2170" s="1284" t="str">
        <f t="shared" si="33"/>
        <v>23</v>
      </c>
      <c r="L2170" s="1246" t="s">
        <v>1556</v>
      </c>
      <c r="M2170" s="1250">
        <v>8</v>
      </c>
      <c r="N2170" s="1251">
        <v>2</v>
      </c>
      <c r="O2170" s="1252">
        <v>2</v>
      </c>
    </row>
    <row r="2171" spans="1:15">
      <c r="A2171" s="1246" t="s">
        <v>683</v>
      </c>
      <c r="B2171" s="1246" t="s">
        <v>430</v>
      </c>
      <c r="C2171" s="1247">
        <v>25</v>
      </c>
      <c r="D2171" s="1246" t="s">
        <v>1412</v>
      </c>
      <c r="E2171" s="1246" t="s">
        <v>376</v>
      </c>
      <c r="F2171" s="1248">
        <v>1</v>
      </c>
      <c r="G2171" s="1248">
        <v>1</v>
      </c>
      <c r="H2171" s="1249">
        <v>1</v>
      </c>
      <c r="I2171" s="1246" t="s">
        <v>1491</v>
      </c>
      <c r="J2171" s="1246" t="s">
        <v>1446</v>
      </c>
      <c r="K2171" s="1284" t="str">
        <f t="shared" si="33"/>
        <v>23</v>
      </c>
      <c r="L2171" s="1246" t="s">
        <v>1556</v>
      </c>
      <c r="M2171" s="1250">
        <v>8</v>
      </c>
      <c r="N2171" s="1251">
        <v>1</v>
      </c>
      <c r="O2171" s="1252">
        <v>1</v>
      </c>
    </row>
    <row r="2172" spans="1:15">
      <c r="A2172" s="1246" t="s">
        <v>683</v>
      </c>
      <c r="B2172" s="1246" t="s">
        <v>430</v>
      </c>
      <c r="C2172" s="1247">
        <v>25</v>
      </c>
      <c r="D2172" s="1246" t="s">
        <v>1412</v>
      </c>
      <c r="E2172" s="1246" t="s">
        <v>376</v>
      </c>
      <c r="F2172" s="1248">
        <v>1</v>
      </c>
      <c r="G2172" s="1248">
        <v>1</v>
      </c>
      <c r="H2172" s="1249">
        <v>1</v>
      </c>
      <c r="I2172" s="1246" t="s">
        <v>1491</v>
      </c>
      <c r="J2172" s="1246" t="s">
        <v>1444</v>
      </c>
      <c r="K2172" s="1284" t="str">
        <f t="shared" si="33"/>
        <v>21</v>
      </c>
      <c r="L2172" s="1246" t="s">
        <v>1496</v>
      </c>
      <c r="M2172" s="1250">
        <v>9</v>
      </c>
      <c r="N2172" s="1251">
        <v>4</v>
      </c>
      <c r="O2172" s="1252">
        <v>4</v>
      </c>
    </row>
    <row r="2173" spans="1:15">
      <c r="A2173" s="1246" t="s">
        <v>683</v>
      </c>
      <c r="B2173" s="1246" t="s">
        <v>430</v>
      </c>
      <c r="C2173" s="1247">
        <v>25</v>
      </c>
      <c r="E2173" s="1246" t="s">
        <v>370</v>
      </c>
      <c r="F2173" s="1248">
        <v>1</v>
      </c>
      <c r="G2173" s="1248">
        <v>1</v>
      </c>
      <c r="H2173" s="1249">
        <v>2</v>
      </c>
      <c r="I2173" s="1246" t="s">
        <v>1491</v>
      </c>
      <c r="J2173" s="1246" t="s">
        <v>1444</v>
      </c>
      <c r="K2173" s="1284" t="str">
        <f t="shared" si="33"/>
        <v>21</v>
      </c>
      <c r="L2173" s="1246" t="s">
        <v>1550</v>
      </c>
      <c r="M2173" s="1250">
        <v>8</v>
      </c>
      <c r="N2173" s="1251">
        <v>1</v>
      </c>
      <c r="O2173" s="1252">
        <v>1</v>
      </c>
    </row>
    <row r="2174" spans="1:15">
      <c r="A2174" s="1246" t="s">
        <v>683</v>
      </c>
      <c r="B2174" s="1246" t="s">
        <v>430</v>
      </c>
      <c r="C2174" s="1247">
        <v>25</v>
      </c>
      <c r="D2174" s="1246" t="s">
        <v>1412</v>
      </c>
      <c r="E2174" s="1246" t="s">
        <v>370</v>
      </c>
      <c r="F2174" s="1248">
        <v>1</v>
      </c>
      <c r="G2174" s="1248">
        <v>1</v>
      </c>
      <c r="H2174" s="1249">
        <v>2</v>
      </c>
      <c r="I2174" s="1246" t="s">
        <v>1491</v>
      </c>
      <c r="J2174" s="1246" t="s">
        <v>1444</v>
      </c>
      <c r="K2174" s="1284" t="str">
        <f t="shared" si="33"/>
        <v>21</v>
      </c>
      <c r="L2174" s="1246" t="s">
        <v>1550</v>
      </c>
      <c r="M2174" s="1250">
        <v>8</v>
      </c>
      <c r="N2174" s="1251">
        <v>2</v>
      </c>
      <c r="O2174" s="1252">
        <v>2</v>
      </c>
    </row>
    <row r="2175" spans="1:15">
      <c r="A2175" s="1246" t="s">
        <v>1493</v>
      </c>
      <c r="B2175" s="1246" t="s">
        <v>430</v>
      </c>
      <c r="C2175" s="1247">
        <v>25</v>
      </c>
      <c r="D2175" s="1246" t="s">
        <v>1412</v>
      </c>
      <c r="E2175" s="1246" t="s">
        <v>370</v>
      </c>
      <c r="F2175" s="1248">
        <v>1</v>
      </c>
      <c r="G2175" s="1248">
        <v>1</v>
      </c>
      <c r="H2175" s="1249">
        <v>2</v>
      </c>
      <c r="I2175" s="1246" t="s">
        <v>1491</v>
      </c>
      <c r="J2175" s="1246" t="s">
        <v>1444</v>
      </c>
      <c r="K2175" s="1284" t="str">
        <f t="shared" si="33"/>
        <v>21</v>
      </c>
      <c r="L2175" s="1246" t="s">
        <v>1550</v>
      </c>
      <c r="M2175" s="1250">
        <v>8</v>
      </c>
      <c r="N2175" s="1251">
        <v>2</v>
      </c>
      <c r="O2175" s="1252">
        <v>2</v>
      </c>
    </row>
    <row r="2176" spans="1:15">
      <c r="A2176" s="1246" t="s">
        <v>683</v>
      </c>
      <c r="B2176" s="1246" t="s">
        <v>430</v>
      </c>
      <c r="C2176" s="1247">
        <v>25</v>
      </c>
      <c r="D2176" s="1246" t="s">
        <v>1412</v>
      </c>
      <c r="E2176" s="1246" t="s">
        <v>370</v>
      </c>
      <c r="F2176" s="1248">
        <v>1</v>
      </c>
      <c r="G2176" s="1248">
        <v>1</v>
      </c>
      <c r="H2176" s="1249">
        <v>3</v>
      </c>
      <c r="I2176" s="1246" t="s">
        <v>1491</v>
      </c>
      <c r="J2176" s="1246" t="s">
        <v>1444</v>
      </c>
      <c r="K2176" s="1284" t="str">
        <f t="shared" si="33"/>
        <v>21</v>
      </c>
      <c r="L2176" s="1246" t="s">
        <v>1550</v>
      </c>
      <c r="M2176" s="1250">
        <v>8</v>
      </c>
      <c r="N2176" s="1251">
        <v>1</v>
      </c>
      <c r="O2176" s="1252">
        <v>1</v>
      </c>
    </row>
    <row r="2177" spans="1:15">
      <c r="A2177" s="1246" t="s">
        <v>683</v>
      </c>
      <c r="B2177" s="1246" t="s">
        <v>430</v>
      </c>
      <c r="C2177" s="1247">
        <v>25</v>
      </c>
      <c r="D2177" s="1246" t="s">
        <v>1412</v>
      </c>
      <c r="E2177" s="1246" t="s">
        <v>370</v>
      </c>
      <c r="F2177" s="1248">
        <v>1</v>
      </c>
      <c r="G2177" s="1248">
        <v>1</v>
      </c>
      <c r="H2177" s="1249">
        <v>4</v>
      </c>
      <c r="I2177" s="1246" t="s">
        <v>1491</v>
      </c>
      <c r="J2177" s="1246" t="s">
        <v>1444</v>
      </c>
      <c r="K2177" s="1284" t="str">
        <f t="shared" si="33"/>
        <v>21</v>
      </c>
      <c r="L2177" s="1246" t="s">
        <v>1550</v>
      </c>
      <c r="M2177" s="1250">
        <v>8</v>
      </c>
      <c r="N2177" s="1251">
        <v>3</v>
      </c>
      <c r="O2177" s="1252">
        <v>3</v>
      </c>
    </row>
    <row r="2178" spans="1:15">
      <c r="A2178" s="1246" t="s">
        <v>683</v>
      </c>
      <c r="B2178" s="1246" t="s">
        <v>430</v>
      </c>
      <c r="C2178" s="1247">
        <v>25</v>
      </c>
      <c r="D2178" s="1246" t="s">
        <v>1412</v>
      </c>
      <c r="E2178" s="1246" t="s">
        <v>370</v>
      </c>
      <c r="F2178" s="1248">
        <v>1</v>
      </c>
      <c r="G2178" s="1248">
        <v>1</v>
      </c>
      <c r="H2178" s="1249">
        <v>4</v>
      </c>
      <c r="I2178" s="1246" t="s">
        <v>1491</v>
      </c>
      <c r="J2178" s="1246" t="s">
        <v>1446</v>
      </c>
      <c r="K2178" s="1284" t="str">
        <f t="shared" ref="K2178:K2241" si="34">IF(J2178="1B","10", IF(J2178="2B","20",IF(J2178="3B","30",IF(J2178="7B",70,J2178))))</f>
        <v>23</v>
      </c>
      <c r="L2178" s="1246" t="s">
        <v>1556</v>
      </c>
      <c r="M2178" s="1250">
        <v>8</v>
      </c>
      <c r="N2178" s="1251">
        <v>1</v>
      </c>
      <c r="O2178" s="1252">
        <v>1</v>
      </c>
    </row>
    <row r="2179" spans="1:15">
      <c r="A2179" s="1246" t="s">
        <v>1493</v>
      </c>
      <c r="B2179" s="1246" t="s">
        <v>430</v>
      </c>
      <c r="C2179" s="1247">
        <v>25</v>
      </c>
      <c r="E2179" s="1246" t="s">
        <v>370</v>
      </c>
      <c r="F2179" s="1248">
        <v>1</v>
      </c>
      <c r="G2179" s="1248">
        <v>2</v>
      </c>
      <c r="H2179" s="1249">
        <v>1</v>
      </c>
      <c r="I2179" s="1246" t="s">
        <v>1491</v>
      </c>
      <c r="J2179" s="1246" t="s">
        <v>1444</v>
      </c>
      <c r="K2179" s="1284" t="str">
        <f t="shared" si="34"/>
        <v>21</v>
      </c>
      <c r="L2179" s="1246" t="s">
        <v>1550</v>
      </c>
      <c r="M2179" s="1250">
        <v>8</v>
      </c>
      <c r="N2179" s="1251">
        <v>1</v>
      </c>
      <c r="O2179" s="1252">
        <v>1</v>
      </c>
    </row>
    <row r="2180" spans="1:15">
      <c r="A2180" s="1246" t="s">
        <v>683</v>
      </c>
      <c r="B2180" s="1246" t="s">
        <v>430</v>
      </c>
      <c r="C2180" s="1247">
        <v>25</v>
      </c>
      <c r="E2180" s="1246" t="s">
        <v>370</v>
      </c>
      <c r="F2180" s="1248">
        <v>1</v>
      </c>
      <c r="G2180" s="1248">
        <v>2</v>
      </c>
      <c r="H2180" s="1249">
        <v>1</v>
      </c>
      <c r="I2180" s="1246" t="s">
        <v>1491</v>
      </c>
      <c r="J2180" s="1246" t="s">
        <v>1444</v>
      </c>
      <c r="K2180" s="1284" t="str">
        <f t="shared" si="34"/>
        <v>21</v>
      </c>
      <c r="L2180" s="1246" t="s">
        <v>1550</v>
      </c>
      <c r="M2180" s="1250">
        <v>8</v>
      </c>
      <c r="N2180" s="1251">
        <v>1</v>
      </c>
      <c r="O2180" s="1252">
        <v>1</v>
      </c>
    </row>
    <row r="2181" spans="1:15">
      <c r="A2181" s="1246" t="s">
        <v>683</v>
      </c>
      <c r="B2181" s="1246" t="s">
        <v>430</v>
      </c>
      <c r="C2181" s="1247">
        <v>25</v>
      </c>
      <c r="D2181" s="1246" t="s">
        <v>1412</v>
      </c>
      <c r="E2181" s="1246" t="s">
        <v>376</v>
      </c>
      <c r="F2181" s="1248">
        <v>1</v>
      </c>
      <c r="G2181" s="1248">
        <v>2</v>
      </c>
      <c r="H2181" s="1249">
        <v>1</v>
      </c>
      <c r="I2181" s="1246" t="s">
        <v>1491</v>
      </c>
      <c r="J2181" s="1246" t="s">
        <v>1444</v>
      </c>
      <c r="K2181" s="1284" t="str">
        <f t="shared" si="34"/>
        <v>21</v>
      </c>
      <c r="L2181" s="1246" t="s">
        <v>1496</v>
      </c>
      <c r="M2181" s="1250">
        <v>9</v>
      </c>
      <c r="N2181" s="1251">
        <v>1</v>
      </c>
      <c r="O2181" s="1252">
        <v>1</v>
      </c>
    </row>
    <row r="2182" spans="1:15">
      <c r="A2182" s="1246" t="s">
        <v>683</v>
      </c>
      <c r="B2182" s="1246" t="s">
        <v>430</v>
      </c>
      <c r="C2182" s="1247">
        <v>25</v>
      </c>
      <c r="D2182" s="1246" t="s">
        <v>1412</v>
      </c>
      <c r="E2182" s="1246" t="s">
        <v>373</v>
      </c>
      <c r="F2182" s="1248">
        <v>1</v>
      </c>
      <c r="G2182" s="1248">
        <v>3</v>
      </c>
      <c r="H2182" s="1249">
        <v>1</v>
      </c>
      <c r="I2182" s="1246" t="s">
        <v>1491</v>
      </c>
      <c r="J2182" s="1246" t="s">
        <v>1444</v>
      </c>
      <c r="K2182" s="1284" t="str">
        <f t="shared" si="34"/>
        <v>21</v>
      </c>
      <c r="L2182" s="1246" t="s">
        <v>1550</v>
      </c>
      <c r="M2182" s="1250">
        <v>8</v>
      </c>
      <c r="N2182" s="1251">
        <v>1</v>
      </c>
      <c r="O2182" s="1252">
        <v>1</v>
      </c>
    </row>
    <row r="2183" spans="1:15">
      <c r="A2183" s="1246" t="s">
        <v>683</v>
      </c>
      <c r="B2183" s="1246" t="s">
        <v>430</v>
      </c>
      <c r="C2183" s="1247">
        <v>25</v>
      </c>
      <c r="E2183" s="1246" t="s">
        <v>1547</v>
      </c>
      <c r="F2183" s="1248">
        <v>1</v>
      </c>
      <c r="G2183" s="1248">
        <v>3</v>
      </c>
      <c r="H2183" s="1249">
        <v>1</v>
      </c>
      <c r="I2183" s="1246" t="s">
        <v>1491</v>
      </c>
      <c r="J2183" s="1246" t="s">
        <v>1446</v>
      </c>
      <c r="K2183" s="1284" t="str">
        <f t="shared" si="34"/>
        <v>23</v>
      </c>
      <c r="L2183" s="1246" t="s">
        <v>1556</v>
      </c>
      <c r="M2183" s="1250">
        <v>8</v>
      </c>
      <c r="N2183" s="1251">
        <v>1</v>
      </c>
      <c r="O2183" s="1252">
        <v>1</v>
      </c>
    </row>
    <row r="2184" spans="1:15">
      <c r="A2184" s="1246" t="s">
        <v>683</v>
      </c>
      <c r="B2184" s="1246" t="s">
        <v>430</v>
      </c>
      <c r="C2184" s="1247">
        <v>25</v>
      </c>
      <c r="D2184" s="1246" t="s">
        <v>1412</v>
      </c>
      <c r="E2184" s="1246" t="s">
        <v>370</v>
      </c>
      <c r="F2184" s="1248">
        <v>1</v>
      </c>
      <c r="G2184" s="1248">
        <v>3</v>
      </c>
      <c r="H2184" s="1249">
        <v>2</v>
      </c>
      <c r="I2184" s="1246" t="s">
        <v>1491</v>
      </c>
      <c r="J2184" s="1246" t="s">
        <v>1444</v>
      </c>
      <c r="K2184" s="1284" t="str">
        <f t="shared" si="34"/>
        <v>21</v>
      </c>
      <c r="L2184" s="1246" t="s">
        <v>1550</v>
      </c>
      <c r="M2184" s="1250">
        <v>8</v>
      </c>
      <c r="N2184" s="1251">
        <v>2</v>
      </c>
      <c r="O2184" s="1252">
        <v>2</v>
      </c>
    </row>
    <row r="2185" spans="1:15">
      <c r="A2185" s="1246" t="s">
        <v>683</v>
      </c>
      <c r="B2185" s="1246" t="s">
        <v>430</v>
      </c>
      <c r="C2185" s="1247">
        <v>25</v>
      </c>
      <c r="E2185" s="1246" t="s">
        <v>370</v>
      </c>
      <c r="F2185" s="1248">
        <v>1</v>
      </c>
      <c r="G2185" s="1248">
        <v>6</v>
      </c>
      <c r="H2185" s="1249">
        <v>1</v>
      </c>
      <c r="I2185" s="1246" t="s">
        <v>1491</v>
      </c>
      <c r="J2185" s="1246" t="s">
        <v>1444</v>
      </c>
      <c r="K2185" s="1284" t="str">
        <f t="shared" si="34"/>
        <v>21</v>
      </c>
      <c r="L2185" s="1246" t="s">
        <v>1550</v>
      </c>
      <c r="M2185" s="1250">
        <v>8</v>
      </c>
      <c r="N2185" s="1251">
        <v>1</v>
      </c>
      <c r="O2185" s="1252">
        <v>1</v>
      </c>
    </row>
    <row r="2186" spans="1:15">
      <c r="A2186" s="1246" t="s">
        <v>683</v>
      </c>
      <c r="B2186" s="1246" t="s">
        <v>430</v>
      </c>
      <c r="C2186" s="1247">
        <v>30</v>
      </c>
      <c r="E2186" s="1246" t="s">
        <v>370</v>
      </c>
      <c r="F2186" s="1248">
        <v>1</v>
      </c>
      <c r="G2186" s="1248">
        <v>0</v>
      </c>
      <c r="H2186" s="1249">
        <v>0</v>
      </c>
      <c r="J2186" s="1246" t="s">
        <v>1444</v>
      </c>
      <c r="K2186" s="1284" t="str">
        <f t="shared" si="34"/>
        <v>21</v>
      </c>
      <c r="M2186" s="1250">
        <v>0</v>
      </c>
      <c r="N2186" s="1251">
        <v>2</v>
      </c>
      <c r="O2186" s="1252">
        <v>2</v>
      </c>
    </row>
    <row r="2187" spans="1:15">
      <c r="A2187" s="1246" t="s">
        <v>683</v>
      </c>
      <c r="B2187" s="1246" t="s">
        <v>430</v>
      </c>
      <c r="C2187" s="1247">
        <v>30</v>
      </c>
      <c r="D2187" s="1246" t="s">
        <v>1412</v>
      </c>
      <c r="E2187" s="1246" t="s">
        <v>370</v>
      </c>
      <c r="F2187" s="1248">
        <v>1</v>
      </c>
      <c r="G2187" s="1248">
        <v>0</v>
      </c>
      <c r="H2187" s="1249">
        <v>0</v>
      </c>
      <c r="J2187" s="1246" t="s">
        <v>1444</v>
      </c>
      <c r="K2187" s="1284" t="str">
        <f t="shared" si="34"/>
        <v>21</v>
      </c>
      <c r="M2187" s="1250">
        <v>0</v>
      </c>
      <c r="N2187" s="1251">
        <v>1</v>
      </c>
      <c r="O2187" s="1252">
        <v>1</v>
      </c>
    </row>
    <row r="2188" spans="1:15">
      <c r="A2188" s="1246" t="s">
        <v>683</v>
      </c>
      <c r="B2188" s="1246" t="s">
        <v>430</v>
      </c>
      <c r="C2188" s="1247">
        <v>30</v>
      </c>
      <c r="D2188" s="1246" t="s">
        <v>1412</v>
      </c>
      <c r="E2188" s="1246" t="s">
        <v>370</v>
      </c>
      <c r="F2188" s="1248">
        <v>1</v>
      </c>
      <c r="G2188" s="1248">
        <v>0</v>
      </c>
      <c r="H2188" s="1249">
        <v>0</v>
      </c>
      <c r="J2188" s="1246" t="s">
        <v>1445</v>
      </c>
      <c r="K2188" s="1284" t="str">
        <f t="shared" si="34"/>
        <v>22</v>
      </c>
      <c r="L2188" s="1246" t="s">
        <v>1559</v>
      </c>
      <c r="M2188" s="1250">
        <v>8</v>
      </c>
      <c r="N2188" s="1251">
        <v>1</v>
      </c>
      <c r="O2188" s="1252">
        <v>1</v>
      </c>
    </row>
    <row r="2189" spans="1:15">
      <c r="A2189" s="1246" t="s">
        <v>1493</v>
      </c>
      <c r="B2189" s="1246" t="s">
        <v>430</v>
      </c>
      <c r="C2189" s="1247">
        <v>30</v>
      </c>
      <c r="E2189" s="1246" t="s">
        <v>370</v>
      </c>
      <c r="F2189" s="1248">
        <v>1</v>
      </c>
      <c r="G2189" s="1248">
        <v>0</v>
      </c>
      <c r="H2189" s="1249">
        <v>0</v>
      </c>
      <c r="J2189" s="1246" t="s">
        <v>1444</v>
      </c>
      <c r="K2189" s="1284" t="str">
        <f t="shared" si="34"/>
        <v>21</v>
      </c>
      <c r="L2189" s="1246" t="s">
        <v>1550</v>
      </c>
      <c r="M2189" s="1250">
        <v>8</v>
      </c>
      <c r="N2189" s="1251">
        <v>1</v>
      </c>
      <c r="O2189" s="1252">
        <v>1</v>
      </c>
    </row>
    <row r="2190" spans="1:15">
      <c r="A2190" s="1246" t="s">
        <v>683</v>
      </c>
      <c r="B2190" s="1246" t="s">
        <v>430</v>
      </c>
      <c r="C2190" s="1247">
        <v>30</v>
      </c>
      <c r="E2190" s="1246" t="s">
        <v>370</v>
      </c>
      <c r="F2190" s="1248">
        <v>1</v>
      </c>
      <c r="G2190" s="1248">
        <v>0</v>
      </c>
      <c r="H2190" s="1249">
        <v>0</v>
      </c>
      <c r="J2190" s="1246" t="s">
        <v>1444</v>
      </c>
      <c r="K2190" s="1284" t="str">
        <f t="shared" si="34"/>
        <v>21</v>
      </c>
      <c r="L2190" s="1246" t="s">
        <v>1550</v>
      </c>
      <c r="M2190" s="1250">
        <v>8</v>
      </c>
      <c r="N2190" s="1251">
        <v>1</v>
      </c>
      <c r="O2190" s="1252">
        <v>1</v>
      </c>
    </row>
    <row r="2191" spans="1:15">
      <c r="A2191" s="1246" t="s">
        <v>683</v>
      </c>
      <c r="B2191" s="1246" t="s">
        <v>430</v>
      </c>
      <c r="C2191" s="1247">
        <v>30</v>
      </c>
      <c r="D2191" s="1246" t="s">
        <v>1412</v>
      </c>
      <c r="E2191" s="1246" t="s">
        <v>370</v>
      </c>
      <c r="F2191" s="1248">
        <v>1</v>
      </c>
      <c r="G2191" s="1248">
        <v>0</v>
      </c>
      <c r="H2191" s="1249">
        <v>0</v>
      </c>
      <c r="J2191" s="1246" t="s">
        <v>1444</v>
      </c>
      <c r="K2191" s="1284" t="str">
        <f t="shared" si="34"/>
        <v>21</v>
      </c>
      <c r="L2191" s="1246" t="s">
        <v>1550</v>
      </c>
      <c r="M2191" s="1250">
        <v>8</v>
      </c>
      <c r="N2191" s="1251">
        <v>10</v>
      </c>
      <c r="O2191" s="1252">
        <v>10</v>
      </c>
    </row>
    <row r="2192" spans="1:15">
      <c r="A2192" s="1246" t="s">
        <v>683</v>
      </c>
      <c r="B2192" s="1246" t="s">
        <v>430</v>
      </c>
      <c r="C2192" s="1247">
        <v>30</v>
      </c>
      <c r="E2192" s="1246" t="s">
        <v>370</v>
      </c>
      <c r="F2192" s="1248">
        <v>1</v>
      </c>
      <c r="G2192" s="1248">
        <v>0</v>
      </c>
      <c r="H2192" s="1249">
        <v>0</v>
      </c>
      <c r="J2192" s="1246" t="s">
        <v>1398</v>
      </c>
      <c r="K2192" s="1284" t="str">
        <f t="shared" si="34"/>
        <v>20</v>
      </c>
      <c r="L2192" s="1246" t="s">
        <v>1548</v>
      </c>
      <c r="M2192" s="1250">
        <v>8</v>
      </c>
      <c r="N2192" s="1251">
        <v>1</v>
      </c>
      <c r="O2192" s="1252">
        <v>1</v>
      </c>
    </row>
    <row r="2193" spans="1:15">
      <c r="A2193" s="1246" t="s">
        <v>683</v>
      </c>
      <c r="B2193" s="1246" t="s">
        <v>430</v>
      </c>
      <c r="C2193" s="1247">
        <v>30</v>
      </c>
      <c r="D2193" s="1246" t="s">
        <v>1412</v>
      </c>
      <c r="E2193" s="1246" t="s">
        <v>376</v>
      </c>
      <c r="F2193" s="1248">
        <v>1</v>
      </c>
      <c r="G2193" s="1248">
        <v>0</v>
      </c>
      <c r="H2193" s="1249">
        <v>0</v>
      </c>
      <c r="J2193" s="1246" t="s">
        <v>1398</v>
      </c>
      <c r="K2193" s="1284" t="str">
        <f t="shared" si="34"/>
        <v>20</v>
      </c>
      <c r="L2193" s="1246" t="s">
        <v>1548</v>
      </c>
      <c r="M2193" s="1250">
        <v>8</v>
      </c>
      <c r="N2193" s="1251">
        <v>1</v>
      </c>
      <c r="O2193" s="1252">
        <v>1</v>
      </c>
    </row>
    <row r="2194" spans="1:15">
      <c r="A2194" s="1246" t="s">
        <v>1493</v>
      </c>
      <c r="B2194" s="1246" t="s">
        <v>430</v>
      </c>
      <c r="C2194" s="1247">
        <v>30</v>
      </c>
      <c r="D2194" s="1246" t="s">
        <v>1412</v>
      </c>
      <c r="E2194" s="1246" t="s">
        <v>370</v>
      </c>
      <c r="F2194" s="1248">
        <v>1</v>
      </c>
      <c r="G2194" s="1248">
        <v>0</v>
      </c>
      <c r="H2194" s="1249">
        <v>0</v>
      </c>
      <c r="J2194" s="1246" t="s">
        <v>1452</v>
      </c>
      <c r="K2194" s="1284" t="str">
        <f t="shared" si="34"/>
        <v>2C</v>
      </c>
      <c r="L2194" s="1246" t="s">
        <v>1502</v>
      </c>
      <c r="M2194" s="1250">
        <v>4</v>
      </c>
      <c r="N2194" s="1251">
        <v>1</v>
      </c>
      <c r="O2194" s="1252">
        <v>1</v>
      </c>
    </row>
    <row r="2195" spans="1:15">
      <c r="A2195" s="1246" t="s">
        <v>683</v>
      </c>
      <c r="B2195" s="1246" t="s">
        <v>430</v>
      </c>
      <c r="C2195" s="1247">
        <v>30</v>
      </c>
      <c r="D2195" s="1246" t="s">
        <v>1412</v>
      </c>
      <c r="E2195" s="1246" t="s">
        <v>370</v>
      </c>
      <c r="F2195" s="1248">
        <v>1</v>
      </c>
      <c r="G2195" s="1248">
        <v>0</v>
      </c>
      <c r="H2195" s="1249">
        <v>0</v>
      </c>
      <c r="J2195" s="1246" t="s">
        <v>1451</v>
      </c>
      <c r="K2195" s="1284" t="str">
        <f t="shared" si="34"/>
        <v>20</v>
      </c>
      <c r="L2195" s="1246" t="s">
        <v>1534</v>
      </c>
      <c r="M2195" s="1250">
        <v>4</v>
      </c>
      <c r="N2195" s="1251">
        <v>1</v>
      </c>
      <c r="O2195" s="1252">
        <v>1</v>
      </c>
    </row>
    <row r="2196" spans="1:15">
      <c r="A2196" s="1246" t="s">
        <v>1493</v>
      </c>
      <c r="B2196" s="1246" t="s">
        <v>430</v>
      </c>
      <c r="C2196" s="1247">
        <v>30</v>
      </c>
      <c r="E2196" s="1246" t="s">
        <v>370</v>
      </c>
      <c r="F2196" s="1248">
        <v>1</v>
      </c>
      <c r="G2196" s="1248">
        <v>0</v>
      </c>
      <c r="H2196" s="1249">
        <v>0</v>
      </c>
      <c r="J2196" s="1246" t="s">
        <v>1451</v>
      </c>
      <c r="K2196" s="1284" t="str">
        <f t="shared" si="34"/>
        <v>20</v>
      </c>
      <c r="L2196" s="1246" t="s">
        <v>1534</v>
      </c>
      <c r="M2196" s="1250">
        <v>4</v>
      </c>
      <c r="N2196" s="1251">
        <v>1</v>
      </c>
      <c r="O2196" s="1252">
        <v>1</v>
      </c>
    </row>
    <row r="2197" spans="1:15">
      <c r="A2197" s="1246" t="s">
        <v>1493</v>
      </c>
      <c r="B2197" s="1246" t="s">
        <v>430</v>
      </c>
      <c r="C2197" s="1247">
        <v>30</v>
      </c>
      <c r="D2197" s="1246" t="s">
        <v>1412</v>
      </c>
      <c r="E2197" s="1246" t="s">
        <v>370</v>
      </c>
      <c r="F2197" s="1248">
        <v>1</v>
      </c>
      <c r="G2197" s="1248">
        <v>0</v>
      </c>
      <c r="H2197" s="1249">
        <v>0</v>
      </c>
      <c r="J2197" s="1246" t="s">
        <v>1451</v>
      </c>
      <c r="K2197" s="1284" t="str">
        <f t="shared" si="34"/>
        <v>20</v>
      </c>
      <c r="L2197" s="1246" t="s">
        <v>1534</v>
      </c>
      <c r="M2197" s="1250">
        <v>4</v>
      </c>
      <c r="N2197" s="1251">
        <v>1</v>
      </c>
      <c r="O2197" s="1252">
        <v>1</v>
      </c>
    </row>
    <row r="2198" spans="1:15">
      <c r="A2198" s="1246" t="s">
        <v>683</v>
      </c>
      <c r="B2198" s="1246" t="s">
        <v>430</v>
      </c>
      <c r="C2198" s="1247">
        <v>30</v>
      </c>
      <c r="D2198" s="1246" t="s">
        <v>1412</v>
      </c>
      <c r="E2198" s="1246" t="s">
        <v>370</v>
      </c>
      <c r="F2198" s="1248">
        <v>1</v>
      </c>
      <c r="G2198" s="1248">
        <v>0</v>
      </c>
      <c r="H2198" s="1249">
        <v>0</v>
      </c>
      <c r="J2198" s="1246" t="s">
        <v>1448</v>
      </c>
      <c r="K2198" s="1284" t="str">
        <f t="shared" si="34"/>
        <v>25</v>
      </c>
      <c r="L2198" s="1246" t="s">
        <v>1530</v>
      </c>
      <c r="M2198" s="1250">
        <v>9</v>
      </c>
      <c r="N2198" s="1251">
        <v>1</v>
      </c>
      <c r="O2198" s="1252">
        <v>1</v>
      </c>
    </row>
    <row r="2199" spans="1:15">
      <c r="A2199" s="1246" t="s">
        <v>1493</v>
      </c>
      <c r="B2199" s="1246" t="s">
        <v>430</v>
      </c>
      <c r="C2199" s="1247">
        <v>30</v>
      </c>
      <c r="E2199" s="1246" t="s">
        <v>370</v>
      </c>
      <c r="F2199" s="1248">
        <v>1</v>
      </c>
      <c r="G2199" s="1248">
        <v>0</v>
      </c>
      <c r="H2199" s="1249">
        <v>0</v>
      </c>
      <c r="J2199" s="1246" t="s">
        <v>1448</v>
      </c>
      <c r="K2199" s="1284" t="str">
        <f t="shared" si="34"/>
        <v>25</v>
      </c>
      <c r="L2199" s="1246" t="s">
        <v>1530</v>
      </c>
      <c r="M2199" s="1250">
        <v>9</v>
      </c>
      <c r="N2199" s="1251">
        <v>1</v>
      </c>
      <c r="O2199" s="1252">
        <v>1</v>
      </c>
    </row>
    <row r="2200" spans="1:15">
      <c r="A2200" s="1246" t="s">
        <v>1493</v>
      </c>
      <c r="B2200" s="1246" t="s">
        <v>430</v>
      </c>
      <c r="C2200" s="1247">
        <v>30</v>
      </c>
      <c r="D2200" s="1246" t="s">
        <v>1412</v>
      </c>
      <c r="E2200" s="1246" t="s">
        <v>370</v>
      </c>
      <c r="F2200" s="1248">
        <v>1</v>
      </c>
      <c r="G2200" s="1248">
        <v>1</v>
      </c>
      <c r="H2200" s="1249">
        <v>1</v>
      </c>
      <c r="I2200" s="1246" t="s">
        <v>1491</v>
      </c>
      <c r="J2200" s="1246" t="s">
        <v>1444</v>
      </c>
      <c r="K2200" s="1284" t="str">
        <f t="shared" si="34"/>
        <v>21</v>
      </c>
      <c r="L2200" s="1246" t="s">
        <v>1550</v>
      </c>
      <c r="M2200" s="1250">
        <v>8</v>
      </c>
      <c r="N2200" s="1251">
        <v>1</v>
      </c>
      <c r="O2200" s="1252">
        <v>1</v>
      </c>
    </row>
    <row r="2201" spans="1:15">
      <c r="A2201" s="1246" t="s">
        <v>683</v>
      </c>
      <c r="B2201" s="1246" t="s">
        <v>430</v>
      </c>
      <c r="C2201" s="1247">
        <v>30</v>
      </c>
      <c r="D2201" s="1246" t="s">
        <v>1412</v>
      </c>
      <c r="E2201" s="1246" t="s">
        <v>370</v>
      </c>
      <c r="F2201" s="1248">
        <v>1</v>
      </c>
      <c r="G2201" s="1248">
        <v>1</v>
      </c>
      <c r="H2201" s="1249">
        <v>1</v>
      </c>
      <c r="I2201" s="1246" t="s">
        <v>1491</v>
      </c>
      <c r="J2201" s="1246" t="s">
        <v>1444</v>
      </c>
      <c r="K2201" s="1284" t="str">
        <f t="shared" si="34"/>
        <v>21</v>
      </c>
      <c r="L2201" s="1246" t="s">
        <v>1550</v>
      </c>
      <c r="M2201" s="1250">
        <v>8</v>
      </c>
      <c r="N2201" s="1251">
        <v>6</v>
      </c>
      <c r="O2201" s="1252">
        <v>6</v>
      </c>
    </row>
    <row r="2202" spans="1:15">
      <c r="A2202" s="1246" t="s">
        <v>683</v>
      </c>
      <c r="B2202" s="1246" t="s">
        <v>430</v>
      </c>
      <c r="C2202" s="1247">
        <v>30</v>
      </c>
      <c r="D2202" s="1246" t="s">
        <v>1412</v>
      </c>
      <c r="E2202" s="1246" t="s">
        <v>376</v>
      </c>
      <c r="F2202" s="1248">
        <v>1</v>
      </c>
      <c r="G2202" s="1248">
        <v>1</v>
      </c>
      <c r="H2202" s="1249">
        <v>1</v>
      </c>
      <c r="I2202" s="1246" t="s">
        <v>1491</v>
      </c>
      <c r="J2202" s="1246" t="s">
        <v>1446</v>
      </c>
      <c r="K2202" s="1284" t="str">
        <f t="shared" si="34"/>
        <v>23</v>
      </c>
      <c r="L2202" s="1246" t="s">
        <v>1556</v>
      </c>
      <c r="M2202" s="1250">
        <v>8</v>
      </c>
      <c r="N2202" s="1251">
        <v>1</v>
      </c>
      <c r="O2202" s="1252">
        <v>1</v>
      </c>
    </row>
    <row r="2203" spans="1:15">
      <c r="A2203" s="1246" t="s">
        <v>1493</v>
      </c>
      <c r="B2203" s="1246" t="s">
        <v>430</v>
      </c>
      <c r="C2203" s="1247">
        <v>30</v>
      </c>
      <c r="D2203" s="1246" t="s">
        <v>1412</v>
      </c>
      <c r="E2203" s="1246" t="s">
        <v>376</v>
      </c>
      <c r="F2203" s="1248">
        <v>1</v>
      </c>
      <c r="G2203" s="1248">
        <v>1</v>
      </c>
      <c r="H2203" s="1249">
        <v>1</v>
      </c>
      <c r="I2203" s="1246" t="s">
        <v>1491</v>
      </c>
      <c r="J2203" s="1246" t="s">
        <v>1451</v>
      </c>
      <c r="K2203" s="1284" t="str">
        <f t="shared" si="34"/>
        <v>20</v>
      </c>
      <c r="L2203" s="1246" t="s">
        <v>1542</v>
      </c>
      <c r="M2203" s="1250">
        <v>6</v>
      </c>
      <c r="N2203" s="1251">
        <v>1</v>
      </c>
      <c r="O2203" s="1252">
        <v>1</v>
      </c>
    </row>
    <row r="2204" spans="1:15">
      <c r="A2204" s="1246" t="s">
        <v>1493</v>
      </c>
      <c r="B2204" s="1246" t="s">
        <v>430</v>
      </c>
      <c r="C2204" s="1247">
        <v>30</v>
      </c>
      <c r="D2204" s="1246" t="s">
        <v>1412</v>
      </c>
      <c r="E2204" s="1246" t="s">
        <v>370</v>
      </c>
      <c r="F2204" s="1248">
        <v>1</v>
      </c>
      <c r="G2204" s="1248">
        <v>1</v>
      </c>
      <c r="H2204" s="1249">
        <v>1</v>
      </c>
      <c r="I2204" s="1246" t="s">
        <v>1491</v>
      </c>
      <c r="J2204" s="1246" t="s">
        <v>1444</v>
      </c>
      <c r="K2204" s="1284" t="str">
        <f t="shared" si="34"/>
        <v>21</v>
      </c>
      <c r="L2204" s="1246" t="s">
        <v>1495</v>
      </c>
      <c r="M2204" s="1250">
        <v>9</v>
      </c>
      <c r="N2204" s="1251">
        <v>1</v>
      </c>
      <c r="O2204" s="1252">
        <v>1</v>
      </c>
    </row>
    <row r="2205" spans="1:15">
      <c r="A2205" s="1246" t="s">
        <v>683</v>
      </c>
      <c r="B2205" s="1246" t="s">
        <v>430</v>
      </c>
      <c r="C2205" s="1247">
        <v>30</v>
      </c>
      <c r="D2205" s="1246" t="s">
        <v>1412</v>
      </c>
      <c r="E2205" s="1246" t="s">
        <v>376</v>
      </c>
      <c r="F2205" s="1248">
        <v>1</v>
      </c>
      <c r="G2205" s="1248">
        <v>1</v>
      </c>
      <c r="H2205" s="1249">
        <v>1</v>
      </c>
      <c r="I2205" s="1246" t="s">
        <v>1491</v>
      </c>
      <c r="J2205" s="1246" t="s">
        <v>1448</v>
      </c>
      <c r="K2205" s="1284" t="str">
        <f t="shared" si="34"/>
        <v>25</v>
      </c>
      <c r="L2205" s="1246" t="s">
        <v>1530</v>
      </c>
      <c r="M2205" s="1250">
        <v>9</v>
      </c>
      <c r="N2205" s="1251">
        <v>1</v>
      </c>
      <c r="O2205" s="1252">
        <v>1</v>
      </c>
    </row>
    <row r="2206" spans="1:15">
      <c r="A2206" s="1246" t="s">
        <v>1493</v>
      </c>
      <c r="B2206" s="1246" t="s">
        <v>430</v>
      </c>
      <c r="C2206" s="1247">
        <v>30</v>
      </c>
      <c r="D2206" s="1246" t="s">
        <v>1412</v>
      </c>
      <c r="E2206" s="1246" t="s">
        <v>376</v>
      </c>
      <c r="F2206" s="1248">
        <v>1</v>
      </c>
      <c r="G2206" s="1248">
        <v>1</v>
      </c>
      <c r="H2206" s="1249">
        <v>1</v>
      </c>
      <c r="I2206" s="1246" t="s">
        <v>1491</v>
      </c>
      <c r="J2206" s="1246" t="s">
        <v>1444</v>
      </c>
      <c r="K2206" s="1284" t="str">
        <f t="shared" si="34"/>
        <v>21</v>
      </c>
      <c r="L2206" s="1246" t="s">
        <v>1496</v>
      </c>
      <c r="M2206" s="1250">
        <v>9</v>
      </c>
      <c r="N2206" s="1251">
        <v>2</v>
      </c>
      <c r="O2206" s="1252">
        <v>2</v>
      </c>
    </row>
    <row r="2207" spans="1:15">
      <c r="A2207" s="1246" t="s">
        <v>683</v>
      </c>
      <c r="B2207" s="1246" t="s">
        <v>430</v>
      </c>
      <c r="C2207" s="1247">
        <v>30</v>
      </c>
      <c r="D2207" s="1246" t="s">
        <v>1412</v>
      </c>
      <c r="E2207" s="1246" t="s">
        <v>376</v>
      </c>
      <c r="F2207" s="1248">
        <v>1</v>
      </c>
      <c r="G2207" s="1248">
        <v>1</v>
      </c>
      <c r="H2207" s="1249">
        <v>1</v>
      </c>
      <c r="I2207" s="1246" t="s">
        <v>1491</v>
      </c>
      <c r="J2207" s="1246" t="s">
        <v>1444</v>
      </c>
      <c r="K2207" s="1284" t="str">
        <f t="shared" si="34"/>
        <v>21</v>
      </c>
      <c r="L2207" s="1246" t="s">
        <v>1496</v>
      </c>
      <c r="M2207" s="1250">
        <v>9</v>
      </c>
      <c r="N2207" s="1251">
        <v>1</v>
      </c>
      <c r="O2207" s="1252">
        <v>1</v>
      </c>
    </row>
    <row r="2208" spans="1:15">
      <c r="A2208" s="1246" t="s">
        <v>683</v>
      </c>
      <c r="B2208" s="1246" t="s">
        <v>430</v>
      </c>
      <c r="C2208" s="1247">
        <v>30</v>
      </c>
      <c r="D2208" s="1246" t="s">
        <v>1412</v>
      </c>
      <c r="E2208" s="1246" t="s">
        <v>370</v>
      </c>
      <c r="F2208" s="1248">
        <v>1</v>
      </c>
      <c r="G2208" s="1248">
        <v>1</v>
      </c>
      <c r="H2208" s="1249">
        <v>2</v>
      </c>
      <c r="I2208" s="1246" t="s">
        <v>1491</v>
      </c>
      <c r="J2208" s="1246" t="s">
        <v>1445</v>
      </c>
      <c r="K2208" s="1284" t="str">
        <f t="shared" si="34"/>
        <v>22</v>
      </c>
      <c r="L2208" s="1246" t="s">
        <v>1559</v>
      </c>
      <c r="M2208" s="1250">
        <v>8</v>
      </c>
      <c r="N2208" s="1251">
        <v>1</v>
      </c>
      <c r="O2208" s="1252">
        <v>1</v>
      </c>
    </row>
    <row r="2209" spans="1:15">
      <c r="A2209" s="1246" t="s">
        <v>683</v>
      </c>
      <c r="B2209" s="1246" t="s">
        <v>430</v>
      </c>
      <c r="C2209" s="1247">
        <v>30</v>
      </c>
      <c r="D2209" s="1246" t="s">
        <v>1412</v>
      </c>
      <c r="E2209" s="1246" t="s">
        <v>1547</v>
      </c>
      <c r="F2209" s="1248">
        <v>1</v>
      </c>
      <c r="G2209" s="1248">
        <v>1</v>
      </c>
      <c r="H2209" s="1249">
        <v>2</v>
      </c>
      <c r="I2209" s="1246" t="s">
        <v>1491</v>
      </c>
      <c r="J2209" s="1246" t="s">
        <v>1444</v>
      </c>
      <c r="K2209" s="1284" t="str">
        <f t="shared" si="34"/>
        <v>21</v>
      </c>
      <c r="L2209" s="1246" t="s">
        <v>1550</v>
      </c>
      <c r="M2209" s="1250">
        <v>8</v>
      </c>
      <c r="N2209" s="1251">
        <v>1</v>
      </c>
      <c r="O2209" s="1252">
        <v>1</v>
      </c>
    </row>
    <row r="2210" spans="1:15">
      <c r="A2210" s="1246" t="s">
        <v>683</v>
      </c>
      <c r="B2210" s="1246" t="s">
        <v>430</v>
      </c>
      <c r="C2210" s="1247">
        <v>30</v>
      </c>
      <c r="D2210" s="1246" t="s">
        <v>1412</v>
      </c>
      <c r="E2210" s="1246" t="s">
        <v>370</v>
      </c>
      <c r="F2210" s="1248">
        <v>1</v>
      </c>
      <c r="G2210" s="1248">
        <v>1</v>
      </c>
      <c r="H2210" s="1249">
        <v>2</v>
      </c>
      <c r="I2210" s="1246" t="s">
        <v>1491</v>
      </c>
      <c r="J2210" s="1246" t="s">
        <v>1444</v>
      </c>
      <c r="K2210" s="1284" t="str">
        <f t="shared" si="34"/>
        <v>21</v>
      </c>
      <c r="L2210" s="1246" t="s">
        <v>1550</v>
      </c>
      <c r="M2210" s="1250">
        <v>8</v>
      </c>
      <c r="N2210" s="1251">
        <v>3</v>
      </c>
      <c r="O2210" s="1252">
        <v>3</v>
      </c>
    </row>
    <row r="2211" spans="1:15">
      <c r="A2211" s="1246" t="s">
        <v>1493</v>
      </c>
      <c r="B2211" s="1246" t="s">
        <v>430</v>
      </c>
      <c r="C2211" s="1247">
        <v>30</v>
      </c>
      <c r="D2211" s="1246" t="s">
        <v>1412</v>
      </c>
      <c r="E2211" s="1246" t="s">
        <v>376</v>
      </c>
      <c r="F2211" s="1248">
        <v>1</v>
      </c>
      <c r="G2211" s="1248">
        <v>1</v>
      </c>
      <c r="H2211" s="1249">
        <v>2</v>
      </c>
      <c r="I2211" s="1246" t="s">
        <v>1491</v>
      </c>
      <c r="J2211" s="1246" t="s">
        <v>1398</v>
      </c>
      <c r="K2211" s="1284" t="str">
        <f t="shared" si="34"/>
        <v>20</v>
      </c>
      <c r="L2211" s="1246" t="s">
        <v>1548</v>
      </c>
      <c r="M2211" s="1250">
        <v>8</v>
      </c>
      <c r="N2211" s="1251">
        <v>1</v>
      </c>
      <c r="O2211" s="1252">
        <v>1</v>
      </c>
    </row>
    <row r="2212" spans="1:15">
      <c r="A2212" s="1246" t="s">
        <v>683</v>
      </c>
      <c r="B2212" s="1246" t="s">
        <v>430</v>
      </c>
      <c r="C2212" s="1247">
        <v>30</v>
      </c>
      <c r="D2212" s="1246" t="s">
        <v>1412</v>
      </c>
      <c r="E2212" s="1246" t="s">
        <v>376</v>
      </c>
      <c r="F2212" s="1248">
        <v>1</v>
      </c>
      <c r="G2212" s="1248">
        <v>1</v>
      </c>
      <c r="H2212" s="1249">
        <v>2</v>
      </c>
      <c r="I2212" s="1246" t="s">
        <v>1491</v>
      </c>
      <c r="J2212" s="1246" t="s">
        <v>1444</v>
      </c>
      <c r="K2212" s="1284" t="str">
        <f t="shared" si="34"/>
        <v>21</v>
      </c>
      <c r="L2212" s="1246" t="s">
        <v>1496</v>
      </c>
      <c r="M2212" s="1250">
        <v>9</v>
      </c>
      <c r="N2212" s="1251">
        <v>1</v>
      </c>
      <c r="O2212" s="1252">
        <v>1</v>
      </c>
    </row>
    <row r="2213" spans="1:15">
      <c r="A2213" s="1246" t="s">
        <v>683</v>
      </c>
      <c r="B2213" s="1246" t="s">
        <v>430</v>
      </c>
      <c r="C2213" s="1247">
        <v>30</v>
      </c>
      <c r="D2213" s="1246" t="s">
        <v>1412</v>
      </c>
      <c r="E2213" s="1246" t="s">
        <v>370</v>
      </c>
      <c r="F2213" s="1248">
        <v>1</v>
      </c>
      <c r="G2213" s="1248">
        <v>1</v>
      </c>
      <c r="H2213" s="1249">
        <v>3</v>
      </c>
      <c r="I2213" s="1246" t="s">
        <v>1491</v>
      </c>
      <c r="J2213" s="1246" t="s">
        <v>1444</v>
      </c>
      <c r="K2213" s="1284" t="str">
        <f t="shared" si="34"/>
        <v>21</v>
      </c>
      <c r="L2213" s="1246" t="s">
        <v>1550</v>
      </c>
      <c r="M2213" s="1250">
        <v>8</v>
      </c>
      <c r="N2213" s="1251">
        <v>1</v>
      </c>
      <c r="O2213" s="1252">
        <v>1</v>
      </c>
    </row>
    <row r="2214" spans="1:15">
      <c r="A2214" s="1246" t="s">
        <v>683</v>
      </c>
      <c r="B2214" s="1246" t="s">
        <v>430</v>
      </c>
      <c r="C2214" s="1247">
        <v>30</v>
      </c>
      <c r="D2214" s="1246" t="s">
        <v>1412</v>
      </c>
      <c r="E2214" s="1246" t="s">
        <v>370</v>
      </c>
      <c r="F2214" s="1248">
        <v>1</v>
      </c>
      <c r="G2214" s="1248">
        <v>1</v>
      </c>
      <c r="H2214" s="1249">
        <v>3</v>
      </c>
      <c r="I2214" s="1246" t="s">
        <v>1491</v>
      </c>
      <c r="J2214" s="1246" t="s">
        <v>1446</v>
      </c>
      <c r="K2214" s="1284" t="str">
        <f t="shared" si="34"/>
        <v>23</v>
      </c>
      <c r="L2214" s="1246" t="s">
        <v>1556</v>
      </c>
      <c r="M2214" s="1250">
        <v>8</v>
      </c>
      <c r="N2214" s="1251">
        <v>1</v>
      </c>
      <c r="O2214" s="1252">
        <v>1</v>
      </c>
    </row>
    <row r="2215" spans="1:15">
      <c r="A2215" s="1246" t="s">
        <v>683</v>
      </c>
      <c r="B2215" s="1246" t="s">
        <v>430</v>
      </c>
      <c r="C2215" s="1247">
        <v>30</v>
      </c>
      <c r="D2215" s="1246" t="s">
        <v>1412</v>
      </c>
      <c r="E2215" s="1246" t="s">
        <v>370</v>
      </c>
      <c r="F2215" s="1248">
        <v>1</v>
      </c>
      <c r="G2215" s="1248">
        <v>1</v>
      </c>
      <c r="H2215" s="1249">
        <v>4</v>
      </c>
      <c r="I2215" s="1246" t="s">
        <v>1491</v>
      </c>
      <c r="J2215" s="1246" t="s">
        <v>1444</v>
      </c>
      <c r="K2215" s="1284" t="str">
        <f t="shared" si="34"/>
        <v>21</v>
      </c>
      <c r="L2215" s="1246" t="s">
        <v>1550</v>
      </c>
      <c r="M2215" s="1250">
        <v>8</v>
      </c>
      <c r="N2215" s="1251">
        <v>3</v>
      </c>
      <c r="O2215" s="1252">
        <v>3</v>
      </c>
    </row>
    <row r="2216" spans="1:15">
      <c r="A2216" s="1246" t="s">
        <v>683</v>
      </c>
      <c r="B2216" s="1246" t="s">
        <v>430</v>
      </c>
      <c r="C2216" s="1247">
        <v>30</v>
      </c>
      <c r="D2216" s="1246" t="s">
        <v>1412</v>
      </c>
      <c r="E2216" s="1246" t="s">
        <v>1547</v>
      </c>
      <c r="F2216" s="1248">
        <v>1</v>
      </c>
      <c r="G2216" s="1248">
        <v>1</v>
      </c>
      <c r="H2216" s="1249">
        <v>4</v>
      </c>
      <c r="I2216" s="1246" t="s">
        <v>1491</v>
      </c>
      <c r="J2216" s="1246" t="s">
        <v>1444</v>
      </c>
      <c r="K2216" s="1284" t="str">
        <f t="shared" si="34"/>
        <v>21</v>
      </c>
      <c r="L2216" s="1246" t="s">
        <v>1550</v>
      </c>
      <c r="M2216" s="1250">
        <v>8</v>
      </c>
      <c r="N2216" s="1251">
        <v>1</v>
      </c>
      <c r="O2216" s="1252">
        <v>1</v>
      </c>
    </row>
    <row r="2217" spans="1:15">
      <c r="A2217" s="1246" t="s">
        <v>683</v>
      </c>
      <c r="B2217" s="1246" t="s">
        <v>430</v>
      </c>
      <c r="C2217" s="1247">
        <v>30</v>
      </c>
      <c r="D2217" s="1246" t="s">
        <v>1412</v>
      </c>
      <c r="E2217" s="1246" t="s">
        <v>370</v>
      </c>
      <c r="F2217" s="1248">
        <v>1</v>
      </c>
      <c r="G2217" s="1248">
        <v>2</v>
      </c>
      <c r="H2217" s="1249">
        <v>3</v>
      </c>
      <c r="I2217" s="1246" t="s">
        <v>1491</v>
      </c>
      <c r="J2217" s="1246" t="s">
        <v>1444</v>
      </c>
      <c r="K2217" s="1284" t="str">
        <f t="shared" si="34"/>
        <v>21</v>
      </c>
      <c r="L2217" s="1246" t="s">
        <v>1550</v>
      </c>
      <c r="M2217" s="1250">
        <v>8</v>
      </c>
      <c r="N2217" s="1251">
        <v>2</v>
      </c>
      <c r="O2217" s="1252">
        <v>2</v>
      </c>
    </row>
    <row r="2218" spans="1:15">
      <c r="A2218" s="1246" t="s">
        <v>1493</v>
      </c>
      <c r="B2218" s="1246" t="s">
        <v>430</v>
      </c>
      <c r="C2218" s="1247">
        <v>30</v>
      </c>
      <c r="D2218" s="1246" t="s">
        <v>1412</v>
      </c>
      <c r="E2218" s="1246" t="s">
        <v>370</v>
      </c>
      <c r="F2218" s="1248">
        <v>1</v>
      </c>
      <c r="G2218" s="1248">
        <v>2</v>
      </c>
      <c r="H2218" s="1249">
        <v>3</v>
      </c>
      <c r="I2218" s="1246" t="s">
        <v>1491</v>
      </c>
      <c r="J2218" s="1246" t="s">
        <v>1452</v>
      </c>
      <c r="K2218" s="1284" t="str">
        <f t="shared" si="34"/>
        <v>2C</v>
      </c>
      <c r="L2218" s="1246" t="s">
        <v>1502</v>
      </c>
      <c r="M2218" s="1250">
        <v>4</v>
      </c>
      <c r="N2218" s="1251">
        <v>1</v>
      </c>
      <c r="O2218" s="1252">
        <v>1</v>
      </c>
    </row>
    <row r="2219" spans="1:15">
      <c r="A2219" s="1246" t="s">
        <v>683</v>
      </c>
      <c r="B2219" s="1246" t="s">
        <v>430</v>
      </c>
      <c r="C2219" s="1247">
        <v>30</v>
      </c>
      <c r="D2219" s="1246" t="s">
        <v>1412</v>
      </c>
      <c r="E2219" s="1246" t="s">
        <v>370</v>
      </c>
      <c r="F2219" s="1248">
        <v>1</v>
      </c>
      <c r="G2219" s="1248">
        <v>6</v>
      </c>
      <c r="H2219" s="1249">
        <v>1</v>
      </c>
      <c r="I2219" s="1246" t="s">
        <v>1491</v>
      </c>
      <c r="J2219" s="1246" t="s">
        <v>1444</v>
      </c>
      <c r="K2219" s="1284" t="str">
        <f t="shared" si="34"/>
        <v>21</v>
      </c>
      <c r="L2219" s="1246" t="s">
        <v>1550</v>
      </c>
      <c r="M2219" s="1250">
        <v>8</v>
      </c>
      <c r="N2219" s="1251">
        <v>1</v>
      </c>
      <c r="O2219" s="1252">
        <v>1</v>
      </c>
    </row>
    <row r="2220" spans="1:15">
      <c r="A2220" s="1246" t="s">
        <v>683</v>
      </c>
      <c r="B2220" s="1246" t="s">
        <v>430</v>
      </c>
      <c r="C2220" s="1247">
        <v>40</v>
      </c>
      <c r="D2220" s="1246" t="s">
        <v>1412</v>
      </c>
      <c r="E2220" s="1246" t="s">
        <v>370</v>
      </c>
      <c r="F2220" s="1248">
        <v>1</v>
      </c>
      <c r="G2220" s="1248">
        <v>0</v>
      </c>
      <c r="H2220" s="1249">
        <v>0</v>
      </c>
      <c r="J2220" s="1246" t="s">
        <v>1444</v>
      </c>
      <c r="K2220" s="1284" t="str">
        <f t="shared" si="34"/>
        <v>21</v>
      </c>
      <c r="M2220" s="1250">
        <v>0</v>
      </c>
      <c r="N2220" s="1251">
        <v>1</v>
      </c>
      <c r="O2220" s="1252">
        <v>1</v>
      </c>
    </row>
    <row r="2221" spans="1:15">
      <c r="A2221" s="1246" t="s">
        <v>683</v>
      </c>
      <c r="B2221" s="1246" t="s">
        <v>430</v>
      </c>
      <c r="C2221" s="1247">
        <v>40</v>
      </c>
      <c r="D2221" s="1246" t="s">
        <v>1412</v>
      </c>
      <c r="E2221" s="1246" t="s">
        <v>370</v>
      </c>
      <c r="F2221" s="1248">
        <v>1</v>
      </c>
      <c r="G2221" s="1248">
        <v>0</v>
      </c>
      <c r="H2221" s="1249">
        <v>0</v>
      </c>
      <c r="J2221" s="1246" t="s">
        <v>1445</v>
      </c>
      <c r="K2221" s="1284" t="str">
        <f t="shared" si="34"/>
        <v>22</v>
      </c>
      <c r="L2221" s="1246" t="s">
        <v>1559</v>
      </c>
      <c r="M2221" s="1250">
        <v>8</v>
      </c>
      <c r="N2221" s="1251">
        <v>1</v>
      </c>
      <c r="O2221" s="1252">
        <v>1</v>
      </c>
    </row>
    <row r="2222" spans="1:15">
      <c r="A2222" s="1246" t="s">
        <v>683</v>
      </c>
      <c r="B2222" s="1246" t="s">
        <v>430</v>
      </c>
      <c r="C2222" s="1247">
        <v>40</v>
      </c>
      <c r="D2222" s="1246" t="s">
        <v>1412</v>
      </c>
      <c r="E2222" s="1246" t="s">
        <v>370</v>
      </c>
      <c r="F2222" s="1248">
        <v>1</v>
      </c>
      <c r="G2222" s="1248">
        <v>0</v>
      </c>
      <c r="H2222" s="1249">
        <v>0</v>
      </c>
      <c r="J2222" s="1246" t="s">
        <v>1444</v>
      </c>
      <c r="K2222" s="1284" t="str">
        <f t="shared" si="34"/>
        <v>21</v>
      </c>
      <c r="L2222" s="1246" t="s">
        <v>1550</v>
      </c>
      <c r="M2222" s="1250">
        <v>8</v>
      </c>
      <c r="N2222" s="1251">
        <v>2</v>
      </c>
      <c r="O2222" s="1252">
        <v>2</v>
      </c>
    </row>
    <row r="2223" spans="1:15">
      <c r="A2223" s="1246" t="s">
        <v>683</v>
      </c>
      <c r="B2223" s="1246" t="s">
        <v>430</v>
      </c>
      <c r="C2223" s="1247">
        <v>40</v>
      </c>
      <c r="E2223" s="1246" t="s">
        <v>370</v>
      </c>
      <c r="F2223" s="1248">
        <v>1</v>
      </c>
      <c r="G2223" s="1248">
        <v>0</v>
      </c>
      <c r="H2223" s="1249">
        <v>0</v>
      </c>
      <c r="J2223" s="1246" t="s">
        <v>1444</v>
      </c>
      <c r="K2223" s="1284" t="str">
        <f t="shared" si="34"/>
        <v>21</v>
      </c>
      <c r="L2223" s="1246" t="s">
        <v>1550</v>
      </c>
      <c r="M2223" s="1250">
        <v>8</v>
      </c>
      <c r="N2223" s="1251">
        <v>6</v>
      </c>
      <c r="O2223" s="1252">
        <v>6</v>
      </c>
    </row>
    <row r="2224" spans="1:15">
      <c r="A2224" s="1246" t="s">
        <v>683</v>
      </c>
      <c r="B2224" s="1246" t="s">
        <v>430</v>
      </c>
      <c r="C2224" s="1247">
        <v>40</v>
      </c>
      <c r="E2224" s="1246" t="s">
        <v>1547</v>
      </c>
      <c r="F2224" s="1248">
        <v>1</v>
      </c>
      <c r="G2224" s="1248">
        <v>0</v>
      </c>
      <c r="H2224" s="1249">
        <v>0</v>
      </c>
      <c r="J2224" s="1246" t="s">
        <v>1444</v>
      </c>
      <c r="K2224" s="1284" t="str">
        <f t="shared" si="34"/>
        <v>21</v>
      </c>
      <c r="L2224" s="1246" t="s">
        <v>1550</v>
      </c>
      <c r="M2224" s="1250">
        <v>8</v>
      </c>
      <c r="N2224" s="1251">
        <v>1</v>
      </c>
      <c r="O2224" s="1252">
        <v>1</v>
      </c>
    </row>
    <row r="2225" spans="1:15">
      <c r="A2225" s="1246" t="s">
        <v>683</v>
      </c>
      <c r="B2225" s="1246" t="s">
        <v>430</v>
      </c>
      <c r="C2225" s="1247">
        <v>40</v>
      </c>
      <c r="E2225" s="1246" t="s">
        <v>370</v>
      </c>
      <c r="F2225" s="1248">
        <v>1</v>
      </c>
      <c r="G2225" s="1248">
        <v>0</v>
      </c>
      <c r="H2225" s="1249">
        <v>0</v>
      </c>
      <c r="J2225" s="1246" t="s">
        <v>1398</v>
      </c>
      <c r="K2225" s="1284" t="str">
        <f t="shared" si="34"/>
        <v>20</v>
      </c>
      <c r="L2225" s="1246" t="s">
        <v>1548</v>
      </c>
      <c r="M2225" s="1250">
        <v>8</v>
      </c>
      <c r="N2225" s="1251">
        <v>1</v>
      </c>
      <c r="O2225" s="1252">
        <v>1</v>
      </c>
    </row>
    <row r="2226" spans="1:15">
      <c r="A2226" s="1246" t="s">
        <v>683</v>
      </c>
      <c r="B2226" s="1246" t="s">
        <v>430</v>
      </c>
      <c r="C2226" s="1247">
        <v>40</v>
      </c>
      <c r="E2226" s="1246" t="s">
        <v>370</v>
      </c>
      <c r="F2226" s="1248">
        <v>1</v>
      </c>
      <c r="G2226" s="1248">
        <v>0</v>
      </c>
      <c r="H2226" s="1249">
        <v>0</v>
      </c>
      <c r="J2226" s="1246" t="s">
        <v>1446</v>
      </c>
      <c r="K2226" s="1284" t="str">
        <f t="shared" si="34"/>
        <v>23</v>
      </c>
      <c r="L2226" s="1246" t="s">
        <v>1556</v>
      </c>
      <c r="M2226" s="1250">
        <v>8</v>
      </c>
      <c r="N2226" s="1251">
        <v>2</v>
      </c>
      <c r="O2226" s="1252">
        <v>2</v>
      </c>
    </row>
    <row r="2227" spans="1:15">
      <c r="A2227" s="1246" t="s">
        <v>1493</v>
      </c>
      <c r="B2227" s="1246" t="s">
        <v>430</v>
      </c>
      <c r="C2227" s="1247">
        <v>40</v>
      </c>
      <c r="D2227" s="1246" t="s">
        <v>1412</v>
      </c>
      <c r="E2227" s="1246" t="s">
        <v>370</v>
      </c>
      <c r="F2227" s="1248">
        <v>1</v>
      </c>
      <c r="G2227" s="1248">
        <v>0</v>
      </c>
      <c r="H2227" s="1249">
        <v>0</v>
      </c>
      <c r="J2227" s="1246" t="s">
        <v>1452</v>
      </c>
      <c r="K2227" s="1284" t="str">
        <f t="shared" si="34"/>
        <v>2C</v>
      </c>
      <c r="L2227" s="1246" t="s">
        <v>1502</v>
      </c>
      <c r="M2227" s="1250">
        <v>4</v>
      </c>
      <c r="N2227" s="1251">
        <v>1</v>
      </c>
      <c r="O2227" s="1252">
        <v>1</v>
      </c>
    </row>
    <row r="2228" spans="1:15">
      <c r="A2228" s="1246" t="s">
        <v>1493</v>
      </c>
      <c r="B2228" s="1246" t="s">
        <v>430</v>
      </c>
      <c r="C2228" s="1247">
        <v>40</v>
      </c>
      <c r="E2228" s="1246" t="s">
        <v>370</v>
      </c>
      <c r="F2228" s="1248">
        <v>1</v>
      </c>
      <c r="G2228" s="1248">
        <v>0</v>
      </c>
      <c r="H2228" s="1249">
        <v>0</v>
      </c>
      <c r="J2228" s="1246" t="s">
        <v>1448</v>
      </c>
      <c r="K2228" s="1284" t="str">
        <f t="shared" si="34"/>
        <v>25</v>
      </c>
      <c r="L2228" s="1246" t="s">
        <v>1530</v>
      </c>
      <c r="M2228" s="1250">
        <v>9</v>
      </c>
      <c r="N2228" s="1251">
        <v>1</v>
      </c>
      <c r="O2228" s="1252">
        <v>1</v>
      </c>
    </row>
    <row r="2229" spans="1:15">
      <c r="A2229" s="1246" t="s">
        <v>683</v>
      </c>
      <c r="B2229" s="1246" t="s">
        <v>430</v>
      </c>
      <c r="C2229" s="1247">
        <v>40</v>
      </c>
      <c r="E2229" s="1246" t="s">
        <v>370</v>
      </c>
      <c r="F2229" s="1248">
        <v>1</v>
      </c>
      <c r="G2229" s="1248">
        <v>1</v>
      </c>
      <c r="H2229" s="1249">
        <v>1</v>
      </c>
      <c r="I2229" s="1246" t="s">
        <v>1491</v>
      </c>
      <c r="J2229" s="1246" t="s">
        <v>1444</v>
      </c>
      <c r="K2229" s="1284" t="str">
        <f t="shared" si="34"/>
        <v>21</v>
      </c>
      <c r="L2229" s="1246" t="s">
        <v>1550</v>
      </c>
      <c r="M2229" s="1250">
        <v>8</v>
      </c>
      <c r="N2229" s="1251">
        <v>1</v>
      </c>
      <c r="O2229" s="1252">
        <v>1</v>
      </c>
    </row>
    <row r="2230" spans="1:15">
      <c r="A2230" s="1246" t="s">
        <v>683</v>
      </c>
      <c r="B2230" s="1246" t="s">
        <v>430</v>
      </c>
      <c r="C2230" s="1247">
        <v>40</v>
      </c>
      <c r="D2230" s="1246" t="s">
        <v>1412</v>
      </c>
      <c r="E2230" s="1246" t="s">
        <v>370</v>
      </c>
      <c r="F2230" s="1248">
        <v>1</v>
      </c>
      <c r="G2230" s="1248">
        <v>3</v>
      </c>
      <c r="H2230" s="1249">
        <v>1</v>
      </c>
      <c r="I2230" s="1246" t="s">
        <v>1491</v>
      </c>
      <c r="J2230" s="1246" t="s">
        <v>1444</v>
      </c>
      <c r="K2230" s="1284" t="str">
        <f t="shared" si="34"/>
        <v>21</v>
      </c>
      <c r="L2230" s="1246" t="s">
        <v>1550</v>
      </c>
      <c r="M2230" s="1250">
        <v>8</v>
      </c>
      <c r="N2230" s="1251">
        <v>1</v>
      </c>
      <c r="O2230" s="1252">
        <v>1</v>
      </c>
    </row>
    <row r="2231" spans="1:15">
      <c r="A2231" s="1246" t="s">
        <v>683</v>
      </c>
      <c r="B2231" s="1246" t="s">
        <v>430</v>
      </c>
      <c r="C2231" s="1247">
        <v>40</v>
      </c>
      <c r="E2231" s="1246" t="s">
        <v>370</v>
      </c>
      <c r="F2231" s="1248">
        <v>2</v>
      </c>
      <c r="G2231" s="1248">
        <v>0</v>
      </c>
      <c r="H2231" s="1249">
        <v>0</v>
      </c>
      <c r="J2231" s="1246" t="s">
        <v>1444</v>
      </c>
      <c r="K2231" s="1284" t="str">
        <f t="shared" si="34"/>
        <v>21</v>
      </c>
      <c r="L2231" s="1246" t="s">
        <v>1550</v>
      </c>
      <c r="M2231" s="1250">
        <v>8</v>
      </c>
      <c r="N2231" s="1251">
        <v>2</v>
      </c>
      <c r="O2231" s="1252">
        <v>1</v>
      </c>
    </row>
    <row r="2232" spans="1:15">
      <c r="A2232" s="1246" t="s">
        <v>1493</v>
      </c>
      <c r="B2232" s="1246" t="s">
        <v>430</v>
      </c>
      <c r="C2232" s="1247">
        <v>40</v>
      </c>
      <c r="E2232" s="1246" t="s">
        <v>370</v>
      </c>
      <c r="F2232" s="1248">
        <v>5</v>
      </c>
      <c r="G2232" s="1248">
        <v>17</v>
      </c>
      <c r="H2232" s="1249">
        <v>1</v>
      </c>
      <c r="I2232" s="1246" t="s">
        <v>1491</v>
      </c>
      <c r="J2232" s="1246" t="s">
        <v>1451</v>
      </c>
      <c r="K2232" s="1284" t="str">
        <f t="shared" si="34"/>
        <v>20</v>
      </c>
      <c r="L2232" s="1246" t="s">
        <v>1534</v>
      </c>
      <c r="M2232" s="1250">
        <v>4</v>
      </c>
      <c r="N2232" s="1251">
        <v>5</v>
      </c>
      <c r="O2232" s="1252">
        <v>1</v>
      </c>
    </row>
    <row r="2233" spans="1:15">
      <c r="A2233" s="1246" t="s">
        <v>683</v>
      </c>
      <c r="B2233" s="1246" t="s">
        <v>680</v>
      </c>
      <c r="C2233" s="1247">
        <v>2</v>
      </c>
      <c r="E2233" s="1246" t="s">
        <v>1547</v>
      </c>
      <c r="F2233" s="1248">
        <v>1</v>
      </c>
      <c r="G2233" s="1248">
        <v>0</v>
      </c>
      <c r="H2233" s="1249">
        <v>0</v>
      </c>
      <c r="J2233" s="1246" t="s">
        <v>1400</v>
      </c>
      <c r="K2233" s="1284" t="str">
        <f t="shared" si="34"/>
        <v>70</v>
      </c>
      <c r="L2233" s="1246" t="s">
        <v>1548</v>
      </c>
      <c r="M2233" s="1250">
        <v>8</v>
      </c>
      <c r="N2233" s="1251">
        <v>1</v>
      </c>
      <c r="O2233" s="1252">
        <v>1</v>
      </c>
    </row>
    <row r="2234" spans="1:15">
      <c r="A2234" s="1246" t="s">
        <v>1493</v>
      </c>
      <c r="B2234" s="1246" t="s">
        <v>680</v>
      </c>
      <c r="C2234" s="1247">
        <v>2</v>
      </c>
      <c r="E2234" s="1246" t="s">
        <v>1547</v>
      </c>
      <c r="F2234" s="1248">
        <v>1</v>
      </c>
      <c r="G2234" s="1248">
        <v>0</v>
      </c>
      <c r="H2234" s="1249">
        <v>0</v>
      </c>
      <c r="J2234" s="1246" t="s">
        <v>1441</v>
      </c>
      <c r="K2234" s="1284" t="str">
        <f t="shared" si="34"/>
        <v>1A</v>
      </c>
      <c r="L2234" s="1246" t="s">
        <v>1531</v>
      </c>
      <c r="M2234" s="1250">
        <v>9</v>
      </c>
      <c r="N2234" s="1251">
        <v>1</v>
      </c>
      <c r="O2234" s="1252">
        <v>1</v>
      </c>
    </row>
    <row r="2235" spans="1:15">
      <c r="A2235" s="1246" t="s">
        <v>683</v>
      </c>
      <c r="B2235" s="1246" t="s">
        <v>680</v>
      </c>
      <c r="C2235" s="1247">
        <v>4</v>
      </c>
      <c r="E2235" s="1246" t="s">
        <v>1547</v>
      </c>
      <c r="F2235" s="1248">
        <v>1</v>
      </c>
      <c r="G2235" s="1248">
        <v>0</v>
      </c>
      <c r="H2235" s="1249">
        <v>0</v>
      </c>
      <c r="J2235" s="1246" t="s">
        <v>1444</v>
      </c>
      <c r="K2235" s="1284" t="str">
        <f t="shared" si="34"/>
        <v>21</v>
      </c>
      <c r="L2235" s="1246" t="s">
        <v>1550</v>
      </c>
      <c r="M2235" s="1250">
        <v>8</v>
      </c>
      <c r="N2235" s="1251">
        <v>1</v>
      </c>
      <c r="O2235" s="1252">
        <v>1</v>
      </c>
    </row>
    <row r="2236" spans="1:15">
      <c r="A2236" s="1246" t="s">
        <v>683</v>
      </c>
      <c r="B2236" s="1246" t="s">
        <v>680</v>
      </c>
      <c r="C2236" s="1247">
        <v>4</v>
      </c>
      <c r="E2236" s="1246" t="s">
        <v>1547</v>
      </c>
      <c r="F2236" s="1248">
        <v>1</v>
      </c>
      <c r="G2236" s="1248">
        <v>0</v>
      </c>
      <c r="H2236" s="1249">
        <v>0</v>
      </c>
      <c r="J2236" s="1246" t="s">
        <v>1400</v>
      </c>
      <c r="K2236" s="1284" t="str">
        <f t="shared" si="34"/>
        <v>70</v>
      </c>
      <c r="L2236" s="1246" t="s">
        <v>1550</v>
      </c>
      <c r="M2236" s="1250">
        <v>8</v>
      </c>
      <c r="N2236" s="1251">
        <v>1</v>
      </c>
      <c r="O2236" s="1252">
        <v>1</v>
      </c>
    </row>
    <row r="2237" spans="1:15">
      <c r="A2237" s="1246" t="s">
        <v>1493</v>
      </c>
      <c r="B2237" s="1246" t="s">
        <v>680</v>
      </c>
      <c r="C2237" s="1247">
        <v>4</v>
      </c>
      <c r="E2237" s="1246" t="s">
        <v>1547</v>
      </c>
      <c r="F2237" s="1248">
        <v>1</v>
      </c>
      <c r="G2237" s="1248">
        <v>0</v>
      </c>
      <c r="H2237" s="1249">
        <v>0</v>
      </c>
      <c r="J2237" s="1246" t="s">
        <v>1470</v>
      </c>
      <c r="K2237" s="1284" t="str">
        <f t="shared" si="34"/>
        <v>7C</v>
      </c>
      <c r="L2237" s="1246" t="s">
        <v>1560</v>
      </c>
      <c r="M2237" s="1250">
        <v>1</v>
      </c>
      <c r="N2237" s="1251">
        <v>1</v>
      </c>
      <c r="O2237" s="1252">
        <v>1</v>
      </c>
    </row>
    <row r="2238" spans="1:15">
      <c r="A2238" s="1246" t="s">
        <v>683</v>
      </c>
      <c r="B2238" s="1246" t="s">
        <v>680</v>
      </c>
      <c r="C2238" s="1247">
        <v>6</v>
      </c>
      <c r="E2238" s="1246" t="s">
        <v>1547</v>
      </c>
      <c r="F2238" s="1248">
        <v>1</v>
      </c>
      <c r="G2238" s="1248">
        <v>0</v>
      </c>
      <c r="H2238" s="1249">
        <v>0</v>
      </c>
      <c r="J2238" s="1246" t="s">
        <v>1467</v>
      </c>
      <c r="K2238" s="1284" t="str">
        <f t="shared" si="34"/>
        <v>76</v>
      </c>
      <c r="L2238" s="1246" t="s">
        <v>1557</v>
      </c>
      <c r="M2238" s="1250">
        <v>8</v>
      </c>
      <c r="N2238" s="1251">
        <v>1</v>
      </c>
      <c r="O2238" s="1252">
        <v>1</v>
      </c>
    </row>
    <row r="2239" spans="1:15">
      <c r="A2239" s="1246" t="s">
        <v>683</v>
      </c>
      <c r="B2239" s="1246" t="s">
        <v>680</v>
      </c>
      <c r="C2239" s="1247">
        <v>6</v>
      </c>
      <c r="E2239" s="1246" t="s">
        <v>1547</v>
      </c>
      <c r="F2239" s="1248">
        <v>1</v>
      </c>
      <c r="G2239" s="1248">
        <v>0</v>
      </c>
      <c r="H2239" s="1249">
        <v>0</v>
      </c>
      <c r="J2239" s="1246" t="s">
        <v>1468</v>
      </c>
      <c r="K2239" s="1284" t="str">
        <f t="shared" si="34"/>
        <v>7A</v>
      </c>
      <c r="L2239" s="1246" t="s">
        <v>1545</v>
      </c>
      <c r="M2239" s="1250">
        <v>4</v>
      </c>
      <c r="N2239" s="1251">
        <v>1</v>
      </c>
      <c r="O2239" s="1252">
        <v>1</v>
      </c>
    </row>
    <row r="2240" spans="1:15">
      <c r="A2240" s="1246" t="s">
        <v>1493</v>
      </c>
      <c r="B2240" s="1246" t="s">
        <v>680</v>
      </c>
      <c r="C2240" s="1247">
        <v>6</v>
      </c>
      <c r="E2240" s="1246" t="s">
        <v>1547</v>
      </c>
      <c r="F2240" s="1248">
        <v>1</v>
      </c>
      <c r="G2240" s="1248">
        <v>0</v>
      </c>
      <c r="H2240" s="1249">
        <v>0</v>
      </c>
      <c r="J2240" s="1246" t="s">
        <v>1462</v>
      </c>
      <c r="K2240" s="1284" t="str">
        <f t="shared" si="34"/>
        <v>71</v>
      </c>
      <c r="L2240" s="1246" t="s">
        <v>1495</v>
      </c>
      <c r="M2240" s="1250">
        <v>9</v>
      </c>
      <c r="N2240" s="1251">
        <v>2</v>
      </c>
      <c r="O2240" s="1252">
        <v>2</v>
      </c>
    </row>
    <row r="2241" spans="1:15">
      <c r="A2241" s="1246" t="s">
        <v>683</v>
      </c>
      <c r="B2241" s="1246" t="s">
        <v>680</v>
      </c>
      <c r="C2241" s="1247">
        <v>6</v>
      </c>
      <c r="E2241" s="1246" t="s">
        <v>1547</v>
      </c>
      <c r="F2241" s="1248">
        <v>1</v>
      </c>
      <c r="G2241" s="1248">
        <v>0</v>
      </c>
      <c r="H2241" s="1249">
        <v>0</v>
      </c>
      <c r="J2241" s="1246" t="s">
        <v>1400</v>
      </c>
      <c r="K2241" s="1284" t="str">
        <f t="shared" si="34"/>
        <v>70</v>
      </c>
      <c r="L2241" s="1246" t="s">
        <v>1536</v>
      </c>
      <c r="M2241" s="1250">
        <v>9</v>
      </c>
      <c r="N2241" s="1251">
        <v>1</v>
      </c>
      <c r="O2241" s="1252">
        <v>1</v>
      </c>
    </row>
    <row r="2242" spans="1:15">
      <c r="A2242" s="1246" t="s">
        <v>1493</v>
      </c>
      <c r="B2242" s="1246" t="s">
        <v>680</v>
      </c>
      <c r="C2242" s="1247">
        <v>6</v>
      </c>
      <c r="E2242" s="1246" t="s">
        <v>1547</v>
      </c>
      <c r="F2242" s="1248">
        <v>1</v>
      </c>
      <c r="G2242" s="1248">
        <v>0</v>
      </c>
      <c r="H2242" s="1249">
        <v>0</v>
      </c>
      <c r="J2242" s="1246" t="s">
        <v>1462</v>
      </c>
      <c r="K2242" s="1284" t="str">
        <f t="shared" ref="K2242:K2305" si="35">IF(J2242="1B","10", IF(J2242="2B","20",IF(J2242="3B","30",IF(J2242="7B",70,J2242))))</f>
        <v>71</v>
      </c>
      <c r="L2242" s="1246" t="s">
        <v>1533</v>
      </c>
      <c r="M2242" s="1250">
        <v>9</v>
      </c>
      <c r="N2242" s="1251">
        <v>1</v>
      </c>
      <c r="O2242" s="1252">
        <v>1</v>
      </c>
    </row>
    <row r="2243" spans="1:15">
      <c r="A2243" s="1246" t="s">
        <v>683</v>
      </c>
      <c r="B2243" s="1246" t="s">
        <v>1481</v>
      </c>
      <c r="C2243" s="1247">
        <v>35</v>
      </c>
      <c r="D2243" s="1246" t="s">
        <v>1412</v>
      </c>
      <c r="E2243" s="1246" t="s">
        <v>370</v>
      </c>
      <c r="F2243" s="1248">
        <v>1</v>
      </c>
      <c r="G2243" s="1248">
        <v>0</v>
      </c>
      <c r="H2243" s="1249">
        <v>0</v>
      </c>
      <c r="J2243" s="1246" t="s">
        <v>1444</v>
      </c>
      <c r="K2243" s="1284" t="str">
        <f t="shared" si="35"/>
        <v>21</v>
      </c>
      <c r="L2243" s="1246" t="s">
        <v>1496</v>
      </c>
      <c r="M2243" s="1250">
        <v>9</v>
      </c>
      <c r="N2243" s="1251">
        <v>1</v>
      </c>
      <c r="O2243" s="1252">
        <v>1</v>
      </c>
    </row>
    <row r="2244" spans="1:15">
      <c r="A2244" s="1246" t="s">
        <v>1493</v>
      </c>
      <c r="B2244" s="1246" t="s">
        <v>1432</v>
      </c>
      <c r="C2244" s="1247">
        <v>0</v>
      </c>
      <c r="E2244" s="1246" t="s">
        <v>376</v>
      </c>
      <c r="F2244" s="1248">
        <v>2</v>
      </c>
      <c r="G2244" s="1248">
        <v>0</v>
      </c>
      <c r="H2244" s="1249">
        <v>0</v>
      </c>
      <c r="J2244" s="1246" t="s">
        <v>1397</v>
      </c>
      <c r="K2244" s="1284" t="str">
        <f t="shared" si="35"/>
        <v>10</v>
      </c>
      <c r="L2244" s="1246" t="s">
        <v>1532</v>
      </c>
      <c r="M2244" s="1250">
        <v>9</v>
      </c>
      <c r="N2244" s="1251">
        <v>2</v>
      </c>
      <c r="O2244" s="1252">
        <v>1</v>
      </c>
    </row>
    <row r="2245" spans="1:15">
      <c r="A2245" s="1246" t="s">
        <v>1493</v>
      </c>
      <c r="B2245" s="1246" t="s">
        <v>1432</v>
      </c>
      <c r="C2245" s="1247">
        <v>0</v>
      </c>
      <c r="E2245" s="1246" t="s">
        <v>376</v>
      </c>
      <c r="F2245" s="1248">
        <v>2</v>
      </c>
      <c r="G2245" s="1248">
        <v>0</v>
      </c>
      <c r="H2245" s="1249">
        <v>0</v>
      </c>
      <c r="J2245" s="1246" t="s">
        <v>1462</v>
      </c>
      <c r="K2245" s="1284" t="str">
        <f t="shared" si="35"/>
        <v>71</v>
      </c>
      <c r="L2245" s="1246" t="s">
        <v>1496</v>
      </c>
      <c r="M2245" s="1250">
        <v>9</v>
      </c>
      <c r="N2245" s="1251">
        <v>2</v>
      </c>
      <c r="O2245" s="1252">
        <v>1</v>
      </c>
    </row>
    <row r="2246" spans="1:15">
      <c r="A2246" s="1246" t="s">
        <v>1493</v>
      </c>
      <c r="B2246" s="1246" t="s">
        <v>1432</v>
      </c>
      <c r="C2246" s="1247">
        <v>0</v>
      </c>
      <c r="E2246" s="1246" t="s">
        <v>376</v>
      </c>
      <c r="F2246" s="1248">
        <v>3</v>
      </c>
      <c r="G2246" s="1248">
        <v>0</v>
      </c>
      <c r="H2246" s="1249">
        <v>0</v>
      </c>
      <c r="J2246" s="1246" t="s">
        <v>1462</v>
      </c>
      <c r="K2246" s="1284" t="str">
        <f t="shared" si="35"/>
        <v>71</v>
      </c>
      <c r="L2246" s="1246" t="s">
        <v>1496</v>
      </c>
      <c r="M2246" s="1250">
        <v>9</v>
      </c>
      <c r="N2246" s="1251">
        <v>3</v>
      </c>
      <c r="O2246" s="1252">
        <v>1</v>
      </c>
    </row>
    <row r="2247" spans="1:15">
      <c r="A2247" s="1246" t="s">
        <v>1493</v>
      </c>
      <c r="B2247" s="1246" t="s">
        <v>1432</v>
      </c>
      <c r="C2247" s="1247">
        <v>0</v>
      </c>
      <c r="E2247" s="1246" t="s">
        <v>376</v>
      </c>
      <c r="F2247" s="1248">
        <v>4</v>
      </c>
      <c r="G2247" s="1248">
        <v>0</v>
      </c>
      <c r="H2247" s="1249">
        <v>0</v>
      </c>
      <c r="J2247" s="1246" t="s">
        <v>1400</v>
      </c>
      <c r="K2247" s="1284" t="str">
        <f t="shared" si="35"/>
        <v>70</v>
      </c>
      <c r="L2247" s="1246" t="s">
        <v>1532</v>
      </c>
      <c r="M2247" s="1250">
        <v>9</v>
      </c>
      <c r="N2247" s="1251">
        <v>4</v>
      </c>
      <c r="O2247" s="1252">
        <v>1</v>
      </c>
    </row>
    <row r="2248" spans="1:15">
      <c r="A2248" s="1246" t="s">
        <v>1493</v>
      </c>
      <c r="B2248" s="1246" t="s">
        <v>1432</v>
      </c>
      <c r="C2248" s="1247">
        <v>0</v>
      </c>
      <c r="E2248" s="1246" t="s">
        <v>376</v>
      </c>
      <c r="F2248" s="1248">
        <v>4</v>
      </c>
      <c r="G2248" s="1248">
        <v>0</v>
      </c>
      <c r="H2248" s="1249">
        <v>0</v>
      </c>
      <c r="J2248" s="1246" t="s">
        <v>1397</v>
      </c>
      <c r="K2248" s="1284" t="str">
        <f t="shared" si="35"/>
        <v>10</v>
      </c>
      <c r="L2248" s="1246" t="s">
        <v>1532</v>
      </c>
      <c r="M2248" s="1250">
        <v>9</v>
      </c>
      <c r="N2248" s="1251">
        <v>44</v>
      </c>
      <c r="O2248" s="1252">
        <v>11</v>
      </c>
    </row>
    <row r="2249" spans="1:15">
      <c r="A2249" s="1246" t="s">
        <v>1493</v>
      </c>
      <c r="B2249" s="1246" t="s">
        <v>1432</v>
      </c>
      <c r="C2249" s="1247">
        <v>0</v>
      </c>
      <c r="E2249" s="1246" t="s">
        <v>376</v>
      </c>
      <c r="F2249" s="1248">
        <v>4</v>
      </c>
      <c r="G2249" s="1248">
        <v>0</v>
      </c>
      <c r="H2249" s="1249">
        <v>0</v>
      </c>
      <c r="J2249" s="1246" t="s">
        <v>1464</v>
      </c>
      <c r="K2249" s="1284" t="str">
        <f t="shared" si="35"/>
        <v>73</v>
      </c>
      <c r="L2249" s="1246" t="s">
        <v>1533</v>
      </c>
      <c r="M2249" s="1250">
        <v>9</v>
      </c>
      <c r="N2249" s="1251">
        <v>4</v>
      </c>
      <c r="O2249" s="1252">
        <v>1</v>
      </c>
    </row>
    <row r="2250" spans="1:15">
      <c r="A2250" s="1246" t="s">
        <v>1493</v>
      </c>
      <c r="B2250" s="1246" t="s">
        <v>1432</v>
      </c>
      <c r="C2250" s="1247">
        <v>0</v>
      </c>
      <c r="E2250" s="1246" t="s">
        <v>376</v>
      </c>
      <c r="F2250" s="1248">
        <v>4</v>
      </c>
      <c r="G2250" s="1248">
        <v>0</v>
      </c>
      <c r="H2250" s="1249">
        <v>0</v>
      </c>
      <c r="J2250" s="1246" t="s">
        <v>1462</v>
      </c>
      <c r="K2250" s="1284" t="str">
        <f t="shared" si="35"/>
        <v>71</v>
      </c>
      <c r="L2250" s="1246" t="s">
        <v>1496</v>
      </c>
      <c r="M2250" s="1250">
        <v>9</v>
      </c>
      <c r="N2250" s="1251">
        <v>24</v>
      </c>
      <c r="O2250" s="1252">
        <v>6</v>
      </c>
    </row>
    <row r="2251" spans="1:15">
      <c r="A2251" s="1246" t="s">
        <v>1493</v>
      </c>
      <c r="B2251" s="1246" t="s">
        <v>1432</v>
      </c>
      <c r="C2251" s="1247">
        <v>0</v>
      </c>
      <c r="E2251" s="1246" t="s">
        <v>376</v>
      </c>
      <c r="F2251" s="1248">
        <v>5</v>
      </c>
      <c r="G2251" s="1248">
        <v>0</v>
      </c>
      <c r="H2251" s="1249">
        <v>0</v>
      </c>
      <c r="J2251" s="1246" t="s">
        <v>1443</v>
      </c>
      <c r="K2251" s="1284" t="str">
        <f t="shared" si="35"/>
        <v>1C</v>
      </c>
      <c r="L2251" s="1246" t="s">
        <v>1502</v>
      </c>
      <c r="M2251" s="1250">
        <v>4</v>
      </c>
      <c r="N2251" s="1251">
        <v>10</v>
      </c>
      <c r="O2251" s="1252">
        <v>2</v>
      </c>
    </row>
    <row r="2252" spans="1:15">
      <c r="A2252" s="1246" t="s">
        <v>1493</v>
      </c>
      <c r="B2252" s="1246" t="s">
        <v>1432</v>
      </c>
      <c r="C2252" s="1247">
        <v>0</v>
      </c>
      <c r="E2252" s="1246" t="s">
        <v>376</v>
      </c>
      <c r="F2252" s="1248">
        <v>5</v>
      </c>
      <c r="G2252" s="1248">
        <v>0</v>
      </c>
      <c r="H2252" s="1249">
        <v>0</v>
      </c>
      <c r="J2252" s="1246" t="s">
        <v>1470</v>
      </c>
      <c r="K2252" s="1284" t="str">
        <f t="shared" si="35"/>
        <v>7C</v>
      </c>
      <c r="L2252" s="1246" t="s">
        <v>1502</v>
      </c>
      <c r="M2252" s="1250">
        <v>4</v>
      </c>
      <c r="N2252" s="1251">
        <v>5</v>
      </c>
      <c r="O2252" s="1252">
        <v>1</v>
      </c>
    </row>
    <row r="2253" spans="1:15">
      <c r="A2253" s="1246" t="s">
        <v>1493</v>
      </c>
      <c r="B2253" s="1246" t="s">
        <v>1432</v>
      </c>
      <c r="C2253" s="1247">
        <v>0</v>
      </c>
      <c r="E2253" s="1246" t="s">
        <v>376</v>
      </c>
      <c r="F2253" s="1248">
        <v>5</v>
      </c>
      <c r="G2253" s="1248">
        <v>0</v>
      </c>
      <c r="H2253" s="1249">
        <v>0</v>
      </c>
      <c r="J2253" s="1246" t="s">
        <v>1397</v>
      </c>
      <c r="K2253" s="1284" t="str">
        <f t="shared" si="35"/>
        <v>10</v>
      </c>
      <c r="L2253" s="1246" t="s">
        <v>1532</v>
      </c>
      <c r="M2253" s="1250">
        <v>9</v>
      </c>
      <c r="N2253" s="1251">
        <v>5</v>
      </c>
      <c r="O2253" s="1252">
        <v>1</v>
      </c>
    </row>
    <row r="2254" spans="1:15">
      <c r="A2254" s="1246" t="s">
        <v>1493</v>
      </c>
      <c r="B2254" s="1246" t="s">
        <v>1432</v>
      </c>
      <c r="C2254" s="1247">
        <v>0</v>
      </c>
      <c r="E2254" s="1246" t="s">
        <v>376</v>
      </c>
      <c r="F2254" s="1248">
        <v>5</v>
      </c>
      <c r="G2254" s="1248">
        <v>0</v>
      </c>
      <c r="H2254" s="1249">
        <v>0</v>
      </c>
      <c r="J2254" s="1246" t="s">
        <v>1464</v>
      </c>
      <c r="K2254" s="1284" t="str">
        <f t="shared" si="35"/>
        <v>73</v>
      </c>
      <c r="L2254" s="1246" t="s">
        <v>1533</v>
      </c>
      <c r="M2254" s="1250">
        <v>9</v>
      </c>
      <c r="N2254" s="1251">
        <v>5</v>
      </c>
      <c r="O2254" s="1252">
        <v>1</v>
      </c>
    </row>
    <row r="2255" spans="1:15">
      <c r="A2255" s="1246" t="s">
        <v>1493</v>
      </c>
      <c r="B2255" s="1246" t="s">
        <v>1432</v>
      </c>
      <c r="C2255" s="1247">
        <v>0</v>
      </c>
      <c r="E2255" s="1246" t="s">
        <v>376</v>
      </c>
      <c r="F2255" s="1248">
        <v>5</v>
      </c>
      <c r="G2255" s="1248">
        <v>0</v>
      </c>
      <c r="H2255" s="1249">
        <v>0</v>
      </c>
      <c r="J2255" s="1246" t="s">
        <v>1436</v>
      </c>
      <c r="K2255" s="1284" t="str">
        <f t="shared" si="35"/>
        <v>11</v>
      </c>
      <c r="L2255" s="1246" t="s">
        <v>1496</v>
      </c>
      <c r="M2255" s="1250">
        <v>9</v>
      </c>
      <c r="N2255" s="1251">
        <v>5</v>
      </c>
      <c r="O2255" s="1252">
        <v>1</v>
      </c>
    </row>
    <row r="2256" spans="1:15">
      <c r="A2256" s="1246" t="s">
        <v>1493</v>
      </c>
      <c r="B2256" s="1246" t="s">
        <v>1432</v>
      </c>
      <c r="C2256" s="1247">
        <v>0</v>
      </c>
      <c r="E2256" s="1246" t="s">
        <v>376</v>
      </c>
      <c r="F2256" s="1248">
        <v>5</v>
      </c>
      <c r="G2256" s="1248">
        <v>0</v>
      </c>
      <c r="H2256" s="1249">
        <v>0</v>
      </c>
      <c r="J2256" s="1246" t="s">
        <v>1462</v>
      </c>
      <c r="K2256" s="1284" t="str">
        <f t="shared" si="35"/>
        <v>71</v>
      </c>
      <c r="L2256" s="1246" t="s">
        <v>1496</v>
      </c>
      <c r="M2256" s="1250">
        <v>9</v>
      </c>
      <c r="N2256" s="1251">
        <v>15</v>
      </c>
      <c r="O2256" s="1252">
        <v>3</v>
      </c>
    </row>
    <row r="2257" spans="1:15">
      <c r="A2257" s="1246" t="s">
        <v>1493</v>
      </c>
      <c r="B2257" s="1246" t="s">
        <v>1432</v>
      </c>
      <c r="C2257" s="1247">
        <v>0</v>
      </c>
      <c r="E2257" s="1246" t="s">
        <v>376</v>
      </c>
      <c r="F2257" s="1248">
        <v>6</v>
      </c>
      <c r="G2257" s="1248">
        <v>0</v>
      </c>
      <c r="H2257" s="1249">
        <v>0</v>
      </c>
      <c r="J2257" s="1246" t="s">
        <v>1443</v>
      </c>
      <c r="K2257" s="1284" t="str">
        <f t="shared" si="35"/>
        <v>1C</v>
      </c>
      <c r="L2257" s="1246" t="s">
        <v>1502</v>
      </c>
      <c r="M2257" s="1250">
        <v>4</v>
      </c>
      <c r="N2257" s="1251">
        <v>6</v>
      </c>
      <c r="O2257" s="1252">
        <v>1</v>
      </c>
    </row>
    <row r="2258" spans="1:15">
      <c r="A2258" s="1246" t="s">
        <v>1493</v>
      </c>
      <c r="B2258" s="1246" t="s">
        <v>1432</v>
      </c>
      <c r="C2258" s="1247">
        <v>0</v>
      </c>
      <c r="E2258" s="1246" t="s">
        <v>376</v>
      </c>
      <c r="F2258" s="1248">
        <v>6</v>
      </c>
      <c r="G2258" s="1248">
        <v>0</v>
      </c>
      <c r="H2258" s="1249">
        <v>0</v>
      </c>
      <c r="J2258" s="1246" t="s">
        <v>1397</v>
      </c>
      <c r="K2258" s="1284" t="str">
        <f t="shared" si="35"/>
        <v>10</v>
      </c>
      <c r="L2258" s="1246" t="s">
        <v>1532</v>
      </c>
      <c r="M2258" s="1250">
        <v>9</v>
      </c>
      <c r="N2258" s="1251">
        <v>12</v>
      </c>
      <c r="O2258" s="1252">
        <v>2</v>
      </c>
    </row>
    <row r="2259" spans="1:15">
      <c r="A2259" s="1246" t="s">
        <v>1493</v>
      </c>
      <c r="B2259" s="1246" t="s">
        <v>1432</v>
      </c>
      <c r="C2259" s="1247">
        <v>0</v>
      </c>
      <c r="E2259" s="1246" t="s">
        <v>376</v>
      </c>
      <c r="F2259" s="1248">
        <v>6</v>
      </c>
      <c r="G2259" s="1248">
        <v>0</v>
      </c>
      <c r="H2259" s="1249">
        <v>0</v>
      </c>
      <c r="J2259" s="1246" t="s">
        <v>1438</v>
      </c>
      <c r="K2259" s="1284" t="str">
        <f t="shared" si="35"/>
        <v>13</v>
      </c>
      <c r="L2259" s="1246" t="s">
        <v>1533</v>
      </c>
      <c r="M2259" s="1250">
        <v>9</v>
      </c>
      <c r="N2259" s="1251">
        <v>6</v>
      </c>
      <c r="O2259" s="1252">
        <v>1</v>
      </c>
    </row>
    <row r="2260" spans="1:15">
      <c r="A2260" s="1246" t="s">
        <v>1493</v>
      </c>
      <c r="B2260" s="1246" t="s">
        <v>1432</v>
      </c>
      <c r="C2260" s="1247">
        <v>0</v>
      </c>
      <c r="E2260" s="1246" t="s">
        <v>376</v>
      </c>
      <c r="F2260" s="1248">
        <v>6</v>
      </c>
      <c r="G2260" s="1248">
        <v>0</v>
      </c>
      <c r="H2260" s="1249">
        <v>0</v>
      </c>
      <c r="J2260" s="1246" t="s">
        <v>1436</v>
      </c>
      <c r="K2260" s="1284" t="str">
        <f t="shared" si="35"/>
        <v>11</v>
      </c>
      <c r="L2260" s="1246" t="s">
        <v>1496</v>
      </c>
      <c r="M2260" s="1250">
        <v>9</v>
      </c>
      <c r="N2260" s="1251">
        <v>18</v>
      </c>
      <c r="O2260" s="1252">
        <v>3</v>
      </c>
    </row>
    <row r="2261" spans="1:15">
      <c r="A2261" s="1246" t="s">
        <v>1493</v>
      </c>
      <c r="B2261" s="1246" t="s">
        <v>1432</v>
      </c>
      <c r="C2261" s="1247">
        <v>0</v>
      </c>
      <c r="E2261" s="1246" t="s">
        <v>376</v>
      </c>
      <c r="F2261" s="1248">
        <v>6</v>
      </c>
      <c r="G2261" s="1248">
        <v>0</v>
      </c>
      <c r="H2261" s="1249">
        <v>0</v>
      </c>
      <c r="J2261" s="1246" t="s">
        <v>1462</v>
      </c>
      <c r="K2261" s="1284" t="str">
        <f t="shared" si="35"/>
        <v>71</v>
      </c>
      <c r="L2261" s="1246" t="s">
        <v>1496</v>
      </c>
      <c r="M2261" s="1250">
        <v>9</v>
      </c>
      <c r="N2261" s="1251">
        <v>48</v>
      </c>
      <c r="O2261" s="1252">
        <v>8</v>
      </c>
    </row>
    <row r="2262" spans="1:15">
      <c r="A2262" s="1246" t="s">
        <v>1493</v>
      </c>
      <c r="B2262" s="1246" t="s">
        <v>1432</v>
      </c>
      <c r="C2262" s="1247">
        <v>0</v>
      </c>
      <c r="E2262" s="1246" t="s">
        <v>376</v>
      </c>
      <c r="F2262" s="1248">
        <v>7</v>
      </c>
      <c r="G2262" s="1248">
        <v>0</v>
      </c>
      <c r="H2262" s="1249">
        <v>0</v>
      </c>
      <c r="J2262" s="1246" t="s">
        <v>1443</v>
      </c>
      <c r="K2262" s="1284" t="str">
        <f t="shared" si="35"/>
        <v>1C</v>
      </c>
      <c r="L2262" s="1246" t="s">
        <v>1502</v>
      </c>
      <c r="M2262" s="1250">
        <v>4</v>
      </c>
      <c r="N2262" s="1251">
        <v>7</v>
      </c>
      <c r="O2262" s="1252">
        <v>1</v>
      </c>
    </row>
    <row r="2263" spans="1:15">
      <c r="A2263" s="1246" t="s">
        <v>1493</v>
      </c>
      <c r="B2263" s="1246" t="s">
        <v>1432</v>
      </c>
      <c r="C2263" s="1247">
        <v>0</v>
      </c>
      <c r="E2263" s="1246" t="s">
        <v>376</v>
      </c>
      <c r="F2263" s="1248">
        <v>7</v>
      </c>
      <c r="G2263" s="1248">
        <v>0</v>
      </c>
      <c r="H2263" s="1249">
        <v>0</v>
      </c>
      <c r="J2263" s="1246" t="s">
        <v>1470</v>
      </c>
      <c r="K2263" s="1284" t="str">
        <f t="shared" si="35"/>
        <v>7C</v>
      </c>
      <c r="L2263" s="1246" t="s">
        <v>1502</v>
      </c>
      <c r="M2263" s="1250">
        <v>4</v>
      </c>
      <c r="N2263" s="1251">
        <v>7</v>
      </c>
      <c r="O2263" s="1252">
        <v>1</v>
      </c>
    </row>
    <row r="2264" spans="1:15">
      <c r="A2264" s="1246" t="s">
        <v>1493</v>
      </c>
      <c r="B2264" s="1246" t="s">
        <v>1432</v>
      </c>
      <c r="C2264" s="1247">
        <v>0</v>
      </c>
      <c r="E2264" s="1246" t="s">
        <v>376</v>
      </c>
      <c r="F2264" s="1248">
        <v>7</v>
      </c>
      <c r="G2264" s="1248">
        <v>0</v>
      </c>
      <c r="H2264" s="1249">
        <v>0</v>
      </c>
      <c r="J2264" s="1246" t="s">
        <v>1463</v>
      </c>
      <c r="K2264" s="1284" t="str">
        <f t="shared" si="35"/>
        <v>72</v>
      </c>
      <c r="L2264" s="1246" t="s">
        <v>1529</v>
      </c>
      <c r="M2264" s="1250">
        <v>9</v>
      </c>
      <c r="N2264" s="1251">
        <v>7</v>
      </c>
      <c r="O2264" s="1252">
        <v>1</v>
      </c>
    </row>
    <row r="2265" spans="1:15">
      <c r="A2265" s="1246" t="s">
        <v>1493</v>
      </c>
      <c r="B2265" s="1246" t="s">
        <v>1432</v>
      </c>
      <c r="C2265" s="1247">
        <v>0</v>
      </c>
      <c r="E2265" s="1246" t="s">
        <v>376</v>
      </c>
      <c r="F2265" s="1248">
        <v>7</v>
      </c>
      <c r="G2265" s="1248">
        <v>0</v>
      </c>
      <c r="H2265" s="1249">
        <v>0</v>
      </c>
      <c r="J2265" s="1246" t="s">
        <v>1397</v>
      </c>
      <c r="K2265" s="1284" t="str">
        <f t="shared" si="35"/>
        <v>10</v>
      </c>
      <c r="L2265" s="1246" t="s">
        <v>1532</v>
      </c>
      <c r="M2265" s="1250">
        <v>9</v>
      </c>
      <c r="N2265" s="1251">
        <v>7</v>
      </c>
      <c r="O2265" s="1252">
        <v>1</v>
      </c>
    </row>
    <row r="2266" spans="1:15">
      <c r="A2266" s="1246" t="s">
        <v>1493</v>
      </c>
      <c r="B2266" s="1246" t="s">
        <v>1432</v>
      </c>
      <c r="C2266" s="1247">
        <v>0</v>
      </c>
      <c r="E2266" s="1246" t="s">
        <v>376</v>
      </c>
      <c r="F2266" s="1248">
        <v>7</v>
      </c>
      <c r="G2266" s="1248">
        <v>0</v>
      </c>
      <c r="H2266" s="1249">
        <v>0</v>
      </c>
      <c r="J2266" s="1246" t="s">
        <v>1436</v>
      </c>
      <c r="K2266" s="1284" t="str">
        <f t="shared" si="35"/>
        <v>11</v>
      </c>
      <c r="L2266" s="1246" t="s">
        <v>1496</v>
      </c>
      <c r="M2266" s="1250">
        <v>9</v>
      </c>
      <c r="N2266" s="1251">
        <v>7</v>
      </c>
      <c r="O2266" s="1252">
        <v>1</v>
      </c>
    </row>
    <row r="2267" spans="1:15">
      <c r="A2267" s="1246" t="s">
        <v>1493</v>
      </c>
      <c r="B2267" s="1246" t="s">
        <v>1432</v>
      </c>
      <c r="C2267" s="1247">
        <v>0</v>
      </c>
      <c r="E2267" s="1246" t="s">
        <v>376</v>
      </c>
      <c r="F2267" s="1248">
        <v>7</v>
      </c>
      <c r="G2267" s="1248">
        <v>0</v>
      </c>
      <c r="H2267" s="1249">
        <v>0</v>
      </c>
      <c r="J2267" s="1246" t="s">
        <v>1462</v>
      </c>
      <c r="K2267" s="1284" t="str">
        <f t="shared" si="35"/>
        <v>71</v>
      </c>
      <c r="L2267" s="1246" t="s">
        <v>1496</v>
      </c>
      <c r="M2267" s="1250">
        <v>9</v>
      </c>
      <c r="N2267" s="1251">
        <v>21</v>
      </c>
      <c r="O2267" s="1252">
        <v>3</v>
      </c>
    </row>
    <row r="2268" spans="1:15">
      <c r="A2268" s="1246" t="s">
        <v>1493</v>
      </c>
      <c r="B2268" s="1246" t="s">
        <v>1432</v>
      </c>
      <c r="C2268" s="1247">
        <v>0</v>
      </c>
      <c r="E2268" s="1246" t="s">
        <v>376</v>
      </c>
      <c r="F2268" s="1248">
        <v>8</v>
      </c>
      <c r="G2268" s="1248">
        <v>0</v>
      </c>
      <c r="H2268" s="1249">
        <v>0</v>
      </c>
      <c r="J2268" s="1246" t="s">
        <v>1470</v>
      </c>
      <c r="K2268" s="1284" t="str">
        <f t="shared" si="35"/>
        <v>7C</v>
      </c>
      <c r="L2268" s="1246" t="s">
        <v>1502</v>
      </c>
      <c r="M2268" s="1250">
        <v>4</v>
      </c>
      <c r="N2268" s="1251">
        <v>8</v>
      </c>
      <c r="O2268" s="1252">
        <v>1</v>
      </c>
    </row>
    <row r="2269" spans="1:15">
      <c r="A2269" s="1246" t="s">
        <v>1493</v>
      </c>
      <c r="B2269" s="1246" t="s">
        <v>1432</v>
      </c>
      <c r="C2269" s="1247">
        <v>0</v>
      </c>
      <c r="E2269" s="1246" t="s">
        <v>376</v>
      </c>
      <c r="F2269" s="1248">
        <v>8</v>
      </c>
      <c r="G2269" s="1248">
        <v>0</v>
      </c>
      <c r="H2269" s="1249">
        <v>0</v>
      </c>
      <c r="J2269" s="1246" t="s">
        <v>1443</v>
      </c>
      <c r="K2269" s="1284" t="str">
        <f t="shared" si="35"/>
        <v>1C</v>
      </c>
      <c r="L2269" s="1246" t="s">
        <v>1502</v>
      </c>
      <c r="M2269" s="1250">
        <v>4</v>
      </c>
      <c r="N2269" s="1251">
        <v>24</v>
      </c>
      <c r="O2269" s="1252">
        <v>3</v>
      </c>
    </row>
    <row r="2270" spans="1:15">
      <c r="A2270" s="1246" t="s">
        <v>1493</v>
      </c>
      <c r="B2270" s="1246" t="s">
        <v>1432</v>
      </c>
      <c r="C2270" s="1247">
        <v>0</v>
      </c>
      <c r="E2270" s="1246" t="s">
        <v>376</v>
      </c>
      <c r="F2270" s="1248">
        <v>8</v>
      </c>
      <c r="G2270" s="1248">
        <v>0</v>
      </c>
      <c r="H2270" s="1249">
        <v>0</v>
      </c>
      <c r="J2270" s="1246" t="s">
        <v>1397</v>
      </c>
      <c r="K2270" s="1284" t="str">
        <f t="shared" si="35"/>
        <v>10</v>
      </c>
      <c r="L2270" s="1246" t="s">
        <v>1532</v>
      </c>
      <c r="M2270" s="1250">
        <v>9</v>
      </c>
      <c r="N2270" s="1251">
        <v>24</v>
      </c>
      <c r="O2270" s="1252">
        <v>3</v>
      </c>
    </row>
    <row r="2271" spans="1:15">
      <c r="A2271" s="1246" t="s">
        <v>1493</v>
      </c>
      <c r="B2271" s="1246" t="s">
        <v>1432</v>
      </c>
      <c r="C2271" s="1247">
        <v>0</v>
      </c>
      <c r="E2271" s="1246" t="s">
        <v>376</v>
      </c>
      <c r="F2271" s="1248">
        <v>8</v>
      </c>
      <c r="G2271" s="1248">
        <v>0</v>
      </c>
      <c r="H2271" s="1249">
        <v>0</v>
      </c>
      <c r="J2271" s="1246" t="s">
        <v>1464</v>
      </c>
      <c r="K2271" s="1284" t="str">
        <f t="shared" si="35"/>
        <v>73</v>
      </c>
      <c r="L2271" s="1246" t="s">
        <v>1533</v>
      </c>
      <c r="M2271" s="1250">
        <v>9</v>
      </c>
      <c r="N2271" s="1251">
        <v>8</v>
      </c>
      <c r="O2271" s="1252">
        <v>1</v>
      </c>
    </row>
    <row r="2272" spans="1:15">
      <c r="A2272" s="1246" t="s">
        <v>1493</v>
      </c>
      <c r="B2272" s="1246" t="s">
        <v>1432</v>
      </c>
      <c r="C2272" s="1247">
        <v>0</v>
      </c>
      <c r="E2272" s="1246" t="s">
        <v>376</v>
      </c>
      <c r="F2272" s="1248">
        <v>8</v>
      </c>
      <c r="G2272" s="1248">
        <v>0</v>
      </c>
      <c r="H2272" s="1249">
        <v>0</v>
      </c>
      <c r="J2272" s="1246" t="s">
        <v>1436</v>
      </c>
      <c r="K2272" s="1284" t="str">
        <f t="shared" si="35"/>
        <v>11</v>
      </c>
      <c r="L2272" s="1246" t="s">
        <v>1496</v>
      </c>
      <c r="M2272" s="1250">
        <v>9</v>
      </c>
      <c r="N2272" s="1251">
        <v>32</v>
      </c>
      <c r="O2272" s="1252">
        <v>4</v>
      </c>
    </row>
    <row r="2273" spans="1:15">
      <c r="A2273" s="1246" t="s">
        <v>1493</v>
      </c>
      <c r="B2273" s="1246" t="s">
        <v>1432</v>
      </c>
      <c r="C2273" s="1247">
        <v>0</v>
      </c>
      <c r="E2273" s="1246" t="s">
        <v>376</v>
      </c>
      <c r="F2273" s="1248">
        <v>8</v>
      </c>
      <c r="G2273" s="1248">
        <v>0</v>
      </c>
      <c r="H2273" s="1249">
        <v>0</v>
      </c>
      <c r="J2273" s="1246" t="s">
        <v>1462</v>
      </c>
      <c r="K2273" s="1284" t="str">
        <f t="shared" si="35"/>
        <v>71</v>
      </c>
      <c r="L2273" s="1246" t="s">
        <v>1496</v>
      </c>
      <c r="M2273" s="1250">
        <v>9</v>
      </c>
      <c r="N2273" s="1251">
        <v>40</v>
      </c>
      <c r="O2273" s="1252">
        <v>5</v>
      </c>
    </row>
    <row r="2274" spans="1:15">
      <c r="A2274" s="1246" t="s">
        <v>1493</v>
      </c>
      <c r="B2274" s="1246" t="s">
        <v>1432</v>
      </c>
      <c r="C2274" s="1247">
        <v>0</v>
      </c>
      <c r="E2274" s="1246" t="s">
        <v>376</v>
      </c>
      <c r="F2274" s="1248">
        <v>9</v>
      </c>
      <c r="G2274" s="1248">
        <v>0</v>
      </c>
      <c r="H2274" s="1249">
        <v>0</v>
      </c>
      <c r="J2274" s="1246" t="s">
        <v>1397</v>
      </c>
      <c r="K2274" s="1284" t="str">
        <f t="shared" si="35"/>
        <v>10</v>
      </c>
      <c r="L2274" s="1246" t="s">
        <v>1532</v>
      </c>
      <c r="M2274" s="1250">
        <v>9</v>
      </c>
      <c r="N2274" s="1251">
        <v>9</v>
      </c>
      <c r="O2274" s="1252">
        <v>1</v>
      </c>
    </row>
    <row r="2275" spans="1:15">
      <c r="A2275" s="1246" t="s">
        <v>1493</v>
      </c>
      <c r="B2275" s="1246" t="s">
        <v>1432</v>
      </c>
      <c r="C2275" s="1247">
        <v>0</v>
      </c>
      <c r="E2275" s="1246" t="s">
        <v>376</v>
      </c>
      <c r="F2275" s="1248">
        <v>9</v>
      </c>
      <c r="G2275" s="1248">
        <v>0</v>
      </c>
      <c r="H2275" s="1249">
        <v>0</v>
      </c>
      <c r="J2275" s="1246" t="s">
        <v>1438</v>
      </c>
      <c r="K2275" s="1284" t="str">
        <f t="shared" si="35"/>
        <v>13</v>
      </c>
      <c r="L2275" s="1246" t="s">
        <v>1533</v>
      </c>
      <c r="M2275" s="1250">
        <v>9</v>
      </c>
      <c r="N2275" s="1251">
        <v>18</v>
      </c>
      <c r="O2275" s="1252">
        <v>2</v>
      </c>
    </row>
    <row r="2276" spans="1:15">
      <c r="A2276" s="1246" t="s">
        <v>1493</v>
      </c>
      <c r="B2276" s="1246" t="s">
        <v>1432</v>
      </c>
      <c r="C2276" s="1247">
        <v>0</v>
      </c>
      <c r="E2276" s="1246" t="s">
        <v>376</v>
      </c>
      <c r="F2276" s="1248">
        <v>9</v>
      </c>
      <c r="G2276" s="1248">
        <v>0</v>
      </c>
      <c r="H2276" s="1249">
        <v>0</v>
      </c>
      <c r="J2276" s="1246" t="s">
        <v>1464</v>
      </c>
      <c r="K2276" s="1284" t="str">
        <f t="shared" si="35"/>
        <v>73</v>
      </c>
      <c r="L2276" s="1246" t="s">
        <v>1533</v>
      </c>
      <c r="M2276" s="1250">
        <v>9</v>
      </c>
      <c r="N2276" s="1251">
        <v>18</v>
      </c>
      <c r="O2276" s="1252">
        <v>2</v>
      </c>
    </row>
    <row r="2277" spans="1:15">
      <c r="A2277" s="1246" t="s">
        <v>1493</v>
      </c>
      <c r="B2277" s="1246" t="s">
        <v>1432</v>
      </c>
      <c r="C2277" s="1247">
        <v>0</v>
      </c>
      <c r="E2277" s="1246" t="s">
        <v>376</v>
      </c>
      <c r="F2277" s="1248">
        <v>9</v>
      </c>
      <c r="G2277" s="1248">
        <v>0</v>
      </c>
      <c r="H2277" s="1249">
        <v>0</v>
      </c>
      <c r="J2277" s="1246" t="s">
        <v>1436</v>
      </c>
      <c r="K2277" s="1284" t="str">
        <f t="shared" si="35"/>
        <v>11</v>
      </c>
      <c r="L2277" s="1246" t="s">
        <v>1496</v>
      </c>
      <c r="M2277" s="1250">
        <v>9</v>
      </c>
      <c r="N2277" s="1251">
        <v>18</v>
      </c>
      <c r="O2277" s="1252">
        <v>2</v>
      </c>
    </row>
    <row r="2278" spans="1:15">
      <c r="A2278" s="1246" t="s">
        <v>1493</v>
      </c>
      <c r="B2278" s="1246" t="s">
        <v>1432</v>
      </c>
      <c r="C2278" s="1247">
        <v>0</v>
      </c>
      <c r="E2278" s="1246" t="s">
        <v>376</v>
      </c>
      <c r="F2278" s="1248">
        <v>9</v>
      </c>
      <c r="G2278" s="1248">
        <v>0</v>
      </c>
      <c r="H2278" s="1249">
        <v>0</v>
      </c>
      <c r="J2278" s="1246" t="s">
        <v>1462</v>
      </c>
      <c r="K2278" s="1284" t="str">
        <f t="shared" si="35"/>
        <v>71</v>
      </c>
      <c r="L2278" s="1246" t="s">
        <v>1496</v>
      </c>
      <c r="M2278" s="1250">
        <v>9</v>
      </c>
      <c r="N2278" s="1251">
        <v>18</v>
      </c>
      <c r="O2278" s="1252">
        <v>2</v>
      </c>
    </row>
    <row r="2279" spans="1:15">
      <c r="A2279" s="1246" t="s">
        <v>1493</v>
      </c>
      <c r="B2279" s="1246" t="s">
        <v>1432</v>
      </c>
      <c r="C2279" s="1247">
        <v>0</v>
      </c>
      <c r="E2279" s="1246" t="s">
        <v>376</v>
      </c>
      <c r="F2279" s="1248">
        <v>10</v>
      </c>
      <c r="G2279" s="1248">
        <v>0</v>
      </c>
      <c r="H2279" s="1249">
        <v>0</v>
      </c>
      <c r="J2279" s="1246" t="s">
        <v>1463</v>
      </c>
      <c r="K2279" s="1284" t="str">
        <f t="shared" si="35"/>
        <v>72</v>
      </c>
      <c r="L2279" s="1246" t="s">
        <v>1529</v>
      </c>
      <c r="M2279" s="1250">
        <v>9</v>
      </c>
      <c r="N2279" s="1251">
        <v>20</v>
      </c>
      <c r="O2279" s="1252">
        <v>2</v>
      </c>
    </row>
    <row r="2280" spans="1:15">
      <c r="A2280" s="1246" t="s">
        <v>1493</v>
      </c>
      <c r="B2280" s="1246" t="s">
        <v>1432</v>
      </c>
      <c r="C2280" s="1247">
        <v>0</v>
      </c>
      <c r="E2280" s="1246" t="s">
        <v>376</v>
      </c>
      <c r="F2280" s="1248">
        <v>10</v>
      </c>
      <c r="G2280" s="1248">
        <v>0</v>
      </c>
      <c r="H2280" s="1249">
        <v>0</v>
      </c>
      <c r="J2280" s="1246" t="s">
        <v>1397</v>
      </c>
      <c r="K2280" s="1284" t="str">
        <f t="shared" si="35"/>
        <v>10</v>
      </c>
      <c r="L2280" s="1246" t="s">
        <v>1532</v>
      </c>
      <c r="M2280" s="1250">
        <v>9</v>
      </c>
      <c r="N2280" s="1251">
        <v>10</v>
      </c>
      <c r="O2280" s="1252">
        <v>1</v>
      </c>
    </row>
    <row r="2281" spans="1:15">
      <c r="A2281" s="1246" t="s">
        <v>1493</v>
      </c>
      <c r="B2281" s="1246" t="s">
        <v>1432</v>
      </c>
      <c r="C2281" s="1247">
        <v>0</v>
      </c>
      <c r="E2281" s="1246" t="s">
        <v>376</v>
      </c>
      <c r="F2281" s="1248">
        <v>10</v>
      </c>
      <c r="G2281" s="1248">
        <v>0</v>
      </c>
      <c r="H2281" s="1249">
        <v>0</v>
      </c>
      <c r="J2281" s="1246" t="s">
        <v>1438</v>
      </c>
      <c r="K2281" s="1284" t="str">
        <f t="shared" si="35"/>
        <v>13</v>
      </c>
      <c r="L2281" s="1246" t="s">
        <v>1533</v>
      </c>
      <c r="M2281" s="1250">
        <v>9</v>
      </c>
      <c r="N2281" s="1251">
        <v>10</v>
      </c>
      <c r="O2281" s="1252">
        <v>1</v>
      </c>
    </row>
    <row r="2282" spans="1:15">
      <c r="A2282" s="1246" t="s">
        <v>1493</v>
      </c>
      <c r="B2282" s="1246" t="s">
        <v>1432</v>
      </c>
      <c r="C2282" s="1247">
        <v>0</v>
      </c>
      <c r="E2282" s="1246" t="s">
        <v>376</v>
      </c>
      <c r="F2282" s="1248">
        <v>10</v>
      </c>
      <c r="G2282" s="1248">
        <v>0</v>
      </c>
      <c r="H2282" s="1249">
        <v>0</v>
      </c>
      <c r="J2282" s="1246" t="s">
        <v>1462</v>
      </c>
      <c r="K2282" s="1284" t="str">
        <f t="shared" si="35"/>
        <v>71</v>
      </c>
      <c r="L2282" s="1246" t="s">
        <v>1496</v>
      </c>
      <c r="M2282" s="1250">
        <v>9</v>
      </c>
      <c r="N2282" s="1251">
        <v>70</v>
      </c>
      <c r="O2282" s="1252">
        <v>7</v>
      </c>
    </row>
    <row r="2283" spans="1:15">
      <c r="A2283" s="1246" t="s">
        <v>1493</v>
      </c>
      <c r="B2283" s="1246" t="s">
        <v>1432</v>
      </c>
      <c r="C2283" s="1247">
        <v>0</v>
      </c>
      <c r="E2283" s="1246" t="s">
        <v>1494</v>
      </c>
      <c r="F2283" s="1248">
        <v>10</v>
      </c>
      <c r="G2283" s="1248">
        <v>0</v>
      </c>
      <c r="H2283" s="1249">
        <v>0</v>
      </c>
      <c r="J2283" s="1246" t="s">
        <v>1462</v>
      </c>
      <c r="K2283" s="1284" t="str">
        <f t="shared" si="35"/>
        <v>71</v>
      </c>
      <c r="L2283" s="1246" t="s">
        <v>1496</v>
      </c>
      <c r="M2283" s="1250">
        <v>9</v>
      </c>
      <c r="N2283" s="1251">
        <v>10</v>
      </c>
      <c r="O2283" s="1252">
        <v>1</v>
      </c>
    </row>
    <row r="2284" spans="1:15">
      <c r="A2284" s="1246" t="s">
        <v>1493</v>
      </c>
      <c r="B2284" s="1246" t="s">
        <v>1432</v>
      </c>
      <c r="C2284" s="1247">
        <v>0</v>
      </c>
      <c r="E2284" s="1246" t="s">
        <v>376</v>
      </c>
      <c r="F2284" s="1248">
        <v>10</v>
      </c>
      <c r="G2284" s="1248">
        <v>0</v>
      </c>
      <c r="H2284" s="1249">
        <v>0</v>
      </c>
      <c r="J2284" s="1246" t="s">
        <v>1436</v>
      </c>
      <c r="K2284" s="1284" t="str">
        <f t="shared" si="35"/>
        <v>11</v>
      </c>
      <c r="L2284" s="1246" t="s">
        <v>1496</v>
      </c>
      <c r="M2284" s="1250">
        <v>9</v>
      </c>
      <c r="N2284" s="1251">
        <v>30</v>
      </c>
      <c r="O2284" s="1252">
        <v>3</v>
      </c>
    </row>
    <row r="2285" spans="1:15">
      <c r="A2285" s="1246" t="s">
        <v>1493</v>
      </c>
      <c r="B2285" s="1246" t="s">
        <v>1432</v>
      </c>
      <c r="C2285" s="1247">
        <v>0</v>
      </c>
      <c r="E2285" s="1246" t="s">
        <v>376</v>
      </c>
      <c r="F2285" s="1248">
        <v>11</v>
      </c>
      <c r="G2285" s="1248">
        <v>0</v>
      </c>
      <c r="H2285" s="1249">
        <v>0</v>
      </c>
      <c r="J2285" s="1246" t="s">
        <v>1463</v>
      </c>
      <c r="K2285" s="1284" t="str">
        <f t="shared" si="35"/>
        <v>72</v>
      </c>
      <c r="L2285" s="1246" t="s">
        <v>1529</v>
      </c>
      <c r="M2285" s="1250">
        <v>9</v>
      </c>
      <c r="N2285" s="1251">
        <v>11</v>
      </c>
      <c r="O2285" s="1252">
        <v>1</v>
      </c>
    </row>
    <row r="2286" spans="1:15">
      <c r="A2286" s="1246" t="s">
        <v>1493</v>
      </c>
      <c r="B2286" s="1246" t="s">
        <v>1432</v>
      </c>
      <c r="C2286" s="1247">
        <v>0</v>
      </c>
      <c r="E2286" s="1246" t="s">
        <v>376</v>
      </c>
      <c r="F2286" s="1248">
        <v>11</v>
      </c>
      <c r="G2286" s="1248">
        <v>0</v>
      </c>
      <c r="H2286" s="1249">
        <v>0</v>
      </c>
      <c r="J2286" s="1246" t="s">
        <v>1462</v>
      </c>
      <c r="K2286" s="1284" t="str">
        <f t="shared" si="35"/>
        <v>71</v>
      </c>
      <c r="L2286" s="1246" t="s">
        <v>1495</v>
      </c>
      <c r="M2286" s="1250">
        <v>9</v>
      </c>
      <c r="N2286" s="1251">
        <v>11</v>
      </c>
      <c r="O2286" s="1252">
        <v>1</v>
      </c>
    </row>
    <row r="2287" spans="1:15">
      <c r="A2287" s="1246" t="s">
        <v>1493</v>
      </c>
      <c r="B2287" s="1246" t="s">
        <v>1432</v>
      </c>
      <c r="C2287" s="1247">
        <v>0</v>
      </c>
      <c r="E2287" s="1246" t="s">
        <v>376</v>
      </c>
      <c r="F2287" s="1248">
        <v>11</v>
      </c>
      <c r="G2287" s="1248">
        <v>0</v>
      </c>
      <c r="H2287" s="1249">
        <v>0</v>
      </c>
      <c r="J2287" s="1246" t="s">
        <v>1462</v>
      </c>
      <c r="K2287" s="1284" t="str">
        <f t="shared" si="35"/>
        <v>71</v>
      </c>
      <c r="L2287" s="1246" t="s">
        <v>1496</v>
      </c>
      <c r="M2287" s="1250">
        <v>9</v>
      </c>
      <c r="N2287" s="1251">
        <v>11</v>
      </c>
      <c r="O2287" s="1252">
        <v>1</v>
      </c>
    </row>
    <row r="2288" spans="1:15">
      <c r="A2288" s="1246" t="s">
        <v>1493</v>
      </c>
      <c r="B2288" s="1246" t="s">
        <v>1432</v>
      </c>
      <c r="C2288" s="1247">
        <v>0</v>
      </c>
      <c r="E2288" s="1246" t="s">
        <v>376</v>
      </c>
      <c r="F2288" s="1248">
        <v>11</v>
      </c>
      <c r="G2288" s="1248">
        <v>0</v>
      </c>
      <c r="H2288" s="1249">
        <v>0</v>
      </c>
      <c r="I2288" s="1246" t="s">
        <v>1491</v>
      </c>
      <c r="J2288" s="1246" t="s">
        <v>1436</v>
      </c>
      <c r="K2288" s="1284" t="str">
        <f t="shared" si="35"/>
        <v>11</v>
      </c>
      <c r="L2288" s="1246" t="s">
        <v>1496</v>
      </c>
      <c r="M2288" s="1250">
        <v>9</v>
      </c>
      <c r="N2288" s="1251">
        <v>22</v>
      </c>
      <c r="O2288" s="1252">
        <v>2</v>
      </c>
    </row>
    <row r="2289" spans="1:15">
      <c r="A2289" s="1246" t="s">
        <v>1493</v>
      </c>
      <c r="B2289" s="1246" t="s">
        <v>1432</v>
      </c>
      <c r="C2289" s="1247">
        <v>0</v>
      </c>
      <c r="E2289" s="1246" t="s">
        <v>376</v>
      </c>
      <c r="F2289" s="1248">
        <v>12</v>
      </c>
      <c r="G2289" s="1248">
        <v>0</v>
      </c>
      <c r="H2289" s="1249">
        <v>0</v>
      </c>
      <c r="J2289" s="1246" t="s">
        <v>1397</v>
      </c>
      <c r="K2289" s="1284" t="str">
        <f t="shared" si="35"/>
        <v>10</v>
      </c>
      <c r="L2289" s="1246" t="s">
        <v>1532</v>
      </c>
      <c r="M2289" s="1250">
        <v>9</v>
      </c>
      <c r="N2289" s="1251">
        <v>12</v>
      </c>
      <c r="O2289" s="1252">
        <v>1</v>
      </c>
    </row>
    <row r="2290" spans="1:15">
      <c r="A2290" s="1246" t="s">
        <v>1493</v>
      </c>
      <c r="B2290" s="1246" t="s">
        <v>1432</v>
      </c>
      <c r="C2290" s="1247">
        <v>0</v>
      </c>
      <c r="E2290" s="1246" t="s">
        <v>376</v>
      </c>
      <c r="F2290" s="1248">
        <v>12</v>
      </c>
      <c r="G2290" s="1248">
        <v>0</v>
      </c>
      <c r="H2290" s="1249">
        <v>0</v>
      </c>
      <c r="J2290" s="1246" t="s">
        <v>1438</v>
      </c>
      <c r="K2290" s="1284" t="str">
        <f t="shared" si="35"/>
        <v>13</v>
      </c>
      <c r="L2290" s="1246" t="s">
        <v>1533</v>
      </c>
      <c r="M2290" s="1250">
        <v>9</v>
      </c>
      <c r="N2290" s="1251">
        <v>12</v>
      </c>
      <c r="O2290" s="1252">
        <v>1</v>
      </c>
    </row>
    <row r="2291" spans="1:15">
      <c r="A2291" s="1246" t="s">
        <v>1493</v>
      </c>
      <c r="B2291" s="1246" t="s">
        <v>1432</v>
      </c>
      <c r="C2291" s="1247">
        <v>0</v>
      </c>
      <c r="E2291" s="1246" t="s">
        <v>376</v>
      </c>
      <c r="F2291" s="1248">
        <v>12</v>
      </c>
      <c r="G2291" s="1248">
        <v>0</v>
      </c>
      <c r="H2291" s="1249">
        <v>0</v>
      </c>
      <c r="J2291" s="1246" t="s">
        <v>1436</v>
      </c>
      <c r="K2291" s="1284" t="str">
        <f t="shared" si="35"/>
        <v>11</v>
      </c>
      <c r="L2291" s="1246" t="s">
        <v>1496</v>
      </c>
      <c r="M2291" s="1250">
        <v>9</v>
      </c>
      <c r="N2291" s="1251">
        <v>36</v>
      </c>
      <c r="O2291" s="1252">
        <v>3</v>
      </c>
    </row>
    <row r="2292" spans="1:15">
      <c r="A2292" s="1246" t="s">
        <v>1493</v>
      </c>
      <c r="B2292" s="1246" t="s">
        <v>1432</v>
      </c>
      <c r="C2292" s="1247">
        <v>0</v>
      </c>
      <c r="E2292" s="1246" t="s">
        <v>376</v>
      </c>
      <c r="F2292" s="1248">
        <v>12</v>
      </c>
      <c r="G2292" s="1248">
        <v>0</v>
      </c>
      <c r="H2292" s="1249">
        <v>0</v>
      </c>
      <c r="I2292" s="1246" t="s">
        <v>1491</v>
      </c>
      <c r="J2292" s="1246" t="s">
        <v>1436</v>
      </c>
      <c r="K2292" s="1284" t="str">
        <f t="shared" si="35"/>
        <v>11</v>
      </c>
      <c r="L2292" s="1246" t="s">
        <v>1496</v>
      </c>
      <c r="M2292" s="1250">
        <v>9</v>
      </c>
      <c r="N2292" s="1251">
        <v>84</v>
      </c>
      <c r="O2292" s="1252">
        <v>7</v>
      </c>
    </row>
    <row r="2293" spans="1:15">
      <c r="A2293" s="1246" t="s">
        <v>1493</v>
      </c>
      <c r="B2293" s="1246" t="s">
        <v>1432</v>
      </c>
      <c r="C2293" s="1247">
        <v>0</v>
      </c>
      <c r="E2293" s="1246" t="s">
        <v>376</v>
      </c>
      <c r="F2293" s="1248">
        <v>13</v>
      </c>
      <c r="G2293" s="1248">
        <v>0</v>
      </c>
      <c r="H2293" s="1249">
        <v>0</v>
      </c>
      <c r="J2293" s="1246" t="s">
        <v>1443</v>
      </c>
      <c r="K2293" s="1284" t="str">
        <f t="shared" si="35"/>
        <v>1C</v>
      </c>
      <c r="L2293" s="1246" t="s">
        <v>1502</v>
      </c>
      <c r="M2293" s="1250">
        <v>4</v>
      </c>
      <c r="N2293" s="1251">
        <v>13</v>
      </c>
      <c r="O2293" s="1252">
        <v>1</v>
      </c>
    </row>
    <row r="2294" spans="1:15">
      <c r="A2294" s="1246" t="s">
        <v>1493</v>
      </c>
      <c r="B2294" s="1246" t="s">
        <v>1432</v>
      </c>
      <c r="C2294" s="1247">
        <v>0</v>
      </c>
      <c r="E2294" s="1246" t="s">
        <v>376</v>
      </c>
      <c r="F2294" s="1248">
        <v>13</v>
      </c>
      <c r="G2294" s="1248">
        <v>0</v>
      </c>
      <c r="H2294" s="1249">
        <v>0</v>
      </c>
      <c r="J2294" s="1246" t="s">
        <v>1470</v>
      </c>
      <c r="K2294" s="1284" t="str">
        <f t="shared" si="35"/>
        <v>7C</v>
      </c>
      <c r="L2294" s="1246" t="s">
        <v>1502</v>
      </c>
      <c r="M2294" s="1250">
        <v>4</v>
      </c>
      <c r="N2294" s="1251">
        <v>13</v>
      </c>
      <c r="O2294" s="1252">
        <v>1</v>
      </c>
    </row>
    <row r="2295" spans="1:15">
      <c r="A2295" s="1246" t="s">
        <v>1493</v>
      </c>
      <c r="B2295" s="1246" t="s">
        <v>1432</v>
      </c>
      <c r="C2295" s="1247">
        <v>0</v>
      </c>
      <c r="E2295" s="1246" t="s">
        <v>376</v>
      </c>
      <c r="F2295" s="1248">
        <v>13</v>
      </c>
      <c r="G2295" s="1248">
        <v>0</v>
      </c>
      <c r="H2295" s="1249">
        <v>0</v>
      </c>
      <c r="J2295" s="1246" t="s">
        <v>1397</v>
      </c>
      <c r="K2295" s="1284" t="str">
        <f t="shared" si="35"/>
        <v>10</v>
      </c>
      <c r="L2295" s="1246" t="s">
        <v>1532</v>
      </c>
      <c r="M2295" s="1250">
        <v>9</v>
      </c>
      <c r="N2295" s="1251">
        <v>13</v>
      </c>
      <c r="O2295" s="1252">
        <v>1</v>
      </c>
    </row>
    <row r="2296" spans="1:15">
      <c r="A2296" s="1246" t="s">
        <v>1493</v>
      </c>
      <c r="B2296" s="1246" t="s">
        <v>1432</v>
      </c>
      <c r="C2296" s="1247">
        <v>0</v>
      </c>
      <c r="E2296" s="1246" t="s">
        <v>376</v>
      </c>
      <c r="F2296" s="1248">
        <v>14</v>
      </c>
      <c r="G2296" s="1248">
        <v>0</v>
      </c>
      <c r="H2296" s="1249">
        <v>0</v>
      </c>
      <c r="J2296" s="1246" t="s">
        <v>1463</v>
      </c>
      <c r="K2296" s="1284" t="str">
        <f t="shared" si="35"/>
        <v>72</v>
      </c>
      <c r="L2296" s="1246" t="s">
        <v>1533</v>
      </c>
      <c r="M2296" s="1250">
        <v>9</v>
      </c>
      <c r="N2296" s="1251">
        <v>14</v>
      </c>
      <c r="O2296" s="1252">
        <v>1</v>
      </c>
    </row>
    <row r="2297" spans="1:15">
      <c r="A2297" s="1246" t="s">
        <v>1493</v>
      </c>
      <c r="B2297" s="1246" t="s">
        <v>1432</v>
      </c>
      <c r="C2297" s="1247">
        <v>0</v>
      </c>
      <c r="E2297" s="1246" t="s">
        <v>376</v>
      </c>
      <c r="F2297" s="1248">
        <v>14</v>
      </c>
      <c r="G2297" s="1248">
        <v>0</v>
      </c>
      <c r="H2297" s="1249">
        <v>0</v>
      </c>
      <c r="J2297" s="1246" t="s">
        <v>1436</v>
      </c>
      <c r="K2297" s="1284" t="str">
        <f t="shared" si="35"/>
        <v>11</v>
      </c>
      <c r="L2297" s="1246" t="s">
        <v>1496</v>
      </c>
      <c r="M2297" s="1250">
        <v>9</v>
      </c>
      <c r="N2297" s="1251">
        <v>14</v>
      </c>
      <c r="O2297" s="1252">
        <v>1</v>
      </c>
    </row>
    <row r="2298" spans="1:15">
      <c r="A2298" s="1246" t="s">
        <v>1493</v>
      </c>
      <c r="B2298" s="1246" t="s">
        <v>1432</v>
      </c>
      <c r="C2298" s="1247">
        <v>0</v>
      </c>
      <c r="E2298" s="1246" t="s">
        <v>376</v>
      </c>
      <c r="F2298" s="1248">
        <v>14</v>
      </c>
      <c r="G2298" s="1248">
        <v>0</v>
      </c>
      <c r="H2298" s="1249">
        <v>0</v>
      </c>
      <c r="I2298" s="1246" t="s">
        <v>1491</v>
      </c>
      <c r="J2298" s="1246" t="s">
        <v>1436</v>
      </c>
      <c r="K2298" s="1284" t="str">
        <f t="shared" si="35"/>
        <v>11</v>
      </c>
      <c r="L2298" s="1246" t="s">
        <v>1496</v>
      </c>
      <c r="M2298" s="1250">
        <v>9</v>
      </c>
      <c r="N2298" s="1251">
        <v>14</v>
      </c>
      <c r="O2298" s="1252">
        <v>1</v>
      </c>
    </row>
    <row r="2299" spans="1:15">
      <c r="A2299" s="1246" t="s">
        <v>1493</v>
      </c>
      <c r="B2299" s="1246" t="s">
        <v>1432</v>
      </c>
      <c r="C2299" s="1247">
        <v>0</v>
      </c>
      <c r="E2299" s="1246" t="s">
        <v>376</v>
      </c>
      <c r="F2299" s="1248">
        <v>15</v>
      </c>
      <c r="G2299" s="1248">
        <v>0</v>
      </c>
      <c r="H2299" s="1249">
        <v>0</v>
      </c>
      <c r="J2299" s="1246" t="s">
        <v>1443</v>
      </c>
      <c r="K2299" s="1284" t="str">
        <f t="shared" si="35"/>
        <v>1C</v>
      </c>
      <c r="L2299" s="1246" t="s">
        <v>1502</v>
      </c>
      <c r="M2299" s="1250">
        <v>4</v>
      </c>
      <c r="N2299" s="1251">
        <v>15</v>
      </c>
      <c r="O2299" s="1252">
        <v>1</v>
      </c>
    </row>
    <row r="2300" spans="1:15">
      <c r="A2300" s="1246" t="s">
        <v>1493</v>
      </c>
      <c r="B2300" s="1246" t="s">
        <v>1432</v>
      </c>
      <c r="C2300" s="1247">
        <v>0</v>
      </c>
      <c r="E2300" s="1246" t="s">
        <v>376</v>
      </c>
      <c r="F2300" s="1248">
        <v>15</v>
      </c>
      <c r="G2300" s="1248">
        <v>0</v>
      </c>
      <c r="H2300" s="1249">
        <v>0</v>
      </c>
      <c r="J2300" s="1246" t="s">
        <v>1397</v>
      </c>
      <c r="K2300" s="1284" t="str">
        <f t="shared" si="35"/>
        <v>10</v>
      </c>
      <c r="L2300" s="1246" t="s">
        <v>1532</v>
      </c>
      <c r="M2300" s="1250">
        <v>9</v>
      </c>
      <c r="N2300" s="1251">
        <v>15</v>
      </c>
      <c r="O2300" s="1252">
        <v>1</v>
      </c>
    </row>
    <row r="2301" spans="1:15">
      <c r="A2301" s="1246" t="s">
        <v>1493</v>
      </c>
      <c r="B2301" s="1246" t="s">
        <v>1432</v>
      </c>
      <c r="C2301" s="1247">
        <v>0</v>
      </c>
      <c r="E2301" s="1246" t="s">
        <v>376</v>
      </c>
      <c r="F2301" s="1248">
        <v>15</v>
      </c>
      <c r="G2301" s="1248">
        <v>0</v>
      </c>
      <c r="H2301" s="1249">
        <v>0</v>
      </c>
      <c r="J2301" s="1246" t="s">
        <v>1436</v>
      </c>
      <c r="K2301" s="1284" t="str">
        <f t="shared" si="35"/>
        <v>11</v>
      </c>
      <c r="L2301" s="1246" t="s">
        <v>1496</v>
      </c>
      <c r="M2301" s="1250">
        <v>9</v>
      </c>
      <c r="N2301" s="1251">
        <v>60</v>
      </c>
      <c r="O2301" s="1252">
        <v>4</v>
      </c>
    </row>
    <row r="2302" spans="1:15">
      <c r="A2302" s="1246" t="s">
        <v>1493</v>
      </c>
      <c r="B2302" s="1246" t="s">
        <v>1432</v>
      </c>
      <c r="C2302" s="1247">
        <v>0</v>
      </c>
      <c r="E2302" s="1246" t="s">
        <v>376</v>
      </c>
      <c r="F2302" s="1248">
        <v>15</v>
      </c>
      <c r="G2302" s="1248">
        <v>0</v>
      </c>
      <c r="H2302" s="1249">
        <v>0</v>
      </c>
      <c r="J2302" s="1246" t="s">
        <v>1462</v>
      </c>
      <c r="K2302" s="1284" t="str">
        <f t="shared" si="35"/>
        <v>71</v>
      </c>
      <c r="L2302" s="1246" t="s">
        <v>1496</v>
      </c>
      <c r="M2302" s="1250">
        <v>9</v>
      </c>
      <c r="N2302" s="1251">
        <v>15</v>
      </c>
      <c r="O2302" s="1252">
        <v>1</v>
      </c>
    </row>
    <row r="2303" spans="1:15">
      <c r="A2303" s="1246" t="s">
        <v>1493</v>
      </c>
      <c r="B2303" s="1246" t="s">
        <v>1432</v>
      </c>
      <c r="C2303" s="1247">
        <v>0</v>
      </c>
      <c r="E2303" s="1246" t="s">
        <v>376</v>
      </c>
      <c r="F2303" s="1248">
        <v>15</v>
      </c>
      <c r="G2303" s="1248">
        <v>0</v>
      </c>
      <c r="H2303" s="1249">
        <v>0</v>
      </c>
      <c r="I2303" s="1246" t="s">
        <v>1491</v>
      </c>
      <c r="J2303" s="1246" t="s">
        <v>1436</v>
      </c>
      <c r="K2303" s="1284" t="str">
        <f t="shared" si="35"/>
        <v>11</v>
      </c>
      <c r="L2303" s="1246" t="s">
        <v>1496</v>
      </c>
      <c r="M2303" s="1250">
        <v>9</v>
      </c>
      <c r="N2303" s="1251">
        <v>30</v>
      </c>
      <c r="O2303" s="1252">
        <v>2</v>
      </c>
    </row>
    <row r="2304" spans="1:15">
      <c r="A2304" s="1246" t="s">
        <v>1493</v>
      </c>
      <c r="B2304" s="1246" t="s">
        <v>1432</v>
      </c>
      <c r="C2304" s="1247">
        <v>0</v>
      </c>
      <c r="E2304" s="1246" t="s">
        <v>376</v>
      </c>
      <c r="F2304" s="1248">
        <v>16</v>
      </c>
      <c r="G2304" s="1248">
        <v>0</v>
      </c>
      <c r="H2304" s="1249">
        <v>0</v>
      </c>
      <c r="J2304" s="1246" t="s">
        <v>1397</v>
      </c>
      <c r="K2304" s="1284" t="str">
        <f t="shared" si="35"/>
        <v>10</v>
      </c>
      <c r="L2304" s="1246" t="s">
        <v>1532</v>
      </c>
      <c r="M2304" s="1250">
        <v>9</v>
      </c>
      <c r="N2304" s="1251">
        <v>32</v>
      </c>
      <c r="O2304" s="1252">
        <v>2</v>
      </c>
    </row>
    <row r="2305" spans="1:15">
      <c r="A2305" s="1246" t="s">
        <v>1493</v>
      </c>
      <c r="B2305" s="1246" t="s">
        <v>1432</v>
      </c>
      <c r="C2305" s="1247">
        <v>0</v>
      </c>
      <c r="E2305" s="1246" t="s">
        <v>376</v>
      </c>
      <c r="F2305" s="1248">
        <v>16</v>
      </c>
      <c r="G2305" s="1248">
        <v>0</v>
      </c>
      <c r="H2305" s="1249">
        <v>0</v>
      </c>
      <c r="J2305" s="1246" t="s">
        <v>1436</v>
      </c>
      <c r="K2305" s="1284" t="str">
        <f t="shared" si="35"/>
        <v>11</v>
      </c>
      <c r="L2305" s="1246" t="s">
        <v>1496</v>
      </c>
      <c r="M2305" s="1250">
        <v>9</v>
      </c>
      <c r="N2305" s="1251">
        <v>80</v>
      </c>
      <c r="O2305" s="1252">
        <v>5</v>
      </c>
    </row>
    <row r="2306" spans="1:15">
      <c r="A2306" s="1246" t="s">
        <v>1493</v>
      </c>
      <c r="B2306" s="1246" t="s">
        <v>1432</v>
      </c>
      <c r="C2306" s="1247">
        <v>0</v>
      </c>
      <c r="E2306" s="1246" t="s">
        <v>376</v>
      </c>
      <c r="F2306" s="1248">
        <v>16</v>
      </c>
      <c r="G2306" s="1248">
        <v>0</v>
      </c>
      <c r="H2306" s="1249">
        <v>0</v>
      </c>
      <c r="J2306" s="1246" t="s">
        <v>1462</v>
      </c>
      <c r="K2306" s="1284" t="str">
        <f t="shared" ref="K2306:K2369" si="36">IF(J2306="1B","10", IF(J2306="2B","20",IF(J2306="3B","30",IF(J2306="7B",70,J2306))))</f>
        <v>71</v>
      </c>
      <c r="L2306" s="1246" t="s">
        <v>1496</v>
      </c>
      <c r="M2306" s="1250">
        <v>9</v>
      </c>
      <c r="N2306" s="1251">
        <v>16</v>
      </c>
      <c r="O2306" s="1252">
        <v>1</v>
      </c>
    </row>
    <row r="2307" spans="1:15">
      <c r="A2307" s="1246" t="s">
        <v>1493</v>
      </c>
      <c r="B2307" s="1246" t="s">
        <v>1432</v>
      </c>
      <c r="C2307" s="1247">
        <v>0</v>
      </c>
      <c r="E2307" s="1246" t="s">
        <v>376</v>
      </c>
      <c r="F2307" s="1248">
        <v>17</v>
      </c>
      <c r="G2307" s="1248">
        <v>0</v>
      </c>
      <c r="H2307" s="1249">
        <v>0</v>
      </c>
      <c r="J2307" s="1246" t="s">
        <v>1397</v>
      </c>
      <c r="K2307" s="1284" t="str">
        <f t="shared" si="36"/>
        <v>10</v>
      </c>
      <c r="L2307" s="1246" t="s">
        <v>1532</v>
      </c>
      <c r="M2307" s="1250">
        <v>9</v>
      </c>
      <c r="N2307" s="1251">
        <v>34</v>
      </c>
      <c r="O2307" s="1252">
        <v>2</v>
      </c>
    </row>
    <row r="2308" spans="1:15">
      <c r="A2308" s="1246" t="s">
        <v>1493</v>
      </c>
      <c r="B2308" s="1246" t="s">
        <v>1432</v>
      </c>
      <c r="C2308" s="1247">
        <v>0</v>
      </c>
      <c r="E2308" s="1246" t="s">
        <v>376</v>
      </c>
      <c r="F2308" s="1248">
        <v>17</v>
      </c>
      <c r="G2308" s="1248">
        <v>0</v>
      </c>
      <c r="H2308" s="1249">
        <v>0</v>
      </c>
      <c r="J2308" s="1246" t="s">
        <v>1436</v>
      </c>
      <c r="K2308" s="1284" t="str">
        <f t="shared" si="36"/>
        <v>11</v>
      </c>
      <c r="L2308" s="1246" t="s">
        <v>1496</v>
      </c>
      <c r="M2308" s="1250">
        <v>9</v>
      </c>
      <c r="N2308" s="1251">
        <v>17</v>
      </c>
      <c r="O2308" s="1252">
        <v>1</v>
      </c>
    </row>
    <row r="2309" spans="1:15">
      <c r="A2309" s="1246" t="s">
        <v>1493</v>
      </c>
      <c r="B2309" s="1246" t="s">
        <v>1432</v>
      </c>
      <c r="C2309" s="1247">
        <v>0</v>
      </c>
      <c r="E2309" s="1246" t="s">
        <v>376</v>
      </c>
      <c r="F2309" s="1248">
        <v>17</v>
      </c>
      <c r="G2309" s="1248">
        <v>0</v>
      </c>
      <c r="H2309" s="1249">
        <v>0</v>
      </c>
      <c r="I2309" s="1246" t="s">
        <v>1491</v>
      </c>
      <c r="J2309" s="1246" t="s">
        <v>1436</v>
      </c>
      <c r="K2309" s="1284" t="str">
        <f t="shared" si="36"/>
        <v>11</v>
      </c>
      <c r="L2309" s="1246" t="s">
        <v>1496</v>
      </c>
      <c r="M2309" s="1250">
        <v>9</v>
      </c>
      <c r="N2309" s="1251">
        <v>34</v>
      </c>
      <c r="O2309" s="1252">
        <v>2</v>
      </c>
    </row>
    <row r="2310" spans="1:15">
      <c r="A2310" s="1246" t="s">
        <v>1493</v>
      </c>
      <c r="B2310" s="1246" t="s">
        <v>1432</v>
      </c>
      <c r="C2310" s="1247">
        <v>0</v>
      </c>
      <c r="E2310" s="1246" t="s">
        <v>376</v>
      </c>
      <c r="F2310" s="1248">
        <v>18</v>
      </c>
      <c r="G2310" s="1248">
        <v>0</v>
      </c>
      <c r="H2310" s="1249">
        <v>0</v>
      </c>
      <c r="J2310" s="1246" t="s">
        <v>1466</v>
      </c>
      <c r="K2310" s="1284" t="str">
        <f t="shared" si="36"/>
        <v>75</v>
      </c>
      <c r="L2310" s="1246" t="s">
        <v>1530</v>
      </c>
      <c r="M2310" s="1250">
        <v>9</v>
      </c>
      <c r="N2310" s="1251">
        <v>18</v>
      </c>
      <c r="O2310" s="1252">
        <v>1</v>
      </c>
    </row>
    <row r="2311" spans="1:15">
      <c r="A2311" s="1246" t="s">
        <v>1493</v>
      </c>
      <c r="B2311" s="1246" t="s">
        <v>1432</v>
      </c>
      <c r="C2311" s="1247">
        <v>0</v>
      </c>
      <c r="E2311" s="1246" t="s">
        <v>376</v>
      </c>
      <c r="F2311" s="1248">
        <v>18</v>
      </c>
      <c r="G2311" s="1248">
        <v>0</v>
      </c>
      <c r="H2311" s="1249">
        <v>0</v>
      </c>
      <c r="J2311" s="1246" t="s">
        <v>1397</v>
      </c>
      <c r="K2311" s="1284" t="str">
        <f t="shared" si="36"/>
        <v>10</v>
      </c>
      <c r="L2311" s="1246" t="s">
        <v>1532</v>
      </c>
      <c r="M2311" s="1250">
        <v>9</v>
      </c>
      <c r="N2311" s="1251">
        <v>36</v>
      </c>
      <c r="O2311" s="1252">
        <v>2</v>
      </c>
    </row>
    <row r="2312" spans="1:15">
      <c r="A2312" s="1246" t="s">
        <v>1493</v>
      </c>
      <c r="B2312" s="1246" t="s">
        <v>1432</v>
      </c>
      <c r="C2312" s="1247">
        <v>0</v>
      </c>
      <c r="E2312" s="1246" t="s">
        <v>376</v>
      </c>
      <c r="F2312" s="1248">
        <v>18</v>
      </c>
      <c r="G2312" s="1248">
        <v>0</v>
      </c>
      <c r="H2312" s="1249">
        <v>0</v>
      </c>
      <c r="J2312" s="1246" t="s">
        <v>1436</v>
      </c>
      <c r="K2312" s="1284" t="str">
        <f t="shared" si="36"/>
        <v>11</v>
      </c>
      <c r="L2312" s="1246" t="s">
        <v>1496</v>
      </c>
      <c r="M2312" s="1250">
        <v>9</v>
      </c>
      <c r="N2312" s="1251">
        <v>54</v>
      </c>
      <c r="O2312" s="1252">
        <v>3</v>
      </c>
    </row>
    <row r="2313" spans="1:15">
      <c r="A2313" s="1246" t="s">
        <v>1493</v>
      </c>
      <c r="B2313" s="1246" t="s">
        <v>1432</v>
      </c>
      <c r="C2313" s="1247">
        <v>0</v>
      </c>
      <c r="E2313" s="1246" t="s">
        <v>376</v>
      </c>
      <c r="F2313" s="1248">
        <v>18</v>
      </c>
      <c r="G2313" s="1248">
        <v>0</v>
      </c>
      <c r="H2313" s="1249">
        <v>0</v>
      </c>
      <c r="I2313" s="1246" t="s">
        <v>1491</v>
      </c>
      <c r="J2313" s="1246" t="s">
        <v>1436</v>
      </c>
      <c r="K2313" s="1284" t="str">
        <f t="shared" si="36"/>
        <v>11</v>
      </c>
      <c r="L2313" s="1246" t="s">
        <v>1496</v>
      </c>
      <c r="M2313" s="1250">
        <v>9</v>
      </c>
      <c r="N2313" s="1251">
        <v>108</v>
      </c>
      <c r="O2313" s="1252">
        <v>6</v>
      </c>
    </row>
    <row r="2314" spans="1:15">
      <c r="A2314" s="1246" t="s">
        <v>1493</v>
      </c>
      <c r="B2314" s="1246" t="s">
        <v>1432</v>
      </c>
      <c r="C2314" s="1247">
        <v>0</v>
      </c>
      <c r="E2314" s="1246" t="s">
        <v>376</v>
      </c>
      <c r="F2314" s="1248">
        <v>19</v>
      </c>
      <c r="G2314" s="1248">
        <v>0</v>
      </c>
      <c r="H2314" s="1249">
        <v>0</v>
      </c>
      <c r="J2314" s="1246" t="s">
        <v>1397</v>
      </c>
      <c r="K2314" s="1284" t="str">
        <f t="shared" si="36"/>
        <v>10</v>
      </c>
      <c r="L2314" s="1246" t="s">
        <v>1532</v>
      </c>
      <c r="M2314" s="1250">
        <v>9</v>
      </c>
      <c r="N2314" s="1251">
        <v>19</v>
      </c>
      <c r="O2314" s="1252">
        <v>1</v>
      </c>
    </row>
    <row r="2315" spans="1:15">
      <c r="A2315" s="1246" t="s">
        <v>1493</v>
      </c>
      <c r="B2315" s="1246" t="s">
        <v>1432</v>
      </c>
      <c r="C2315" s="1247">
        <v>0</v>
      </c>
      <c r="E2315" s="1246" t="s">
        <v>376</v>
      </c>
      <c r="F2315" s="1248">
        <v>19</v>
      </c>
      <c r="G2315" s="1248">
        <v>0</v>
      </c>
      <c r="H2315" s="1249">
        <v>0</v>
      </c>
      <c r="J2315" s="1246" t="s">
        <v>1436</v>
      </c>
      <c r="K2315" s="1284" t="str">
        <f t="shared" si="36"/>
        <v>11</v>
      </c>
      <c r="L2315" s="1246" t="s">
        <v>1496</v>
      </c>
      <c r="M2315" s="1250">
        <v>9</v>
      </c>
      <c r="N2315" s="1251">
        <v>19</v>
      </c>
      <c r="O2315" s="1252">
        <v>1</v>
      </c>
    </row>
    <row r="2316" spans="1:15">
      <c r="A2316" s="1246" t="s">
        <v>1493</v>
      </c>
      <c r="B2316" s="1246" t="s">
        <v>1432</v>
      </c>
      <c r="C2316" s="1247">
        <v>0</v>
      </c>
      <c r="E2316" s="1246" t="s">
        <v>376</v>
      </c>
      <c r="F2316" s="1248">
        <v>20</v>
      </c>
      <c r="G2316" s="1248">
        <v>0</v>
      </c>
      <c r="H2316" s="1249">
        <v>0</v>
      </c>
      <c r="J2316" s="1246" t="s">
        <v>1443</v>
      </c>
      <c r="K2316" s="1284" t="str">
        <f t="shared" si="36"/>
        <v>1C</v>
      </c>
      <c r="L2316" s="1246" t="s">
        <v>1502</v>
      </c>
      <c r="M2316" s="1250">
        <v>4</v>
      </c>
      <c r="N2316" s="1251">
        <v>20</v>
      </c>
      <c r="O2316" s="1252">
        <v>1</v>
      </c>
    </row>
    <row r="2317" spans="1:15">
      <c r="A2317" s="1246" t="s">
        <v>1493</v>
      </c>
      <c r="B2317" s="1246" t="s">
        <v>1432</v>
      </c>
      <c r="C2317" s="1247">
        <v>0</v>
      </c>
      <c r="E2317" s="1246" t="s">
        <v>376</v>
      </c>
      <c r="F2317" s="1248">
        <v>20</v>
      </c>
      <c r="G2317" s="1248">
        <v>0</v>
      </c>
      <c r="H2317" s="1249">
        <v>0</v>
      </c>
      <c r="J2317" s="1246" t="s">
        <v>1463</v>
      </c>
      <c r="K2317" s="1284" t="str">
        <f t="shared" si="36"/>
        <v>72</v>
      </c>
      <c r="L2317" s="1246" t="s">
        <v>1529</v>
      </c>
      <c r="M2317" s="1250">
        <v>9</v>
      </c>
      <c r="N2317" s="1251">
        <v>20</v>
      </c>
      <c r="O2317" s="1252">
        <v>1</v>
      </c>
    </row>
    <row r="2318" spans="1:15">
      <c r="A2318" s="1246" t="s">
        <v>1493</v>
      </c>
      <c r="B2318" s="1246" t="s">
        <v>1432</v>
      </c>
      <c r="C2318" s="1247">
        <v>0</v>
      </c>
      <c r="E2318" s="1246" t="s">
        <v>376</v>
      </c>
      <c r="F2318" s="1248">
        <v>20</v>
      </c>
      <c r="G2318" s="1248">
        <v>0</v>
      </c>
      <c r="H2318" s="1249">
        <v>0</v>
      </c>
      <c r="J2318" s="1246" t="s">
        <v>1436</v>
      </c>
      <c r="K2318" s="1284" t="str">
        <f t="shared" si="36"/>
        <v>11</v>
      </c>
      <c r="L2318" s="1246" t="s">
        <v>1496</v>
      </c>
      <c r="M2318" s="1250">
        <v>9</v>
      </c>
      <c r="N2318" s="1251">
        <v>80</v>
      </c>
      <c r="O2318" s="1252">
        <v>4</v>
      </c>
    </row>
    <row r="2319" spans="1:15">
      <c r="A2319" s="1246" t="s">
        <v>1493</v>
      </c>
      <c r="B2319" s="1246" t="s">
        <v>1432</v>
      </c>
      <c r="C2319" s="1247">
        <v>0</v>
      </c>
      <c r="E2319" s="1246" t="s">
        <v>376</v>
      </c>
      <c r="F2319" s="1248">
        <v>20</v>
      </c>
      <c r="G2319" s="1248">
        <v>0</v>
      </c>
      <c r="H2319" s="1249">
        <v>0</v>
      </c>
      <c r="J2319" s="1246" t="s">
        <v>1462</v>
      </c>
      <c r="K2319" s="1284" t="str">
        <f t="shared" si="36"/>
        <v>71</v>
      </c>
      <c r="L2319" s="1246" t="s">
        <v>1496</v>
      </c>
      <c r="M2319" s="1250">
        <v>9</v>
      </c>
      <c r="N2319" s="1251">
        <v>20</v>
      </c>
      <c r="O2319" s="1252">
        <v>1</v>
      </c>
    </row>
    <row r="2320" spans="1:15">
      <c r="A2320" s="1246" t="s">
        <v>1493</v>
      </c>
      <c r="B2320" s="1246" t="s">
        <v>1432</v>
      </c>
      <c r="C2320" s="1247">
        <v>0</v>
      </c>
      <c r="E2320" s="1246" t="s">
        <v>376</v>
      </c>
      <c r="F2320" s="1248">
        <v>20</v>
      </c>
      <c r="G2320" s="1248">
        <v>0</v>
      </c>
      <c r="H2320" s="1249">
        <v>0</v>
      </c>
      <c r="I2320" s="1246" t="s">
        <v>1491</v>
      </c>
      <c r="J2320" s="1246" t="s">
        <v>1436</v>
      </c>
      <c r="K2320" s="1284" t="str">
        <f t="shared" si="36"/>
        <v>11</v>
      </c>
      <c r="L2320" s="1246" t="s">
        <v>1496</v>
      </c>
      <c r="M2320" s="1250">
        <v>9</v>
      </c>
      <c r="N2320" s="1251">
        <v>100</v>
      </c>
      <c r="O2320" s="1252">
        <v>5</v>
      </c>
    </row>
    <row r="2321" spans="1:15">
      <c r="A2321" s="1246" t="s">
        <v>1493</v>
      </c>
      <c r="B2321" s="1246" t="s">
        <v>1432</v>
      </c>
      <c r="C2321" s="1247">
        <v>0</v>
      </c>
      <c r="E2321" s="1246" t="s">
        <v>376</v>
      </c>
      <c r="F2321" s="1248">
        <v>21</v>
      </c>
      <c r="G2321" s="1248">
        <v>0</v>
      </c>
      <c r="H2321" s="1249">
        <v>0</v>
      </c>
      <c r="J2321" s="1246" t="s">
        <v>1463</v>
      </c>
      <c r="K2321" s="1284" t="str">
        <f t="shared" si="36"/>
        <v>72</v>
      </c>
      <c r="L2321" s="1246" t="s">
        <v>1529</v>
      </c>
      <c r="M2321" s="1250">
        <v>9</v>
      </c>
      <c r="N2321" s="1251">
        <v>21</v>
      </c>
      <c r="O2321" s="1252">
        <v>1</v>
      </c>
    </row>
    <row r="2322" spans="1:15">
      <c r="A2322" s="1246" t="s">
        <v>1493</v>
      </c>
      <c r="B2322" s="1246" t="s">
        <v>1432</v>
      </c>
      <c r="C2322" s="1247">
        <v>0</v>
      </c>
      <c r="E2322" s="1246" t="s">
        <v>376</v>
      </c>
      <c r="F2322" s="1248">
        <v>21</v>
      </c>
      <c r="G2322" s="1248">
        <v>0</v>
      </c>
      <c r="H2322" s="1249">
        <v>0</v>
      </c>
      <c r="J2322" s="1246" t="s">
        <v>1397</v>
      </c>
      <c r="K2322" s="1284" t="str">
        <f t="shared" si="36"/>
        <v>10</v>
      </c>
      <c r="L2322" s="1246" t="s">
        <v>1532</v>
      </c>
      <c r="M2322" s="1250">
        <v>9</v>
      </c>
      <c r="N2322" s="1251">
        <v>21</v>
      </c>
      <c r="O2322" s="1252">
        <v>1</v>
      </c>
    </row>
    <row r="2323" spans="1:15">
      <c r="A2323" s="1246" t="s">
        <v>1493</v>
      </c>
      <c r="B2323" s="1246" t="s">
        <v>1432</v>
      </c>
      <c r="C2323" s="1247">
        <v>0</v>
      </c>
      <c r="E2323" s="1246" t="s">
        <v>376</v>
      </c>
      <c r="F2323" s="1248">
        <v>21</v>
      </c>
      <c r="G2323" s="1248">
        <v>0</v>
      </c>
      <c r="H2323" s="1249">
        <v>0</v>
      </c>
      <c r="J2323" s="1246" t="s">
        <v>1464</v>
      </c>
      <c r="K2323" s="1284" t="str">
        <f t="shared" si="36"/>
        <v>73</v>
      </c>
      <c r="L2323" s="1246" t="s">
        <v>1496</v>
      </c>
      <c r="M2323" s="1250">
        <v>9</v>
      </c>
      <c r="N2323" s="1251">
        <v>21</v>
      </c>
      <c r="O2323" s="1252">
        <v>1</v>
      </c>
    </row>
    <row r="2324" spans="1:15">
      <c r="A2324" s="1246" t="s">
        <v>1493</v>
      </c>
      <c r="B2324" s="1246" t="s">
        <v>1432</v>
      </c>
      <c r="C2324" s="1247">
        <v>0</v>
      </c>
      <c r="E2324" s="1246" t="s">
        <v>376</v>
      </c>
      <c r="F2324" s="1248">
        <v>21</v>
      </c>
      <c r="G2324" s="1248">
        <v>0</v>
      </c>
      <c r="H2324" s="1249">
        <v>0</v>
      </c>
      <c r="I2324" s="1246" t="s">
        <v>1491</v>
      </c>
      <c r="J2324" s="1246" t="s">
        <v>1436</v>
      </c>
      <c r="K2324" s="1284" t="str">
        <f t="shared" si="36"/>
        <v>11</v>
      </c>
      <c r="L2324" s="1246" t="s">
        <v>1496</v>
      </c>
      <c r="M2324" s="1250">
        <v>9</v>
      </c>
      <c r="N2324" s="1251">
        <v>42</v>
      </c>
      <c r="O2324" s="1252">
        <v>2</v>
      </c>
    </row>
    <row r="2325" spans="1:15">
      <c r="A2325" s="1246" t="s">
        <v>1493</v>
      </c>
      <c r="B2325" s="1246" t="s">
        <v>1432</v>
      </c>
      <c r="C2325" s="1247">
        <v>0</v>
      </c>
      <c r="E2325" s="1246" t="s">
        <v>376</v>
      </c>
      <c r="F2325" s="1248">
        <v>22</v>
      </c>
      <c r="G2325" s="1248">
        <v>0</v>
      </c>
      <c r="H2325" s="1249">
        <v>0</v>
      </c>
      <c r="J2325" s="1246" t="s">
        <v>1438</v>
      </c>
      <c r="K2325" s="1284" t="str">
        <f t="shared" si="36"/>
        <v>13</v>
      </c>
      <c r="L2325" s="1246" t="s">
        <v>1533</v>
      </c>
      <c r="M2325" s="1250">
        <v>9</v>
      </c>
      <c r="N2325" s="1251">
        <v>22</v>
      </c>
      <c r="O2325" s="1252">
        <v>1</v>
      </c>
    </row>
    <row r="2326" spans="1:15">
      <c r="A2326" s="1246" t="s">
        <v>1493</v>
      </c>
      <c r="B2326" s="1246" t="s">
        <v>1432</v>
      </c>
      <c r="C2326" s="1247">
        <v>0</v>
      </c>
      <c r="E2326" s="1246" t="s">
        <v>376</v>
      </c>
      <c r="F2326" s="1248">
        <v>22</v>
      </c>
      <c r="G2326" s="1248">
        <v>0</v>
      </c>
      <c r="H2326" s="1249">
        <v>0</v>
      </c>
      <c r="J2326" s="1246" t="s">
        <v>1436</v>
      </c>
      <c r="K2326" s="1284" t="str">
        <f t="shared" si="36"/>
        <v>11</v>
      </c>
      <c r="L2326" s="1246" t="s">
        <v>1496</v>
      </c>
      <c r="M2326" s="1250">
        <v>9</v>
      </c>
      <c r="N2326" s="1251">
        <v>44</v>
      </c>
      <c r="O2326" s="1252">
        <v>2</v>
      </c>
    </row>
    <row r="2327" spans="1:15">
      <c r="A2327" s="1246" t="s">
        <v>1493</v>
      </c>
      <c r="B2327" s="1246" t="s">
        <v>1432</v>
      </c>
      <c r="C2327" s="1247">
        <v>0</v>
      </c>
      <c r="E2327" s="1246" t="s">
        <v>376</v>
      </c>
      <c r="F2327" s="1248">
        <v>22</v>
      </c>
      <c r="G2327" s="1248">
        <v>0</v>
      </c>
      <c r="H2327" s="1249">
        <v>0</v>
      </c>
      <c r="I2327" s="1246" t="s">
        <v>1491</v>
      </c>
      <c r="J2327" s="1246" t="s">
        <v>1436</v>
      </c>
      <c r="K2327" s="1284" t="str">
        <f t="shared" si="36"/>
        <v>11</v>
      </c>
      <c r="L2327" s="1246" t="s">
        <v>1496</v>
      </c>
      <c r="M2327" s="1250">
        <v>9</v>
      </c>
      <c r="N2327" s="1251">
        <v>66</v>
      </c>
      <c r="O2327" s="1252">
        <v>3</v>
      </c>
    </row>
    <row r="2328" spans="1:15">
      <c r="A2328" s="1246" t="s">
        <v>1493</v>
      </c>
      <c r="B2328" s="1246" t="s">
        <v>1432</v>
      </c>
      <c r="C2328" s="1247">
        <v>0</v>
      </c>
      <c r="E2328" s="1246" t="s">
        <v>376</v>
      </c>
      <c r="F2328" s="1248">
        <v>23</v>
      </c>
      <c r="G2328" s="1248">
        <v>0</v>
      </c>
      <c r="H2328" s="1249">
        <v>0</v>
      </c>
      <c r="J2328" s="1246" t="s">
        <v>1437</v>
      </c>
      <c r="K2328" s="1284" t="str">
        <f t="shared" si="36"/>
        <v>12</v>
      </c>
      <c r="L2328" s="1246" t="s">
        <v>1529</v>
      </c>
      <c r="M2328" s="1250">
        <v>9</v>
      </c>
      <c r="N2328" s="1251">
        <v>23</v>
      </c>
      <c r="O2328" s="1252">
        <v>1</v>
      </c>
    </row>
    <row r="2329" spans="1:15">
      <c r="A2329" s="1246" t="s">
        <v>1493</v>
      </c>
      <c r="B2329" s="1246" t="s">
        <v>1432</v>
      </c>
      <c r="C2329" s="1247">
        <v>0</v>
      </c>
      <c r="E2329" s="1246" t="s">
        <v>376</v>
      </c>
      <c r="F2329" s="1248">
        <v>23</v>
      </c>
      <c r="G2329" s="1248">
        <v>0</v>
      </c>
      <c r="H2329" s="1249">
        <v>0</v>
      </c>
      <c r="J2329" s="1246" t="s">
        <v>1464</v>
      </c>
      <c r="K2329" s="1284" t="str">
        <f t="shared" si="36"/>
        <v>73</v>
      </c>
      <c r="L2329" s="1246" t="s">
        <v>1533</v>
      </c>
      <c r="M2329" s="1250">
        <v>9</v>
      </c>
      <c r="N2329" s="1251">
        <v>46</v>
      </c>
      <c r="O2329" s="1252">
        <v>2</v>
      </c>
    </row>
    <row r="2330" spans="1:15">
      <c r="A2330" s="1246" t="s">
        <v>1493</v>
      </c>
      <c r="B2330" s="1246" t="s">
        <v>1432</v>
      </c>
      <c r="C2330" s="1247">
        <v>0</v>
      </c>
      <c r="E2330" s="1246" t="s">
        <v>376</v>
      </c>
      <c r="F2330" s="1248">
        <v>23</v>
      </c>
      <c r="G2330" s="1248">
        <v>0</v>
      </c>
      <c r="H2330" s="1249">
        <v>0</v>
      </c>
      <c r="J2330" s="1246" t="s">
        <v>1438</v>
      </c>
      <c r="K2330" s="1284" t="str">
        <f t="shared" si="36"/>
        <v>13</v>
      </c>
      <c r="L2330" s="1246" t="s">
        <v>1533</v>
      </c>
      <c r="M2330" s="1250">
        <v>9</v>
      </c>
      <c r="N2330" s="1251">
        <v>23</v>
      </c>
      <c r="O2330" s="1252">
        <v>1</v>
      </c>
    </row>
    <row r="2331" spans="1:15">
      <c r="A2331" s="1246" t="s">
        <v>1493</v>
      </c>
      <c r="B2331" s="1246" t="s">
        <v>1432</v>
      </c>
      <c r="C2331" s="1247">
        <v>0</v>
      </c>
      <c r="E2331" s="1246" t="s">
        <v>376</v>
      </c>
      <c r="F2331" s="1248">
        <v>23</v>
      </c>
      <c r="G2331" s="1248">
        <v>0</v>
      </c>
      <c r="H2331" s="1249">
        <v>0</v>
      </c>
      <c r="I2331" s="1246" t="s">
        <v>1491</v>
      </c>
      <c r="J2331" s="1246" t="s">
        <v>1436</v>
      </c>
      <c r="K2331" s="1284" t="str">
        <f t="shared" si="36"/>
        <v>11</v>
      </c>
      <c r="L2331" s="1246" t="s">
        <v>1496</v>
      </c>
      <c r="M2331" s="1250">
        <v>9</v>
      </c>
      <c r="N2331" s="1251">
        <v>46</v>
      </c>
      <c r="O2331" s="1252">
        <v>2</v>
      </c>
    </row>
    <row r="2332" spans="1:15">
      <c r="A2332" s="1246" t="s">
        <v>1493</v>
      </c>
      <c r="B2332" s="1246" t="s">
        <v>1432</v>
      </c>
      <c r="C2332" s="1247">
        <v>0</v>
      </c>
      <c r="E2332" s="1246" t="s">
        <v>376</v>
      </c>
      <c r="F2332" s="1248">
        <v>24</v>
      </c>
      <c r="G2332" s="1248">
        <v>0</v>
      </c>
      <c r="H2332" s="1249">
        <v>0</v>
      </c>
      <c r="J2332" s="1246" t="s">
        <v>1397</v>
      </c>
      <c r="K2332" s="1284" t="str">
        <f t="shared" si="36"/>
        <v>10</v>
      </c>
      <c r="L2332" s="1246" t="s">
        <v>1532</v>
      </c>
      <c r="M2332" s="1250">
        <v>9</v>
      </c>
      <c r="N2332" s="1251">
        <v>72</v>
      </c>
      <c r="O2332" s="1252">
        <v>3</v>
      </c>
    </row>
    <row r="2333" spans="1:15">
      <c r="A2333" s="1246" t="s">
        <v>1493</v>
      </c>
      <c r="B2333" s="1246" t="s">
        <v>1432</v>
      </c>
      <c r="C2333" s="1247">
        <v>0</v>
      </c>
      <c r="E2333" s="1246" t="s">
        <v>376</v>
      </c>
      <c r="F2333" s="1248">
        <v>24</v>
      </c>
      <c r="G2333" s="1248">
        <v>0</v>
      </c>
      <c r="H2333" s="1249">
        <v>0</v>
      </c>
      <c r="J2333" s="1246" t="s">
        <v>1436</v>
      </c>
      <c r="K2333" s="1284" t="str">
        <f t="shared" si="36"/>
        <v>11</v>
      </c>
      <c r="L2333" s="1246" t="s">
        <v>1496</v>
      </c>
      <c r="M2333" s="1250">
        <v>9</v>
      </c>
      <c r="N2333" s="1251">
        <v>72</v>
      </c>
      <c r="O2333" s="1252">
        <v>3</v>
      </c>
    </row>
    <row r="2334" spans="1:15">
      <c r="A2334" s="1246" t="s">
        <v>1493</v>
      </c>
      <c r="B2334" s="1246" t="s">
        <v>1432</v>
      </c>
      <c r="C2334" s="1247">
        <v>0</v>
      </c>
      <c r="E2334" s="1246" t="s">
        <v>376</v>
      </c>
      <c r="F2334" s="1248">
        <v>24</v>
      </c>
      <c r="G2334" s="1248">
        <v>0</v>
      </c>
      <c r="H2334" s="1249">
        <v>0</v>
      </c>
      <c r="J2334" s="1246" t="s">
        <v>1462</v>
      </c>
      <c r="K2334" s="1284" t="str">
        <f t="shared" si="36"/>
        <v>71</v>
      </c>
      <c r="L2334" s="1246" t="s">
        <v>1496</v>
      </c>
      <c r="M2334" s="1250">
        <v>9</v>
      </c>
      <c r="N2334" s="1251">
        <v>24</v>
      </c>
      <c r="O2334" s="1252">
        <v>1</v>
      </c>
    </row>
    <row r="2335" spans="1:15">
      <c r="A2335" s="1246" t="s">
        <v>1493</v>
      </c>
      <c r="B2335" s="1246" t="s">
        <v>1432</v>
      </c>
      <c r="C2335" s="1247">
        <v>0</v>
      </c>
      <c r="E2335" s="1246" t="s">
        <v>376</v>
      </c>
      <c r="F2335" s="1248">
        <v>24</v>
      </c>
      <c r="G2335" s="1248">
        <v>0</v>
      </c>
      <c r="H2335" s="1249">
        <v>0</v>
      </c>
      <c r="I2335" s="1246" t="s">
        <v>1491</v>
      </c>
      <c r="J2335" s="1246" t="s">
        <v>1436</v>
      </c>
      <c r="K2335" s="1284" t="str">
        <f t="shared" si="36"/>
        <v>11</v>
      </c>
      <c r="L2335" s="1246" t="s">
        <v>1496</v>
      </c>
      <c r="M2335" s="1250">
        <v>9</v>
      </c>
      <c r="N2335" s="1251">
        <v>216</v>
      </c>
      <c r="O2335" s="1252">
        <v>9</v>
      </c>
    </row>
    <row r="2336" spans="1:15">
      <c r="A2336" s="1246" t="s">
        <v>1493</v>
      </c>
      <c r="B2336" s="1246" t="s">
        <v>1432</v>
      </c>
      <c r="C2336" s="1247">
        <v>0</v>
      </c>
      <c r="E2336" s="1246" t="s">
        <v>376</v>
      </c>
      <c r="F2336" s="1248">
        <v>25</v>
      </c>
      <c r="G2336" s="1248">
        <v>0</v>
      </c>
      <c r="H2336" s="1249">
        <v>0</v>
      </c>
      <c r="J2336" s="1246" t="s">
        <v>1437</v>
      </c>
      <c r="K2336" s="1284" t="str">
        <f t="shared" si="36"/>
        <v>12</v>
      </c>
      <c r="L2336" s="1246" t="s">
        <v>1529</v>
      </c>
      <c r="M2336" s="1250">
        <v>9</v>
      </c>
      <c r="N2336" s="1251">
        <v>25</v>
      </c>
      <c r="O2336" s="1252">
        <v>1</v>
      </c>
    </row>
    <row r="2337" spans="1:15">
      <c r="A2337" s="1246" t="s">
        <v>1493</v>
      </c>
      <c r="B2337" s="1246" t="s">
        <v>1432</v>
      </c>
      <c r="C2337" s="1247">
        <v>0</v>
      </c>
      <c r="E2337" s="1246" t="s">
        <v>376</v>
      </c>
      <c r="F2337" s="1248">
        <v>25</v>
      </c>
      <c r="G2337" s="1248">
        <v>0</v>
      </c>
      <c r="H2337" s="1249">
        <v>0</v>
      </c>
      <c r="J2337" s="1246" t="s">
        <v>1438</v>
      </c>
      <c r="K2337" s="1284" t="str">
        <f t="shared" si="36"/>
        <v>13</v>
      </c>
      <c r="L2337" s="1246" t="s">
        <v>1533</v>
      </c>
      <c r="M2337" s="1250">
        <v>9</v>
      </c>
      <c r="N2337" s="1251">
        <v>75</v>
      </c>
      <c r="O2337" s="1252">
        <v>3</v>
      </c>
    </row>
    <row r="2338" spans="1:15">
      <c r="A2338" s="1246" t="s">
        <v>1493</v>
      </c>
      <c r="B2338" s="1246" t="s">
        <v>1432</v>
      </c>
      <c r="C2338" s="1247">
        <v>0</v>
      </c>
      <c r="E2338" s="1246" t="s">
        <v>376</v>
      </c>
      <c r="F2338" s="1248">
        <v>25</v>
      </c>
      <c r="G2338" s="1248">
        <v>0</v>
      </c>
      <c r="H2338" s="1249">
        <v>0</v>
      </c>
      <c r="J2338" s="1246" t="s">
        <v>1436</v>
      </c>
      <c r="K2338" s="1284" t="str">
        <f t="shared" si="36"/>
        <v>11</v>
      </c>
      <c r="L2338" s="1246" t="s">
        <v>1496</v>
      </c>
      <c r="M2338" s="1250">
        <v>9</v>
      </c>
      <c r="N2338" s="1251">
        <v>25</v>
      </c>
      <c r="O2338" s="1252">
        <v>1</v>
      </c>
    </row>
    <row r="2339" spans="1:15">
      <c r="A2339" s="1246" t="s">
        <v>1493</v>
      </c>
      <c r="B2339" s="1246" t="s">
        <v>1432</v>
      </c>
      <c r="C2339" s="1247">
        <v>0</v>
      </c>
      <c r="E2339" s="1246" t="s">
        <v>376</v>
      </c>
      <c r="F2339" s="1248">
        <v>25</v>
      </c>
      <c r="G2339" s="1248">
        <v>0</v>
      </c>
      <c r="H2339" s="1249">
        <v>0</v>
      </c>
      <c r="I2339" s="1246" t="s">
        <v>1491</v>
      </c>
      <c r="J2339" s="1246" t="s">
        <v>1436</v>
      </c>
      <c r="K2339" s="1284" t="str">
        <f t="shared" si="36"/>
        <v>11</v>
      </c>
      <c r="L2339" s="1246" t="s">
        <v>1496</v>
      </c>
      <c r="M2339" s="1250">
        <v>9</v>
      </c>
      <c r="N2339" s="1251">
        <v>25</v>
      </c>
      <c r="O2339" s="1252">
        <v>1</v>
      </c>
    </row>
    <row r="2340" spans="1:15">
      <c r="A2340" s="1246" t="s">
        <v>1493</v>
      </c>
      <c r="B2340" s="1246" t="s">
        <v>1432</v>
      </c>
      <c r="C2340" s="1247">
        <v>0</v>
      </c>
      <c r="E2340" s="1246" t="s">
        <v>376</v>
      </c>
      <c r="F2340" s="1248">
        <v>26</v>
      </c>
      <c r="G2340" s="1248">
        <v>0</v>
      </c>
      <c r="H2340" s="1249">
        <v>0</v>
      </c>
      <c r="J2340" s="1246" t="s">
        <v>1397</v>
      </c>
      <c r="K2340" s="1284" t="str">
        <f t="shared" si="36"/>
        <v>10</v>
      </c>
      <c r="L2340" s="1246" t="s">
        <v>1532</v>
      </c>
      <c r="M2340" s="1250">
        <v>9</v>
      </c>
      <c r="N2340" s="1251">
        <v>26</v>
      </c>
      <c r="O2340" s="1252">
        <v>1</v>
      </c>
    </row>
    <row r="2341" spans="1:15">
      <c r="A2341" s="1246" t="s">
        <v>1493</v>
      </c>
      <c r="B2341" s="1246" t="s">
        <v>1432</v>
      </c>
      <c r="C2341" s="1247">
        <v>0</v>
      </c>
      <c r="E2341" s="1246" t="s">
        <v>376</v>
      </c>
      <c r="F2341" s="1248">
        <v>26</v>
      </c>
      <c r="G2341" s="1248">
        <v>0</v>
      </c>
      <c r="H2341" s="1249">
        <v>0</v>
      </c>
      <c r="J2341" s="1246" t="s">
        <v>1436</v>
      </c>
      <c r="K2341" s="1284" t="str">
        <f t="shared" si="36"/>
        <v>11</v>
      </c>
      <c r="L2341" s="1246" t="s">
        <v>1496</v>
      </c>
      <c r="M2341" s="1250">
        <v>9</v>
      </c>
      <c r="N2341" s="1251">
        <v>52</v>
      </c>
      <c r="O2341" s="1252">
        <v>2</v>
      </c>
    </row>
    <row r="2342" spans="1:15">
      <c r="A2342" s="1246" t="s">
        <v>1493</v>
      </c>
      <c r="B2342" s="1246" t="s">
        <v>1432</v>
      </c>
      <c r="C2342" s="1247">
        <v>0</v>
      </c>
      <c r="E2342" s="1246" t="s">
        <v>376</v>
      </c>
      <c r="F2342" s="1248">
        <v>26</v>
      </c>
      <c r="G2342" s="1248">
        <v>0</v>
      </c>
      <c r="H2342" s="1249">
        <v>0</v>
      </c>
      <c r="I2342" s="1246" t="s">
        <v>1491</v>
      </c>
      <c r="J2342" s="1246" t="s">
        <v>1436</v>
      </c>
      <c r="K2342" s="1284" t="str">
        <f t="shared" si="36"/>
        <v>11</v>
      </c>
      <c r="L2342" s="1246" t="s">
        <v>1496</v>
      </c>
      <c r="M2342" s="1250">
        <v>9</v>
      </c>
      <c r="N2342" s="1251">
        <v>26</v>
      </c>
      <c r="O2342" s="1252">
        <v>1</v>
      </c>
    </row>
    <row r="2343" spans="1:15">
      <c r="A2343" s="1246" t="s">
        <v>1493</v>
      </c>
      <c r="B2343" s="1246" t="s">
        <v>1432</v>
      </c>
      <c r="C2343" s="1247">
        <v>0</v>
      </c>
      <c r="E2343" s="1246" t="s">
        <v>376</v>
      </c>
      <c r="F2343" s="1248">
        <v>27</v>
      </c>
      <c r="G2343" s="1248">
        <v>0</v>
      </c>
      <c r="H2343" s="1249">
        <v>0</v>
      </c>
      <c r="J2343" s="1246" t="s">
        <v>1400</v>
      </c>
      <c r="K2343" s="1284" t="str">
        <f t="shared" si="36"/>
        <v>70</v>
      </c>
      <c r="L2343" s="1246" t="s">
        <v>1532</v>
      </c>
      <c r="M2343" s="1250">
        <v>9</v>
      </c>
      <c r="N2343" s="1251">
        <v>27</v>
      </c>
      <c r="O2343" s="1252">
        <v>1</v>
      </c>
    </row>
    <row r="2344" spans="1:15">
      <c r="A2344" s="1246" t="s">
        <v>1493</v>
      </c>
      <c r="B2344" s="1246" t="s">
        <v>1432</v>
      </c>
      <c r="C2344" s="1247">
        <v>0</v>
      </c>
      <c r="E2344" s="1246" t="s">
        <v>376</v>
      </c>
      <c r="F2344" s="1248">
        <v>27</v>
      </c>
      <c r="G2344" s="1248">
        <v>0</v>
      </c>
      <c r="H2344" s="1249">
        <v>0</v>
      </c>
      <c r="J2344" s="1246" t="s">
        <v>1464</v>
      </c>
      <c r="K2344" s="1284" t="str">
        <f t="shared" si="36"/>
        <v>73</v>
      </c>
      <c r="L2344" s="1246" t="s">
        <v>1533</v>
      </c>
      <c r="M2344" s="1250">
        <v>9</v>
      </c>
      <c r="N2344" s="1251">
        <v>27</v>
      </c>
      <c r="O2344" s="1252">
        <v>1</v>
      </c>
    </row>
    <row r="2345" spans="1:15">
      <c r="A2345" s="1246" t="s">
        <v>1493</v>
      </c>
      <c r="B2345" s="1246" t="s">
        <v>1432</v>
      </c>
      <c r="C2345" s="1247">
        <v>0</v>
      </c>
      <c r="E2345" s="1246" t="s">
        <v>376</v>
      </c>
      <c r="F2345" s="1248">
        <v>27</v>
      </c>
      <c r="G2345" s="1248">
        <v>0</v>
      </c>
      <c r="H2345" s="1249">
        <v>0</v>
      </c>
      <c r="J2345" s="1246" t="s">
        <v>1436</v>
      </c>
      <c r="K2345" s="1284" t="str">
        <f t="shared" si="36"/>
        <v>11</v>
      </c>
      <c r="L2345" s="1246" t="s">
        <v>1496</v>
      </c>
      <c r="M2345" s="1250">
        <v>9</v>
      </c>
      <c r="N2345" s="1251">
        <v>27</v>
      </c>
      <c r="O2345" s="1252">
        <v>1</v>
      </c>
    </row>
    <row r="2346" spans="1:15">
      <c r="A2346" s="1246" t="s">
        <v>1493</v>
      </c>
      <c r="B2346" s="1246" t="s">
        <v>1432</v>
      </c>
      <c r="C2346" s="1247">
        <v>0</v>
      </c>
      <c r="E2346" s="1246" t="s">
        <v>376</v>
      </c>
      <c r="F2346" s="1248">
        <v>27</v>
      </c>
      <c r="G2346" s="1248">
        <v>0</v>
      </c>
      <c r="H2346" s="1249">
        <v>0</v>
      </c>
      <c r="I2346" s="1246" t="s">
        <v>1491</v>
      </c>
      <c r="J2346" s="1246" t="s">
        <v>1436</v>
      </c>
      <c r="K2346" s="1284" t="str">
        <f t="shared" si="36"/>
        <v>11</v>
      </c>
      <c r="L2346" s="1246" t="s">
        <v>1496</v>
      </c>
      <c r="M2346" s="1250">
        <v>9</v>
      </c>
      <c r="N2346" s="1251">
        <v>27</v>
      </c>
      <c r="O2346" s="1252">
        <v>1</v>
      </c>
    </row>
    <row r="2347" spans="1:15">
      <c r="A2347" s="1246" t="s">
        <v>1493</v>
      </c>
      <c r="B2347" s="1246" t="s">
        <v>1432</v>
      </c>
      <c r="C2347" s="1247">
        <v>0</v>
      </c>
      <c r="E2347" s="1246" t="s">
        <v>376</v>
      </c>
      <c r="F2347" s="1248">
        <v>28</v>
      </c>
      <c r="G2347" s="1248">
        <v>0</v>
      </c>
      <c r="H2347" s="1249">
        <v>0</v>
      </c>
      <c r="J2347" s="1246" t="s">
        <v>1443</v>
      </c>
      <c r="K2347" s="1284" t="str">
        <f t="shared" si="36"/>
        <v>1C</v>
      </c>
      <c r="L2347" s="1246" t="s">
        <v>1502</v>
      </c>
      <c r="M2347" s="1250">
        <v>4</v>
      </c>
      <c r="N2347" s="1251">
        <v>28</v>
      </c>
      <c r="O2347" s="1252">
        <v>1</v>
      </c>
    </row>
    <row r="2348" spans="1:15">
      <c r="A2348" s="1246" t="s">
        <v>1493</v>
      </c>
      <c r="B2348" s="1246" t="s">
        <v>1432</v>
      </c>
      <c r="C2348" s="1247">
        <v>0</v>
      </c>
      <c r="E2348" s="1246" t="s">
        <v>376</v>
      </c>
      <c r="F2348" s="1248">
        <v>28</v>
      </c>
      <c r="G2348" s="1248">
        <v>0</v>
      </c>
      <c r="H2348" s="1249">
        <v>0</v>
      </c>
      <c r="J2348" s="1246" t="s">
        <v>1470</v>
      </c>
      <c r="K2348" s="1284" t="str">
        <f t="shared" si="36"/>
        <v>7C</v>
      </c>
      <c r="L2348" s="1246" t="s">
        <v>1502</v>
      </c>
      <c r="M2348" s="1250">
        <v>4</v>
      </c>
      <c r="N2348" s="1251">
        <v>28</v>
      </c>
      <c r="O2348" s="1252">
        <v>1</v>
      </c>
    </row>
    <row r="2349" spans="1:15">
      <c r="A2349" s="1246" t="s">
        <v>1493</v>
      </c>
      <c r="B2349" s="1246" t="s">
        <v>1432</v>
      </c>
      <c r="C2349" s="1247">
        <v>0</v>
      </c>
      <c r="E2349" s="1246" t="s">
        <v>376</v>
      </c>
      <c r="F2349" s="1248">
        <v>28</v>
      </c>
      <c r="G2349" s="1248">
        <v>0</v>
      </c>
      <c r="H2349" s="1249">
        <v>0</v>
      </c>
      <c r="J2349" s="1246" t="s">
        <v>1469</v>
      </c>
      <c r="K2349" s="1284">
        <f t="shared" si="36"/>
        <v>70</v>
      </c>
      <c r="L2349" s="1246" t="s">
        <v>1542</v>
      </c>
      <c r="M2349" s="1250">
        <v>6</v>
      </c>
      <c r="N2349" s="1251">
        <v>28</v>
      </c>
      <c r="O2349" s="1252">
        <v>1</v>
      </c>
    </row>
    <row r="2350" spans="1:15">
      <c r="A2350" s="1246" t="s">
        <v>1493</v>
      </c>
      <c r="B2350" s="1246" t="s">
        <v>1432</v>
      </c>
      <c r="C2350" s="1247">
        <v>0</v>
      </c>
      <c r="E2350" s="1246" t="s">
        <v>376</v>
      </c>
      <c r="F2350" s="1248">
        <v>28</v>
      </c>
      <c r="G2350" s="1248">
        <v>0</v>
      </c>
      <c r="H2350" s="1249">
        <v>0</v>
      </c>
      <c r="J2350" s="1246" t="s">
        <v>1397</v>
      </c>
      <c r="K2350" s="1284" t="str">
        <f t="shared" si="36"/>
        <v>10</v>
      </c>
      <c r="L2350" s="1246" t="s">
        <v>1532</v>
      </c>
      <c r="M2350" s="1250">
        <v>9</v>
      </c>
      <c r="N2350" s="1251">
        <v>56</v>
      </c>
      <c r="O2350" s="1252">
        <v>2</v>
      </c>
    </row>
    <row r="2351" spans="1:15">
      <c r="A2351" s="1246" t="s">
        <v>1493</v>
      </c>
      <c r="B2351" s="1246" t="s">
        <v>1432</v>
      </c>
      <c r="C2351" s="1247">
        <v>0</v>
      </c>
      <c r="E2351" s="1246" t="s">
        <v>376</v>
      </c>
      <c r="F2351" s="1248">
        <v>28</v>
      </c>
      <c r="G2351" s="1248">
        <v>0</v>
      </c>
      <c r="H2351" s="1249">
        <v>0</v>
      </c>
      <c r="I2351" s="1246" t="s">
        <v>1491</v>
      </c>
      <c r="J2351" s="1246" t="s">
        <v>1436</v>
      </c>
      <c r="K2351" s="1284" t="str">
        <f t="shared" si="36"/>
        <v>11</v>
      </c>
      <c r="L2351" s="1246" t="s">
        <v>1496</v>
      </c>
      <c r="M2351" s="1250">
        <v>9</v>
      </c>
      <c r="N2351" s="1251">
        <v>84</v>
      </c>
      <c r="O2351" s="1252">
        <v>3</v>
      </c>
    </row>
    <row r="2352" spans="1:15">
      <c r="A2352" s="1246" t="s">
        <v>1493</v>
      </c>
      <c r="B2352" s="1246" t="s">
        <v>1432</v>
      </c>
      <c r="C2352" s="1247">
        <v>0</v>
      </c>
      <c r="E2352" s="1246" t="s">
        <v>376</v>
      </c>
      <c r="F2352" s="1248">
        <v>29</v>
      </c>
      <c r="G2352" s="1248">
        <v>0</v>
      </c>
      <c r="H2352" s="1249">
        <v>0</v>
      </c>
      <c r="J2352" s="1246" t="s">
        <v>1436</v>
      </c>
      <c r="K2352" s="1284" t="str">
        <f t="shared" si="36"/>
        <v>11</v>
      </c>
      <c r="L2352" s="1246" t="s">
        <v>1496</v>
      </c>
      <c r="M2352" s="1250">
        <v>9</v>
      </c>
      <c r="N2352" s="1251">
        <v>29</v>
      </c>
      <c r="O2352" s="1252">
        <v>1</v>
      </c>
    </row>
    <row r="2353" spans="1:15">
      <c r="A2353" s="1246" t="s">
        <v>1493</v>
      </c>
      <c r="B2353" s="1246" t="s">
        <v>1432</v>
      </c>
      <c r="C2353" s="1247">
        <v>0</v>
      </c>
      <c r="E2353" s="1246" t="s">
        <v>376</v>
      </c>
      <c r="F2353" s="1248">
        <v>30</v>
      </c>
      <c r="G2353" s="1248">
        <v>0</v>
      </c>
      <c r="H2353" s="1249">
        <v>0</v>
      </c>
      <c r="J2353" s="1246" t="s">
        <v>1463</v>
      </c>
      <c r="K2353" s="1284" t="str">
        <f t="shared" si="36"/>
        <v>72</v>
      </c>
      <c r="L2353" s="1246" t="s">
        <v>1529</v>
      </c>
      <c r="M2353" s="1250">
        <v>9</v>
      </c>
      <c r="N2353" s="1251">
        <v>30</v>
      </c>
      <c r="O2353" s="1252">
        <v>1</v>
      </c>
    </row>
    <row r="2354" spans="1:15">
      <c r="A2354" s="1246" t="s">
        <v>1493</v>
      </c>
      <c r="B2354" s="1246" t="s">
        <v>1432</v>
      </c>
      <c r="C2354" s="1247">
        <v>0</v>
      </c>
      <c r="E2354" s="1246" t="s">
        <v>376</v>
      </c>
      <c r="F2354" s="1248">
        <v>30</v>
      </c>
      <c r="G2354" s="1248">
        <v>0</v>
      </c>
      <c r="H2354" s="1249">
        <v>0</v>
      </c>
      <c r="J2354" s="1246" t="s">
        <v>1397</v>
      </c>
      <c r="K2354" s="1284" t="str">
        <f t="shared" si="36"/>
        <v>10</v>
      </c>
      <c r="L2354" s="1246" t="s">
        <v>1532</v>
      </c>
      <c r="M2354" s="1250">
        <v>9</v>
      </c>
      <c r="N2354" s="1251">
        <v>90</v>
      </c>
      <c r="O2354" s="1252">
        <v>3</v>
      </c>
    </row>
    <row r="2355" spans="1:15">
      <c r="A2355" s="1246" t="s">
        <v>1493</v>
      </c>
      <c r="B2355" s="1246" t="s">
        <v>1432</v>
      </c>
      <c r="C2355" s="1247">
        <v>0</v>
      </c>
      <c r="E2355" s="1246" t="s">
        <v>376</v>
      </c>
      <c r="F2355" s="1248">
        <v>30</v>
      </c>
      <c r="G2355" s="1248">
        <v>0</v>
      </c>
      <c r="H2355" s="1249">
        <v>0</v>
      </c>
      <c r="J2355" s="1246" t="s">
        <v>1436</v>
      </c>
      <c r="K2355" s="1284" t="str">
        <f t="shared" si="36"/>
        <v>11</v>
      </c>
      <c r="L2355" s="1246" t="s">
        <v>1496</v>
      </c>
      <c r="M2355" s="1250">
        <v>9</v>
      </c>
      <c r="N2355" s="1251">
        <v>150</v>
      </c>
      <c r="O2355" s="1252">
        <v>5</v>
      </c>
    </row>
    <row r="2356" spans="1:15">
      <c r="A2356" s="1246" t="s">
        <v>1493</v>
      </c>
      <c r="B2356" s="1246" t="s">
        <v>1432</v>
      </c>
      <c r="C2356" s="1247">
        <v>0</v>
      </c>
      <c r="E2356" s="1246" t="s">
        <v>376</v>
      </c>
      <c r="F2356" s="1248">
        <v>30</v>
      </c>
      <c r="G2356" s="1248">
        <v>0</v>
      </c>
      <c r="H2356" s="1249">
        <v>0</v>
      </c>
      <c r="I2356" s="1246" t="s">
        <v>1491</v>
      </c>
      <c r="J2356" s="1246" t="s">
        <v>1436</v>
      </c>
      <c r="K2356" s="1284" t="str">
        <f t="shared" si="36"/>
        <v>11</v>
      </c>
      <c r="L2356" s="1246" t="s">
        <v>1496</v>
      </c>
      <c r="M2356" s="1250">
        <v>9</v>
      </c>
      <c r="N2356" s="1251">
        <v>120</v>
      </c>
      <c r="O2356" s="1252">
        <v>4</v>
      </c>
    </row>
    <row r="2357" spans="1:15">
      <c r="A2357" s="1246" t="s">
        <v>1493</v>
      </c>
      <c r="B2357" s="1246" t="s">
        <v>1432</v>
      </c>
      <c r="C2357" s="1247">
        <v>0</v>
      </c>
      <c r="E2357" s="1246" t="s">
        <v>376</v>
      </c>
      <c r="F2357" s="1248">
        <v>31</v>
      </c>
      <c r="G2357" s="1248">
        <v>0</v>
      </c>
      <c r="H2357" s="1249">
        <v>0</v>
      </c>
      <c r="J2357" s="1246" t="s">
        <v>1436</v>
      </c>
      <c r="K2357" s="1284" t="str">
        <f t="shared" si="36"/>
        <v>11</v>
      </c>
      <c r="L2357" s="1246" t="s">
        <v>1496</v>
      </c>
      <c r="M2357" s="1250">
        <v>9</v>
      </c>
      <c r="N2357" s="1251">
        <v>31</v>
      </c>
      <c r="O2357" s="1252">
        <v>1</v>
      </c>
    </row>
    <row r="2358" spans="1:15">
      <c r="A2358" s="1246" t="s">
        <v>1493</v>
      </c>
      <c r="B2358" s="1246" t="s">
        <v>1432</v>
      </c>
      <c r="C2358" s="1247">
        <v>0</v>
      </c>
      <c r="E2358" s="1246" t="s">
        <v>376</v>
      </c>
      <c r="F2358" s="1248">
        <v>31</v>
      </c>
      <c r="G2358" s="1248">
        <v>0</v>
      </c>
      <c r="H2358" s="1249">
        <v>0</v>
      </c>
      <c r="J2358" s="1246" t="s">
        <v>1462</v>
      </c>
      <c r="K2358" s="1284" t="str">
        <f t="shared" si="36"/>
        <v>71</v>
      </c>
      <c r="L2358" s="1246" t="s">
        <v>1496</v>
      </c>
      <c r="M2358" s="1250">
        <v>9</v>
      </c>
      <c r="N2358" s="1251">
        <v>31</v>
      </c>
      <c r="O2358" s="1252">
        <v>1</v>
      </c>
    </row>
    <row r="2359" spans="1:15">
      <c r="A2359" s="1246" t="s">
        <v>1493</v>
      </c>
      <c r="B2359" s="1246" t="s">
        <v>1432</v>
      </c>
      <c r="C2359" s="1247">
        <v>0</v>
      </c>
      <c r="E2359" s="1246" t="s">
        <v>376</v>
      </c>
      <c r="F2359" s="1248">
        <v>32</v>
      </c>
      <c r="G2359" s="1248">
        <v>0</v>
      </c>
      <c r="H2359" s="1249">
        <v>0</v>
      </c>
      <c r="J2359" s="1246" t="s">
        <v>1397</v>
      </c>
      <c r="K2359" s="1284" t="str">
        <f t="shared" si="36"/>
        <v>10</v>
      </c>
      <c r="L2359" s="1246" t="s">
        <v>1532</v>
      </c>
      <c r="M2359" s="1250">
        <v>9</v>
      </c>
      <c r="N2359" s="1251">
        <v>32</v>
      </c>
      <c r="O2359" s="1252">
        <v>1</v>
      </c>
    </row>
    <row r="2360" spans="1:15">
      <c r="A2360" s="1246" t="s">
        <v>1493</v>
      </c>
      <c r="B2360" s="1246" t="s">
        <v>1432</v>
      </c>
      <c r="C2360" s="1247">
        <v>0</v>
      </c>
      <c r="E2360" s="1246" t="s">
        <v>376</v>
      </c>
      <c r="F2360" s="1248">
        <v>32</v>
      </c>
      <c r="G2360" s="1248">
        <v>0</v>
      </c>
      <c r="H2360" s="1249">
        <v>0</v>
      </c>
      <c r="J2360" s="1246" t="s">
        <v>1464</v>
      </c>
      <c r="K2360" s="1284" t="str">
        <f t="shared" si="36"/>
        <v>73</v>
      </c>
      <c r="L2360" s="1246" t="s">
        <v>1533</v>
      </c>
      <c r="M2360" s="1250">
        <v>9</v>
      </c>
      <c r="N2360" s="1251">
        <v>32</v>
      </c>
      <c r="O2360" s="1252">
        <v>1</v>
      </c>
    </row>
    <row r="2361" spans="1:15">
      <c r="A2361" s="1246" t="s">
        <v>1493</v>
      </c>
      <c r="B2361" s="1246" t="s">
        <v>1432</v>
      </c>
      <c r="C2361" s="1247">
        <v>0</v>
      </c>
      <c r="E2361" s="1246" t="s">
        <v>376</v>
      </c>
      <c r="F2361" s="1248">
        <v>32</v>
      </c>
      <c r="G2361" s="1248">
        <v>0</v>
      </c>
      <c r="H2361" s="1249">
        <v>0</v>
      </c>
      <c r="J2361" s="1246" t="s">
        <v>1462</v>
      </c>
      <c r="K2361" s="1284" t="str">
        <f t="shared" si="36"/>
        <v>71</v>
      </c>
      <c r="L2361" s="1246" t="s">
        <v>1496</v>
      </c>
      <c r="M2361" s="1250">
        <v>9</v>
      </c>
      <c r="N2361" s="1251">
        <v>32</v>
      </c>
      <c r="O2361" s="1252">
        <v>1</v>
      </c>
    </row>
    <row r="2362" spans="1:15">
      <c r="A2362" s="1246" t="s">
        <v>1493</v>
      </c>
      <c r="B2362" s="1246" t="s">
        <v>1432</v>
      </c>
      <c r="C2362" s="1247">
        <v>0</v>
      </c>
      <c r="E2362" s="1246" t="s">
        <v>376</v>
      </c>
      <c r="F2362" s="1248">
        <v>32</v>
      </c>
      <c r="G2362" s="1248">
        <v>0</v>
      </c>
      <c r="H2362" s="1249">
        <v>0</v>
      </c>
      <c r="J2362" s="1246" t="s">
        <v>1436</v>
      </c>
      <c r="K2362" s="1284" t="str">
        <f t="shared" si="36"/>
        <v>11</v>
      </c>
      <c r="L2362" s="1246" t="s">
        <v>1496</v>
      </c>
      <c r="M2362" s="1250">
        <v>9</v>
      </c>
      <c r="N2362" s="1251">
        <v>96</v>
      </c>
      <c r="O2362" s="1252">
        <v>3</v>
      </c>
    </row>
    <row r="2363" spans="1:15">
      <c r="A2363" s="1246" t="s">
        <v>1493</v>
      </c>
      <c r="B2363" s="1246" t="s">
        <v>1432</v>
      </c>
      <c r="C2363" s="1247">
        <v>0</v>
      </c>
      <c r="E2363" s="1246" t="s">
        <v>376</v>
      </c>
      <c r="F2363" s="1248">
        <v>32</v>
      </c>
      <c r="G2363" s="1248">
        <v>0</v>
      </c>
      <c r="H2363" s="1249">
        <v>0</v>
      </c>
      <c r="I2363" s="1246" t="s">
        <v>1491</v>
      </c>
      <c r="J2363" s="1246" t="s">
        <v>1436</v>
      </c>
      <c r="K2363" s="1284" t="str">
        <f t="shared" si="36"/>
        <v>11</v>
      </c>
      <c r="L2363" s="1246" t="s">
        <v>1496</v>
      </c>
      <c r="M2363" s="1250">
        <v>9</v>
      </c>
      <c r="N2363" s="1251">
        <v>128</v>
      </c>
      <c r="O2363" s="1252">
        <v>4</v>
      </c>
    </row>
    <row r="2364" spans="1:15">
      <c r="A2364" s="1246" t="s">
        <v>1493</v>
      </c>
      <c r="B2364" s="1246" t="s">
        <v>1432</v>
      </c>
      <c r="C2364" s="1247">
        <v>0</v>
      </c>
      <c r="E2364" s="1246" t="s">
        <v>376</v>
      </c>
      <c r="F2364" s="1248">
        <v>33</v>
      </c>
      <c r="G2364" s="1248">
        <v>0</v>
      </c>
      <c r="H2364" s="1249">
        <v>0</v>
      </c>
      <c r="J2364" s="1246" t="s">
        <v>1397</v>
      </c>
      <c r="K2364" s="1284" t="str">
        <f t="shared" si="36"/>
        <v>10</v>
      </c>
      <c r="L2364" s="1246" t="s">
        <v>1532</v>
      </c>
      <c r="M2364" s="1250">
        <v>9</v>
      </c>
      <c r="N2364" s="1251">
        <v>33</v>
      </c>
      <c r="O2364" s="1252">
        <v>1</v>
      </c>
    </row>
    <row r="2365" spans="1:15">
      <c r="A2365" s="1246" t="s">
        <v>1493</v>
      </c>
      <c r="B2365" s="1246" t="s">
        <v>1432</v>
      </c>
      <c r="C2365" s="1247">
        <v>0</v>
      </c>
      <c r="E2365" s="1246" t="s">
        <v>376</v>
      </c>
      <c r="F2365" s="1248">
        <v>33</v>
      </c>
      <c r="G2365" s="1248">
        <v>0</v>
      </c>
      <c r="H2365" s="1249">
        <v>0</v>
      </c>
      <c r="J2365" s="1246" t="s">
        <v>1400</v>
      </c>
      <c r="K2365" s="1284" t="str">
        <f t="shared" si="36"/>
        <v>70</v>
      </c>
      <c r="L2365" s="1246" t="s">
        <v>1532</v>
      </c>
      <c r="M2365" s="1250">
        <v>9</v>
      </c>
      <c r="N2365" s="1251">
        <v>33</v>
      </c>
      <c r="O2365" s="1252">
        <v>1</v>
      </c>
    </row>
    <row r="2366" spans="1:15">
      <c r="A2366" s="1246" t="s">
        <v>1493</v>
      </c>
      <c r="B2366" s="1246" t="s">
        <v>1432</v>
      </c>
      <c r="C2366" s="1247">
        <v>0</v>
      </c>
      <c r="E2366" s="1246" t="s">
        <v>376</v>
      </c>
      <c r="F2366" s="1248">
        <v>33</v>
      </c>
      <c r="G2366" s="1248">
        <v>0</v>
      </c>
      <c r="H2366" s="1249">
        <v>0</v>
      </c>
      <c r="J2366" s="1246" t="s">
        <v>1436</v>
      </c>
      <c r="K2366" s="1284" t="str">
        <f t="shared" si="36"/>
        <v>11</v>
      </c>
      <c r="L2366" s="1246" t="s">
        <v>1496</v>
      </c>
      <c r="M2366" s="1250">
        <v>9</v>
      </c>
      <c r="N2366" s="1251">
        <v>33</v>
      </c>
      <c r="O2366" s="1252">
        <v>1</v>
      </c>
    </row>
    <row r="2367" spans="1:15">
      <c r="A2367" s="1246" t="s">
        <v>1493</v>
      </c>
      <c r="B2367" s="1246" t="s">
        <v>1432</v>
      </c>
      <c r="C2367" s="1247">
        <v>0</v>
      </c>
      <c r="E2367" s="1246" t="s">
        <v>376</v>
      </c>
      <c r="F2367" s="1248">
        <v>33</v>
      </c>
      <c r="G2367" s="1248">
        <v>0</v>
      </c>
      <c r="H2367" s="1249">
        <v>0</v>
      </c>
      <c r="J2367" s="1246" t="s">
        <v>1462</v>
      </c>
      <c r="K2367" s="1284" t="str">
        <f t="shared" si="36"/>
        <v>71</v>
      </c>
      <c r="L2367" s="1246" t="s">
        <v>1496</v>
      </c>
      <c r="M2367" s="1250">
        <v>9</v>
      </c>
      <c r="N2367" s="1251">
        <v>33</v>
      </c>
      <c r="O2367" s="1252">
        <v>1</v>
      </c>
    </row>
    <row r="2368" spans="1:15">
      <c r="A2368" s="1246" t="s">
        <v>1493</v>
      </c>
      <c r="B2368" s="1246" t="s">
        <v>1432</v>
      </c>
      <c r="C2368" s="1247">
        <v>0</v>
      </c>
      <c r="E2368" s="1246" t="s">
        <v>376</v>
      </c>
      <c r="F2368" s="1248">
        <v>33</v>
      </c>
      <c r="G2368" s="1248">
        <v>0</v>
      </c>
      <c r="H2368" s="1249">
        <v>0</v>
      </c>
      <c r="I2368" s="1246" t="s">
        <v>1491</v>
      </c>
      <c r="J2368" s="1246" t="s">
        <v>1436</v>
      </c>
      <c r="K2368" s="1284" t="str">
        <f t="shared" si="36"/>
        <v>11</v>
      </c>
      <c r="L2368" s="1246" t="s">
        <v>1496</v>
      </c>
      <c r="M2368" s="1250">
        <v>9</v>
      </c>
      <c r="N2368" s="1251">
        <v>33</v>
      </c>
      <c r="O2368" s="1252">
        <v>1</v>
      </c>
    </row>
    <row r="2369" spans="1:15">
      <c r="A2369" s="1246" t="s">
        <v>1493</v>
      </c>
      <c r="B2369" s="1246" t="s">
        <v>1432</v>
      </c>
      <c r="C2369" s="1247">
        <v>0</v>
      </c>
      <c r="E2369" s="1246" t="s">
        <v>376</v>
      </c>
      <c r="F2369" s="1248">
        <v>34</v>
      </c>
      <c r="G2369" s="1248">
        <v>0</v>
      </c>
      <c r="H2369" s="1249">
        <v>0</v>
      </c>
      <c r="J2369" s="1246" t="s">
        <v>1443</v>
      </c>
      <c r="K2369" s="1284" t="str">
        <f t="shared" si="36"/>
        <v>1C</v>
      </c>
      <c r="L2369" s="1246" t="s">
        <v>1502</v>
      </c>
      <c r="M2369" s="1250">
        <v>4</v>
      </c>
      <c r="N2369" s="1251">
        <v>34</v>
      </c>
      <c r="O2369" s="1252">
        <v>1</v>
      </c>
    </row>
    <row r="2370" spans="1:15">
      <c r="A2370" s="1246" t="s">
        <v>1493</v>
      </c>
      <c r="B2370" s="1246" t="s">
        <v>1432</v>
      </c>
      <c r="C2370" s="1247">
        <v>0</v>
      </c>
      <c r="E2370" s="1246" t="s">
        <v>376</v>
      </c>
      <c r="F2370" s="1248">
        <v>34</v>
      </c>
      <c r="G2370" s="1248">
        <v>0</v>
      </c>
      <c r="H2370" s="1249">
        <v>0</v>
      </c>
      <c r="J2370" s="1246" t="s">
        <v>1397</v>
      </c>
      <c r="K2370" s="1284" t="str">
        <f t="shared" ref="K2370:K2433" si="37">IF(J2370="1B","10", IF(J2370="2B","20",IF(J2370="3B","30",IF(J2370="7B",70,J2370))))</f>
        <v>10</v>
      </c>
      <c r="L2370" s="1246" t="s">
        <v>1532</v>
      </c>
      <c r="M2370" s="1250">
        <v>9</v>
      </c>
      <c r="N2370" s="1251">
        <v>34</v>
      </c>
      <c r="O2370" s="1252">
        <v>1</v>
      </c>
    </row>
    <row r="2371" spans="1:15">
      <c r="A2371" s="1246" t="s">
        <v>1493</v>
      </c>
      <c r="B2371" s="1246" t="s">
        <v>1432</v>
      </c>
      <c r="C2371" s="1247">
        <v>0</v>
      </c>
      <c r="E2371" s="1246" t="s">
        <v>376</v>
      </c>
      <c r="F2371" s="1248">
        <v>34</v>
      </c>
      <c r="G2371" s="1248">
        <v>0</v>
      </c>
      <c r="H2371" s="1249">
        <v>0</v>
      </c>
      <c r="J2371" s="1246" t="s">
        <v>1436</v>
      </c>
      <c r="K2371" s="1284" t="str">
        <f t="shared" si="37"/>
        <v>11</v>
      </c>
      <c r="L2371" s="1246" t="s">
        <v>1496</v>
      </c>
      <c r="M2371" s="1250">
        <v>9</v>
      </c>
      <c r="N2371" s="1251">
        <v>68</v>
      </c>
      <c r="O2371" s="1252">
        <v>2</v>
      </c>
    </row>
    <row r="2372" spans="1:15">
      <c r="A2372" s="1246" t="s">
        <v>1493</v>
      </c>
      <c r="B2372" s="1246" t="s">
        <v>1432</v>
      </c>
      <c r="C2372" s="1247">
        <v>0</v>
      </c>
      <c r="E2372" s="1246" t="s">
        <v>376</v>
      </c>
      <c r="F2372" s="1248">
        <v>35</v>
      </c>
      <c r="G2372" s="1248">
        <v>0</v>
      </c>
      <c r="H2372" s="1249">
        <v>0</v>
      </c>
      <c r="J2372" s="1246" t="s">
        <v>1438</v>
      </c>
      <c r="K2372" s="1284" t="str">
        <f t="shared" si="37"/>
        <v>13</v>
      </c>
      <c r="L2372" s="1246" t="s">
        <v>1533</v>
      </c>
      <c r="M2372" s="1250">
        <v>9</v>
      </c>
      <c r="N2372" s="1251">
        <v>70</v>
      </c>
      <c r="O2372" s="1252">
        <v>2</v>
      </c>
    </row>
    <row r="2373" spans="1:15">
      <c r="A2373" s="1246" t="s">
        <v>1493</v>
      </c>
      <c r="B2373" s="1246" t="s">
        <v>1432</v>
      </c>
      <c r="C2373" s="1247">
        <v>0</v>
      </c>
      <c r="E2373" s="1246" t="s">
        <v>376</v>
      </c>
      <c r="F2373" s="1248">
        <v>36</v>
      </c>
      <c r="G2373" s="1248">
        <v>0</v>
      </c>
      <c r="H2373" s="1249">
        <v>0</v>
      </c>
      <c r="J2373" s="1246" t="s">
        <v>1466</v>
      </c>
      <c r="K2373" s="1284" t="str">
        <f t="shared" si="37"/>
        <v>75</v>
      </c>
      <c r="L2373" s="1246" t="s">
        <v>1530</v>
      </c>
      <c r="M2373" s="1250">
        <v>9</v>
      </c>
      <c r="N2373" s="1251">
        <v>36</v>
      </c>
      <c r="O2373" s="1252">
        <v>1</v>
      </c>
    </row>
    <row r="2374" spans="1:15">
      <c r="A2374" s="1246" t="s">
        <v>1493</v>
      </c>
      <c r="B2374" s="1246" t="s">
        <v>1432</v>
      </c>
      <c r="C2374" s="1247">
        <v>0</v>
      </c>
      <c r="E2374" s="1246" t="s">
        <v>376</v>
      </c>
      <c r="F2374" s="1248">
        <v>36</v>
      </c>
      <c r="G2374" s="1248">
        <v>0</v>
      </c>
      <c r="H2374" s="1249">
        <v>0</v>
      </c>
      <c r="J2374" s="1246" t="s">
        <v>1464</v>
      </c>
      <c r="K2374" s="1284" t="str">
        <f t="shared" si="37"/>
        <v>73</v>
      </c>
      <c r="L2374" s="1246" t="s">
        <v>1533</v>
      </c>
      <c r="M2374" s="1250">
        <v>9</v>
      </c>
      <c r="N2374" s="1251">
        <v>36</v>
      </c>
      <c r="O2374" s="1252">
        <v>1</v>
      </c>
    </row>
    <row r="2375" spans="1:15">
      <c r="A2375" s="1246" t="s">
        <v>1493</v>
      </c>
      <c r="B2375" s="1246" t="s">
        <v>1432</v>
      </c>
      <c r="C2375" s="1247">
        <v>0</v>
      </c>
      <c r="E2375" s="1246" t="s">
        <v>376</v>
      </c>
      <c r="F2375" s="1248">
        <v>36</v>
      </c>
      <c r="G2375" s="1248">
        <v>0</v>
      </c>
      <c r="H2375" s="1249">
        <v>0</v>
      </c>
      <c r="J2375" s="1246" t="s">
        <v>1436</v>
      </c>
      <c r="K2375" s="1284" t="str">
        <f t="shared" si="37"/>
        <v>11</v>
      </c>
      <c r="L2375" s="1246" t="s">
        <v>1496</v>
      </c>
      <c r="M2375" s="1250">
        <v>9</v>
      </c>
      <c r="N2375" s="1251">
        <v>36</v>
      </c>
      <c r="O2375" s="1252">
        <v>1</v>
      </c>
    </row>
    <row r="2376" spans="1:15">
      <c r="A2376" s="1246" t="s">
        <v>1493</v>
      </c>
      <c r="B2376" s="1246" t="s">
        <v>1432</v>
      </c>
      <c r="C2376" s="1247">
        <v>0</v>
      </c>
      <c r="E2376" s="1246" t="s">
        <v>376</v>
      </c>
      <c r="F2376" s="1248">
        <v>36</v>
      </c>
      <c r="G2376" s="1248">
        <v>0</v>
      </c>
      <c r="H2376" s="1249">
        <v>0</v>
      </c>
      <c r="I2376" s="1246" t="s">
        <v>1491</v>
      </c>
      <c r="J2376" s="1246" t="s">
        <v>1436</v>
      </c>
      <c r="K2376" s="1284" t="str">
        <f t="shared" si="37"/>
        <v>11</v>
      </c>
      <c r="L2376" s="1246" t="s">
        <v>1496</v>
      </c>
      <c r="M2376" s="1250">
        <v>9</v>
      </c>
      <c r="N2376" s="1251">
        <v>72</v>
      </c>
      <c r="O2376" s="1252">
        <v>2</v>
      </c>
    </row>
    <row r="2377" spans="1:15">
      <c r="A2377" s="1246" t="s">
        <v>1493</v>
      </c>
      <c r="B2377" s="1246" t="s">
        <v>1432</v>
      </c>
      <c r="C2377" s="1247">
        <v>0</v>
      </c>
      <c r="E2377" s="1246" t="s">
        <v>376</v>
      </c>
      <c r="F2377" s="1248">
        <v>37</v>
      </c>
      <c r="G2377" s="1248">
        <v>0</v>
      </c>
      <c r="H2377" s="1249">
        <v>0</v>
      </c>
      <c r="J2377" s="1246" t="s">
        <v>1397</v>
      </c>
      <c r="K2377" s="1284" t="str">
        <f t="shared" si="37"/>
        <v>10</v>
      </c>
      <c r="L2377" s="1246" t="s">
        <v>1532</v>
      </c>
      <c r="M2377" s="1250">
        <v>9</v>
      </c>
      <c r="N2377" s="1251">
        <v>37</v>
      </c>
      <c r="O2377" s="1252">
        <v>1</v>
      </c>
    </row>
    <row r="2378" spans="1:15">
      <c r="A2378" s="1246" t="s">
        <v>1493</v>
      </c>
      <c r="B2378" s="1246" t="s">
        <v>1432</v>
      </c>
      <c r="C2378" s="1247">
        <v>0</v>
      </c>
      <c r="E2378" s="1246" t="s">
        <v>376</v>
      </c>
      <c r="F2378" s="1248">
        <v>38</v>
      </c>
      <c r="G2378" s="1248">
        <v>0</v>
      </c>
      <c r="H2378" s="1249">
        <v>0</v>
      </c>
      <c r="J2378" s="1246" t="s">
        <v>1462</v>
      </c>
      <c r="K2378" s="1284" t="str">
        <f t="shared" si="37"/>
        <v>71</v>
      </c>
      <c r="L2378" s="1246" t="s">
        <v>1496</v>
      </c>
      <c r="M2378" s="1250">
        <v>9</v>
      </c>
      <c r="N2378" s="1251">
        <v>76</v>
      </c>
      <c r="O2378" s="1252">
        <v>2</v>
      </c>
    </row>
    <row r="2379" spans="1:15">
      <c r="A2379" s="1246" t="s">
        <v>1493</v>
      </c>
      <c r="B2379" s="1246" t="s">
        <v>1432</v>
      </c>
      <c r="C2379" s="1247">
        <v>0</v>
      </c>
      <c r="E2379" s="1246" t="s">
        <v>376</v>
      </c>
      <c r="F2379" s="1248">
        <v>38</v>
      </c>
      <c r="G2379" s="1248">
        <v>0</v>
      </c>
      <c r="H2379" s="1249">
        <v>0</v>
      </c>
      <c r="I2379" s="1246" t="s">
        <v>1491</v>
      </c>
      <c r="J2379" s="1246" t="s">
        <v>1436</v>
      </c>
      <c r="K2379" s="1284" t="str">
        <f t="shared" si="37"/>
        <v>11</v>
      </c>
      <c r="L2379" s="1246" t="s">
        <v>1496</v>
      </c>
      <c r="M2379" s="1250">
        <v>9</v>
      </c>
      <c r="N2379" s="1251">
        <v>38</v>
      </c>
      <c r="O2379" s="1252">
        <v>1</v>
      </c>
    </row>
    <row r="2380" spans="1:15">
      <c r="A2380" s="1246" t="s">
        <v>1493</v>
      </c>
      <c r="B2380" s="1246" t="s">
        <v>1432</v>
      </c>
      <c r="C2380" s="1247">
        <v>0</v>
      </c>
      <c r="E2380" s="1246" t="s">
        <v>376</v>
      </c>
      <c r="F2380" s="1248">
        <v>39</v>
      </c>
      <c r="G2380" s="1248">
        <v>0</v>
      </c>
      <c r="H2380" s="1249">
        <v>0</v>
      </c>
      <c r="J2380" s="1246" t="s">
        <v>1436</v>
      </c>
      <c r="K2380" s="1284" t="str">
        <f t="shared" si="37"/>
        <v>11</v>
      </c>
      <c r="L2380" s="1246" t="s">
        <v>1496</v>
      </c>
      <c r="M2380" s="1250">
        <v>9</v>
      </c>
      <c r="N2380" s="1251">
        <v>39</v>
      </c>
      <c r="O2380" s="1252">
        <v>1</v>
      </c>
    </row>
    <row r="2381" spans="1:15">
      <c r="A2381" s="1246" t="s">
        <v>1493</v>
      </c>
      <c r="B2381" s="1246" t="s">
        <v>1432</v>
      </c>
      <c r="C2381" s="1247">
        <v>0</v>
      </c>
      <c r="E2381" s="1246" t="s">
        <v>376</v>
      </c>
      <c r="F2381" s="1248">
        <v>39</v>
      </c>
      <c r="G2381" s="1248">
        <v>0</v>
      </c>
      <c r="H2381" s="1249">
        <v>0</v>
      </c>
      <c r="I2381" s="1246" t="s">
        <v>1491</v>
      </c>
      <c r="J2381" s="1246" t="s">
        <v>1436</v>
      </c>
      <c r="K2381" s="1284" t="str">
        <f t="shared" si="37"/>
        <v>11</v>
      </c>
      <c r="L2381" s="1246" t="s">
        <v>1496</v>
      </c>
      <c r="M2381" s="1250">
        <v>9</v>
      </c>
      <c r="N2381" s="1251">
        <v>39</v>
      </c>
      <c r="O2381" s="1252">
        <v>1</v>
      </c>
    </row>
    <row r="2382" spans="1:15">
      <c r="A2382" s="1246" t="s">
        <v>1493</v>
      </c>
      <c r="B2382" s="1246" t="s">
        <v>1432</v>
      </c>
      <c r="C2382" s="1247">
        <v>0</v>
      </c>
      <c r="E2382" s="1246" t="s">
        <v>376</v>
      </c>
      <c r="F2382" s="1248">
        <v>40</v>
      </c>
      <c r="G2382" s="1248">
        <v>0</v>
      </c>
      <c r="H2382" s="1249">
        <v>0</v>
      </c>
      <c r="J2382" s="1246" t="s">
        <v>1443</v>
      </c>
      <c r="K2382" s="1284" t="str">
        <f t="shared" si="37"/>
        <v>1C</v>
      </c>
      <c r="L2382" s="1246" t="s">
        <v>1502</v>
      </c>
      <c r="M2382" s="1250">
        <v>4</v>
      </c>
      <c r="N2382" s="1251">
        <v>40</v>
      </c>
      <c r="O2382" s="1252">
        <v>1</v>
      </c>
    </row>
    <row r="2383" spans="1:15">
      <c r="A2383" s="1246" t="s">
        <v>1493</v>
      </c>
      <c r="B2383" s="1246" t="s">
        <v>1432</v>
      </c>
      <c r="C2383" s="1247">
        <v>0</v>
      </c>
      <c r="E2383" s="1246" t="s">
        <v>376</v>
      </c>
      <c r="F2383" s="1248">
        <v>40</v>
      </c>
      <c r="G2383" s="1248">
        <v>0</v>
      </c>
      <c r="H2383" s="1249">
        <v>0</v>
      </c>
      <c r="J2383" s="1246" t="s">
        <v>1438</v>
      </c>
      <c r="K2383" s="1284" t="str">
        <f t="shared" si="37"/>
        <v>13</v>
      </c>
      <c r="L2383" s="1246" t="s">
        <v>1533</v>
      </c>
      <c r="M2383" s="1250">
        <v>9</v>
      </c>
      <c r="N2383" s="1251">
        <v>40</v>
      </c>
      <c r="O2383" s="1252">
        <v>1</v>
      </c>
    </row>
    <row r="2384" spans="1:15">
      <c r="A2384" s="1246" t="s">
        <v>1493</v>
      </c>
      <c r="B2384" s="1246" t="s">
        <v>1432</v>
      </c>
      <c r="C2384" s="1247">
        <v>0</v>
      </c>
      <c r="E2384" s="1246" t="s">
        <v>376</v>
      </c>
      <c r="F2384" s="1248">
        <v>40</v>
      </c>
      <c r="G2384" s="1248">
        <v>0</v>
      </c>
      <c r="H2384" s="1249">
        <v>0</v>
      </c>
      <c r="J2384" s="1246" t="s">
        <v>1436</v>
      </c>
      <c r="K2384" s="1284" t="str">
        <f t="shared" si="37"/>
        <v>11</v>
      </c>
      <c r="L2384" s="1246" t="s">
        <v>1496</v>
      </c>
      <c r="M2384" s="1250">
        <v>9</v>
      </c>
      <c r="N2384" s="1251">
        <v>160</v>
      </c>
      <c r="O2384" s="1252">
        <v>4</v>
      </c>
    </row>
    <row r="2385" spans="1:15">
      <c r="A2385" s="1246" t="s">
        <v>1493</v>
      </c>
      <c r="B2385" s="1246" t="s">
        <v>1432</v>
      </c>
      <c r="C2385" s="1247">
        <v>0</v>
      </c>
      <c r="E2385" s="1246" t="s">
        <v>376</v>
      </c>
      <c r="F2385" s="1248">
        <v>40</v>
      </c>
      <c r="G2385" s="1248">
        <v>0</v>
      </c>
      <c r="H2385" s="1249">
        <v>0</v>
      </c>
      <c r="J2385" s="1246" t="s">
        <v>1462</v>
      </c>
      <c r="K2385" s="1284" t="str">
        <f t="shared" si="37"/>
        <v>71</v>
      </c>
      <c r="L2385" s="1246" t="s">
        <v>1496</v>
      </c>
      <c r="M2385" s="1250">
        <v>9</v>
      </c>
      <c r="N2385" s="1251">
        <v>40</v>
      </c>
      <c r="O2385" s="1252">
        <v>1</v>
      </c>
    </row>
    <row r="2386" spans="1:15">
      <c r="A2386" s="1246" t="s">
        <v>1493</v>
      </c>
      <c r="B2386" s="1246" t="s">
        <v>1432</v>
      </c>
      <c r="C2386" s="1247">
        <v>0</v>
      </c>
      <c r="E2386" s="1246" t="s">
        <v>376</v>
      </c>
      <c r="F2386" s="1248">
        <v>40</v>
      </c>
      <c r="G2386" s="1248">
        <v>0</v>
      </c>
      <c r="H2386" s="1249">
        <v>0</v>
      </c>
      <c r="I2386" s="1246" t="s">
        <v>1491</v>
      </c>
      <c r="J2386" s="1246" t="s">
        <v>1436</v>
      </c>
      <c r="K2386" s="1284" t="str">
        <f t="shared" si="37"/>
        <v>11</v>
      </c>
      <c r="L2386" s="1246" t="s">
        <v>1496</v>
      </c>
      <c r="M2386" s="1250">
        <v>9</v>
      </c>
      <c r="N2386" s="1251">
        <v>280</v>
      </c>
      <c r="O2386" s="1252">
        <v>7</v>
      </c>
    </row>
    <row r="2387" spans="1:15">
      <c r="A2387" s="1246" t="s">
        <v>1493</v>
      </c>
      <c r="B2387" s="1246" t="s">
        <v>1432</v>
      </c>
      <c r="C2387" s="1247">
        <v>0</v>
      </c>
      <c r="E2387" s="1246" t="s">
        <v>376</v>
      </c>
      <c r="F2387" s="1248">
        <v>42</v>
      </c>
      <c r="G2387" s="1248">
        <v>0</v>
      </c>
      <c r="H2387" s="1249">
        <v>0</v>
      </c>
      <c r="J2387" s="1246" t="s">
        <v>1397</v>
      </c>
      <c r="K2387" s="1284" t="str">
        <f t="shared" si="37"/>
        <v>10</v>
      </c>
      <c r="L2387" s="1246" t="s">
        <v>1532</v>
      </c>
      <c r="M2387" s="1250">
        <v>9</v>
      </c>
      <c r="N2387" s="1251">
        <v>84</v>
      </c>
      <c r="O2387" s="1252">
        <v>2</v>
      </c>
    </row>
    <row r="2388" spans="1:15">
      <c r="A2388" s="1246" t="s">
        <v>1493</v>
      </c>
      <c r="B2388" s="1246" t="s">
        <v>1432</v>
      </c>
      <c r="C2388" s="1247">
        <v>0</v>
      </c>
      <c r="E2388" s="1246" t="s">
        <v>376</v>
      </c>
      <c r="F2388" s="1248">
        <v>42</v>
      </c>
      <c r="G2388" s="1248">
        <v>0</v>
      </c>
      <c r="H2388" s="1249">
        <v>0</v>
      </c>
      <c r="J2388" s="1246" t="s">
        <v>1436</v>
      </c>
      <c r="K2388" s="1284" t="str">
        <f t="shared" si="37"/>
        <v>11</v>
      </c>
      <c r="L2388" s="1246" t="s">
        <v>1496</v>
      </c>
      <c r="M2388" s="1250">
        <v>9</v>
      </c>
      <c r="N2388" s="1251">
        <v>84</v>
      </c>
      <c r="O2388" s="1252">
        <v>2</v>
      </c>
    </row>
    <row r="2389" spans="1:15">
      <c r="A2389" s="1246" t="s">
        <v>1493</v>
      </c>
      <c r="B2389" s="1246" t="s">
        <v>1432</v>
      </c>
      <c r="C2389" s="1247">
        <v>0</v>
      </c>
      <c r="E2389" s="1246" t="s">
        <v>376</v>
      </c>
      <c r="F2389" s="1248">
        <v>42</v>
      </c>
      <c r="G2389" s="1248">
        <v>0</v>
      </c>
      <c r="H2389" s="1249">
        <v>0</v>
      </c>
      <c r="I2389" s="1246" t="s">
        <v>1491</v>
      </c>
      <c r="J2389" s="1246" t="s">
        <v>1436</v>
      </c>
      <c r="K2389" s="1284" t="str">
        <f t="shared" si="37"/>
        <v>11</v>
      </c>
      <c r="L2389" s="1246" t="s">
        <v>1496</v>
      </c>
      <c r="M2389" s="1250">
        <v>9</v>
      </c>
      <c r="N2389" s="1251">
        <v>42</v>
      </c>
      <c r="O2389" s="1252">
        <v>1</v>
      </c>
    </row>
    <row r="2390" spans="1:15">
      <c r="A2390" s="1246" t="s">
        <v>1493</v>
      </c>
      <c r="B2390" s="1246" t="s">
        <v>1432</v>
      </c>
      <c r="C2390" s="1247">
        <v>0</v>
      </c>
      <c r="E2390" s="1246" t="s">
        <v>376</v>
      </c>
      <c r="F2390" s="1248">
        <v>43</v>
      </c>
      <c r="G2390" s="1248">
        <v>0</v>
      </c>
      <c r="H2390" s="1249">
        <v>0</v>
      </c>
      <c r="I2390" s="1246" t="s">
        <v>1491</v>
      </c>
      <c r="J2390" s="1246" t="s">
        <v>1436</v>
      </c>
      <c r="K2390" s="1284" t="str">
        <f t="shared" si="37"/>
        <v>11</v>
      </c>
      <c r="L2390" s="1246" t="s">
        <v>1496</v>
      </c>
      <c r="M2390" s="1250">
        <v>9</v>
      </c>
      <c r="N2390" s="1251">
        <v>43</v>
      </c>
      <c r="O2390" s="1252">
        <v>1</v>
      </c>
    </row>
    <row r="2391" spans="1:15">
      <c r="A2391" s="1246" t="s">
        <v>1493</v>
      </c>
      <c r="B2391" s="1246" t="s">
        <v>1432</v>
      </c>
      <c r="C2391" s="1247">
        <v>0</v>
      </c>
      <c r="E2391" s="1246" t="s">
        <v>376</v>
      </c>
      <c r="F2391" s="1248">
        <v>44</v>
      </c>
      <c r="G2391" s="1248">
        <v>0</v>
      </c>
      <c r="H2391" s="1249">
        <v>0</v>
      </c>
      <c r="J2391" s="1246" t="s">
        <v>1436</v>
      </c>
      <c r="K2391" s="1284" t="str">
        <f t="shared" si="37"/>
        <v>11</v>
      </c>
      <c r="L2391" s="1246" t="s">
        <v>1496</v>
      </c>
      <c r="M2391" s="1250">
        <v>9</v>
      </c>
      <c r="N2391" s="1251">
        <v>44</v>
      </c>
      <c r="O2391" s="1252">
        <v>1</v>
      </c>
    </row>
    <row r="2392" spans="1:15">
      <c r="A2392" s="1246" t="s">
        <v>1493</v>
      </c>
      <c r="B2392" s="1246" t="s">
        <v>1432</v>
      </c>
      <c r="C2392" s="1247">
        <v>0</v>
      </c>
      <c r="E2392" s="1246" t="s">
        <v>376</v>
      </c>
      <c r="F2392" s="1248">
        <v>44</v>
      </c>
      <c r="G2392" s="1248">
        <v>0</v>
      </c>
      <c r="H2392" s="1249">
        <v>0</v>
      </c>
      <c r="I2392" s="1246" t="s">
        <v>1491</v>
      </c>
      <c r="J2392" s="1246" t="s">
        <v>1436</v>
      </c>
      <c r="K2392" s="1284" t="str">
        <f t="shared" si="37"/>
        <v>11</v>
      </c>
      <c r="L2392" s="1246" t="s">
        <v>1496</v>
      </c>
      <c r="M2392" s="1250">
        <v>9</v>
      </c>
      <c r="N2392" s="1251">
        <v>88</v>
      </c>
      <c r="O2392" s="1252">
        <v>2</v>
      </c>
    </row>
    <row r="2393" spans="1:15">
      <c r="A2393" s="1246" t="s">
        <v>1493</v>
      </c>
      <c r="B2393" s="1246" t="s">
        <v>1432</v>
      </c>
      <c r="C2393" s="1247">
        <v>0</v>
      </c>
      <c r="E2393" s="1246" t="s">
        <v>376</v>
      </c>
      <c r="F2393" s="1248">
        <v>45</v>
      </c>
      <c r="G2393" s="1248">
        <v>0</v>
      </c>
      <c r="H2393" s="1249">
        <v>0</v>
      </c>
      <c r="I2393" s="1246" t="s">
        <v>1491</v>
      </c>
      <c r="J2393" s="1246" t="s">
        <v>1436</v>
      </c>
      <c r="K2393" s="1284" t="str">
        <f t="shared" si="37"/>
        <v>11</v>
      </c>
      <c r="L2393" s="1246" t="s">
        <v>1496</v>
      </c>
      <c r="M2393" s="1250">
        <v>9</v>
      </c>
      <c r="N2393" s="1251">
        <v>90</v>
      </c>
      <c r="O2393" s="1252">
        <v>2</v>
      </c>
    </row>
    <row r="2394" spans="1:15">
      <c r="A2394" s="1246" t="s">
        <v>1493</v>
      </c>
      <c r="B2394" s="1246" t="s">
        <v>1432</v>
      </c>
      <c r="C2394" s="1247">
        <v>0</v>
      </c>
      <c r="E2394" s="1246" t="s">
        <v>376</v>
      </c>
      <c r="F2394" s="1248">
        <v>46</v>
      </c>
      <c r="G2394" s="1248">
        <v>0</v>
      </c>
      <c r="H2394" s="1249">
        <v>0</v>
      </c>
      <c r="J2394" s="1246" t="s">
        <v>1463</v>
      </c>
      <c r="K2394" s="1284" t="str">
        <f t="shared" si="37"/>
        <v>72</v>
      </c>
      <c r="L2394" s="1246" t="s">
        <v>1529</v>
      </c>
      <c r="M2394" s="1250">
        <v>9</v>
      </c>
      <c r="N2394" s="1251">
        <v>46</v>
      </c>
      <c r="O2394" s="1252">
        <v>1</v>
      </c>
    </row>
    <row r="2395" spans="1:15">
      <c r="A2395" s="1246" t="s">
        <v>1493</v>
      </c>
      <c r="B2395" s="1246" t="s">
        <v>1432</v>
      </c>
      <c r="C2395" s="1247">
        <v>0</v>
      </c>
      <c r="E2395" s="1246" t="s">
        <v>376</v>
      </c>
      <c r="F2395" s="1248">
        <v>46</v>
      </c>
      <c r="G2395" s="1248">
        <v>0</v>
      </c>
      <c r="H2395" s="1249">
        <v>0</v>
      </c>
      <c r="J2395" s="1246" t="s">
        <v>1397</v>
      </c>
      <c r="K2395" s="1284" t="str">
        <f t="shared" si="37"/>
        <v>10</v>
      </c>
      <c r="L2395" s="1246" t="s">
        <v>1532</v>
      </c>
      <c r="M2395" s="1250">
        <v>9</v>
      </c>
      <c r="N2395" s="1251">
        <v>46</v>
      </c>
      <c r="O2395" s="1252">
        <v>1</v>
      </c>
    </row>
    <row r="2396" spans="1:15">
      <c r="A2396" s="1246" t="s">
        <v>1493</v>
      </c>
      <c r="B2396" s="1246" t="s">
        <v>1432</v>
      </c>
      <c r="C2396" s="1247">
        <v>0</v>
      </c>
      <c r="E2396" s="1246" t="s">
        <v>376</v>
      </c>
      <c r="F2396" s="1248">
        <v>46</v>
      </c>
      <c r="G2396" s="1248">
        <v>0</v>
      </c>
      <c r="H2396" s="1249">
        <v>0</v>
      </c>
      <c r="J2396" s="1246" t="s">
        <v>1436</v>
      </c>
      <c r="K2396" s="1284" t="str">
        <f t="shared" si="37"/>
        <v>11</v>
      </c>
      <c r="L2396" s="1246" t="s">
        <v>1496</v>
      </c>
      <c r="M2396" s="1250">
        <v>9</v>
      </c>
      <c r="N2396" s="1251">
        <v>46</v>
      </c>
      <c r="O2396" s="1252">
        <v>1</v>
      </c>
    </row>
    <row r="2397" spans="1:15">
      <c r="A2397" s="1246" t="s">
        <v>1493</v>
      </c>
      <c r="B2397" s="1246" t="s">
        <v>1432</v>
      </c>
      <c r="C2397" s="1247">
        <v>0</v>
      </c>
      <c r="E2397" s="1246" t="s">
        <v>376</v>
      </c>
      <c r="F2397" s="1248">
        <v>46</v>
      </c>
      <c r="G2397" s="1248">
        <v>0</v>
      </c>
      <c r="H2397" s="1249">
        <v>0</v>
      </c>
      <c r="I2397" s="1246" t="s">
        <v>1491</v>
      </c>
      <c r="J2397" s="1246" t="s">
        <v>1436</v>
      </c>
      <c r="K2397" s="1284" t="str">
        <f t="shared" si="37"/>
        <v>11</v>
      </c>
      <c r="L2397" s="1246" t="s">
        <v>1496</v>
      </c>
      <c r="M2397" s="1250">
        <v>9</v>
      </c>
      <c r="N2397" s="1251">
        <v>46</v>
      </c>
      <c r="O2397" s="1252">
        <v>1</v>
      </c>
    </row>
    <row r="2398" spans="1:15">
      <c r="A2398" s="1246" t="s">
        <v>1493</v>
      </c>
      <c r="B2398" s="1246" t="s">
        <v>1432</v>
      </c>
      <c r="C2398" s="1247">
        <v>0</v>
      </c>
      <c r="E2398" s="1246" t="s">
        <v>376</v>
      </c>
      <c r="F2398" s="1248">
        <v>47</v>
      </c>
      <c r="G2398" s="1248">
        <v>0</v>
      </c>
      <c r="H2398" s="1249">
        <v>0</v>
      </c>
      <c r="J2398" s="1246" t="s">
        <v>1442</v>
      </c>
      <c r="K2398" s="1284" t="str">
        <f t="shared" si="37"/>
        <v>10</v>
      </c>
      <c r="L2398" s="1246" t="s">
        <v>1542</v>
      </c>
      <c r="M2398" s="1250">
        <v>6</v>
      </c>
      <c r="N2398" s="1251">
        <v>47</v>
      </c>
      <c r="O2398" s="1252">
        <v>1</v>
      </c>
    </row>
    <row r="2399" spans="1:15">
      <c r="A2399" s="1246" t="s">
        <v>1493</v>
      </c>
      <c r="B2399" s="1246" t="s">
        <v>1432</v>
      </c>
      <c r="C2399" s="1247">
        <v>0</v>
      </c>
      <c r="E2399" s="1246" t="s">
        <v>376</v>
      </c>
      <c r="F2399" s="1248">
        <v>47</v>
      </c>
      <c r="G2399" s="1248">
        <v>0</v>
      </c>
      <c r="H2399" s="1249">
        <v>0</v>
      </c>
      <c r="J2399" s="1246" t="s">
        <v>1397</v>
      </c>
      <c r="K2399" s="1284" t="str">
        <f t="shared" si="37"/>
        <v>10</v>
      </c>
      <c r="L2399" s="1246" t="s">
        <v>1532</v>
      </c>
      <c r="M2399" s="1250">
        <v>9</v>
      </c>
      <c r="N2399" s="1251">
        <v>47</v>
      </c>
      <c r="O2399" s="1252">
        <v>1</v>
      </c>
    </row>
    <row r="2400" spans="1:15">
      <c r="A2400" s="1246" t="s">
        <v>1493</v>
      </c>
      <c r="B2400" s="1246" t="s">
        <v>1432</v>
      </c>
      <c r="C2400" s="1247">
        <v>0</v>
      </c>
      <c r="E2400" s="1246" t="s">
        <v>376</v>
      </c>
      <c r="F2400" s="1248">
        <v>47</v>
      </c>
      <c r="G2400" s="1248">
        <v>0</v>
      </c>
      <c r="H2400" s="1249">
        <v>0</v>
      </c>
      <c r="J2400" s="1246" t="s">
        <v>1436</v>
      </c>
      <c r="K2400" s="1284" t="str">
        <f t="shared" si="37"/>
        <v>11</v>
      </c>
      <c r="L2400" s="1246" t="s">
        <v>1496</v>
      </c>
      <c r="M2400" s="1250">
        <v>9</v>
      </c>
      <c r="N2400" s="1251">
        <v>47</v>
      </c>
      <c r="O2400" s="1252">
        <v>1</v>
      </c>
    </row>
    <row r="2401" spans="1:15">
      <c r="A2401" s="1246" t="s">
        <v>1493</v>
      </c>
      <c r="B2401" s="1246" t="s">
        <v>1432</v>
      </c>
      <c r="C2401" s="1247">
        <v>0</v>
      </c>
      <c r="E2401" s="1246" t="s">
        <v>376</v>
      </c>
      <c r="F2401" s="1248">
        <v>48</v>
      </c>
      <c r="G2401" s="1248">
        <v>0</v>
      </c>
      <c r="H2401" s="1249">
        <v>0</v>
      </c>
      <c r="J2401" s="1246" t="s">
        <v>1443</v>
      </c>
      <c r="K2401" s="1284" t="str">
        <f t="shared" si="37"/>
        <v>1C</v>
      </c>
      <c r="L2401" s="1246" t="s">
        <v>1502</v>
      </c>
      <c r="M2401" s="1250">
        <v>4</v>
      </c>
      <c r="N2401" s="1251">
        <v>48</v>
      </c>
      <c r="O2401" s="1252">
        <v>1</v>
      </c>
    </row>
    <row r="2402" spans="1:15">
      <c r="A2402" s="1246" t="s">
        <v>1493</v>
      </c>
      <c r="B2402" s="1246" t="s">
        <v>1432</v>
      </c>
      <c r="C2402" s="1247">
        <v>0</v>
      </c>
      <c r="E2402" s="1246" t="s">
        <v>376</v>
      </c>
      <c r="F2402" s="1248">
        <v>48</v>
      </c>
      <c r="G2402" s="1248">
        <v>0</v>
      </c>
      <c r="H2402" s="1249">
        <v>0</v>
      </c>
      <c r="J2402" s="1246" t="s">
        <v>1436</v>
      </c>
      <c r="K2402" s="1284" t="str">
        <f t="shared" si="37"/>
        <v>11</v>
      </c>
      <c r="L2402" s="1246" t="s">
        <v>1496</v>
      </c>
      <c r="M2402" s="1250">
        <v>9</v>
      </c>
      <c r="N2402" s="1251">
        <v>144</v>
      </c>
      <c r="O2402" s="1252">
        <v>3</v>
      </c>
    </row>
    <row r="2403" spans="1:15">
      <c r="A2403" s="1246" t="s">
        <v>1493</v>
      </c>
      <c r="B2403" s="1246" t="s">
        <v>1432</v>
      </c>
      <c r="C2403" s="1247">
        <v>0</v>
      </c>
      <c r="E2403" s="1246" t="s">
        <v>376</v>
      </c>
      <c r="F2403" s="1248">
        <v>48</v>
      </c>
      <c r="G2403" s="1248">
        <v>0</v>
      </c>
      <c r="H2403" s="1249">
        <v>0</v>
      </c>
      <c r="I2403" s="1246" t="s">
        <v>1491</v>
      </c>
      <c r="J2403" s="1246" t="s">
        <v>1436</v>
      </c>
      <c r="K2403" s="1284" t="str">
        <f t="shared" si="37"/>
        <v>11</v>
      </c>
      <c r="L2403" s="1246" t="s">
        <v>1496</v>
      </c>
      <c r="M2403" s="1250">
        <v>9</v>
      </c>
      <c r="N2403" s="1251">
        <v>144</v>
      </c>
      <c r="O2403" s="1252">
        <v>3</v>
      </c>
    </row>
    <row r="2404" spans="1:15">
      <c r="A2404" s="1246" t="s">
        <v>1493</v>
      </c>
      <c r="B2404" s="1246" t="s">
        <v>1432</v>
      </c>
      <c r="C2404" s="1247">
        <v>0</v>
      </c>
      <c r="E2404" s="1246" t="s">
        <v>376</v>
      </c>
      <c r="F2404" s="1248">
        <v>49</v>
      </c>
      <c r="G2404" s="1248">
        <v>0</v>
      </c>
      <c r="H2404" s="1249">
        <v>0</v>
      </c>
      <c r="J2404" s="1246" t="s">
        <v>1462</v>
      </c>
      <c r="K2404" s="1284" t="str">
        <f t="shared" si="37"/>
        <v>71</v>
      </c>
      <c r="L2404" s="1246" t="s">
        <v>1496</v>
      </c>
      <c r="M2404" s="1250">
        <v>9</v>
      </c>
      <c r="N2404" s="1251">
        <v>49</v>
      </c>
      <c r="O2404" s="1252">
        <v>1</v>
      </c>
    </row>
    <row r="2405" spans="1:15">
      <c r="A2405" s="1246" t="s">
        <v>1493</v>
      </c>
      <c r="B2405" s="1246" t="s">
        <v>1432</v>
      </c>
      <c r="C2405" s="1247">
        <v>0</v>
      </c>
      <c r="E2405" s="1246" t="s">
        <v>376</v>
      </c>
      <c r="F2405" s="1248">
        <v>50</v>
      </c>
      <c r="G2405" s="1248">
        <v>0</v>
      </c>
      <c r="H2405" s="1249">
        <v>0</v>
      </c>
      <c r="J2405" s="1246" t="s">
        <v>1469</v>
      </c>
      <c r="K2405" s="1284">
        <f t="shared" si="37"/>
        <v>70</v>
      </c>
      <c r="L2405" s="1246" t="s">
        <v>1542</v>
      </c>
      <c r="M2405" s="1250">
        <v>6</v>
      </c>
      <c r="N2405" s="1251">
        <v>50</v>
      </c>
      <c r="O2405" s="1252">
        <v>1</v>
      </c>
    </row>
    <row r="2406" spans="1:15">
      <c r="A2406" s="1246" t="s">
        <v>1493</v>
      </c>
      <c r="B2406" s="1246" t="s">
        <v>1432</v>
      </c>
      <c r="C2406" s="1247">
        <v>0</v>
      </c>
      <c r="E2406" s="1246" t="s">
        <v>376</v>
      </c>
      <c r="F2406" s="1248">
        <v>50</v>
      </c>
      <c r="G2406" s="1248">
        <v>0</v>
      </c>
      <c r="H2406" s="1249">
        <v>0</v>
      </c>
      <c r="J2406" s="1246" t="s">
        <v>1437</v>
      </c>
      <c r="K2406" s="1284" t="str">
        <f t="shared" si="37"/>
        <v>12</v>
      </c>
      <c r="L2406" s="1246" t="s">
        <v>1529</v>
      </c>
      <c r="M2406" s="1250">
        <v>9</v>
      </c>
      <c r="N2406" s="1251">
        <v>50</v>
      </c>
      <c r="O2406" s="1252">
        <v>1</v>
      </c>
    </row>
    <row r="2407" spans="1:15">
      <c r="A2407" s="1246" t="s">
        <v>1493</v>
      </c>
      <c r="B2407" s="1246" t="s">
        <v>1432</v>
      </c>
      <c r="C2407" s="1247">
        <v>0</v>
      </c>
      <c r="E2407" s="1246" t="s">
        <v>376</v>
      </c>
      <c r="F2407" s="1248">
        <v>50</v>
      </c>
      <c r="G2407" s="1248">
        <v>0</v>
      </c>
      <c r="H2407" s="1249">
        <v>0</v>
      </c>
      <c r="J2407" s="1246" t="s">
        <v>1436</v>
      </c>
      <c r="K2407" s="1284" t="str">
        <f t="shared" si="37"/>
        <v>11</v>
      </c>
      <c r="L2407" s="1246" t="s">
        <v>1496</v>
      </c>
      <c r="M2407" s="1250">
        <v>9</v>
      </c>
      <c r="N2407" s="1251">
        <v>50</v>
      </c>
      <c r="O2407" s="1252">
        <v>1</v>
      </c>
    </row>
    <row r="2408" spans="1:15">
      <c r="A2408" s="1246" t="s">
        <v>1493</v>
      </c>
      <c r="B2408" s="1246" t="s">
        <v>1432</v>
      </c>
      <c r="C2408" s="1247">
        <v>0</v>
      </c>
      <c r="E2408" s="1246" t="s">
        <v>376</v>
      </c>
      <c r="F2408" s="1248">
        <v>50</v>
      </c>
      <c r="G2408" s="1248">
        <v>0</v>
      </c>
      <c r="H2408" s="1249">
        <v>0</v>
      </c>
      <c r="I2408" s="1246" t="s">
        <v>1491</v>
      </c>
      <c r="J2408" s="1246" t="s">
        <v>1436</v>
      </c>
      <c r="K2408" s="1284" t="str">
        <f t="shared" si="37"/>
        <v>11</v>
      </c>
      <c r="L2408" s="1246" t="s">
        <v>1496</v>
      </c>
      <c r="M2408" s="1250">
        <v>9</v>
      </c>
      <c r="N2408" s="1251">
        <v>50</v>
      </c>
      <c r="O2408" s="1252">
        <v>1</v>
      </c>
    </row>
    <row r="2409" spans="1:15">
      <c r="A2409" s="1246" t="s">
        <v>1493</v>
      </c>
      <c r="B2409" s="1246" t="s">
        <v>1432</v>
      </c>
      <c r="C2409" s="1247">
        <v>0</v>
      </c>
      <c r="E2409" s="1246" t="s">
        <v>376</v>
      </c>
      <c r="F2409" s="1248">
        <v>51</v>
      </c>
      <c r="G2409" s="1248">
        <v>0</v>
      </c>
      <c r="H2409" s="1249">
        <v>0</v>
      </c>
      <c r="J2409" s="1246" t="s">
        <v>1397</v>
      </c>
      <c r="K2409" s="1284" t="str">
        <f t="shared" si="37"/>
        <v>10</v>
      </c>
      <c r="L2409" s="1246" t="s">
        <v>1532</v>
      </c>
      <c r="M2409" s="1250">
        <v>9</v>
      </c>
      <c r="N2409" s="1251">
        <v>51</v>
      </c>
      <c r="O2409" s="1252">
        <v>1</v>
      </c>
    </row>
    <row r="2410" spans="1:15">
      <c r="A2410" s="1246" t="s">
        <v>1493</v>
      </c>
      <c r="B2410" s="1246" t="s">
        <v>1432</v>
      </c>
      <c r="C2410" s="1247">
        <v>0</v>
      </c>
      <c r="E2410" s="1246" t="s">
        <v>376</v>
      </c>
      <c r="F2410" s="1248">
        <v>51</v>
      </c>
      <c r="G2410" s="1248">
        <v>0</v>
      </c>
      <c r="H2410" s="1249">
        <v>0</v>
      </c>
      <c r="J2410" s="1246" t="s">
        <v>1436</v>
      </c>
      <c r="K2410" s="1284" t="str">
        <f t="shared" si="37"/>
        <v>11</v>
      </c>
      <c r="L2410" s="1246" t="s">
        <v>1496</v>
      </c>
      <c r="M2410" s="1250">
        <v>9</v>
      </c>
      <c r="N2410" s="1251">
        <v>255</v>
      </c>
      <c r="O2410" s="1252">
        <v>5</v>
      </c>
    </row>
    <row r="2411" spans="1:15">
      <c r="A2411" s="1246" t="s">
        <v>1493</v>
      </c>
      <c r="B2411" s="1246" t="s">
        <v>1432</v>
      </c>
      <c r="C2411" s="1247">
        <v>0</v>
      </c>
      <c r="E2411" s="1246" t="s">
        <v>376</v>
      </c>
      <c r="F2411" s="1248">
        <v>52</v>
      </c>
      <c r="G2411" s="1248">
        <v>0</v>
      </c>
      <c r="H2411" s="1249">
        <v>0</v>
      </c>
      <c r="J2411" s="1246" t="s">
        <v>1469</v>
      </c>
      <c r="K2411" s="1284">
        <f t="shared" si="37"/>
        <v>70</v>
      </c>
      <c r="L2411" s="1246" t="s">
        <v>1542</v>
      </c>
      <c r="M2411" s="1250">
        <v>6</v>
      </c>
      <c r="N2411" s="1251">
        <v>52</v>
      </c>
      <c r="O2411" s="1252">
        <v>1</v>
      </c>
    </row>
    <row r="2412" spans="1:15">
      <c r="A2412" s="1246" t="s">
        <v>1493</v>
      </c>
      <c r="B2412" s="1246" t="s">
        <v>1432</v>
      </c>
      <c r="C2412" s="1247">
        <v>0</v>
      </c>
      <c r="E2412" s="1246" t="s">
        <v>376</v>
      </c>
      <c r="F2412" s="1248">
        <v>52</v>
      </c>
      <c r="G2412" s="1248">
        <v>0</v>
      </c>
      <c r="H2412" s="1249">
        <v>0</v>
      </c>
      <c r="J2412" s="1246" t="s">
        <v>1397</v>
      </c>
      <c r="K2412" s="1284" t="str">
        <f t="shared" si="37"/>
        <v>10</v>
      </c>
      <c r="L2412" s="1246" t="s">
        <v>1532</v>
      </c>
      <c r="M2412" s="1250">
        <v>9</v>
      </c>
      <c r="N2412" s="1251">
        <v>52</v>
      </c>
      <c r="O2412" s="1252">
        <v>1</v>
      </c>
    </row>
    <row r="2413" spans="1:15">
      <c r="A2413" s="1246" t="s">
        <v>1493</v>
      </c>
      <c r="B2413" s="1246" t="s">
        <v>1432</v>
      </c>
      <c r="C2413" s="1247">
        <v>0</v>
      </c>
      <c r="E2413" s="1246" t="s">
        <v>376</v>
      </c>
      <c r="F2413" s="1248">
        <v>52</v>
      </c>
      <c r="G2413" s="1248">
        <v>0</v>
      </c>
      <c r="H2413" s="1249">
        <v>0</v>
      </c>
      <c r="J2413" s="1246" t="s">
        <v>1438</v>
      </c>
      <c r="K2413" s="1284" t="str">
        <f t="shared" si="37"/>
        <v>13</v>
      </c>
      <c r="L2413" s="1246" t="s">
        <v>1533</v>
      </c>
      <c r="M2413" s="1250">
        <v>9</v>
      </c>
      <c r="N2413" s="1251">
        <v>52</v>
      </c>
      <c r="O2413" s="1252">
        <v>1</v>
      </c>
    </row>
    <row r="2414" spans="1:15">
      <c r="A2414" s="1246" t="s">
        <v>1493</v>
      </c>
      <c r="B2414" s="1246" t="s">
        <v>1432</v>
      </c>
      <c r="C2414" s="1247">
        <v>0</v>
      </c>
      <c r="E2414" s="1246" t="s">
        <v>376</v>
      </c>
      <c r="F2414" s="1248">
        <v>52</v>
      </c>
      <c r="G2414" s="1248">
        <v>0</v>
      </c>
      <c r="H2414" s="1249">
        <v>0</v>
      </c>
      <c r="J2414" s="1246" t="s">
        <v>1436</v>
      </c>
      <c r="K2414" s="1284" t="str">
        <f t="shared" si="37"/>
        <v>11</v>
      </c>
      <c r="L2414" s="1246" t="s">
        <v>1496</v>
      </c>
      <c r="M2414" s="1250">
        <v>9</v>
      </c>
      <c r="N2414" s="1251">
        <v>104</v>
      </c>
      <c r="O2414" s="1252">
        <v>2</v>
      </c>
    </row>
    <row r="2415" spans="1:15">
      <c r="A2415" s="1246" t="s">
        <v>1493</v>
      </c>
      <c r="B2415" s="1246" t="s">
        <v>1432</v>
      </c>
      <c r="C2415" s="1247">
        <v>0</v>
      </c>
      <c r="E2415" s="1246" t="s">
        <v>376</v>
      </c>
      <c r="F2415" s="1248">
        <v>52</v>
      </c>
      <c r="G2415" s="1248">
        <v>0</v>
      </c>
      <c r="H2415" s="1249">
        <v>0</v>
      </c>
      <c r="I2415" s="1246" t="s">
        <v>1491</v>
      </c>
      <c r="J2415" s="1246" t="s">
        <v>1436</v>
      </c>
      <c r="K2415" s="1284" t="str">
        <f t="shared" si="37"/>
        <v>11</v>
      </c>
      <c r="L2415" s="1246" t="s">
        <v>1496</v>
      </c>
      <c r="M2415" s="1250">
        <v>9</v>
      </c>
      <c r="N2415" s="1251">
        <v>156</v>
      </c>
      <c r="O2415" s="1252">
        <v>3</v>
      </c>
    </row>
    <row r="2416" spans="1:15">
      <c r="A2416" s="1246" t="s">
        <v>1493</v>
      </c>
      <c r="B2416" s="1246" t="s">
        <v>1432</v>
      </c>
      <c r="C2416" s="1247">
        <v>0</v>
      </c>
      <c r="E2416" s="1246" t="s">
        <v>376</v>
      </c>
      <c r="F2416" s="1248">
        <v>53</v>
      </c>
      <c r="G2416" s="1248">
        <v>0</v>
      </c>
      <c r="H2416" s="1249">
        <v>0</v>
      </c>
      <c r="J2416" s="1246" t="s">
        <v>1441</v>
      </c>
      <c r="K2416" s="1284" t="str">
        <f t="shared" si="37"/>
        <v>1A</v>
      </c>
      <c r="L2416" s="1246" t="s">
        <v>1531</v>
      </c>
      <c r="M2416" s="1250">
        <v>9</v>
      </c>
      <c r="N2416" s="1251">
        <v>53</v>
      </c>
      <c r="O2416" s="1252">
        <v>1</v>
      </c>
    </row>
    <row r="2417" spans="1:15">
      <c r="A2417" s="1246" t="s">
        <v>1493</v>
      </c>
      <c r="B2417" s="1246" t="s">
        <v>1432</v>
      </c>
      <c r="C2417" s="1247">
        <v>0</v>
      </c>
      <c r="E2417" s="1246" t="s">
        <v>376</v>
      </c>
      <c r="F2417" s="1248">
        <v>53</v>
      </c>
      <c r="G2417" s="1248">
        <v>0</v>
      </c>
      <c r="H2417" s="1249">
        <v>0</v>
      </c>
      <c r="I2417" s="1246" t="s">
        <v>1491</v>
      </c>
      <c r="J2417" s="1246" t="s">
        <v>1436</v>
      </c>
      <c r="K2417" s="1284" t="str">
        <f t="shared" si="37"/>
        <v>11</v>
      </c>
      <c r="L2417" s="1246" t="s">
        <v>1496</v>
      </c>
      <c r="M2417" s="1250">
        <v>9</v>
      </c>
      <c r="N2417" s="1251">
        <v>53</v>
      </c>
      <c r="O2417" s="1252">
        <v>1</v>
      </c>
    </row>
    <row r="2418" spans="1:15">
      <c r="A2418" s="1246" t="s">
        <v>1493</v>
      </c>
      <c r="B2418" s="1246" t="s">
        <v>1432</v>
      </c>
      <c r="C2418" s="1247">
        <v>0</v>
      </c>
      <c r="E2418" s="1246" t="s">
        <v>376</v>
      </c>
      <c r="F2418" s="1248">
        <v>54</v>
      </c>
      <c r="G2418" s="1248">
        <v>0</v>
      </c>
      <c r="H2418" s="1249">
        <v>0</v>
      </c>
      <c r="J2418" s="1246" t="s">
        <v>1397</v>
      </c>
      <c r="K2418" s="1284" t="str">
        <f t="shared" si="37"/>
        <v>10</v>
      </c>
      <c r="L2418" s="1246" t="s">
        <v>1532</v>
      </c>
      <c r="M2418" s="1250">
        <v>9</v>
      </c>
      <c r="N2418" s="1251">
        <v>54</v>
      </c>
      <c r="O2418" s="1252">
        <v>1</v>
      </c>
    </row>
    <row r="2419" spans="1:15">
      <c r="A2419" s="1246" t="s">
        <v>1493</v>
      </c>
      <c r="B2419" s="1246" t="s">
        <v>1432</v>
      </c>
      <c r="C2419" s="1247">
        <v>0</v>
      </c>
      <c r="E2419" s="1246" t="s">
        <v>376</v>
      </c>
      <c r="F2419" s="1248">
        <v>54</v>
      </c>
      <c r="G2419" s="1248">
        <v>0</v>
      </c>
      <c r="H2419" s="1249">
        <v>0</v>
      </c>
      <c r="J2419" s="1246" t="s">
        <v>1436</v>
      </c>
      <c r="K2419" s="1284" t="str">
        <f t="shared" si="37"/>
        <v>11</v>
      </c>
      <c r="L2419" s="1246" t="s">
        <v>1496</v>
      </c>
      <c r="M2419" s="1250">
        <v>9</v>
      </c>
      <c r="N2419" s="1251">
        <v>54</v>
      </c>
      <c r="O2419" s="1252">
        <v>1</v>
      </c>
    </row>
    <row r="2420" spans="1:15">
      <c r="A2420" s="1246" t="s">
        <v>1493</v>
      </c>
      <c r="B2420" s="1246" t="s">
        <v>1432</v>
      </c>
      <c r="C2420" s="1247">
        <v>0</v>
      </c>
      <c r="E2420" s="1246" t="s">
        <v>376</v>
      </c>
      <c r="F2420" s="1248">
        <v>54</v>
      </c>
      <c r="G2420" s="1248">
        <v>0</v>
      </c>
      <c r="H2420" s="1249">
        <v>0</v>
      </c>
      <c r="I2420" s="1246" t="s">
        <v>1491</v>
      </c>
      <c r="J2420" s="1246" t="s">
        <v>1436</v>
      </c>
      <c r="K2420" s="1284" t="str">
        <f t="shared" si="37"/>
        <v>11</v>
      </c>
      <c r="L2420" s="1246" t="s">
        <v>1496</v>
      </c>
      <c r="M2420" s="1250">
        <v>9</v>
      </c>
      <c r="N2420" s="1251">
        <v>54</v>
      </c>
      <c r="O2420" s="1252">
        <v>1</v>
      </c>
    </row>
    <row r="2421" spans="1:15">
      <c r="A2421" s="1246" t="s">
        <v>1493</v>
      </c>
      <c r="B2421" s="1246" t="s">
        <v>1432</v>
      </c>
      <c r="C2421" s="1247">
        <v>0</v>
      </c>
      <c r="E2421" s="1246" t="s">
        <v>376</v>
      </c>
      <c r="F2421" s="1248">
        <v>55</v>
      </c>
      <c r="G2421" s="1248">
        <v>0</v>
      </c>
      <c r="H2421" s="1249">
        <v>0</v>
      </c>
      <c r="J2421" s="1246" t="s">
        <v>1436</v>
      </c>
      <c r="K2421" s="1284" t="str">
        <f t="shared" si="37"/>
        <v>11</v>
      </c>
      <c r="L2421" s="1246" t="s">
        <v>1496</v>
      </c>
      <c r="M2421" s="1250">
        <v>9</v>
      </c>
      <c r="N2421" s="1251">
        <v>55</v>
      </c>
      <c r="O2421" s="1252">
        <v>1</v>
      </c>
    </row>
    <row r="2422" spans="1:15">
      <c r="A2422" s="1246" t="s">
        <v>1493</v>
      </c>
      <c r="B2422" s="1246" t="s">
        <v>1432</v>
      </c>
      <c r="C2422" s="1247">
        <v>0</v>
      </c>
      <c r="E2422" s="1246" t="s">
        <v>376</v>
      </c>
      <c r="F2422" s="1248">
        <v>56</v>
      </c>
      <c r="G2422" s="1248">
        <v>0</v>
      </c>
      <c r="H2422" s="1249">
        <v>0</v>
      </c>
      <c r="J2422" s="1246" t="s">
        <v>1436</v>
      </c>
      <c r="K2422" s="1284" t="str">
        <f t="shared" si="37"/>
        <v>11</v>
      </c>
      <c r="L2422" s="1246" t="s">
        <v>1496</v>
      </c>
      <c r="M2422" s="1250">
        <v>9</v>
      </c>
      <c r="N2422" s="1251">
        <v>56</v>
      </c>
      <c r="O2422" s="1252">
        <v>1</v>
      </c>
    </row>
    <row r="2423" spans="1:15">
      <c r="A2423" s="1246" t="s">
        <v>1493</v>
      </c>
      <c r="B2423" s="1246" t="s">
        <v>1432</v>
      </c>
      <c r="C2423" s="1247">
        <v>0</v>
      </c>
      <c r="E2423" s="1246" t="s">
        <v>376</v>
      </c>
      <c r="F2423" s="1248">
        <v>56</v>
      </c>
      <c r="G2423" s="1248">
        <v>0</v>
      </c>
      <c r="H2423" s="1249">
        <v>0</v>
      </c>
      <c r="J2423" s="1246" t="s">
        <v>1462</v>
      </c>
      <c r="K2423" s="1284" t="str">
        <f t="shared" si="37"/>
        <v>71</v>
      </c>
      <c r="L2423" s="1246" t="s">
        <v>1496</v>
      </c>
      <c r="M2423" s="1250">
        <v>9</v>
      </c>
      <c r="N2423" s="1251">
        <v>56</v>
      </c>
      <c r="O2423" s="1252">
        <v>1</v>
      </c>
    </row>
    <row r="2424" spans="1:15">
      <c r="A2424" s="1246" t="s">
        <v>1493</v>
      </c>
      <c r="B2424" s="1246" t="s">
        <v>1432</v>
      </c>
      <c r="C2424" s="1247">
        <v>0</v>
      </c>
      <c r="E2424" s="1246" t="s">
        <v>376</v>
      </c>
      <c r="F2424" s="1248">
        <v>57</v>
      </c>
      <c r="G2424" s="1248">
        <v>0</v>
      </c>
      <c r="H2424" s="1249">
        <v>0</v>
      </c>
      <c r="J2424" s="1246" t="s">
        <v>1397</v>
      </c>
      <c r="K2424" s="1284" t="str">
        <f t="shared" si="37"/>
        <v>10</v>
      </c>
      <c r="L2424" s="1246" t="s">
        <v>1532</v>
      </c>
      <c r="M2424" s="1250">
        <v>9</v>
      </c>
      <c r="N2424" s="1251">
        <v>114</v>
      </c>
      <c r="O2424" s="1252">
        <v>2</v>
      </c>
    </row>
    <row r="2425" spans="1:15">
      <c r="A2425" s="1246" t="s">
        <v>1493</v>
      </c>
      <c r="B2425" s="1246" t="s">
        <v>1432</v>
      </c>
      <c r="C2425" s="1247">
        <v>0</v>
      </c>
      <c r="E2425" s="1246" t="s">
        <v>376</v>
      </c>
      <c r="F2425" s="1248">
        <v>57</v>
      </c>
      <c r="G2425" s="1248">
        <v>0</v>
      </c>
      <c r="H2425" s="1249">
        <v>0</v>
      </c>
      <c r="J2425" s="1246" t="s">
        <v>1436</v>
      </c>
      <c r="K2425" s="1284" t="str">
        <f t="shared" si="37"/>
        <v>11</v>
      </c>
      <c r="L2425" s="1246" t="s">
        <v>1496</v>
      </c>
      <c r="M2425" s="1250">
        <v>9</v>
      </c>
      <c r="N2425" s="1251">
        <v>57</v>
      </c>
      <c r="O2425" s="1252">
        <v>1</v>
      </c>
    </row>
    <row r="2426" spans="1:15">
      <c r="A2426" s="1246" t="s">
        <v>1493</v>
      </c>
      <c r="B2426" s="1246" t="s">
        <v>1432</v>
      </c>
      <c r="C2426" s="1247">
        <v>0</v>
      </c>
      <c r="E2426" s="1246" t="s">
        <v>376</v>
      </c>
      <c r="F2426" s="1248">
        <v>57</v>
      </c>
      <c r="G2426" s="1248">
        <v>0</v>
      </c>
      <c r="H2426" s="1249">
        <v>0</v>
      </c>
      <c r="J2426" s="1246" t="s">
        <v>1462</v>
      </c>
      <c r="K2426" s="1284" t="str">
        <f t="shared" si="37"/>
        <v>71</v>
      </c>
      <c r="L2426" s="1246" t="s">
        <v>1496</v>
      </c>
      <c r="M2426" s="1250">
        <v>9</v>
      </c>
      <c r="N2426" s="1251">
        <v>57</v>
      </c>
      <c r="O2426" s="1252">
        <v>1</v>
      </c>
    </row>
    <row r="2427" spans="1:15">
      <c r="A2427" s="1246" t="s">
        <v>1493</v>
      </c>
      <c r="B2427" s="1246" t="s">
        <v>1432</v>
      </c>
      <c r="C2427" s="1247">
        <v>0</v>
      </c>
      <c r="E2427" s="1246" t="s">
        <v>376</v>
      </c>
      <c r="F2427" s="1248">
        <v>57</v>
      </c>
      <c r="G2427" s="1248">
        <v>0</v>
      </c>
      <c r="H2427" s="1249">
        <v>0</v>
      </c>
      <c r="I2427" s="1246" t="s">
        <v>1491</v>
      </c>
      <c r="J2427" s="1246" t="s">
        <v>1436</v>
      </c>
      <c r="K2427" s="1284" t="str">
        <f t="shared" si="37"/>
        <v>11</v>
      </c>
      <c r="L2427" s="1246" t="s">
        <v>1496</v>
      </c>
      <c r="M2427" s="1250">
        <v>9</v>
      </c>
      <c r="N2427" s="1251">
        <v>57</v>
      </c>
      <c r="O2427" s="1252">
        <v>1</v>
      </c>
    </row>
    <row r="2428" spans="1:15">
      <c r="A2428" s="1246" t="s">
        <v>1493</v>
      </c>
      <c r="B2428" s="1246" t="s">
        <v>1432</v>
      </c>
      <c r="C2428" s="1247">
        <v>0</v>
      </c>
      <c r="E2428" s="1246" t="s">
        <v>376</v>
      </c>
      <c r="F2428" s="1248">
        <v>59</v>
      </c>
      <c r="G2428" s="1248">
        <v>0</v>
      </c>
      <c r="H2428" s="1249">
        <v>0</v>
      </c>
      <c r="I2428" s="1246" t="s">
        <v>1491</v>
      </c>
      <c r="J2428" s="1246" t="s">
        <v>1436</v>
      </c>
      <c r="K2428" s="1284" t="str">
        <f t="shared" si="37"/>
        <v>11</v>
      </c>
      <c r="L2428" s="1246" t="s">
        <v>1496</v>
      </c>
      <c r="M2428" s="1250">
        <v>9</v>
      </c>
      <c r="N2428" s="1251">
        <v>59</v>
      </c>
      <c r="O2428" s="1252">
        <v>1</v>
      </c>
    </row>
    <row r="2429" spans="1:15">
      <c r="A2429" s="1246" t="s">
        <v>1493</v>
      </c>
      <c r="B2429" s="1246" t="s">
        <v>1432</v>
      </c>
      <c r="C2429" s="1247">
        <v>0</v>
      </c>
      <c r="E2429" s="1246" t="s">
        <v>376</v>
      </c>
      <c r="F2429" s="1248">
        <v>60</v>
      </c>
      <c r="G2429" s="1248">
        <v>0</v>
      </c>
      <c r="H2429" s="1249">
        <v>0</v>
      </c>
      <c r="J2429" s="1246" t="s">
        <v>1438</v>
      </c>
      <c r="K2429" s="1284" t="str">
        <f t="shared" si="37"/>
        <v>13</v>
      </c>
      <c r="L2429" s="1246" t="s">
        <v>1533</v>
      </c>
      <c r="M2429" s="1250">
        <v>9</v>
      </c>
      <c r="N2429" s="1251">
        <v>60</v>
      </c>
      <c r="O2429" s="1252">
        <v>1</v>
      </c>
    </row>
    <row r="2430" spans="1:15">
      <c r="A2430" s="1246" t="s">
        <v>1493</v>
      </c>
      <c r="B2430" s="1246" t="s">
        <v>1432</v>
      </c>
      <c r="C2430" s="1247">
        <v>0</v>
      </c>
      <c r="E2430" s="1246" t="s">
        <v>376</v>
      </c>
      <c r="F2430" s="1248">
        <v>60</v>
      </c>
      <c r="G2430" s="1248">
        <v>0</v>
      </c>
      <c r="H2430" s="1249">
        <v>0</v>
      </c>
      <c r="J2430" s="1246" t="s">
        <v>1436</v>
      </c>
      <c r="K2430" s="1284" t="str">
        <f t="shared" si="37"/>
        <v>11</v>
      </c>
      <c r="L2430" s="1246" t="s">
        <v>1496</v>
      </c>
      <c r="M2430" s="1250">
        <v>9</v>
      </c>
      <c r="N2430" s="1251">
        <v>180</v>
      </c>
      <c r="O2430" s="1252">
        <v>3</v>
      </c>
    </row>
    <row r="2431" spans="1:15">
      <c r="A2431" s="1246" t="s">
        <v>1493</v>
      </c>
      <c r="B2431" s="1246" t="s">
        <v>1432</v>
      </c>
      <c r="C2431" s="1247">
        <v>0</v>
      </c>
      <c r="E2431" s="1246" t="s">
        <v>376</v>
      </c>
      <c r="F2431" s="1248">
        <v>60</v>
      </c>
      <c r="G2431" s="1248">
        <v>0</v>
      </c>
      <c r="H2431" s="1249">
        <v>0</v>
      </c>
      <c r="I2431" s="1246" t="s">
        <v>1491</v>
      </c>
      <c r="J2431" s="1246" t="s">
        <v>1436</v>
      </c>
      <c r="K2431" s="1284" t="str">
        <f t="shared" si="37"/>
        <v>11</v>
      </c>
      <c r="L2431" s="1246" t="s">
        <v>1496</v>
      </c>
      <c r="M2431" s="1250">
        <v>9</v>
      </c>
      <c r="N2431" s="1251">
        <v>120</v>
      </c>
      <c r="O2431" s="1252">
        <v>2</v>
      </c>
    </row>
    <row r="2432" spans="1:15">
      <c r="A2432" s="1246" t="s">
        <v>1493</v>
      </c>
      <c r="B2432" s="1246" t="s">
        <v>1432</v>
      </c>
      <c r="C2432" s="1247">
        <v>0</v>
      </c>
      <c r="E2432" s="1246" t="s">
        <v>376</v>
      </c>
      <c r="F2432" s="1248">
        <v>61</v>
      </c>
      <c r="G2432" s="1248">
        <v>0</v>
      </c>
      <c r="H2432" s="1249">
        <v>0</v>
      </c>
      <c r="I2432" s="1246" t="s">
        <v>1491</v>
      </c>
      <c r="J2432" s="1246" t="s">
        <v>1436</v>
      </c>
      <c r="K2432" s="1284" t="str">
        <f t="shared" si="37"/>
        <v>11</v>
      </c>
      <c r="L2432" s="1246" t="s">
        <v>1496</v>
      </c>
      <c r="M2432" s="1250">
        <v>9</v>
      </c>
      <c r="N2432" s="1251">
        <v>61</v>
      </c>
      <c r="O2432" s="1252">
        <v>1</v>
      </c>
    </row>
    <row r="2433" spans="1:15">
      <c r="A2433" s="1246" t="s">
        <v>1493</v>
      </c>
      <c r="B2433" s="1246" t="s">
        <v>1432</v>
      </c>
      <c r="C2433" s="1247">
        <v>0</v>
      </c>
      <c r="E2433" s="1246" t="s">
        <v>376</v>
      </c>
      <c r="F2433" s="1248">
        <v>62</v>
      </c>
      <c r="G2433" s="1248">
        <v>0</v>
      </c>
      <c r="H2433" s="1249">
        <v>0</v>
      </c>
      <c r="J2433" s="1246" t="s">
        <v>1436</v>
      </c>
      <c r="K2433" s="1284" t="str">
        <f t="shared" si="37"/>
        <v>11</v>
      </c>
      <c r="L2433" s="1246" t="s">
        <v>1496</v>
      </c>
      <c r="M2433" s="1250">
        <v>9</v>
      </c>
      <c r="N2433" s="1251">
        <v>124</v>
      </c>
      <c r="O2433" s="1252">
        <v>2</v>
      </c>
    </row>
    <row r="2434" spans="1:15">
      <c r="A2434" s="1246" t="s">
        <v>1493</v>
      </c>
      <c r="B2434" s="1246" t="s">
        <v>1432</v>
      </c>
      <c r="C2434" s="1247">
        <v>0</v>
      </c>
      <c r="E2434" s="1246" t="s">
        <v>376</v>
      </c>
      <c r="F2434" s="1248">
        <v>64</v>
      </c>
      <c r="G2434" s="1248">
        <v>0</v>
      </c>
      <c r="H2434" s="1249">
        <v>0</v>
      </c>
      <c r="J2434" s="1246" t="s">
        <v>1464</v>
      </c>
      <c r="K2434" s="1284" t="str">
        <f t="shared" ref="K2434:K2497" si="38">IF(J2434="1B","10", IF(J2434="2B","20",IF(J2434="3B","30",IF(J2434="7B",70,J2434))))</f>
        <v>73</v>
      </c>
      <c r="L2434" s="1246" t="s">
        <v>1533</v>
      </c>
      <c r="M2434" s="1250">
        <v>9</v>
      </c>
      <c r="N2434" s="1251">
        <v>64</v>
      </c>
      <c r="O2434" s="1252">
        <v>1</v>
      </c>
    </row>
    <row r="2435" spans="1:15">
      <c r="A2435" s="1246" t="s">
        <v>1493</v>
      </c>
      <c r="B2435" s="1246" t="s">
        <v>1432</v>
      </c>
      <c r="C2435" s="1247">
        <v>0</v>
      </c>
      <c r="E2435" s="1246" t="s">
        <v>376</v>
      </c>
      <c r="F2435" s="1248">
        <v>64</v>
      </c>
      <c r="G2435" s="1248">
        <v>0</v>
      </c>
      <c r="H2435" s="1249">
        <v>0</v>
      </c>
      <c r="J2435" s="1246" t="s">
        <v>1436</v>
      </c>
      <c r="K2435" s="1284" t="str">
        <f t="shared" si="38"/>
        <v>11</v>
      </c>
      <c r="L2435" s="1246" t="s">
        <v>1496</v>
      </c>
      <c r="M2435" s="1250">
        <v>9</v>
      </c>
      <c r="N2435" s="1251">
        <v>64</v>
      </c>
      <c r="O2435" s="1252">
        <v>1</v>
      </c>
    </row>
    <row r="2436" spans="1:15">
      <c r="A2436" s="1246" t="s">
        <v>1493</v>
      </c>
      <c r="B2436" s="1246" t="s">
        <v>1432</v>
      </c>
      <c r="C2436" s="1247">
        <v>0</v>
      </c>
      <c r="E2436" s="1246" t="s">
        <v>376</v>
      </c>
      <c r="F2436" s="1248">
        <v>64</v>
      </c>
      <c r="G2436" s="1248">
        <v>0</v>
      </c>
      <c r="H2436" s="1249">
        <v>0</v>
      </c>
      <c r="I2436" s="1246" t="s">
        <v>1491</v>
      </c>
      <c r="J2436" s="1246" t="s">
        <v>1436</v>
      </c>
      <c r="K2436" s="1284" t="str">
        <f t="shared" si="38"/>
        <v>11</v>
      </c>
      <c r="L2436" s="1246" t="s">
        <v>1496</v>
      </c>
      <c r="M2436" s="1250">
        <v>9</v>
      </c>
      <c r="N2436" s="1251">
        <v>64</v>
      </c>
      <c r="O2436" s="1252">
        <v>1</v>
      </c>
    </row>
    <row r="2437" spans="1:15">
      <c r="A2437" s="1246" t="s">
        <v>1493</v>
      </c>
      <c r="B2437" s="1246" t="s">
        <v>1432</v>
      </c>
      <c r="C2437" s="1247">
        <v>0</v>
      </c>
      <c r="E2437" s="1246" t="s">
        <v>376</v>
      </c>
      <c r="F2437" s="1248">
        <v>65</v>
      </c>
      <c r="G2437" s="1248">
        <v>0</v>
      </c>
      <c r="H2437" s="1249">
        <v>0</v>
      </c>
      <c r="J2437" s="1246" t="s">
        <v>1397</v>
      </c>
      <c r="K2437" s="1284" t="str">
        <f t="shared" si="38"/>
        <v>10</v>
      </c>
      <c r="L2437" s="1246" t="s">
        <v>1532</v>
      </c>
      <c r="M2437" s="1250">
        <v>9</v>
      </c>
      <c r="N2437" s="1251">
        <v>65</v>
      </c>
      <c r="O2437" s="1252">
        <v>1</v>
      </c>
    </row>
    <row r="2438" spans="1:15">
      <c r="A2438" s="1246" t="s">
        <v>1493</v>
      </c>
      <c r="B2438" s="1246" t="s">
        <v>1432</v>
      </c>
      <c r="C2438" s="1247">
        <v>0</v>
      </c>
      <c r="E2438" s="1246" t="s">
        <v>376</v>
      </c>
      <c r="F2438" s="1248">
        <v>65</v>
      </c>
      <c r="G2438" s="1248">
        <v>0</v>
      </c>
      <c r="H2438" s="1249">
        <v>0</v>
      </c>
      <c r="I2438" s="1246" t="s">
        <v>1491</v>
      </c>
      <c r="J2438" s="1246" t="s">
        <v>1436</v>
      </c>
      <c r="K2438" s="1284" t="str">
        <f t="shared" si="38"/>
        <v>11</v>
      </c>
      <c r="L2438" s="1246" t="s">
        <v>1496</v>
      </c>
      <c r="M2438" s="1250">
        <v>9</v>
      </c>
      <c r="N2438" s="1251">
        <v>65</v>
      </c>
      <c r="O2438" s="1252">
        <v>1</v>
      </c>
    </row>
    <row r="2439" spans="1:15">
      <c r="A2439" s="1246" t="s">
        <v>1493</v>
      </c>
      <c r="B2439" s="1246" t="s">
        <v>1432</v>
      </c>
      <c r="C2439" s="1247">
        <v>0</v>
      </c>
      <c r="E2439" s="1246" t="s">
        <v>376</v>
      </c>
      <c r="F2439" s="1248">
        <v>66</v>
      </c>
      <c r="G2439" s="1248">
        <v>0</v>
      </c>
      <c r="H2439" s="1249">
        <v>0</v>
      </c>
      <c r="J2439" s="1246" t="s">
        <v>1436</v>
      </c>
      <c r="K2439" s="1284" t="str">
        <f t="shared" si="38"/>
        <v>11</v>
      </c>
      <c r="L2439" s="1246" t="s">
        <v>1496</v>
      </c>
      <c r="M2439" s="1250">
        <v>9</v>
      </c>
      <c r="N2439" s="1251">
        <v>66</v>
      </c>
      <c r="O2439" s="1252">
        <v>1</v>
      </c>
    </row>
    <row r="2440" spans="1:15">
      <c r="A2440" s="1246" t="s">
        <v>1493</v>
      </c>
      <c r="B2440" s="1246" t="s">
        <v>1432</v>
      </c>
      <c r="C2440" s="1247">
        <v>0</v>
      </c>
      <c r="E2440" s="1246" t="s">
        <v>376</v>
      </c>
      <c r="F2440" s="1248">
        <v>67</v>
      </c>
      <c r="G2440" s="1248">
        <v>0</v>
      </c>
      <c r="H2440" s="1249">
        <v>0</v>
      </c>
      <c r="J2440" s="1246" t="s">
        <v>1436</v>
      </c>
      <c r="K2440" s="1284" t="str">
        <f t="shared" si="38"/>
        <v>11</v>
      </c>
      <c r="L2440" s="1246" t="s">
        <v>1496</v>
      </c>
      <c r="M2440" s="1250">
        <v>9</v>
      </c>
      <c r="N2440" s="1251">
        <v>67</v>
      </c>
      <c r="O2440" s="1252">
        <v>1</v>
      </c>
    </row>
    <row r="2441" spans="1:15">
      <c r="A2441" s="1246" t="s">
        <v>1493</v>
      </c>
      <c r="B2441" s="1246" t="s">
        <v>1432</v>
      </c>
      <c r="C2441" s="1247">
        <v>0</v>
      </c>
      <c r="E2441" s="1246" t="s">
        <v>376</v>
      </c>
      <c r="F2441" s="1248">
        <v>68</v>
      </c>
      <c r="G2441" s="1248">
        <v>0</v>
      </c>
      <c r="H2441" s="1249">
        <v>0</v>
      </c>
      <c r="J2441" s="1246" t="s">
        <v>1436</v>
      </c>
      <c r="K2441" s="1284" t="str">
        <f t="shared" si="38"/>
        <v>11</v>
      </c>
      <c r="L2441" s="1246" t="s">
        <v>1496</v>
      </c>
      <c r="M2441" s="1250">
        <v>9</v>
      </c>
      <c r="N2441" s="1251">
        <v>68</v>
      </c>
      <c r="O2441" s="1252">
        <v>1</v>
      </c>
    </row>
    <row r="2442" spans="1:15">
      <c r="A2442" s="1246" t="s">
        <v>1493</v>
      </c>
      <c r="B2442" s="1246" t="s">
        <v>1432</v>
      </c>
      <c r="C2442" s="1247">
        <v>0</v>
      </c>
      <c r="E2442" s="1246" t="s">
        <v>376</v>
      </c>
      <c r="F2442" s="1248">
        <v>68</v>
      </c>
      <c r="G2442" s="1248">
        <v>0</v>
      </c>
      <c r="H2442" s="1249">
        <v>0</v>
      </c>
      <c r="I2442" s="1246" t="s">
        <v>1491</v>
      </c>
      <c r="J2442" s="1246" t="s">
        <v>1436</v>
      </c>
      <c r="K2442" s="1284" t="str">
        <f t="shared" si="38"/>
        <v>11</v>
      </c>
      <c r="L2442" s="1246" t="s">
        <v>1496</v>
      </c>
      <c r="M2442" s="1250">
        <v>9</v>
      </c>
      <c r="N2442" s="1251">
        <v>136</v>
      </c>
      <c r="O2442" s="1252">
        <v>2</v>
      </c>
    </row>
    <row r="2443" spans="1:15">
      <c r="A2443" s="1246" t="s">
        <v>1493</v>
      </c>
      <c r="B2443" s="1246" t="s">
        <v>1432</v>
      </c>
      <c r="C2443" s="1247">
        <v>0</v>
      </c>
      <c r="E2443" s="1246" t="s">
        <v>376</v>
      </c>
      <c r="F2443" s="1248">
        <v>69</v>
      </c>
      <c r="G2443" s="1248">
        <v>0</v>
      </c>
      <c r="H2443" s="1249">
        <v>0</v>
      </c>
      <c r="J2443" s="1246" t="s">
        <v>1464</v>
      </c>
      <c r="K2443" s="1284" t="str">
        <f t="shared" si="38"/>
        <v>73</v>
      </c>
      <c r="L2443" s="1246" t="s">
        <v>1533</v>
      </c>
      <c r="M2443" s="1250">
        <v>9</v>
      </c>
      <c r="N2443" s="1251">
        <v>69</v>
      </c>
      <c r="O2443" s="1252">
        <v>1</v>
      </c>
    </row>
    <row r="2444" spans="1:15">
      <c r="A2444" s="1246" t="s">
        <v>1493</v>
      </c>
      <c r="B2444" s="1246" t="s">
        <v>1432</v>
      </c>
      <c r="C2444" s="1247">
        <v>0</v>
      </c>
      <c r="E2444" s="1246" t="s">
        <v>376</v>
      </c>
      <c r="F2444" s="1248">
        <v>70</v>
      </c>
      <c r="G2444" s="1248">
        <v>0</v>
      </c>
      <c r="H2444" s="1249">
        <v>0</v>
      </c>
      <c r="J2444" s="1246" t="s">
        <v>1436</v>
      </c>
      <c r="K2444" s="1284" t="str">
        <f t="shared" si="38"/>
        <v>11</v>
      </c>
      <c r="L2444" s="1246" t="s">
        <v>1496</v>
      </c>
      <c r="M2444" s="1250">
        <v>9</v>
      </c>
      <c r="N2444" s="1251">
        <v>70</v>
      </c>
      <c r="O2444" s="1252">
        <v>1</v>
      </c>
    </row>
    <row r="2445" spans="1:15">
      <c r="A2445" s="1246" t="s">
        <v>1493</v>
      </c>
      <c r="B2445" s="1246" t="s">
        <v>1432</v>
      </c>
      <c r="C2445" s="1247">
        <v>0</v>
      </c>
      <c r="E2445" s="1246" t="s">
        <v>376</v>
      </c>
      <c r="F2445" s="1248">
        <v>70</v>
      </c>
      <c r="G2445" s="1248">
        <v>0</v>
      </c>
      <c r="H2445" s="1249">
        <v>0</v>
      </c>
      <c r="I2445" s="1246" t="s">
        <v>1491</v>
      </c>
      <c r="J2445" s="1246" t="s">
        <v>1436</v>
      </c>
      <c r="K2445" s="1284" t="str">
        <f t="shared" si="38"/>
        <v>11</v>
      </c>
      <c r="L2445" s="1246" t="s">
        <v>1496</v>
      </c>
      <c r="M2445" s="1250">
        <v>9</v>
      </c>
      <c r="N2445" s="1251">
        <v>70</v>
      </c>
      <c r="O2445" s="1252">
        <v>1</v>
      </c>
    </row>
    <row r="2446" spans="1:15">
      <c r="A2446" s="1246" t="s">
        <v>1493</v>
      </c>
      <c r="B2446" s="1246" t="s">
        <v>1432</v>
      </c>
      <c r="C2446" s="1247">
        <v>0</v>
      </c>
      <c r="E2446" s="1246" t="s">
        <v>376</v>
      </c>
      <c r="F2446" s="1248">
        <v>71</v>
      </c>
      <c r="G2446" s="1248">
        <v>0</v>
      </c>
      <c r="H2446" s="1249">
        <v>0</v>
      </c>
      <c r="J2446" s="1246" t="s">
        <v>1397</v>
      </c>
      <c r="K2446" s="1284" t="str">
        <f t="shared" si="38"/>
        <v>10</v>
      </c>
      <c r="L2446" s="1246" t="s">
        <v>1532</v>
      </c>
      <c r="M2446" s="1250">
        <v>9</v>
      </c>
      <c r="N2446" s="1251">
        <v>71</v>
      </c>
      <c r="O2446" s="1252">
        <v>1</v>
      </c>
    </row>
    <row r="2447" spans="1:15">
      <c r="A2447" s="1246" t="s">
        <v>1493</v>
      </c>
      <c r="B2447" s="1246" t="s">
        <v>1432</v>
      </c>
      <c r="C2447" s="1247">
        <v>0</v>
      </c>
      <c r="E2447" s="1246" t="s">
        <v>376</v>
      </c>
      <c r="F2447" s="1248">
        <v>71</v>
      </c>
      <c r="G2447" s="1248">
        <v>0</v>
      </c>
      <c r="H2447" s="1249">
        <v>0</v>
      </c>
      <c r="J2447" s="1246" t="s">
        <v>1436</v>
      </c>
      <c r="K2447" s="1284" t="str">
        <f t="shared" si="38"/>
        <v>11</v>
      </c>
      <c r="L2447" s="1246" t="s">
        <v>1496</v>
      </c>
      <c r="M2447" s="1250">
        <v>9</v>
      </c>
      <c r="N2447" s="1251">
        <v>71</v>
      </c>
      <c r="O2447" s="1252">
        <v>1</v>
      </c>
    </row>
    <row r="2448" spans="1:15">
      <c r="A2448" s="1246" t="s">
        <v>1493</v>
      </c>
      <c r="B2448" s="1246" t="s">
        <v>1432</v>
      </c>
      <c r="C2448" s="1247">
        <v>0</v>
      </c>
      <c r="E2448" s="1246" t="s">
        <v>376</v>
      </c>
      <c r="F2448" s="1248">
        <v>72</v>
      </c>
      <c r="G2448" s="1248">
        <v>0</v>
      </c>
      <c r="H2448" s="1249">
        <v>0</v>
      </c>
      <c r="J2448" s="1246" t="s">
        <v>1463</v>
      </c>
      <c r="K2448" s="1284" t="str">
        <f t="shared" si="38"/>
        <v>72</v>
      </c>
      <c r="L2448" s="1246" t="s">
        <v>1529</v>
      </c>
      <c r="M2448" s="1250">
        <v>9</v>
      </c>
      <c r="N2448" s="1251">
        <v>72</v>
      </c>
      <c r="O2448" s="1252">
        <v>1</v>
      </c>
    </row>
    <row r="2449" spans="1:15">
      <c r="A2449" s="1246" t="s">
        <v>1493</v>
      </c>
      <c r="B2449" s="1246" t="s">
        <v>1432</v>
      </c>
      <c r="C2449" s="1247">
        <v>0</v>
      </c>
      <c r="E2449" s="1246" t="s">
        <v>376</v>
      </c>
      <c r="F2449" s="1248">
        <v>72</v>
      </c>
      <c r="G2449" s="1248">
        <v>0</v>
      </c>
      <c r="H2449" s="1249">
        <v>0</v>
      </c>
      <c r="J2449" s="1246" t="s">
        <v>1397</v>
      </c>
      <c r="K2449" s="1284" t="str">
        <f t="shared" si="38"/>
        <v>10</v>
      </c>
      <c r="L2449" s="1246" t="s">
        <v>1532</v>
      </c>
      <c r="M2449" s="1250">
        <v>9</v>
      </c>
      <c r="N2449" s="1251">
        <v>72</v>
      </c>
      <c r="O2449" s="1252">
        <v>1</v>
      </c>
    </row>
    <row r="2450" spans="1:15">
      <c r="A2450" s="1246" t="s">
        <v>1493</v>
      </c>
      <c r="B2450" s="1246" t="s">
        <v>1432</v>
      </c>
      <c r="C2450" s="1247">
        <v>0</v>
      </c>
      <c r="E2450" s="1246" t="s">
        <v>376</v>
      </c>
      <c r="F2450" s="1248">
        <v>72</v>
      </c>
      <c r="G2450" s="1248">
        <v>0</v>
      </c>
      <c r="H2450" s="1249">
        <v>0</v>
      </c>
      <c r="J2450" s="1246" t="s">
        <v>1464</v>
      </c>
      <c r="K2450" s="1284" t="str">
        <f t="shared" si="38"/>
        <v>73</v>
      </c>
      <c r="L2450" s="1246" t="s">
        <v>1533</v>
      </c>
      <c r="M2450" s="1250">
        <v>9</v>
      </c>
      <c r="N2450" s="1251">
        <v>72</v>
      </c>
      <c r="O2450" s="1252">
        <v>1</v>
      </c>
    </row>
    <row r="2451" spans="1:15">
      <c r="A2451" s="1246" t="s">
        <v>1493</v>
      </c>
      <c r="B2451" s="1246" t="s">
        <v>1432</v>
      </c>
      <c r="C2451" s="1247">
        <v>0</v>
      </c>
      <c r="E2451" s="1246" t="s">
        <v>376</v>
      </c>
      <c r="F2451" s="1248">
        <v>72</v>
      </c>
      <c r="G2451" s="1248">
        <v>0</v>
      </c>
      <c r="H2451" s="1249">
        <v>0</v>
      </c>
      <c r="J2451" s="1246" t="s">
        <v>1462</v>
      </c>
      <c r="K2451" s="1284" t="str">
        <f t="shared" si="38"/>
        <v>71</v>
      </c>
      <c r="L2451" s="1246" t="s">
        <v>1496</v>
      </c>
      <c r="M2451" s="1250">
        <v>9</v>
      </c>
      <c r="N2451" s="1251">
        <v>72</v>
      </c>
      <c r="O2451" s="1252">
        <v>1</v>
      </c>
    </row>
    <row r="2452" spans="1:15">
      <c r="A2452" s="1246" t="s">
        <v>1493</v>
      </c>
      <c r="B2452" s="1246" t="s">
        <v>1432</v>
      </c>
      <c r="C2452" s="1247">
        <v>0</v>
      </c>
      <c r="E2452" s="1246" t="s">
        <v>376</v>
      </c>
      <c r="F2452" s="1248">
        <v>72</v>
      </c>
      <c r="G2452" s="1248">
        <v>0</v>
      </c>
      <c r="H2452" s="1249">
        <v>0</v>
      </c>
      <c r="I2452" s="1246" t="s">
        <v>1491</v>
      </c>
      <c r="J2452" s="1246" t="s">
        <v>1436</v>
      </c>
      <c r="K2452" s="1284" t="str">
        <f t="shared" si="38"/>
        <v>11</v>
      </c>
      <c r="L2452" s="1246" t="s">
        <v>1496</v>
      </c>
      <c r="M2452" s="1250">
        <v>9</v>
      </c>
      <c r="N2452" s="1251">
        <v>216</v>
      </c>
      <c r="O2452" s="1252">
        <v>3</v>
      </c>
    </row>
    <row r="2453" spans="1:15">
      <c r="A2453" s="1246" t="s">
        <v>1493</v>
      </c>
      <c r="B2453" s="1246" t="s">
        <v>1432</v>
      </c>
      <c r="C2453" s="1247">
        <v>0</v>
      </c>
      <c r="E2453" s="1246" t="s">
        <v>376</v>
      </c>
      <c r="F2453" s="1248">
        <v>74</v>
      </c>
      <c r="G2453" s="1248">
        <v>0</v>
      </c>
      <c r="H2453" s="1249">
        <v>0</v>
      </c>
      <c r="J2453" s="1246" t="s">
        <v>1436</v>
      </c>
      <c r="K2453" s="1284" t="str">
        <f t="shared" si="38"/>
        <v>11</v>
      </c>
      <c r="L2453" s="1246" t="s">
        <v>1496</v>
      </c>
      <c r="M2453" s="1250">
        <v>9</v>
      </c>
      <c r="N2453" s="1251">
        <v>74</v>
      </c>
      <c r="O2453" s="1252">
        <v>1</v>
      </c>
    </row>
    <row r="2454" spans="1:15">
      <c r="A2454" s="1246" t="s">
        <v>1493</v>
      </c>
      <c r="B2454" s="1246" t="s">
        <v>1432</v>
      </c>
      <c r="C2454" s="1247">
        <v>0</v>
      </c>
      <c r="E2454" s="1246" t="s">
        <v>376</v>
      </c>
      <c r="F2454" s="1248">
        <v>75</v>
      </c>
      <c r="G2454" s="1248">
        <v>0</v>
      </c>
      <c r="H2454" s="1249">
        <v>0</v>
      </c>
      <c r="J2454" s="1246" t="s">
        <v>1397</v>
      </c>
      <c r="K2454" s="1284" t="str">
        <f t="shared" si="38"/>
        <v>10</v>
      </c>
      <c r="L2454" s="1246" t="s">
        <v>1532</v>
      </c>
      <c r="M2454" s="1250">
        <v>9</v>
      </c>
      <c r="N2454" s="1251">
        <v>75</v>
      </c>
      <c r="O2454" s="1252">
        <v>1</v>
      </c>
    </row>
    <row r="2455" spans="1:15">
      <c r="A2455" s="1246" t="s">
        <v>1493</v>
      </c>
      <c r="B2455" s="1246" t="s">
        <v>1432</v>
      </c>
      <c r="C2455" s="1247">
        <v>0</v>
      </c>
      <c r="E2455" s="1246" t="s">
        <v>376</v>
      </c>
      <c r="F2455" s="1248">
        <v>75</v>
      </c>
      <c r="G2455" s="1248">
        <v>0</v>
      </c>
      <c r="H2455" s="1249">
        <v>0</v>
      </c>
      <c r="I2455" s="1246" t="s">
        <v>1491</v>
      </c>
      <c r="J2455" s="1246" t="s">
        <v>1436</v>
      </c>
      <c r="K2455" s="1284" t="str">
        <f t="shared" si="38"/>
        <v>11</v>
      </c>
      <c r="L2455" s="1246" t="s">
        <v>1496</v>
      </c>
      <c r="M2455" s="1250">
        <v>9</v>
      </c>
      <c r="N2455" s="1251">
        <v>75</v>
      </c>
      <c r="O2455" s="1252">
        <v>1</v>
      </c>
    </row>
    <row r="2456" spans="1:15">
      <c r="A2456" s="1246" t="s">
        <v>1493</v>
      </c>
      <c r="B2456" s="1246" t="s">
        <v>1432</v>
      </c>
      <c r="C2456" s="1247">
        <v>0</v>
      </c>
      <c r="E2456" s="1246" t="s">
        <v>376</v>
      </c>
      <c r="F2456" s="1248">
        <v>76</v>
      </c>
      <c r="G2456" s="1248">
        <v>0</v>
      </c>
      <c r="H2456" s="1249">
        <v>0</v>
      </c>
      <c r="J2456" s="1246" t="s">
        <v>1436</v>
      </c>
      <c r="K2456" s="1284" t="str">
        <f t="shared" si="38"/>
        <v>11</v>
      </c>
      <c r="L2456" s="1246" t="s">
        <v>1496</v>
      </c>
      <c r="M2456" s="1250">
        <v>9</v>
      </c>
      <c r="N2456" s="1251">
        <v>76</v>
      </c>
      <c r="O2456" s="1252">
        <v>1</v>
      </c>
    </row>
    <row r="2457" spans="1:15">
      <c r="A2457" s="1246" t="s">
        <v>1493</v>
      </c>
      <c r="B2457" s="1246" t="s">
        <v>1432</v>
      </c>
      <c r="C2457" s="1247">
        <v>0</v>
      </c>
      <c r="E2457" s="1246" t="s">
        <v>376</v>
      </c>
      <c r="F2457" s="1248">
        <v>76</v>
      </c>
      <c r="G2457" s="1248">
        <v>0</v>
      </c>
      <c r="H2457" s="1249">
        <v>0</v>
      </c>
      <c r="I2457" s="1246" t="s">
        <v>1491</v>
      </c>
      <c r="J2457" s="1246" t="s">
        <v>1436</v>
      </c>
      <c r="K2457" s="1284" t="str">
        <f t="shared" si="38"/>
        <v>11</v>
      </c>
      <c r="L2457" s="1246" t="s">
        <v>1496</v>
      </c>
      <c r="M2457" s="1250">
        <v>9</v>
      </c>
      <c r="N2457" s="1251">
        <v>76</v>
      </c>
      <c r="O2457" s="1252">
        <v>1</v>
      </c>
    </row>
    <row r="2458" spans="1:15">
      <c r="A2458" s="1246" t="s">
        <v>1493</v>
      </c>
      <c r="B2458" s="1246" t="s">
        <v>1432</v>
      </c>
      <c r="C2458" s="1247">
        <v>0</v>
      </c>
      <c r="E2458" s="1246" t="s">
        <v>376</v>
      </c>
      <c r="F2458" s="1248">
        <v>78</v>
      </c>
      <c r="G2458" s="1248">
        <v>0</v>
      </c>
      <c r="H2458" s="1249">
        <v>0</v>
      </c>
      <c r="J2458" s="1246" t="s">
        <v>1397</v>
      </c>
      <c r="K2458" s="1284" t="str">
        <f t="shared" si="38"/>
        <v>10</v>
      </c>
      <c r="L2458" s="1246" t="s">
        <v>1532</v>
      </c>
      <c r="M2458" s="1250">
        <v>9</v>
      </c>
      <c r="N2458" s="1251">
        <v>156</v>
      </c>
      <c r="O2458" s="1252">
        <v>2</v>
      </c>
    </row>
    <row r="2459" spans="1:15">
      <c r="A2459" s="1246" t="s">
        <v>1493</v>
      </c>
      <c r="B2459" s="1246" t="s">
        <v>1432</v>
      </c>
      <c r="C2459" s="1247">
        <v>0</v>
      </c>
      <c r="E2459" s="1246" t="s">
        <v>376</v>
      </c>
      <c r="F2459" s="1248">
        <v>78</v>
      </c>
      <c r="G2459" s="1248">
        <v>0</v>
      </c>
      <c r="H2459" s="1249">
        <v>0</v>
      </c>
      <c r="J2459" s="1246" t="s">
        <v>1436</v>
      </c>
      <c r="K2459" s="1284" t="str">
        <f t="shared" si="38"/>
        <v>11</v>
      </c>
      <c r="L2459" s="1246" t="s">
        <v>1496</v>
      </c>
      <c r="M2459" s="1250">
        <v>9</v>
      </c>
      <c r="N2459" s="1251">
        <v>78</v>
      </c>
      <c r="O2459" s="1252">
        <v>1</v>
      </c>
    </row>
    <row r="2460" spans="1:15">
      <c r="A2460" s="1246" t="s">
        <v>1493</v>
      </c>
      <c r="B2460" s="1246" t="s">
        <v>1432</v>
      </c>
      <c r="C2460" s="1247">
        <v>0</v>
      </c>
      <c r="E2460" s="1246" t="s">
        <v>376</v>
      </c>
      <c r="F2460" s="1248">
        <v>79</v>
      </c>
      <c r="G2460" s="1248">
        <v>0</v>
      </c>
      <c r="H2460" s="1249">
        <v>0</v>
      </c>
      <c r="I2460" s="1246" t="s">
        <v>1491</v>
      </c>
      <c r="J2460" s="1246" t="s">
        <v>1436</v>
      </c>
      <c r="K2460" s="1284" t="str">
        <f t="shared" si="38"/>
        <v>11</v>
      </c>
      <c r="L2460" s="1246" t="s">
        <v>1496</v>
      </c>
      <c r="M2460" s="1250">
        <v>9</v>
      </c>
      <c r="N2460" s="1251">
        <v>79</v>
      </c>
      <c r="O2460" s="1252">
        <v>1</v>
      </c>
    </row>
    <row r="2461" spans="1:15">
      <c r="A2461" s="1246" t="s">
        <v>1493</v>
      </c>
      <c r="B2461" s="1246" t="s">
        <v>1432</v>
      </c>
      <c r="C2461" s="1247">
        <v>0</v>
      </c>
      <c r="E2461" s="1246" t="s">
        <v>376</v>
      </c>
      <c r="F2461" s="1248">
        <v>80</v>
      </c>
      <c r="G2461" s="1248">
        <v>0</v>
      </c>
      <c r="H2461" s="1249">
        <v>0</v>
      </c>
      <c r="J2461" s="1246" t="s">
        <v>1436</v>
      </c>
      <c r="K2461" s="1284" t="str">
        <f t="shared" si="38"/>
        <v>11</v>
      </c>
      <c r="L2461" s="1246" t="s">
        <v>1496</v>
      </c>
      <c r="M2461" s="1250">
        <v>9</v>
      </c>
      <c r="N2461" s="1251">
        <v>80</v>
      </c>
      <c r="O2461" s="1252">
        <v>1</v>
      </c>
    </row>
    <row r="2462" spans="1:15">
      <c r="A2462" s="1246" t="s">
        <v>1493</v>
      </c>
      <c r="B2462" s="1246" t="s">
        <v>1432</v>
      </c>
      <c r="C2462" s="1247">
        <v>0</v>
      </c>
      <c r="E2462" s="1246" t="s">
        <v>376</v>
      </c>
      <c r="F2462" s="1248">
        <v>82</v>
      </c>
      <c r="G2462" s="1248">
        <v>0</v>
      </c>
      <c r="H2462" s="1249">
        <v>0</v>
      </c>
      <c r="J2462" s="1246" t="s">
        <v>1436</v>
      </c>
      <c r="K2462" s="1284" t="str">
        <f t="shared" si="38"/>
        <v>11</v>
      </c>
      <c r="L2462" s="1246" t="s">
        <v>1496</v>
      </c>
      <c r="M2462" s="1250">
        <v>9</v>
      </c>
      <c r="N2462" s="1251">
        <v>82</v>
      </c>
      <c r="O2462" s="1252">
        <v>1</v>
      </c>
    </row>
    <row r="2463" spans="1:15">
      <c r="A2463" s="1246" t="s">
        <v>1493</v>
      </c>
      <c r="B2463" s="1246" t="s">
        <v>1432</v>
      </c>
      <c r="C2463" s="1247">
        <v>0</v>
      </c>
      <c r="E2463" s="1246" t="s">
        <v>376</v>
      </c>
      <c r="F2463" s="1248">
        <v>85</v>
      </c>
      <c r="G2463" s="1248">
        <v>0</v>
      </c>
      <c r="H2463" s="1249">
        <v>0</v>
      </c>
      <c r="I2463" s="1246" t="s">
        <v>1491</v>
      </c>
      <c r="J2463" s="1246" t="s">
        <v>1436</v>
      </c>
      <c r="K2463" s="1284" t="str">
        <f t="shared" si="38"/>
        <v>11</v>
      </c>
      <c r="L2463" s="1246" t="s">
        <v>1496</v>
      </c>
      <c r="M2463" s="1250">
        <v>9</v>
      </c>
      <c r="N2463" s="1251">
        <v>85</v>
      </c>
      <c r="O2463" s="1252">
        <v>1</v>
      </c>
    </row>
    <row r="2464" spans="1:15">
      <c r="A2464" s="1246" t="s">
        <v>1493</v>
      </c>
      <c r="B2464" s="1246" t="s">
        <v>1432</v>
      </c>
      <c r="C2464" s="1247">
        <v>0</v>
      </c>
      <c r="E2464" s="1246" t="s">
        <v>376</v>
      </c>
      <c r="F2464" s="1248">
        <v>86</v>
      </c>
      <c r="G2464" s="1248">
        <v>0</v>
      </c>
      <c r="H2464" s="1249">
        <v>0</v>
      </c>
      <c r="J2464" s="1246" t="s">
        <v>1397</v>
      </c>
      <c r="K2464" s="1284" t="str">
        <f t="shared" si="38"/>
        <v>10</v>
      </c>
      <c r="L2464" s="1246" t="s">
        <v>1532</v>
      </c>
      <c r="M2464" s="1250">
        <v>9</v>
      </c>
      <c r="N2464" s="1251">
        <v>86</v>
      </c>
      <c r="O2464" s="1252">
        <v>1</v>
      </c>
    </row>
    <row r="2465" spans="1:15">
      <c r="A2465" s="1246" t="s">
        <v>1493</v>
      </c>
      <c r="B2465" s="1246" t="s">
        <v>1432</v>
      </c>
      <c r="C2465" s="1247">
        <v>0</v>
      </c>
      <c r="E2465" s="1246" t="s">
        <v>376</v>
      </c>
      <c r="F2465" s="1248">
        <v>88</v>
      </c>
      <c r="G2465" s="1248">
        <v>0</v>
      </c>
      <c r="H2465" s="1249">
        <v>0</v>
      </c>
      <c r="J2465" s="1246" t="s">
        <v>1436</v>
      </c>
      <c r="K2465" s="1284" t="str">
        <f t="shared" si="38"/>
        <v>11</v>
      </c>
      <c r="L2465" s="1246" t="s">
        <v>1496</v>
      </c>
      <c r="M2465" s="1250">
        <v>9</v>
      </c>
      <c r="N2465" s="1251">
        <v>88</v>
      </c>
      <c r="O2465" s="1252">
        <v>1</v>
      </c>
    </row>
    <row r="2466" spans="1:15">
      <c r="A2466" s="1246" t="s">
        <v>1493</v>
      </c>
      <c r="B2466" s="1246" t="s">
        <v>1432</v>
      </c>
      <c r="C2466" s="1247">
        <v>0</v>
      </c>
      <c r="E2466" s="1246" t="s">
        <v>376</v>
      </c>
      <c r="F2466" s="1248">
        <v>88</v>
      </c>
      <c r="G2466" s="1248">
        <v>0</v>
      </c>
      <c r="H2466" s="1249">
        <v>0</v>
      </c>
      <c r="J2466" s="1246" t="s">
        <v>1462</v>
      </c>
      <c r="K2466" s="1284" t="str">
        <f t="shared" si="38"/>
        <v>71</v>
      </c>
      <c r="L2466" s="1246" t="s">
        <v>1496</v>
      </c>
      <c r="M2466" s="1250">
        <v>9</v>
      </c>
      <c r="N2466" s="1251">
        <v>88</v>
      </c>
      <c r="O2466" s="1252">
        <v>1</v>
      </c>
    </row>
    <row r="2467" spans="1:15">
      <c r="A2467" s="1246" t="s">
        <v>1493</v>
      </c>
      <c r="B2467" s="1246" t="s">
        <v>1432</v>
      </c>
      <c r="C2467" s="1247">
        <v>0</v>
      </c>
      <c r="E2467" s="1246" t="s">
        <v>376</v>
      </c>
      <c r="F2467" s="1248">
        <v>89</v>
      </c>
      <c r="G2467" s="1248">
        <v>0</v>
      </c>
      <c r="H2467" s="1249">
        <v>0</v>
      </c>
      <c r="J2467" s="1246" t="s">
        <v>1438</v>
      </c>
      <c r="K2467" s="1284" t="str">
        <f t="shared" si="38"/>
        <v>13</v>
      </c>
      <c r="L2467" s="1246" t="s">
        <v>1533</v>
      </c>
      <c r="M2467" s="1250">
        <v>9</v>
      </c>
      <c r="N2467" s="1251">
        <v>89</v>
      </c>
      <c r="O2467" s="1252">
        <v>1</v>
      </c>
    </row>
    <row r="2468" spans="1:15">
      <c r="A2468" s="1246" t="s">
        <v>1493</v>
      </c>
      <c r="B2468" s="1246" t="s">
        <v>1432</v>
      </c>
      <c r="C2468" s="1247">
        <v>0</v>
      </c>
      <c r="E2468" s="1246" t="s">
        <v>376</v>
      </c>
      <c r="F2468" s="1248">
        <v>90</v>
      </c>
      <c r="G2468" s="1248">
        <v>0</v>
      </c>
      <c r="H2468" s="1249">
        <v>0</v>
      </c>
      <c r="J2468" s="1246" t="s">
        <v>1436</v>
      </c>
      <c r="K2468" s="1284" t="str">
        <f t="shared" si="38"/>
        <v>11</v>
      </c>
      <c r="L2468" s="1246" t="s">
        <v>1496</v>
      </c>
      <c r="M2468" s="1250">
        <v>9</v>
      </c>
      <c r="N2468" s="1251">
        <v>90</v>
      </c>
      <c r="O2468" s="1252">
        <v>1</v>
      </c>
    </row>
    <row r="2469" spans="1:15">
      <c r="A2469" s="1246" t="s">
        <v>1493</v>
      </c>
      <c r="B2469" s="1246" t="s">
        <v>1432</v>
      </c>
      <c r="C2469" s="1247">
        <v>0</v>
      </c>
      <c r="E2469" s="1246" t="s">
        <v>376</v>
      </c>
      <c r="F2469" s="1248">
        <v>92</v>
      </c>
      <c r="G2469" s="1248">
        <v>0</v>
      </c>
      <c r="H2469" s="1249">
        <v>0</v>
      </c>
      <c r="J2469" s="1246" t="s">
        <v>1436</v>
      </c>
      <c r="K2469" s="1284" t="str">
        <f t="shared" si="38"/>
        <v>11</v>
      </c>
      <c r="L2469" s="1246" t="s">
        <v>1496</v>
      </c>
      <c r="M2469" s="1250">
        <v>9</v>
      </c>
      <c r="N2469" s="1251">
        <v>92</v>
      </c>
      <c r="O2469" s="1252">
        <v>1</v>
      </c>
    </row>
    <row r="2470" spans="1:15">
      <c r="A2470" s="1246" t="s">
        <v>1493</v>
      </c>
      <c r="B2470" s="1246" t="s">
        <v>1432</v>
      </c>
      <c r="C2470" s="1247">
        <v>0</v>
      </c>
      <c r="E2470" s="1246" t="s">
        <v>376</v>
      </c>
      <c r="F2470" s="1248">
        <v>94</v>
      </c>
      <c r="G2470" s="1248">
        <v>0</v>
      </c>
      <c r="H2470" s="1249">
        <v>0</v>
      </c>
      <c r="J2470" s="1246" t="s">
        <v>1436</v>
      </c>
      <c r="K2470" s="1284" t="str">
        <f t="shared" si="38"/>
        <v>11</v>
      </c>
      <c r="L2470" s="1246" t="s">
        <v>1496</v>
      </c>
      <c r="M2470" s="1250">
        <v>9</v>
      </c>
      <c r="N2470" s="1251">
        <v>94</v>
      </c>
      <c r="O2470" s="1252">
        <v>1</v>
      </c>
    </row>
    <row r="2471" spans="1:15">
      <c r="A2471" s="1246" t="s">
        <v>1493</v>
      </c>
      <c r="B2471" s="1246" t="s">
        <v>1432</v>
      </c>
      <c r="C2471" s="1247">
        <v>0</v>
      </c>
      <c r="E2471" s="1246" t="s">
        <v>376</v>
      </c>
      <c r="F2471" s="1248">
        <v>96</v>
      </c>
      <c r="G2471" s="1248">
        <v>0</v>
      </c>
      <c r="H2471" s="1249">
        <v>0</v>
      </c>
      <c r="J2471" s="1246" t="s">
        <v>1397</v>
      </c>
      <c r="K2471" s="1284" t="str">
        <f t="shared" si="38"/>
        <v>10</v>
      </c>
      <c r="L2471" s="1246" t="s">
        <v>1532</v>
      </c>
      <c r="M2471" s="1250">
        <v>9</v>
      </c>
      <c r="N2471" s="1251">
        <v>96</v>
      </c>
      <c r="O2471" s="1252">
        <v>1</v>
      </c>
    </row>
    <row r="2472" spans="1:15">
      <c r="A2472" s="1246" t="s">
        <v>1493</v>
      </c>
      <c r="B2472" s="1246" t="s">
        <v>1432</v>
      </c>
      <c r="C2472" s="1247">
        <v>0</v>
      </c>
      <c r="E2472" s="1246" t="s">
        <v>376</v>
      </c>
      <c r="F2472" s="1248">
        <v>96</v>
      </c>
      <c r="G2472" s="1248">
        <v>0</v>
      </c>
      <c r="H2472" s="1249">
        <v>0</v>
      </c>
      <c r="J2472" s="1246" t="s">
        <v>1462</v>
      </c>
      <c r="K2472" s="1284" t="str">
        <f t="shared" si="38"/>
        <v>71</v>
      </c>
      <c r="L2472" s="1246" t="s">
        <v>1496</v>
      </c>
      <c r="M2472" s="1250">
        <v>9</v>
      </c>
      <c r="N2472" s="1251">
        <v>96</v>
      </c>
      <c r="O2472" s="1252">
        <v>1</v>
      </c>
    </row>
    <row r="2473" spans="1:15">
      <c r="A2473" s="1246" t="s">
        <v>1493</v>
      </c>
      <c r="B2473" s="1246" t="s">
        <v>1432</v>
      </c>
      <c r="C2473" s="1247">
        <v>0</v>
      </c>
      <c r="E2473" s="1246" t="s">
        <v>376</v>
      </c>
      <c r="F2473" s="1248">
        <v>96</v>
      </c>
      <c r="G2473" s="1248">
        <v>0</v>
      </c>
      <c r="H2473" s="1249">
        <v>0</v>
      </c>
      <c r="I2473" s="1246" t="s">
        <v>1491</v>
      </c>
      <c r="J2473" s="1246" t="s">
        <v>1436</v>
      </c>
      <c r="K2473" s="1284" t="str">
        <f t="shared" si="38"/>
        <v>11</v>
      </c>
      <c r="L2473" s="1246" t="s">
        <v>1496</v>
      </c>
      <c r="M2473" s="1250">
        <v>9</v>
      </c>
      <c r="N2473" s="1251">
        <v>96</v>
      </c>
      <c r="O2473" s="1252">
        <v>1</v>
      </c>
    </row>
    <row r="2474" spans="1:15">
      <c r="A2474" s="1246" t="s">
        <v>1493</v>
      </c>
      <c r="B2474" s="1246" t="s">
        <v>1432</v>
      </c>
      <c r="C2474" s="1247">
        <v>0</v>
      </c>
      <c r="E2474" s="1246" t="s">
        <v>376</v>
      </c>
      <c r="F2474" s="1248">
        <v>98</v>
      </c>
      <c r="G2474" s="1248">
        <v>0</v>
      </c>
      <c r="H2474" s="1249">
        <v>0</v>
      </c>
      <c r="J2474" s="1246" t="s">
        <v>1466</v>
      </c>
      <c r="K2474" s="1284" t="str">
        <f t="shared" si="38"/>
        <v>75</v>
      </c>
      <c r="L2474" s="1246" t="s">
        <v>1530</v>
      </c>
      <c r="M2474" s="1250">
        <v>9</v>
      </c>
      <c r="N2474" s="1251">
        <v>98</v>
      </c>
      <c r="O2474" s="1252">
        <v>1</v>
      </c>
    </row>
    <row r="2475" spans="1:15">
      <c r="A2475" s="1246" t="s">
        <v>1493</v>
      </c>
      <c r="B2475" s="1246" t="s">
        <v>1432</v>
      </c>
      <c r="C2475" s="1247">
        <v>0</v>
      </c>
      <c r="E2475" s="1246" t="s">
        <v>376</v>
      </c>
      <c r="F2475" s="1248">
        <v>98</v>
      </c>
      <c r="G2475" s="1248">
        <v>0</v>
      </c>
      <c r="H2475" s="1249">
        <v>0</v>
      </c>
      <c r="J2475" s="1246" t="s">
        <v>1436</v>
      </c>
      <c r="K2475" s="1284" t="str">
        <f t="shared" si="38"/>
        <v>11</v>
      </c>
      <c r="L2475" s="1246" t="s">
        <v>1496</v>
      </c>
      <c r="M2475" s="1250">
        <v>9</v>
      </c>
      <c r="N2475" s="1251">
        <v>98</v>
      </c>
      <c r="O2475" s="1252">
        <v>1</v>
      </c>
    </row>
    <row r="2476" spans="1:15">
      <c r="A2476" s="1246" t="s">
        <v>1493</v>
      </c>
      <c r="B2476" s="1246" t="s">
        <v>1432</v>
      </c>
      <c r="C2476" s="1247">
        <v>0</v>
      </c>
      <c r="E2476" s="1246" t="s">
        <v>376</v>
      </c>
      <c r="F2476" s="1248">
        <v>99</v>
      </c>
      <c r="G2476" s="1248">
        <v>0</v>
      </c>
      <c r="H2476" s="1249">
        <v>0</v>
      </c>
      <c r="J2476" s="1246" t="s">
        <v>1436</v>
      </c>
      <c r="K2476" s="1284" t="str">
        <f t="shared" si="38"/>
        <v>11</v>
      </c>
      <c r="L2476" s="1246" t="s">
        <v>1496</v>
      </c>
      <c r="M2476" s="1250">
        <v>9</v>
      </c>
      <c r="N2476" s="1251">
        <v>99</v>
      </c>
      <c r="O2476" s="1252">
        <v>1</v>
      </c>
    </row>
    <row r="2477" spans="1:15">
      <c r="A2477" s="1246" t="s">
        <v>1493</v>
      </c>
      <c r="B2477" s="1246" t="s">
        <v>1432</v>
      </c>
      <c r="C2477" s="1247">
        <v>0</v>
      </c>
      <c r="E2477" s="1246" t="s">
        <v>376</v>
      </c>
      <c r="F2477" s="1248">
        <v>101</v>
      </c>
      <c r="G2477" s="1248">
        <v>0</v>
      </c>
      <c r="H2477" s="1249">
        <v>0</v>
      </c>
      <c r="J2477" s="1246" t="s">
        <v>1462</v>
      </c>
      <c r="K2477" s="1284" t="str">
        <f t="shared" si="38"/>
        <v>71</v>
      </c>
      <c r="L2477" s="1246" t="s">
        <v>1496</v>
      </c>
      <c r="M2477" s="1250">
        <v>9</v>
      </c>
      <c r="N2477" s="1251">
        <v>101</v>
      </c>
      <c r="O2477" s="1252">
        <v>1</v>
      </c>
    </row>
    <row r="2478" spans="1:15">
      <c r="A2478" s="1246" t="s">
        <v>1493</v>
      </c>
      <c r="B2478" s="1246" t="s">
        <v>1432</v>
      </c>
      <c r="C2478" s="1247">
        <v>0</v>
      </c>
      <c r="E2478" s="1246" t="s">
        <v>376</v>
      </c>
      <c r="F2478" s="1248">
        <v>102</v>
      </c>
      <c r="G2478" s="1248">
        <v>0</v>
      </c>
      <c r="H2478" s="1249">
        <v>0</v>
      </c>
      <c r="J2478" s="1246" t="s">
        <v>1436</v>
      </c>
      <c r="K2478" s="1284" t="str">
        <f t="shared" si="38"/>
        <v>11</v>
      </c>
      <c r="L2478" s="1246" t="s">
        <v>1496</v>
      </c>
      <c r="M2478" s="1250">
        <v>9</v>
      </c>
      <c r="N2478" s="1251">
        <v>102</v>
      </c>
      <c r="O2478" s="1252">
        <v>1</v>
      </c>
    </row>
    <row r="2479" spans="1:15">
      <c r="A2479" s="1246" t="s">
        <v>1493</v>
      </c>
      <c r="B2479" s="1246" t="s">
        <v>1432</v>
      </c>
      <c r="C2479" s="1247">
        <v>0</v>
      </c>
      <c r="E2479" s="1246" t="s">
        <v>376</v>
      </c>
      <c r="F2479" s="1248">
        <v>103</v>
      </c>
      <c r="G2479" s="1248">
        <v>0</v>
      </c>
      <c r="H2479" s="1249">
        <v>0</v>
      </c>
      <c r="J2479" s="1246" t="s">
        <v>1462</v>
      </c>
      <c r="K2479" s="1284" t="str">
        <f t="shared" si="38"/>
        <v>71</v>
      </c>
      <c r="L2479" s="1246" t="s">
        <v>1496</v>
      </c>
      <c r="M2479" s="1250">
        <v>9</v>
      </c>
      <c r="N2479" s="1251">
        <v>103</v>
      </c>
      <c r="O2479" s="1252">
        <v>1</v>
      </c>
    </row>
    <row r="2480" spans="1:15">
      <c r="A2480" s="1246" t="s">
        <v>1493</v>
      </c>
      <c r="B2480" s="1246" t="s">
        <v>1432</v>
      </c>
      <c r="C2480" s="1247">
        <v>0</v>
      </c>
      <c r="E2480" s="1246" t="s">
        <v>376</v>
      </c>
      <c r="F2480" s="1248">
        <v>105</v>
      </c>
      <c r="G2480" s="1248">
        <v>0</v>
      </c>
      <c r="H2480" s="1249">
        <v>0</v>
      </c>
      <c r="J2480" s="1246" t="s">
        <v>1463</v>
      </c>
      <c r="K2480" s="1284" t="str">
        <f t="shared" si="38"/>
        <v>72</v>
      </c>
      <c r="L2480" s="1246" t="s">
        <v>1529</v>
      </c>
      <c r="M2480" s="1250">
        <v>9</v>
      </c>
      <c r="N2480" s="1251">
        <v>105</v>
      </c>
      <c r="O2480" s="1252">
        <v>1</v>
      </c>
    </row>
    <row r="2481" spans="1:15">
      <c r="A2481" s="1246" t="s">
        <v>1493</v>
      </c>
      <c r="B2481" s="1246" t="s">
        <v>1432</v>
      </c>
      <c r="C2481" s="1247">
        <v>0</v>
      </c>
      <c r="E2481" s="1246" t="s">
        <v>376</v>
      </c>
      <c r="F2481" s="1248">
        <v>105</v>
      </c>
      <c r="G2481" s="1248">
        <v>0</v>
      </c>
      <c r="H2481" s="1249">
        <v>0</v>
      </c>
      <c r="J2481" s="1246" t="s">
        <v>1436</v>
      </c>
      <c r="K2481" s="1284" t="str">
        <f t="shared" si="38"/>
        <v>11</v>
      </c>
      <c r="L2481" s="1246" t="s">
        <v>1496</v>
      </c>
      <c r="M2481" s="1250">
        <v>9</v>
      </c>
      <c r="N2481" s="1251">
        <v>105</v>
      </c>
      <c r="O2481" s="1252">
        <v>1</v>
      </c>
    </row>
    <row r="2482" spans="1:15">
      <c r="A2482" s="1246" t="s">
        <v>1493</v>
      </c>
      <c r="B2482" s="1246" t="s">
        <v>1432</v>
      </c>
      <c r="C2482" s="1247">
        <v>0</v>
      </c>
      <c r="E2482" s="1246" t="s">
        <v>376</v>
      </c>
      <c r="F2482" s="1248">
        <v>106</v>
      </c>
      <c r="G2482" s="1248">
        <v>0</v>
      </c>
      <c r="H2482" s="1249">
        <v>0</v>
      </c>
      <c r="J2482" s="1246" t="s">
        <v>1466</v>
      </c>
      <c r="K2482" s="1284" t="str">
        <f t="shared" si="38"/>
        <v>75</v>
      </c>
      <c r="L2482" s="1246" t="s">
        <v>1530</v>
      </c>
      <c r="M2482" s="1250">
        <v>9</v>
      </c>
      <c r="N2482" s="1251">
        <v>106</v>
      </c>
      <c r="O2482" s="1252">
        <v>1</v>
      </c>
    </row>
    <row r="2483" spans="1:15">
      <c r="A2483" s="1246" t="s">
        <v>1493</v>
      </c>
      <c r="B2483" s="1246" t="s">
        <v>1432</v>
      </c>
      <c r="C2483" s="1247">
        <v>0</v>
      </c>
      <c r="E2483" s="1246" t="s">
        <v>376</v>
      </c>
      <c r="F2483" s="1248">
        <v>108</v>
      </c>
      <c r="G2483" s="1248">
        <v>0</v>
      </c>
      <c r="H2483" s="1249">
        <v>0</v>
      </c>
      <c r="J2483" s="1246" t="s">
        <v>1463</v>
      </c>
      <c r="K2483" s="1284" t="str">
        <f t="shared" si="38"/>
        <v>72</v>
      </c>
      <c r="L2483" s="1246" t="s">
        <v>1529</v>
      </c>
      <c r="M2483" s="1250">
        <v>9</v>
      </c>
      <c r="N2483" s="1251">
        <v>108</v>
      </c>
      <c r="O2483" s="1252">
        <v>1</v>
      </c>
    </row>
    <row r="2484" spans="1:15">
      <c r="A2484" s="1246" t="s">
        <v>1493</v>
      </c>
      <c r="B2484" s="1246" t="s">
        <v>1432</v>
      </c>
      <c r="C2484" s="1247">
        <v>0</v>
      </c>
      <c r="E2484" s="1246" t="s">
        <v>376</v>
      </c>
      <c r="F2484" s="1248">
        <v>108</v>
      </c>
      <c r="G2484" s="1248">
        <v>0</v>
      </c>
      <c r="H2484" s="1249">
        <v>0</v>
      </c>
      <c r="J2484" s="1246" t="s">
        <v>1436</v>
      </c>
      <c r="K2484" s="1284" t="str">
        <f t="shared" si="38"/>
        <v>11</v>
      </c>
      <c r="L2484" s="1246" t="s">
        <v>1496</v>
      </c>
      <c r="M2484" s="1250">
        <v>9</v>
      </c>
      <c r="N2484" s="1251">
        <v>108</v>
      </c>
      <c r="O2484" s="1252">
        <v>1</v>
      </c>
    </row>
    <row r="2485" spans="1:15">
      <c r="A2485" s="1246" t="s">
        <v>1493</v>
      </c>
      <c r="B2485" s="1246" t="s">
        <v>1432</v>
      </c>
      <c r="C2485" s="1247">
        <v>0</v>
      </c>
      <c r="E2485" s="1246" t="s">
        <v>376</v>
      </c>
      <c r="F2485" s="1248">
        <v>108</v>
      </c>
      <c r="G2485" s="1248">
        <v>0</v>
      </c>
      <c r="H2485" s="1249">
        <v>0</v>
      </c>
      <c r="I2485" s="1246" t="s">
        <v>1491</v>
      </c>
      <c r="J2485" s="1246" t="s">
        <v>1436</v>
      </c>
      <c r="K2485" s="1284" t="str">
        <f t="shared" si="38"/>
        <v>11</v>
      </c>
      <c r="L2485" s="1246" t="s">
        <v>1496</v>
      </c>
      <c r="M2485" s="1250">
        <v>9</v>
      </c>
      <c r="N2485" s="1251">
        <v>216</v>
      </c>
      <c r="O2485" s="1252">
        <v>2</v>
      </c>
    </row>
    <row r="2486" spans="1:15">
      <c r="A2486" s="1246" t="s">
        <v>1493</v>
      </c>
      <c r="B2486" s="1246" t="s">
        <v>1432</v>
      </c>
      <c r="C2486" s="1247">
        <v>0</v>
      </c>
      <c r="E2486" s="1246" t="s">
        <v>376</v>
      </c>
      <c r="F2486" s="1248">
        <v>110</v>
      </c>
      <c r="G2486" s="1248">
        <v>0</v>
      </c>
      <c r="H2486" s="1249">
        <v>0</v>
      </c>
      <c r="J2486" s="1246" t="s">
        <v>1436</v>
      </c>
      <c r="K2486" s="1284" t="str">
        <f t="shared" si="38"/>
        <v>11</v>
      </c>
      <c r="L2486" s="1246" t="s">
        <v>1496</v>
      </c>
      <c r="M2486" s="1250">
        <v>9</v>
      </c>
      <c r="N2486" s="1251">
        <v>110</v>
      </c>
      <c r="O2486" s="1252">
        <v>1</v>
      </c>
    </row>
    <row r="2487" spans="1:15">
      <c r="A2487" s="1246" t="s">
        <v>1493</v>
      </c>
      <c r="B2487" s="1246" t="s">
        <v>1432</v>
      </c>
      <c r="C2487" s="1247">
        <v>0</v>
      </c>
      <c r="E2487" s="1246" t="s">
        <v>376</v>
      </c>
      <c r="F2487" s="1248">
        <v>112</v>
      </c>
      <c r="G2487" s="1248">
        <v>0</v>
      </c>
      <c r="H2487" s="1249">
        <v>0</v>
      </c>
      <c r="J2487" s="1246" t="s">
        <v>1436</v>
      </c>
      <c r="K2487" s="1284" t="str">
        <f t="shared" si="38"/>
        <v>11</v>
      </c>
      <c r="L2487" s="1246" t="s">
        <v>1496</v>
      </c>
      <c r="M2487" s="1250">
        <v>9</v>
      </c>
      <c r="N2487" s="1251">
        <v>112</v>
      </c>
      <c r="O2487" s="1252">
        <v>1</v>
      </c>
    </row>
    <row r="2488" spans="1:15">
      <c r="A2488" s="1246" t="s">
        <v>1493</v>
      </c>
      <c r="B2488" s="1246" t="s">
        <v>1432</v>
      </c>
      <c r="C2488" s="1247">
        <v>0</v>
      </c>
      <c r="E2488" s="1246" t="s">
        <v>376</v>
      </c>
      <c r="F2488" s="1248">
        <v>114</v>
      </c>
      <c r="G2488" s="1248">
        <v>0</v>
      </c>
      <c r="H2488" s="1249">
        <v>0</v>
      </c>
      <c r="J2488" s="1246" t="s">
        <v>1464</v>
      </c>
      <c r="K2488" s="1284" t="str">
        <f t="shared" si="38"/>
        <v>73</v>
      </c>
      <c r="L2488" s="1246" t="s">
        <v>1533</v>
      </c>
      <c r="M2488" s="1250">
        <v>9</v>
      </c>
      <c r="N2488" s="1251">
        <v>114</v>
      </c>
      <c r="O2488" s="1252">
        <v>1</v>
      </c>
    </row>
    <row r="2489" spans="1:15">
      <c r="A2489" s="1246" t="s">
        <v>1493</v>
      </c>
      <c r="B2489" s="1246" t="s">
        <v>1432</v>
      </c>
      <c r="C2489" s="1247">
        <v>0</v>
      </c>
      <c r="E2489" s="1246" t="s">
        <v>376</v>
      </c>
      <c r="F2489" s="1248">
        <v>114</v>
      </c>
      <c r="G2489" s="1248">
        <v>0</v>
      </c>
      <c r="H2489" s="1249">
        <v>0</v>
      </c>
      <c r="J2489" s="1246" t="s">
        <v>1462</v>
      </c>
      <c r="K2489" s="1284" t="str">
        <f t="shared" si="38"/>
        <v>71</v>
      </c>
      <c r="L2489" s="1246" t="s">
        <v>1496</v>
      </c>
      <c r="M2489" s="1250">
        <v>9</v>
      </c>
      <c r="N2489" s="1251">
        <v>114</v>
      </c>
      <c r="O2489" s="1252">
        <v>1</v>
      </c>
    </row>
    <row r="2490" spans="1:15">
      <c r="A2490" s="1246" t="s">
        <v>1493</v>
      </c>
      <c r="B2490" s="1246" t="s">
        <v>1432</v>
      </c>
      <c r="C2490" s="1247">
        <v>0</v>
      </c>
      <c r="E2490" s="1246" t="s">
        <v>376</v>
      </c>
      <c r="F2490" s="1248">
        <v>114</v>
      </c>
      <c r="G2490" s="1248">
        <v>0</v>
      </c>
      <c r="H2490" s="1249">
        <v>0</v>
      </c>
      <c r="I2490" s="1246" t="s">
        <v>1491</v>
      </c>
      <c r="J2490" s="1246" t="s">
        <v>1436</v>
      </c>
      <c r="K2490" s="1284" t="str">
        <f t="shared" si="38"/>
        <v>11</v>
      </c>
      <c r="L2490" s="1246" t="s">
        <v>1496</v>
      </c>
      <c r="M2490" s="1250">
        <v>9</v>
      </c>
      <c r="N2490" s="1251">
        <v>114</v>
      </c>
      <c r="O2490" s="1252">
        <v>1</v>
      </c>
    </row>
    <row r="2491" spans="1:15">
      <c r="A2491" s="1246" t="s">
        <v>1493</v>
      </c>
      <c r="B2491" s="1246" t="s">
        <v>1432</v>
      </c>
      <c r="C2491" s="1247">
        <v>0</v>
      </c>
      <c r="E2491" s="1246" t="s">
        <v>376</v>
      </c>
      <c r="F2491" s="1248">
        <v>116</v>
      </c>
      <c r="G2491" s="1248">
        <v>0</v>
      </c>
      <c r="H2491" s="1249">
        <v>0</v>
      </c>
      <c r="I2491" s="1246" t="s">
        <v>1491</v>
      </c>
      <c r="J2491" s="1246" t="s">
        <v>1436</v>
      </c>
      <c r="K2491" s="1284" t="str">
        <f t="shared" si="38"/>
        <v>11</v>
      </c>
      <c r="L2491" s="1246" t="s">
        <v>1496</v>
      </c>
      <c r="M2491" s="1250">
        <v>9</v>
      </c>
      <c r="N2491" s="1251">
        <v>116</v>
      </c>
      <c r="O2491" s="1252">
        <v>1</v>
      </c>
    </row>
    <row r="2492" spans="1:15">
      <c r="A2492" s="1246" t="s">
        <v>1493</v>
      </c>
      <c r="B2492" s="1246" t="s">
        <v>1432</v>
      </c>
      <c r="C2492" s="1247">
        <v>0</v>
      </c>
      <c r="E2492" s="1246" t="s">
        <v>376</v>
      </c>
      <c r="F2492" s="1248">
        <v>118</v>
      </c>
      <c r="G2492" s="1248">
        <v>0</v>
      </c>
      <c r="H2492" s="1249">
        <v>0</v>
      </c>
      <c r="J2492" s="1246" t="s">
        <v>1436</v>
      </c>
      <c r="K2492" s="1284" t="str">
        <f t="shared" si="38"/>
        <v>11</v>
      </c>
      <c r="L2492" s="1246" t="s">
        <v>1496</v>
      </c>
      <c r="M2492" s="1250">
        <v>9</v>
      </c>
      <c r="N2492" s="1251">
        <v>118</v>
      </c>
      <c r="O2492" s="1252">
        <v>1</v>
      </c>
    </row>
    <row r="2493" spans="1:15">
      <c r="A2493" s="1246" t="s">
        <v>683</v>
      </c>
      <c r="B2493" s="1246" t="s">
        <v>1432</v>
      </c>
      <c r="C2493" s="1247">
        <v>0</v>
      </c>
      <c r="E2493" s="1246" t="s">
        <v>376</v>
      </c>
      <c r="F2493" s="1248">
        <v>118</v>
      </c>
      <c r="G2493" s="1248">
        <v>0</v>
      </c>
      <c r="H2493" s="1249">
        <v>0</v>
      </c>
      <c r="J2493" s="1246" t="s">
        <v>1462</v>
      </c>
      <c r="K2493" s="1284" t="str">
        <f t="shared" si="38"/>
        <v>71</v>
      </c>
      <c r="L2493" s="1246" t="s">
        <v>1496</v>
      </c>
      <c r="M2493" s="1250">
        <v>9</v>
      </c>
      <c r="N2493" s="1251">
        <v>118</v>
      </c>
      <c r="O2493" s="1252">
        <v>1</v>
      </c>
    </row>
    <row r="2494" spans="1:15">
      <c r="A2494" s="1246" t="s">
        <v>1493</v>
      </c>
      <c r="B2494" s="1246" t="s">
        <v>1432</v>
      </c>
      <c r="C2494" s="1247">
        <v>0</v>
      </c>
      <c r="E2494" s="1246" t="s">
        <v>376</v>
      </c>
      <c r="F2494" s="1248">
        <v>119</v>
      </c>
      <c r="G2494" s="1248">
        <v>0</v>
      </c>
      <c r="H2494" s="1249">
        <v>0</v>
      </c>
      <c r="I2494" s="1246" t="s">
        <v>1491</v>
      </c>
      <c r="J2494" s="1246" t="s">
        <v>1436</v>
      </c>
      <c r="K2494" s="1284" t="str">
        <f t="shared" si="38"/>
        <v>11</v>
      </c>
      <c r="L2494" s="1246" t="s">
        <v>1496</v>
      </c>
      <c r="M2494" s="1250">
        <v>9</v>
      </c>
      <c r="N2494" s="1251">
        <v>119</v>
      </c>
      <c r="O2494" s="1252">
        <v>1</v>
      </c>
    </row>
    <row r="2495" spans="1:15">
      <c r="A2495" s="1246" t="s">
        <v>1493</v>
      </c>
      <c r="B2495" s="1246" t="s">
        <v>1432</v>
      </c>
      <c r="C2495" s="1247">
        <v>0</v>
      </c>
      <c r="E2495" s="1246" t="s">
        <v>376</v>
      </c>
      <c r="F2495" s="1248">
        <v>120</v>
      </c>
      <c r="G2495" s="1248">
        <v>0</v>
      </c>
      <c r="H2495" s="1249">
        <v>0</v>
      </c>
      <c r="I2495" s="1246" t="s">
        <v>1491</v>
      </c>
      <c r="J2495" s="1246" t="s">
        <v>1436</v>
      </c>
      <c r="K2495" s="1284" t="str">
        <f t="shared" si="38"/>
        <v>11</v>
      </c>
      <c r="L2495" s="1246" t="s">
        <v>1496</v>
      </c>
      <c r="M2495" s="1250">
        <v>9</v>
      </c>
      <c r="N2495" s="1251">
        <v>120</v>
      </c>
      <c r="O2495" s="1252">
        <v>1</v>
      </c>
    </row>
    <row r="2496" spans="1:15">
      <c r="A2496" s="1246" t="s">
        <v>1493</v>
      </c>
      <c r="B2496" s="1246" t="s">
        <v>1432</v>
      </c>
      <c r="C2496" s="1247">
        <v>0</v>
      </c>
      <c r="E2496" s="1246" t="s">
        <v>376</v>
      </c>
      <c r="F2496" s="1248">
        <v>122</v>
      </c>
      <c r="G2496" s="1248">
        <v>0</v>
      </c>
      <c r="H2496" s="1249">
        <v>0</v>
      </c>
      <c r="J2496" s="1246" t="s">
        <v>1436</v>
      </c>
      <c r="K2496" s="1284" t="str">
        <f t="shared" si="38"/>
        <v>11</v>
      </c>
      <c r="L2496" s="1246" t="s">
        <v>1496</v>
      </c>
      <c r="M2496" s="1250">
        <v>9</v>
      </c>
      <c r="N2496" s="1251">
        <v>122</v>
      </c>
      <c r="O2496" s="1252">
        <v>1</v>
      </c>
    </row>
    <row r="2497" spans="1:15">
      <c r="A2497" s="1246" t="s">
        <v>1493</v>
      </c>
      <c r="B2497" s="1246" t="s">
        <v>1432</v>
      </c>
      <c r="C2497" s="1247">
        <v>0</v>
      </c>
      <c r="E2497" s="1246" t="s">
        <v>376</v>
      </c>
      <c r="F2497" s="1248">
        <v>122</v>
      </c>
      <c r="G2497" s="1248">
        <v>0</v>
      </c>
      <c r="H2497" s="1249">
        <v>0</v>
      </c>
      <c r="J2497" s="1246" t="s">
        <v>1462</v>
      </c>
      <c r="K2497" s="1284" t="str">
        <f t="shared" si="38"/>
        <v>71</v>
      </c>
      <c r="L2497" s="1246" t="s">
        <v>1496</v>
      </c>
      <c r="M2497" s="1250">
        <v>9</v>
      </c>
      <c r="N2497" s="1251">
        <v>122</v>
      </c>
      <c r="O2497" s="1252">
        <v>1</v>
      </c>
    </row>
    <row r="2498" spans="1:15">
      <c r="A2498" s="1246" t="s">
        <v>1493</v>
      </c>
      <c r="B2498" s="1246" t="s">
        <v>1432</v>
      </c>
      <c r="C2498" s="1247">
        <v>0</v>
      </c>
      <c r="E2498" s="1246" t="s">
        <v>376</v>
      </c>
      <c r="F2498" s="1248">
        <v>123</v>
      </c>
      <c r="G2498" s="1248">
        <v>0</v>
      </c>
      <c r="H2498" s="1249">
        <v>0</v>
      </c>
      <c r="J2498" s="1246" t="s">
        <v>1436</v>
      </c>
      <c r="K2498" s="1284" t="str">
        <f t="shared" ref="K2498:K2561" si="39">IF(J2498="1B","10", IF(J2498="2B","20",IF(J2498="3B","30",IF(J2498="7B",70,J2498))))</f>
        <v>11</v>
      </c>
      <c r="L2498" s="1246" t="s">
        <v>1496</v>
      </c>
      <c r="M2498" s="1250">
        <v>9</v>
      </c>
      <c r="N2498" s="1251">
        <v>123</v>
      </c>
      <c r="O2498" s="1252">
        <v>1</v>
      </c>
    </row>
    <row r="2499" spans="1:15">
      <c r="A2499" s="1246" t="s">
        <v>1493</v>
      </c>
      <c r="B2499" s="1246" t="s">
        <v>1432</v>
      </c>
      <c r="C2499" s="1247">
        <v>0</v>
      </c>
      <c r="E2499" s="1246" t="s">
        <v>376</v>
      </c>
      <c r="F2499" s="1248">
        <v>125</v>
      </c>
      <c r="G2499" s="1248">
        <v>0</v>
      </c>
      <c r="H2499" s="1249">
        <v>0</v>
      </c>
      <c r="J2499" s="1246" t="s">
        <v>1436</v>
      </c>
      <c r="K2499" s="1284" t="str">
        <f t="shared" si="39"/>
        <v>11</v>
      </c>
      <c r="L2499" s="1246" t="s">
        <v>1496</v>
      </c>
      <c r="M2499" s="1250">
        <v>9</v>
      </c>
      <c r="N2499" s="1251">
        <v>125</v>
      </c>
      <c r="O2499" s="1252">
        <v>1</v>
      </c>
    </row>
    <row r="2500" spans="1:15">
      <c r="A2500" s="1246" t="s">
        <v>1493</v>
      </c>
      <c r="B2500" s="1246" t="s">
        <v>1432</v>
      </c>
      <c r="C2500" s="1247">
        <v>0</v>
      </c>
      <c r="E2500" s="1246" t="s">
        <v>376</v>
      </c>
      <c r="F2500" s="1248">
        <v>127</v>
      </c>
      <c r="G2500" s="1248">
        <v>0</v>
      </c>
      <c r="H2500" s="1249">
        <v>0</v>
      </c>
      <c r="J2500" s="1246" t="s">
        <v>1436</v>
      </c>
      <c r="K2500" s="1284" t="str">
        <f t="shared" si="39"/>
        <v>11</v>
      </c>
      <c r="L2500" s="1246" t="s">
        <v>1496</v>
      </c>
      <c r="M2500" s="1250">
        <v>9</v>
      </c>
      <c r="N2500" s="1251">
        <v>254</v>
      </c>
      <c r="O2500" s="1252">
        <v>2</v>
      </c>
    </row>
    <row r="2501" spans="1:15">
      <c r="A2501" s="1246" t="s">
        <v>1493</v>
      </c>
      <c r="B2501" s="1246" t="s">
        <v>1432</v>
      </c>
      <c r="C2501" s="1247">
        <v>0</v>
      </c>
      <c r="E2501" s="1246" t="s">
        <v>376</v>
      </c>
      <c r="F2501" s="1248">
        <v>128</v>
      </c>
      <c r="G2501" s="1248">
        <v>0</v>
      </c>
      <c r="H2501" s="1249">
        <v>0</v>
      </c>
      <c r="J2501" s="1246" t="s">
        <v>1451</v>
      </c>
      <c r="K2501" s="1284" t="str">
        <f t="shared" si="39"/>
        <v>20</v>
      </c>
      <c r="L2501" s="1246" t="s">
        <v>1542</v>
      </c>
      <c r="M2501" s="1250">
        <v>6</v>
      </c>
      <c r="N2501" s="1251">
        <v>128</v>
      </c>
      <c r="O2501" s="1252">
        <v>1</v>
      </c>
    </row>
    <row r="2502" spans="1:15">
      <c r="A2502" s="1246" t="s">
        <v>1493</v>
      </c>
      <c r="B2502" s="1246" t="s">
        <v>1432</v>
      </c>
      <c r="C2502" s="1247">
        <v>0</v>
      </c>
      <c r="E2502" s="1246" t="s">
        <v>376</v>
      </c>
      <c r="F2502" s="1248">
        <v>128</v>
      </c>
      <c r="G2502" s="1248">
        <v>0</v>
      </c>
      <c r="H2502" s="1249">
        <v>0</v>
      </c>
      <c r="J2502" s="1246" t="s">
        <v>1436</v>
      </c>
      <c r="K2502" s="1284" t="str">
        <f t="shared" si="39"/>
        <v>11</v>
      </c>
      <c r="L2502" s="1246" t="s">
        <v>1496</v>
      </c>
      <c r="M2502" s="1250">
        <v>9</v>
      </c>
      <c r="N2502" s="1251">
        <v>256</v>
      </c>
      <c r="O2502" s="1252">
        <v>2</v>
      </c>
    </row>
    <row r="2503" spans="1:15">
      <c r="A2503" s="1246" t="s">
        <v>1493</v>
      </c>
      <c r="B2503" s="1246" t="s">
        <v>1432</v>
      </c>
      <c r="C2503" s="1247">
        <v>0</v>
      </c>
      <c r="E2503" s="1246" t="s">
        <v>376</v>
      </c>
      <c r="F2503" s="1248">
        <v>128</v>
      </c>
      <c r="G2503" s="1248">
        <v>0</v>
      </c>
      <c r="H2503" s="1249">
        <v>0</v>
      </c>
      <c r="I2503" s="1246" t="s">
        <v>1491</v>
      </c>
      <c r="J2503" s="1246" t="s">
        <v>1436</v>
      </c>
      <c r="K2503" s="1284" t="str">
        <f t="shared" si="39"/>
        <v>11</v>
      </c>
      <c r="L2503" s="1246" t="s">
        <v>1496</v>
      </c>
      <c r="M2503" s="1250">
        <v>9</v>
      </c>
      <c r="N2503" s="1251">
        <v>128</v>
      </c>
      <c r="O2503" s="1252">
        <v>1</v>
      </c>
    </row>
    <row r="2504" spans="1:15">
      <c r="A2504" s="1246" t="s">
        <v>1493</v>
      </c>
      <c r="B2504" s="1246" t="s">
        <v>1432</v>
      </c>
      <c r="C2504" s="1247">
        <v>0</v>
      </c>
      <c r="E2504" s="1246" t="s">
        <v>376</v>
      </c>
      <c r="F2504" s="1248">
        <v>129</v>
      </c>
      <c r="G2504" s="1248">
        <v>0</v>
      </c>
      <c r="H2504" s="1249">
        <v>0</v>
      </c>
      <c r="J2504" s="1246" t="s">
        <v>1436</v>
      </c>
      <c r="K2504" s="1284" t="str">
        <f t="shared" si="39"/>
        <v>11</v>
      </c>
      <c r="L2504" s="1246" t="s">
        <v>1496</v>
      </c>
      <c r="M2504" s="1250">
        <v>9</v>
      </c>
      <c r="N2504" s="1251">
        <v>129</v>
      </c>
      <c r="O2504" s="1252">
        <v>1</v>
      </c>
    </row>
    <row r="2505" spans="1:15">
      <c r="A2505" s="1246" t="s">
        <v>1493</v>
      </c>
      <c r="B2505" s="1246" t="s">
        <v>1432</v>
      </c>
      <c r="C2505" s="1247">
        <v>0</v>
      </c>
      <c r="E2505" s="1246" t="s">
        <v>376</v>
      </c>
      <c r="F2505" s="1248">
        <v>130</v>
      </c>
      <c r="G2505" s="1248">
        <v>0</v>
      </c>
      <c r="H2505" s="1249">
        <v>0</v>
      </c>
      <c r="J2505" s="1246" t="s">
        <v>1397</v>
      </c>
      <c r="K2505" s="1284" t="str">
        <f t="shared" si="39"/>
        <v>10</v>
      </c>
      <c r="L2505" s="1246" t="s">
        <v>1532</v>
      </c>
      <c r="M2505" s="1250">
        <v>9</v>
      </c>
      <c r="N2505" s="1251">
        <v>130</v>
      </c>
      <c r="O2505" s="1252">
        <v>1</v>
      </c>
    </row>
    <row r="2506" spans="1:15">
      <c r="A2506" s="1246" t="s">
        <v>1493</v>
      </c>
      <c r="B2506" s="1246" t="s">
        <v>1432</v>
      </c>
      <c r="C2506" s="1247">
        <v>0</v>
      </c>
      <c r="E2506" s="1246" t="s">
        <v>376</v>
      </c>
      <c r="F2506" s="1248">
        <v>130</v>
      </c>
      <c r="G2506" s="1248">
        <v>0</v>
      </c>
      <c r="H2506" s="1249">
        <v>0</v>
      </c>
      <c r="I2506" s="1246" t="s">
        <v>1491</v>
      </c>
      <c r="J2506" s="1246" t="s">
        <v>1436</v>
      </c>
      <c r="K2506" s="1284" t="str">
        <f t="shared" si="39"/>
        <v>11</v>
      </c>
      <c r="L2506" s="1246" t="s">
        <v>1496</v>
      </c>
      <c r="M2506" s="1250">
        <v>9</v>
      </c>
      <c r="N2506" s="1251">
        <v>130</v>
      </c>
      <c r="O2506" s="1252">
        <v>1</v>
      </c>
    </row>
    <row r="2507" spans="1:15">
      <c r="A2507" s="1246" t="s">
        <v>1493</v>
      </c>
      <c r="B2507" s="1246" t="s">
        <v>1432</v>
      </c>
      <c r="C2507" s="1247">
        <v>0</v>
      </c>
      <c r="E2507" s="1246" t="s">
        <v>376</v>
      </c>
      <c r="F2507" s="1248">
        <v>132</v>
      </c>
      <c r="G2507" s="1248">
        <v>0</v>
      </c>
      <c r="H2507" s="1249">
        <v>0</v>
      </c>
      <c r="I2507" s="1246" t="s">
        <v>1491</v>
      </c>
      <c r="J2507" s="1246" t="s">
        <v>1436</v>
      </c>
      <c r="K2507" s="1284" t="str">
        <f t="shared" si="39"/>
        <v>11</v>
      </c>
      <c r="L2507" s="1246" t="s">
        <v>1496</v>
      </c>
      <c r="M2507" s="1250">
        <v>9</v>
      </c>
      <c r="N2507" s="1251">
        <v>132</v>
      </c>
      <c r="O2507" s="1252">
        <v>1</v>
      </c>
    </row>
    <row r="2508" spans="1:15">
      <c r="A2508" s="1246" t="s">
        <v>1493</v>
      </c>
      <c r="B2508" s="1246" t="s">
        <v>1432</v>
      </c>
      <c r="C2508" s="1247">
        <v>0</v>
      </c>
      <c r="E2508" s="1246" t="s">
        <v>376</v>
      </c>
      <c r="F2508" s="1248">
        <v>136</v>
      </c>
      <c r="G2508" s="1248">
        <v>0</v>
      </c>
      <c r="H2508" s="1249">
        <v>0</v>
      </c>
      <c r="J2508" s="1246" t="s">
        <v>1436</v>
      </c>
      <c r="K2508" s="1284" t="str">
        <f t="shared" si="39"/>
        <v>11</v>
      </c>
      <c r="L2508" s="1246" t="s">
        <v>1496</v>
      </c>
      <c r="M2508" s="1250">
        <v>9</v>
      </c>
      <c r="N2508" s="1251">
        <v>136</v>
      </c>
      <c r="O2508" s="1252">
        <v>1</v>
      </c>
    </row>
    <row r="2509" spans="1:15">
      <c r="A2509" s="1246" t="s">
        <v>683</v>
      </c>
      <c r="B2509" s="1246" t="s">
        <v>1432</v>
      </c>
      <c r="C2509" s="1247">
        <v>0</v>
      </c>
      <c r="E2509" s="1246" t="s">
        <v>376</v>
      </c>
      <c r="F2509" s="1248">
        <v>140</v>
      </c>
      <c r="G2509" s="1248">
        <v>0</v>
      </c>
      <c r="H2509" s="1249">
        <v>0</v>
      </c>
      <c r="J2509" s="1246" t="s">
        <v>1436</v>
      </c>
      <c r="K2509" s="1284" t="str">
        <f t="shared" si="39"/>
        <v>11</v>
      </c>
      <c r="L2509" s="1246" t="s">
        <v>1496</v>
      </c>
      <c r="M2509" s="1250">
        <v>9</v>
      </c>
      <c r="N2509" s="1251">
        <v>140</v>
      </c>
      <c r="O2509" s="1252">
        <v>1</v>
      </c>
    </row>
    <row r="2510" spans="1:15">
      <c r="A2510" s="1246" t="s">
        <v>1493</v>
      </c>
      <c r="B2510" s="1246" t="s">
        <v>1432</v>
      </c>
      <c r="C2510" s="1247">
        <v>0</v>
      </c>
      <c r="E2510" s="1246" t="s">
        <v>376</v>
      </c>
      <c r="F2510" s="1248">
        <v>144</v>
      </c>
      <c r="G2510" s="1248">
        <v>0</v>
      </c>
      <c r="H2510" s="1249">
        <v>0</v>
      </c>
      <c r="J2510" s="1246" t="s">
        <v>1436</v>
      </c>
      <c r="K2510" s="1284" t="str">
        <f t="shared" si="39"/>
        <v>11</v>
      </c>
      <c r="L2510" s="1246" t="s">
        <v>1496</v>
      </c>
      <c r="M2510" s="1250">
        <v>9</v>
      </c>
      <c r="N2510" s="1251">
        <v>144</v>
      </c>
      <c r="O2510" s="1252">
        <v>1</v>
      </c>
    </row>
    <row r="2511" spans="1:15">
      <c r="A2511" s="1246" t="s">
        <v>1493</v>
      </c>
      <c r="B2511" s="1246" t="s">
        <v>1432</v>
      </c>
      <c r="C2511" s="1247">
        <v>0</v>
      </c>
      <c r="E2511" s="1246" t="s">
        <v>376</v>
      </c>
      <c r="F2511" s="1248">
        <v>145</v>
      </c>
      <c r="G2511" s="1248">
        <v>0</v>
      </c>
      <c r="H2511" s="1249">
        <v>0</v>
      </c>
      <c r="J2511" s="1246" t="s">
        <v>1462</v>
      </c>
      <c r="K2511" s="1284" t="str">
        <f t="shared" si="39"/>
        <v>71</v>
      </c>
      <c r="L2511" s="1246" t="s">
        <v>1496</v>
      </c>
      <c r="M2511" s="1250">
        <v>9</v>
      </c>
      <c r="N2511" s="1251">
        <v>145</v>
      </c>
      <c r="O2511" s="1252">
        <v>1</v>
      </c>
    </row>
    <row r="2512" spans="1:15">
      <c r="A2512" s="1246" t="s">
        <v>683</v>
      </c>
      <c r="B2512" s="1246" t="s">
        <v>1432</v>
      </c>
      <c r="C2512" s="1247">
        <v>0</v>
      </c>
      <c r="E2512" s="1246" t="s">
        <v>376</v>
      </c>
      <c r="F2512" s="1248">
        <v>148</v>
      </c>
      <c r="G2512" s="1248">
        <v>0</v>
      </c>
      <c r="H2512" s="1249">
        <v>0</v>
      </c>
      <c r="J2512" s="1246" t="s">
        <v>1462</v>
      </c>
      <c r="K2512" s="1284" t="str">
        <f t="shared" si="39"/>
        <v>71</v>
      </c>
      <c r="L2512" s="1246" t="s">
        <v>1496</v>
      </c>
      <c r="M2512" s="1250">
        <v>9</v>
      </c>
      <c r="N2512" s="1251">
        <v>148</v>
      </c>
      <c r="O2512" s="1252">
        <v>1</v>
      </c>
    </row>
    <row r="2513" spans="1:15">
      <c r="A2513" s="1246" t="s">
        <v>1493</v>
      </c>
      <c r="B2513" s="1246" t="s">
        <v>1432</v>
      </c>
      <c r="C2513" s="1247">
        <v>0</v>
      </c>
      <c r="E2513" s="1246" t="s">
        <v>376</v>
      </c>
      <c r="F2513" s="1248">
        <v>148</v>
      </c>
      <c r="G2513" s="1248">
        <v>0</v>
      </c>
      <c r="H2513" s="1249">
        <v>0</v>
      </c>
      <c r="I2513" s="1246" t="s">
        <v>1491</v>
      </c>
      <c r="J2513" s="1246" t="s">
        <v>1436</v>
      </c>
      <c r="K2513" s="1284" t="str">
        <f t="shared" si="39"/>
        <v>11</v>
      </c>
      <c r="L2513" s="1246" t="s">
        <v>1496</v>
      </c>
      <c r="M2513" s="1250">
        <v>9</v>
      </c>
      <c r="N2513" s="1251">
        <v>148</v>
      </c>
      <c r="O2513" s="1252">
        <v>1</v>
      </c>
    </row>
    <row r="2514" spans="1:15">
      <c r="A2514" s="1246" t="s">
        <v>1493</v>
      </c>
      <c r="B2514" s="1246" t="s">
        <v>1432</v>
      </c>
      <c r="C2514" s="1247">
        <v>0</v>
      </c>
      <c r="E2514" s="1246" t="s">
        <v>376</v>
      </c>
      <c r="F2514" s="1248">
        <v>150</v>
      </c>
      <c r="G2514" s="1248">
        <v>0</v>
      </c>
      <c r="H2514" s="1249">
        <v>0</v>
      </c>
      <c r="J2514" s="1246" t="s">
        <v>1462</v>
      </c>
      <c r="K2514" s="1284" t="str">
        <f t="shared" si="39"/>
        <v>71</v>
      </c>
      <c r="L2514" s="1246" t="s">
        <v>1496</v>
      </c>
      <c r="M2514" s="1250">
        <v>9</v>
      </c>
      <c r="N2514" s="1251">
        <v>150</v>
      </c>
      <c r="O2514" s="1252">
        <v>1</v>
      </c>
    </row>
    <row r="2515" spans="1:15">
      <c r="A2515" s="1246" t="s">
        <v>683</v>
      </c>
      <c r="B2515" s="1246" t="s">
        <v>1432</v>
      </c>
      <c r="C2515" s="1247">
        <v>0</v>
      </c>
      <c r="E2515" s="1246" t="s">
        <v>376</v>
      </c>
      <c r="F2515" s="1248">
        <v>152</v>
      </c>
      <c r="G2515" s="1248">
        <v>0</v>
      </c>
      <c r="H2515" s="1249">
        <v>0</v>
      </c>
      <c r="J2515" s="1246" t="s">
        <v>1436</v>
      </c>
      <c r="K2515" s="1284" t="str">
        <f t="shared" si="39"/>
        <v>11</v>
      </c>
      <c r="L2515" s="1246" t="s">
        <v>1496</v>
      </c>
      <c r="M2515" s="1250">
        <v>9</v>
      </c>
      <c r="N2515" s="1251">
        <v>152</v>
      </c>
      <c r="O2515" s="1252">
        <v>1</v>
      </c>
    </row>
    <row r="2516" spans="1:15">
      <c r="A2516" s="1246" t="s">
        <v>683</v>
      </c>
      <c r="B2516" s="1246" t="s">
        <v>1432</v>
      </c>
      <c r="C2516" s="1247">
        <v>0</v>
      </c>
      <c r="E2516" s="1246" t="s">
        <v>376</v>
      </c>
      <c r="F2516" s="1248">
        <v>153</v>
      </c>
      <c r="G2516" s="1248">
        <v>0</v>
      </c>
      <c r="H2516" s="1249">
        <v>0</v>
      </c>
      <c r="J2516" s="1246" t="s">
        <v>1462</v>
      </c>
      <c r="K2516" s="1284" t="str">
        <f t="shared" si="39"/>
        <v>71</v>
      </c>
      <c r="L2516" s="1246" t="s">
        <v>1496</v>
      </c>
      <c r="M2516" s="1250">
        <v>9</v>
      </c>
      <c r="N2516" s="1251">
        <v>153</v>
      </c>
      <c r="O2516" s="1252">
        <v>1</v>
      </c>
    </row>
    <row r="2517" spans="1:15">
      <c r="A2517" s="1246" t="s">
        <v>1493</v>
      </c>
      <c r="B2517" s="1246" t="s">
        <v>1432</v>
      </c>
      <c r="C2517" s="1247">
        <v>0</v>
      </c>
      <c r="E2517" s="1246" t="s">
        <v>376</v>
      </c>
      <c r="F2517" s="1248">
        <v>153</v>
      </c>
      <c r="G2517" s="1248">
        <v>0</v>
      </c>
      <c r="H2517" s="1249">
        <v>0</v>
      </c>
      <c r="I2517" s="1246" t="s">
        <v>1491</v>
      </c>
      <c r="J2517" s="1246" t="s">
        <v>1436</v>
      </c>
      <c r="K2517" s="1284" t="str">
        <f t="shared" si="39"/>
        <v>11</v>
      </c>
      <c r="L2517" s="1246" t="s">
        <v>1496</v>
      </c>
      <c r="M2517" s="1250">
        <v>9</v>
      </c>
      <c r="N2517" s="1251">
        <v>153</v>
      </c>
      <c r="O2517" s="1252">
        <v>1</v>
      </c>
    </row>
    <row r="2518" spans="1:15">
      <c r="A2518" s="1246" t="s">
        <v>1493</v>
      </c>
      <c r="B2518" s="1246" t="s">
        <v>1432</v>
      </c>
      <c r="C2518" s="1247">
        <v>0</v>
      </c>
      <c r="E2518" s="1246" t="s">
        <v>376</v>
      </c>
      <c r="F2518" s="1248">
        <v>155</v>
      </c>
      <c r="G2518" s="1248">
        <v>0</v>
      </c>
      <c r="H2518" s="1249">
        <v>0</v>
      </c>
      <c r="J2518" s="1246" t="s">
        <v>1436</v>
      </c>
      <c r="K2518" s="1284" t="str">
        <f t="shared" si="39"/>
        <v>11</v>
      </c>
      <c r="L2518" s="1246" t="s">
        <v>1496</v>
      </c>
      <c r="M2518" s="1250">
        <v>9</v>
      </c>
      <c r="N2518" s="1251">
        <v>155</v>
      </c>
      <c r="O2518" s="1252">
        <v>1</v>
      </c>
    </row>
    <row r="2519" spans="1:15">
      <c r="A2519" s="1246" t="s">
        <v>1493</v>
      </c>
      <c r="B2519" s="1246" t="s">
        <v>1432</v>
      </c>
      <c r="C2519" s="1247">
        <v>0</v>
      </c>
      <c r="E2519" s="1246" t="s">
        <v>376</v>
      </c>
      <c r="F2519" s="1248">
        <v>158</v>
      </c>
      <c r="G2519" s="1248">
        <v>0</v>
      </c>
      <c r="H2519" s="1249">
        <v>0</v>
      </c>
      <c r="J2519" s="1246" t="s">
        <v>1451</v>
      </c>
      <c r="K2519" s="1284" t="str">
        <f t="shared" si="39"/>
        <v>20</v>
      </c>
      <c r="L2519" s="1246" t="s">
        <v>1542</v>
      </c>
      <c r="M2519" s="1250">
        <v>6</v>
      </c>
      <c r="N2519" s="1251">
        <v>158</v>
      </c>
      <c r="O2519" s="1252">
        <v>1</v>
      </c>
    </row>
    <row r="2520" spans="1:15">
      <c r="A2520" s="1246" t="s">
        <v>1493</v>
      </c>
      <c r="B2520" s="1246" t="s">
        <v>1432</v>
      </c>
      <c r="C2520" s="1247">
        <v>0</v>
      </c>
      <c r="E2520" s="1246" t="s">
        <v>376</v>
      </c>
      <c r="F2520" s="1248">
        <v>159</v>
      </c>
      <c r="G2520" s="1248">
        <v>0</v>
      </c>
      <c r="H2520" s="1249">
        <v>0</v>
      </c>
      <c r="J2520" s="1246" t="s">
        <v>1448</v>
      </c>
      <c r="K2520" s="1284" t="str">
        <f t="shared" si="39"/>
        <v>25</v>
      </c>
      <c r="L2520" s="1246" t="s">
        <v>1530</v>
      </c>
      <c r="M2520" s="1250">
        <v>9</v>
      </c>
      <c r="N2520" s="1251">
        <v>159</v>
      </c>
      <c r="O2520" s="1252">
        <v>1</v>
      </c>
    </row>
    <row r="2521" spans="1:15">
      <c r="A2521" s="1246" t="s">
        <v>1493</v>
      </c>
      <c r="B2521" s="1246" t="s">
        <v>1432</v>
      </c>
      <c r="C2521" s="1247">
        <v>0</v>
      </c>
      <c r="E2521" s="1246" t="s">
        <v>376</v>
      </c>
      <c r="F2521" s="1248">
        <v>162</v>
      </c>
      <c r="G2521" s="1248">
        <v>0</v>
      </c>
      <c r="H2521" s="1249">
        <v>0</v>
      </c>
      <c r="J2521" s="1246" t="s">
        <v>1468</v>
      </c>
      <c r="K2521" s="1284" t="str">
        <f t="shared" si="39"/>
        <v>7A</v>
      </c>
      <c r="L2521" s="1246" t="s">
        <v>1531</v>
      </c>
      <c r="M2521" s="1250">
        <v>9</v>
      </c>
      <c r="N2521" s="1251">
        <v>162</v>
      </c>
      <c r="O2521" s="1252">
        <v>1</v>
      </c>
    </row>
    <row r="2522" spans="1:15">
      <c r="A2522" s="1246" t="s">
        <v>1493</v>
      </c>
      <c r="B2522" s="1246" t="s">
        <v>1432</v>
      </c>
      <c r="C2522" s="1247">
        <v>0</v>
      </c>
      <c r="E2522" s="1246" t="s">
        <v>376</v>
      </c>
      <c r="F2522" s="1248">
        <v>163</v>
      </c>
      <c r="G2522" s="1248">
        <v>0</v>
      </c>
      <c r="H2522" s="1249">
        <v>0</v>
      </c>
      <c r="J2522" s="1246" t="s">
        <v>1400</v>
      </c>
      <c r="K2522" s="1284" t="str">
        <f t="shared" si="39"/>
        <v>70</v>
      </c>
      <c r="L2522" s="1246" t="s">
        <v>1532</v>
      </c>
      <c r="M2522" s="1250">
        <v>9</v>
      </c>
      <c r="N2522" s="1251">
        <v>163</v>
      </c>
      <c r="O2522" s="1252">
        <v>1</v>
      </c>
    </row>
    <row r="2523" spans="1:15">
      <c r="A2523" s="1246" t="s">
        <v>683</v>
      </c>
      <c r="B2523" s="1246" t="s">
        <v>1432</v>
      </c>
      <c r="C2523" s="1247">
        <v>0</v>
      </c>
      <c r="E2523" s="1246" t="s">
        <v>376</v>
      </c>
      <c r="F2523" s="1248">
        <v>166</v>
      </c>
      <c r="G2523" s="1248">
        <v>0</v>
      </c>
      <c r="H2523" s="1249">
        <v>0</v>
      </c>
      <c r="J2523" s="1246" t="s">
        <v>1464</v>
      </c>
      <c r="K2523" s="1284" t="str">
        <f t="shared" si="39"/>
        <v>73</v>
      </c>
      <c r="L2523" s="1246" t="s">
        <v>1533</v>
      </c>
      <c r="M2523" s="1250">
        <v>9</v>
      </c>
      <c r="N2523" s="1251">
        <v>166</v>
      </c>
      <c r="O2523" s="1252">
        <v>1</v>
      </c>
    </row>
    <row r="2524" spans="1:15">
      <c r="A2524" s="1246" t="s">
        <v>1493</v>
      </c>
      <c r="B2524" s="1246" t="s">
        <v>1432</v>
      </c>
      <c r="C2524" s="1247">
        <v>0</v>
      </c>
      <c r="E2524" s="1246" t="s">
        <v>376</v>
      </c>
      <c r="F2524" s="1248">
        <v>166</v>
      </c>
      <c r="G2524" s="1248">
        <v>0</v>
      </c>
      <c r="H2524" s="1249">
        <v>0</v>
      </c>
      <c r="J2524" s="1246" t="s">
        <v>1436</v>
      </c>
      <c r="K2524" s="1284" t="str">
        <f t="shared" si="39"/>
        <v>11</v>
      </c>
      <c r="L2524" s="1246" t="s">
        <v>1496</v>
      </c>
      <c r="M2524" s="1250">
        <v>9</v>
      </c>
      <c r="N2524" s="1251">
        <v>166</v>
      </c>
      <c r="O2524" s="1252">
        <v>1</v>
      </c>
    </row>
    <row r="2525" spans="1:15">
      <c r="A2525" s="1246" t="s">
        <v>1493</v>
      </c>
      <c r="B2525" s="1246" t="s">
        <v>1432</v>
      </c>
      <c r="C2525" s="1247">
        <v>0</v>
      </c>
      <c r="E2525" s="1246" t="s">
        <v>376</v>
      </c>
      <c r="F2525" s="1248">
        <v>168</v>
      </c>
      <c r="G2525" s="1248">
        <v>0</v>
      </c>
      <c r="H2525" s="1249">
        <v>0</v>
      </c>
      <c r="I2525" s="1246" t="s">
        <v>1491</v>
      </c>
      <c r="J2525" s="1246" t="s">
        <v>1436</v>
      </c>
      <c r="K2525" s="1284" t="str">
        <f t="shared" si="39"/>
        <v>11</v>
      </c>
      <c r="L2525" s="1246" t="s">
        <v>1496</v>
      </c>
      <c r="M2525" s="1250">
        <v>9</v>
      </c>
      <c r="N2525" s="1251">
        <v>168</v>
      </c>
      <c r="O2525" s="1252">
        <v>1</v>
      </c>
    </row>
    <row r="2526" spans="1:15">
      <c r="A2526" s="1246" t="s">
        <v>1493</v>
      </c>
      <c r="B2526" s="1246" t="s">
        <v>1432</v>
      </c>
      <c r="C2526" s="1247">
        <v>0</v>
      </c>
      <c r="E2526" s="1246" t="s">
        <v>376</v>
      </c>
      <c r="F2526" s="1248">
        <v>171</v>
      </c>
      <c r="G2526" s="1248">
        <v>0</v>
      </c>
      <c r="H2526" s="1249">
        <v>0</v>
      </c>
      <c r="J2526" s="1246" t="s">
        <v>1436</v>
      </c>
      <c r="K2526" s="1284" t="str">
        <f t="shared" si="39"/>
        <v>11</v>
      </c>
      <c r="L2526" s="1246" t="s">
        <v>1496</v>
      </c>
      <c r="M2526" s="1250">
        <v>9</v>
      </c>
      <c r="N2526" s="1251">
        <v>171</v>
      </c>
      <c r="O2526" s="1252">
        <v>1</v>
      </c>
    </row>
    <row r="2527" spans="1:15">
      <c r="A2527" s="1246" t="s">
        <v>683</v>
      </c>
      <c r="B2527" s="1246" t="s">
        <v>1432</v>
      </c>
      <c r="C2527" s="1247">
        <v>0</v>
      </c>
      <c r="E2527" s="1246" t="s">
        <v>376</v>
      </c>
      <c r="F2527" s="1248">
        <v>174</v>
      </c>
      <c r="G2527" s="1248">
        <v>0</v>
      </c>
      <c r="H2527" s="1249">
        <v>0</v>
      </c>
      <c r="J2527" s="1246" t="s">
        <v>1462</v>
      </c>
      <c r="K2527" s="1284" t="str">
        <f t="shared" si="39"/>
        <v>71</v>
      </c>
      <c r="L2527" s="1246" t="s">
        <v>1496</v>
      </c>
      <c r="M2527" s="1250">
        <v>9</v>
      </c>
      <c r="N2527" s="1251">
        <v>174</v>
      </c>
      <c r="O2527" s="1252">
        <v>1</v>
      </c>
    </row>
    <row r="2528" spans="1:15">
      <c r="A2528" s="1246" t="s">
        <v>1493</v>
      </c>
      <c r="B2528" s="1246" t="s">
        <v>1432</v>
      </c>
      <c r="C2528" s="1247">
        <v>0</v>
      </c>
      <c r="E2528" s="1246" t="s">
        <v>376</v>
      </c>
      <c r="F2528" s="1248">
        <v>176</v>
      </c>
      <c r="G2528" s="1248">
        <v>0</v>
      </c>
      <c r="H2528" s="1249">
        <v>0</v>
      </c>
      <c r="J2528" s="1246" t="s">
        <v>1436</v>
      </c>
      <c r="K2528" s="1284" t="str">
        <f t="shared" si="39"/>
        <v>11</v>
      </c>
      <c r="L2528" s="1246" t="s">
        <v>1496</v>
      </c>
      <c r="M2528" s="1250">
        <v>9</v>
      </c>
      <c r="N2528" s="1251">
        <v>176</v>
      </c>
      <c r="O2528" s="1252">
        <v>1</v>
      </c>
    </row>
    <row r="2529" spans="1:15">
      <c r="A2529" s="1246" t="s">
        <v>1493</v>
      </c>
      <c r="B2529" s="1246" t="s">
        <v>1432</v>
      </c>
      <c r="C2529" s="1247">
        <v>0</v>
      </c>
      <c r="E2529" s="1246" t="s">
        <v>376</v>
      </c>
      <c r="F2529" s="1248">
        <v>180</v>
      </c>
      <c r="G2529" s="1248">
        <v>0</v>
      </c>
      <c r="H2529" s="1249">
        <v>0</v>
      </c>
      <c r="J2529" s="1246" t="s">
        <v>1397</v>
      </c>
      <c r="K2529" s="1284" t="str">
        <f t="shared" si="39"/>
        <v>10</v>
      </c>
      <c r="L2529" s="1246" t="s">
        <v>1532</v>
      </c>
      <c r="M2529" s="1250">
        <v>9</v>
      </c>
      <c r="N2529" s="1251">
        <v>180</v>
      </c>
      <c r="O2529" s="1252">
        <v>1</v>
      </c>
    </row>
    <row r="2530" spans="1:15">
      <c r="A2530" s="1246" t="s">
        <v>1493</v>
      </c>
      <c r="B2530" s="1246" t="s">
        <v>1432</v>
      </c>
      <c r="C2530" s="1247">
        <v>0</v>
      </c>
      <c r="E2530" s="1246" t="s">
        <v>376</v>
      </c>
      <c r="F2530" s="1248">
        <v>180</v>
      </c>
      <c r="G2530" s="1248">
        <v>0</v>
      </c>
      <c r="H2530" s="1249">
        <v>0</v>
      </c>
      <c r="J2530" s="1246" t="s">
        <v>1462</v>
      </c>
      <c r="K2530" s="1284" t="str">
        <f t="shared" si="39"/>
        <v>71</v>
      </c>
      <c r="L2530" s="1246" t="s">
        <v>1496</v>
      </c>
      <c r="M2530" s="1250">
        <v>9</v>
      </c>
      <c r="N2530" s="1251">
        <v>360</v>
      </c>
      <c r="O2530" s="1252">
        <v>2</v>
      </c>
    </row>
    <row r="2531" spans="1:15">
      <c r="A2531" s="1246" t="s">
        <v>1493</v>
      </c>
      <c r="B2531" s="1246" t="s">
        <v>1432</v>
      </c>
      <c r="C2531" s="1247">
        <v>0</v>
      </c>
      <c r="E2531" s="1246" t="s">
        <v>376</v>
      </c>
      <c r="F2531" s="1248">
        <v>180</v>
      </c>
      <c r="G2531" s="1248">
        <v>0</v>
      </c>
      <c r="H2531" s="1249">
        <v>0</v>
      </c>
      <c r="I2531" s="1246" t="s">
        <v>1491</v>
      </c>
      <c r="J2531" s="1246" t="s">
        <v>1436</v>
      </c>
      <c r="K2531" s="1284" t="str">
        <f t="shared" si="39"/>
        <v>11</v>
      </c>
      <c r="L2531" s="1246" t="s">
        <v>1496</v>
      </c>
      <c r="M2531" s="1250">
        <v>9</v>
      </c>
      <c r="N2531" s="1251">
        <v>180</v>
      </c>
      <c r="O2531" s="1252">
        <v>1</v>
      </c>
    </row>
    <row r="2532" spans="1:15">
      <c r="A2532" s="1246" t="s">
        <v>1493</v>
      </c>
      <c r="B2532" s="1246" t="s">
        <v>1432</v>
      </c>
      <c r="C2532" s="1247">
        <v>0</v>
      </c>
      <c r="E2532" s="1246" t="s">
        <v>376</v>
      </c>
      <c r="F2532" s="1248">
        <v>184</v>
      </c>
      <c r="G2532" s="1248">
        <v>0</v>
      </c>
      <c r="H2532" s="1249">
        <v>0</v>
      </c>
      <c r="J2532" s="1246" t="s">
        <v>1462</v>
      </c>
      <c r="K2532" s="1284" t="str">
        <f t="shared" si="39"/>
        <v>71</v>
      </c>
      <c r="L2532" s="1246" t="s">
        <v>1496</v>
      </c>
      <c r="M2532" s="1250">
        <v>9</v>
      </c>
      <c r="N2532" s="1251">
        <v>184</v>
      </c>
      <c r="O2532" s="1252">
        <v>1</v>
      </c>
    </row>
    <row r="2533" spans="1:15">
      <c r="A2533" s="1246" t="s">
        <v>1493</v>
      </c>
      <c r="B2533" s="1246" t="s">
        <v>1432</v>
      </c>
      <c r="C2533" s="1247">
        <v>0</v>
      </c>
      <c r="E2533" s="1246" t="s">
        <v>376</v>
      </c>
      <c r="F2533" s="1248">
        <v>184</v>
      </c>
      <c r="G2533" s="1248">
        <v>0</v>
      </c>
      <c r="H2533" s="1249">
        <v>0</v>
      </c>
      <c r="I2533" s="1246" t="s">
        <v>1491</v>
      </c>
      <c r="J2533" s="1246" t="s">
        <v>1436</v>
      </c>
      <c r="K2533" s="1284" t="str">
        <f t="shared" si="39"/>
        <v>11</v>
      </c>
      <c r="L2533" s="1246" t="s">
        <v>1496</v>
      </c>
      <c r="M2533" s="1250">
        <v>9</v>
      </c>
      <c r="N2533" s="1251">
        <v>184</v>
      </c>
      <c r="O2533" s="1252">
        <v>1</v>
      </c>
    </row>
    <row r="2534" spans="1:15">
      <c r="A2534" s="1246" t="s">
        <v>1493</v>
      </c>
      <c r="B2534" s="1246" t="s">
        <v>1432</v>
      </c>
      <c r="C2534" s="1247">
        <v>0</v>
      </c>
      <c r="E2534" s="1246" t="s">
        <v>376</v>
      </c>
      <c r="F2534" s="1248">
        <v>191</v>
      </c>
      <c r="G2534" s="1248">
        <v>0</v>
      </c>
      <c r="H2534" s="1249">
        <v>0</v>
      </c>
      <c r="J2534" s="1246" t="s">
        <v>1436</v>
      </c>
      <c r="K2534" s="1284" t="str">
        <f t="shared" si="39"/>
        <v>11</v>
      </c>
      <c r="L2534" s="1246" t="s">
        <v>1496</v>
      </c>
      <c r="M2534" s="1250">
        <v>9</v>
      </c>
      <c r="N2534" s="1251">
        <v>764</v>
      </c>
      <c r="O2534" s="1252">
        <v>4</v>
      </c>
    </row>
    <row r="2535" spans="1:15">
      <c r="A2535" s="1246" t="s">
        <v>1493</v>
      </c>
      <c r="B2535" s="1246" t="s">
        <v>1432</v>
      </c>
      <c r="C2535" s="1247">
        <v>0</v>
      </c>
      <c r="E2535" s="1246" t="s">
        <v>376</v>
      </c>
      <c r="F2535" s="1248">
        <v>191</v>
      </c>
      <c r="G2535" s="1248">
        <v>0</v>
      </c>
      <c r="H2535" s="1249">
        <v>0</v>
      </c>
      <c r="J2535" s="1246" t="s">
        <v>1462</v>
      </c>
      <c r="K2535" s="1284" t="str">
        <f t="shared" si="39"/>
        <v>71</v>
      </c>
      <c r="L2535" s="1246" t="s">
        <v>1496</v>
      </c>
      <c r="M2535" s="1250">
        <v>9</v>
      </c>
      <c r="N2535" s="1251">
        <v>191</v>
      </c>
      <c r="O2535" s="1252">
        <v>1</v>
      </c>
    </row>
    <row r="2536" spans="1:15">
      <c r="A2536" s="1246" t="s">
        <v>1493</v>
      </c>
      <c r="B2536" s="1246" t="s">
        <v>1432</v>
      </c>
      <c r="C2536" s="1247">
        <v>0</v>
      </c>
      <c r="E2536" s="1246" t="s">
        <v>376</v>
      </c>
      <c r="F2536" s="1248">
        <v>192</v>
      </c>
      <c r="G2536" s="1248">
        <v>0</v>
      </c>
      <c r="H2536" s="1249">
        <v>0</v>
      </c>
      <c r="J2536" s="1246" t="s">
        <v>1436</v>
      </c>
      <c r="K2536" s="1284" t="str">
        <f t="shared" si="39"/>
        <v>11</v>
      </c>
      <c r="L2536" s="1246" t="s">
        <v>1496</v>
      </c>
      <c r="M2536" s="1250">
        <v>9</v>
      </c>
      <c r="N2536" s="1251">
        <v>192</v>
      </c>
      <c r="O2536" s="1252">
        <v>1</v>
      </c>
    </row>
    <row r="2537" spans="1:15">
      <c r="A2537" s="1246" t="s">
        <v>1493</v>
      </c>
      <c r="B2537" s="1246" t="s">
        <v>1432</v>
      </c>
      <c r="C2537" s="1247">
        <v>0</v>
      </c>
      <c r="E2537" s="1246" t="s">
        <v>376</v>
      </c>
      <c r="F2537" s="1248">
        <v>192</v>
      </c>
      <c r="G2537" s="1248">
        <v>0</v>
      </c>
      <c r="H2537" s="1249">
        <v>0</v>
      </c>
      <c r="J2537" s="1246" t="s">
        <v>1462</v>
      </c>
      <c r="K2537" s="1284" t="str">
        <f t="shared" si="39"/>
        <v>71</v>
      </c>
      <c r="L2537" s="1246" t="s">
        <v>1496</v>
      </c>
      <c r="M2537" s="1250">
        <v>9</v>
      </c>
      <c r="N2537" s="1251">
        <v>192</v>
      </c>
      <c r="O2537" s="1252">
        <v>1</v>
      </c>
    </row>
    <row r="2538" spans="1:15">
      <c r="A2538" s="1246" t="s">
        <v>1493</v>
      </c>
      <c r="B2538" s="1246" t="s">
        <v>1432</v>
      </c>
      <c r="C2538" s="1247">
        <v>0</v>
      </c>
      <c r="E2538" s="1246" t="s">
        <v>376</v>
      </c>
      <c r="F2538" s="1248">
        <v>198</v>
      </c>
      <c r="G2538" s="1248">
        <v>0</v>
      </c>
      <c r="H2538" s="1249">
        <v>0</v>
      </c>
      <c r="J2538" s="1246" t="s">
        <v>1436</v>
      </c>
      <c r="K2538" s="1284" t="str">
        <f t="shared" si="39"/>
        <v>11</v>
      </c>
      <c r="L2538" s="1246" t="s">
        <v>1496</v>
      </c>
      <c r="M2538" s="1250">
        <v>9</v>
      </c>
      <c r="N2538" s="1251">
        <v>396</v>
      </c>
      <c r="O2538" s="1252">
        <v>2</v>
      </c>
    </row>
    <row r="2539" spans="1:15">
      <c r="A2539" s="1246" t="s">
        <v>1493</v>
      </c>
      <c r="B2539" s="1246" t="s">
        <v>1432</v>
      </c>
      <c r="C2539" s="1247">
        <v>0</v>
      </c>
      <c r="E2539" s="1246" t="s">
        <v>376</v>
      </c>
      <c r="F2539" s="1248">
        <v>202</v>
      </c>
      <c r="G2539" s="1248">
        <v>0</v>
      </c>
      <c r="H2539" s="1249">
        <v>0</v>
      </c>
      <c r="J2539" s="1246" t="s">
        <v>1436</v>
      </c>
      <c r="K2539" s="1284" t="str">
        <f t="shared" si="39"/>
        <v>11</v>
      </c>
      <c r="L2539" s="1246" t="s">
        <v>1496</v>
      </c>
      <c r="M2539" s="1250">
        <v>9</v>
      </c>
      <c r="N2539" s="1251">
        <v>202</v>
      </c>
      <c r="O2539" s="1252">
        <v>1</v>
      </c>
    </row>
    <row r="2540" spans="1:15">
      <c r="A2540" s="1246" t="s">
        <v>683</v>
      </c>
      <c r="B2540" s="1246" t="s">
        <v>1432</v>
      </c>
      <c r="C2540" s="1247">
        <v>0</v>
      </c>
      <c r="E2540" s="1246" t="s">
        <v>376</v>
      </c>
      <c r="F2540" s="1248">
        <v>204</v>
      </c>
      <c r="G2540" s="1248">
        <v>0</v>
      </c>
      <c r="H2540" s="1249">
        <v>0</v>
      </c>
      <c r="J2540" s="1246" t="s">
        <v>1462</v>
      </c>
      <c r="K2540" s="1284" t="str">
        <f t="shared" si="39"/>
        <v>71</v>
      </c>
      <c r="L2540" s="1246" t="s">
        <v>1496</v>
      </c>
      <c r="M2540" s="1250">
        <v>9</v>
      </c>
      <c r="N2540" s="1251">
        <v>204</v>
      </c>
      <c r="O2540" s="1252">
        <v>1</v>
      </c>
    </row>
    <row r="2541" spans="1:15">
      <c r="A2541" s="1246" t="s">
        <v>1493</v>
      </c>
      <c r="B2541" s="1246" t="s">
        <v>1432</v>
      </c>
      <c r="C2541" s="1247">
        <v>0</v>
      </c>
      <c r="E2541" s="1246" t="s">
        <v>376</v>
      </c>
      <c r="F2541" s="1248">
        <v>206</v>
      </c>
      <c r="G2541" s="1248">
        <v>0</v>
      </c>
      <c r="H2541" s="1249">
        <v>0</v>
      </c>
      <c r="J2541" s="1246" t="s">
        <v>1462</v>
      </c>
      <c r="K2541" s="1284" t="str">
        <f t="shared" si="39"/>
        <v>71</v>
      </c>
      <c r="L2541" s="1246" t="s">
        <v>1496</v>
      </c>
      <c r="M2541" s="1250">
        <v>9</v>
      </c>
      <c r="N2541" s="1251">
        <v>206</v>
      </c>
      <c r="O2541" s="1252">
        <v>1</v>
      </c>
    </row>
    <row r="2542" spans="1:15">
      <c r="A2542" s="1246" t="s">
        <v>1493</v>
      </c>
      <c r="B2542" s="1246" t="s">
        <v>1432</v>
      </c>
      <c r="C2542" s="1247">
        <v>0</v>
      </c>
      <c r="E2542" s="1246" t="s">
        <v>376</v>
      </c>
      <c r="F2542" s="1248">
        <v>209</v>
      </c>
      <c r="G2542" s="1248">
        <v>0</v>
      </c>
      <c r="H2542" s="1249">
        <v>0</v>
      </c>
      <c r="J2542" s="1246" t="s">
        <v>1436</v>
      </c>
      <c r="K2542" s="1284" t="str">
        <f t="shared" si="39"/>
        <v>11</v>
      </c>
      <c r="L2542" s="1246" t="s">
        <v>1496</v>
      </c>
      <c r="M2542" s="1250">
        <v>9</v>
      </c>
      <c r="N2542" s="1251">
        <v>209</v>
      </c>
      <c r="O2542" s="1252">
        <v>1</v>
      </c>
    </row>
    <row r="2543" spans="1:15">
      <c r="A2543" s="1246" t="s">
        <v>1493</v>
      </c>
      <c r="B2543" s="1246" t="s">
        <v>1432</v>
      </c>
      <c r="C2543" s="1247">
        <v>0</v>
      </c>
      <c r="E2543" s="1246" t="s">
        <v>376</v>
      </c>
      <c r="F2543" s="1248">
        <v>216</v>
      </c>
      <c r="G2543" s="1248">
        <v>0</v>
      </c>
      <c r="H2543" s="1249">
        <v>0</v>
      </c>
      <c r="J2543" s="1246" t="s">
        <v>1436</v>
      </c>
      <c r="K2543" s="1284" t="str">
        <f t="shared" si="39"/>
        <v>11</v>
      </c>
      <c r="L2543" s="1246" t="s">
        <v>1496</v>
      </c>
      <c r="M2543" s="1250">
        <v>9</v>
      </c>
      <c r="N2543" s="1251">
        <v>216</v>
      </c>
      <c r="O2543" s="1252">
        <v>1</v>
      </c>
    </row>
    <row r="2544" spans="1:15">
      <c r="A2544" s="1246" t="s">
        <v>1493</v>
      </c>
      <c r="B2544" s="1246" t="s">
        <v>1432</v>
      </c>
      <c r="C2544" s="1247">
        <v>0</v>
      </c>
      <c r="E2544" s="1246" t="s">
        <v>376</v>
      </c>
      <c r="F2544" s="1248">
        <v>220</v>
      </c>
      <c r="G2544" s="1248">
        <v>0</v>
      </c>
      <c r="H2544" s="1249">
        <v>0</v>
      </c>
      <c r="J2544" s="1246" t="s">
        <v>1462</v>
      </c>
      <c r="K2544" s="1284" t="str">
        <f t="shared" si="39"/>
        <v>71</v>
      </c>
      <c r="L2544" s="1246" t="s">
        <v>1496</v>
      </c>
      <c r="M2544" s="1250">
        <v>9</v>
      </c>
      <c r="N2544" s="1251">
        <v>220</v>
      </c>
      <c r="O2544" s="1252">
        <v>1</v>
      </c>
    </row>
    <row r="2545" spans="1:15">
      <c r="A2545" s="1246" t="s">
        <v>1493</v>
      </c>
      <c r="B2545" s="1246" t="s">
        <v>1432</v>
      </c>
      <c r="C2545" s="1247">
        <v>0</v>
      </c>
      <c r="E2545" s="1246" t="s">
        <v>376</v>
      </c>
      <c r="F2545" s="1248">
        <v>224</v>
      </c>
      <c r="G2545" s="1248">
        <v>0</v>
      </c>
      <c r="H2545" s="1249">
        <v>0</v>
      </c>
      <c r="I2545" s="1246" t="s">
        <v>1491</v>
      </c>
      <c r="J2545" s="1246" t="s">
        <v>1436</v>
      </c>
      <c r="K2545" s="1284" t="str">
        <f t="shared" si="39"/>
        <v>11</v>
      </c>
      <c r="L2545" s="1246" t="s">
        <v>1496</v>
      </c>
      <c r="M2545" s="1250">
        <v>9</v>
      </c>
      <c r="N2545" s="1251">
        <v>224</v>
      </c>
      <c r="O2545" s="1252">
        <v>1</v>
      </c>
    </row>
    <row r="2546" spans="1:15">
      <c r="A2546" s="1246" t="s">
        <v>1493</v>
      </c>
      <c r="B2546" s="1246" t="s">
        <v>1432</v>
      </c>
      <c r="C2546" s="1247">
        <v>0</v>
      </c>
      <c r="E2546" s="1246" t="s">
        <v>376</v>
      </c>
      <c r="F2546" s="1248">
        <v>227</v>
      </c>
      <c r="G2546" s="1248">
        <v>0</v>
      </c>
      <c r="H2546" s="1249">
        <v>0</v>
      </c>
      <c r="J2546" s="1246" t="s">
        <v>1436</v>
      </c>
      <c r="K2546" s="1284" t="str">
        <f t="shared" si="39"/>
        <v>11</v>
      </c>
      <c r="L2546" s="1246" t="s">
        <v>1496</v>
      </c>
      <c r="M2546" s="1250">
        <v>9</v>
      </c>
      <c r="N2546" s="1251">
        <v>227</v>
      </c>
      <c r="O2546" s="1252">
        <v>1</v>
      </c>
    </row>
    <row r="2547" spans="1:15">
      <c r="A2547" s="1246" t="s">
        <v>1493</v>
      </c>
      <c r="B2547" s="1246" t="s">
        <v>1432</v>
      </c>
      <c r="C2547" s="1247">
        <v>0</v>
      </c>
      <c r="E2547" s="1246" t="s">
        <v>376</v>
      </c>
      <c r="F2547" s="1248">
        <v>233</v>
      </c>
      <c r="G2547" s="1248">
        <v>0</v>
      </c>
      <c r="H2547" s="1249">
        <v>0</v>
      </c>
      <c r="J2547" s="1246" t="s">
        <v>1443</v>
      </c>
      <c r="K2547" s="1284" t="str">
        <f t="shared" si="39"/>
        <v>1C</v>
      </c>
      <c r="L2547" s="1246" t="s">
        <v>1502</v>
      </c>
      <c r="M2547" s="1250">
        <v>4</v>
      </c>
      <c r="N2547" s="1251">
        <v>233</v>
      </c>
      <c r="O2547" s="1252">
        <v>1</v>
      </c>
    </row>
    <row r="2548" spans="1:15">
      <c r="A2548" s="1246" t="s">
        <v>1493</v>
      </c>
      <c r="B2548" s="1246" t="s">
        <v>1432</v>
      </c>
      <c r="C2548" s="1247">
        <v>0</v>
      </c>
      <c r="E2548" s="1246" t="s">
        <v>376</v>
      </c>
      <c r="F2548" s="1248">
        <v>240</v>
      </c>
      <c r="G2548" s="1248">
        <v>0</v>
      </c>
      <c r="H2548" s="1249">
        <v>0</v>
      </c>
      <c r="J2548" s="1246" t="s">
        <v>1436</v>
      </c>
      <c r="K2548" s="1284" t="str">
        <f t="shared" si="39"/>
        <v>11</v>
      </c>
      <c r="L2548" s="1246" t="s">
        <v>1496</v>
      </c>
      <c r="M2548" s="1250">
        <v>9</v>
      </c>
      <c r="N2548" s="1251">
        <v>240</v>
      </c>
      <c r="O2548" s="1252">
        <v>1</v>
      </c>
    </row>
    <row r="2549" spans="1:15">
      <c r="A2549" s="1246" t="s">
        <v>1493</v>
      </c>
      <c r="B2549" s="1246" t="s">
        <v>1432</v>
      </c>
      <c r="C2549" s="1247">
        <v>0</v>
      </c>
      <c r="E2549" s="1246" t="s">
        <v>376</v>
      </c>
      <c r="F2549" s="1248">
        <v>240</v>
      </c>
      <c r="G2549" s="1248">
        <v>0</v>
      </c>
      <c r="H2549" s="1249">
        <v>0</v>
      </c>
      <c r="J2549" s="1246" t="s">
        <v>1462</v>
      </c>
      <c r="K2549" s="1284" t="str">
        <f t="shared" si="39"/>
        <v>71</v>
      </c>
      <c r="L2549" s="1246" t="s">
        <v>1496</v>
      </c>
      <c r="M2549" s="1250">
        <v>9</v>
      </c>
      <c r="N2549" s="1251">
        <v>240</v>
      </c>
      <c r="O2549" s="1252">
        <v>1</v>
      </c>
    </row>
    <row r="2550" spans="1:15">
      <c r="A2550" s="1246" t="s">
        <v>1493</v>
      </c>
      <c r="B2550" s="1246" t="s">
        <v>1432</v>
      </c>
      <c r="C2550" s="1247">
        <v>0</v>
      </c>
      <c r="E2550" s="1246" t="s">
        <v>376</v>
      </c>
      <c r="F2550" s="1248">
        <v>240</v>
      </c>
      <c r="G2550" s="1248">
        <v>0</v>
      </c>
      <c r="H2550" s="1249">
        <v>0</v>
      </c>
      <c r="I2550" s="1246" t="s">
        <v>1491</v>
      </c>
      <c r="J2550" s="1246" t="s">
        <v>1436</v>
      </c>
      <c r="K2550" s="1284" t="str">
        <f t="shared" si="39"/>
        <v>11</v>
      </c>
      <c r="L2550" s="1246" t="s">
        <v>1496</v>
      </c>
      <c r="M2550" s="1250">
        <v>9</v>
      </c>
      <c r="N2550" s="1251">
        <v>240</v>
      </c>
      <c r="O2550" s="1252">
        <v>1</v>
      </c>
    </row>
    <row r="2551" spans="1:15">
      <c r="A2551" s="1246" t="s">
        <v>1493</v>
      </c>
      <c r="B2551" s="1246" t="s">
        <v>1432</v>
      </c>
      <c r="C2551" s="1247">
        <v>0</v>
      </c>
      <c r="E2551" s="1246" t="s">
        <v>376</v>
      </c>
      <c r="F2551" s="1248">
        <v>244</v>
      </c>
      <c r="G2551" s="1248">
        <v>0</v>
      </c>
      <c r="H2551" s="1249">
        <v>0</v>
      </c>
      <c r="J2551" s="1246" t="s">
        <v>1436</v>
      </c>
      <c r="K2551" s="1284" t="str">
        <f t="shared" si="39"/>
        <v>11</v>
      </c>
      <c r="L2551" s="1246" t="s">
        <v>1496</v>
      </c>
      <c r="M2551" s="1250">
        <v>9</v>
      </c>
      <c r="N2551" s="1251">
        <v>244</v>
      </c>
      <c r="O2551" s="1252">
        <v>1</v>
      </c>
    </row>
    <row r="2552" spans="1:15">
      <c r="A2552" s="1246" t="s">
        <v>1493</v>
      </c>
      <c r="B2552" s="1246" t="s">
        <v>1432</v>
      </c>
      <c r="C2552" s="1247">
        <v>0</v>
      </c>
      <c r="E2552" s="1246" t="s">
        <v>376</v>
      </c>
      <c r="F2552" s="1248">
        <v>244</v>
      </c>
      <c r="G2552" s="1248">
        <v>0</v>
      </c>
      <c r="H2552" s="1249">
        <v>0</v>
      </c>
      <c r="I2552" s="1246" t="s">
        <v>1491</v>
      </c>
      <c r="J2552" s="1246" t="s">
        <v>1436</v>
      </c>
      <c r="K2552" s="1284" t="str">
        <f t="shared" si="39"/>
        <v>11</v>
      </c>
      <c r="L2552" s="1246" t="s">
        <v>1496</v>
      </c>
      <c r="M2552" s="1250">
        <v>9</v>
      </c>
      <c r="N2552" s="1251">
        <v>244</v>
      </c>
      <c r="O2552" s="1252">
        <v>1</v>
      </c>
    </row>
    <row r="2553" spans="1:15">
      <c r="A2553" s="1246" t="s">
        <v>1493</v>
      </c>
      <c r="B2553" s="1246" t="s">
        <v>1432</v>
      </c>
      <c r="C2553" s="1247">
        <v>0</v>
      </c>
      <c r="E2553" s="1246" t="s">
        <v>376</v>
      </c>
      <c r="F2553" s="1248">
        <v>247</v>
      </c>
      <c r="G2553" s="1248">
        <v>0</v>
      </c>
      <c r="H2553" s="1249">
        <v>0</v>
      </c>
      <c r="I2553" s="1246" t="s">
        <v>1491</v>
      </c>
      <c r="J2553" s="1246" t="s">
        <v>1436</v>
      </c>
      <c r="K2553" s="1284" t="str">
        <f t="shared" si="39"/>
        <v>11</v>
      </c>
      <c r="L2553" s="1246" t="s">
        <v>1496</v>
      </c>
      <c r="M2553" s="1250">
        <v>9</v>
      </c>
      <c r="N2553" s="1251">
        <v>247</v>
      </c>
      <c r="O2553" s="1252">
        <v>1</v>
      </c>
    </row>
    <row r="2554" spans="1:15">
      <c r="A2554" s="1246" t="s">
        <v>1493</v>
      </c>
      <c r="B2554" s="1246" t="s">
        <v>1432</v>
      </c>
      <c r="C2554" s="1247">
        <v>0</v>
      </c>
      <c r="E2554" s="1246" t="s">
        <v>376</v>
      </c>
      <c r="F2554" s="1248">
        <v>248</v>
      </c>
      <c r="G2554" s="1248">
        <v>0</v>
      </c>
      <c r="H2554" s="1249">
        <v>0</v>
      </c>
      <c r="J2554" s="1246" t="s">
        <v>1436</v>
      </c>
      <c r="K2554" s="1284" t="str">
        <f t="shared" si="39"/>
        <v>11</v>
      </c>
      <c r="L2554" s="1246" t="s">
        <v>1496</v>
      </c>
      <c r="M2554" s="1250">
        <v>9</v>
      </c>
      <c r="N2554" s="1251">
        <v>248</v>
      </c>
      <c r="O2554" s="1252">
        <v>1</v>
      </c>
    </row>
    <row r="2555" spans="1:15">
      <c r="A2555" s="1246" t="s">
        <v>683</v>
      </c>
      <c r="B2555" s="1246" t="s">
        <v>1432</v>
      </c>
      <c r="C2555" s="1247">
        <v>0</v>
      </c>
      <c r="E2555" s="1246" t="s">
        <v>376</v>
      </c>
      <c r="F2555" s="1248">
        <v>250</v>
      </c>
      <c r="G2555" s="1248">
        <v>0</v>
      </c>
      <c r="H2555" s="1249">
        <v>0</v>
      </c>
      <c r="J2555" s="1246" t="s">
        <v>1462</v>
      </c>
      <c r="K2555" s="1284" t="str">
        <f t="shared" si="39"/>
        <v>71</v>
      </c>
      <c r="L2555" s="1246" t="s">
        <v>1496</v>
      </c>
      <c r="M2555" s="1250">
        <v>9</v>
      </c>
      <c r="N2555" s="1251">
        <v>250</v>
      </c>
      <c r="O2555" s="1252">
        <v>1</v>
      </c>
    </row>
    <row r="2556" spans="1:15">
      <c r="A2556" s="1246" t="s">
        <v>683</v>
      </c>
      <c r="B2556" s="1246" t="s">
        <v>1432</v>
      </c>
      <c r="C2556" s="1247">
        <v>0</v>
      </c>
      <c r="E2556" s="1246" t="s">
        <v>376</v>
      </c>
      <c r="F2556" s="1248">
        <v>266</v>
      </c>
      <c r="G2556" s="1248">
        <v>0</v>
      </c>
      <c r="H2556" s="1249">
        <v>0</v>
      </c>
      <c r="J2556" s="1246" t="s">
        <v>1448</v>
      </c>
      <c r="K2556" s="1284" t="str">
        <f t="shared" si="39"/>
        <v>25</v>
      </c>
      <c r="L2556" s="1246" t="s">
        <v>1530</v>
      </c>
      <c r="M2556" s="1250">
        <v>9</v>
      </c>
      <c r="N2556" s="1251">
        <v>266</v>
      </c>
      <c r="O2556" s="1252">
        <v>1</v>
      </c>
    </row>
    <row r="2557" spans="1:15">
      <c r="A2557" s="1246" t="s">
        <v>1493</v>
      </c>
      <c r="B2557" s="1246" t="s">
        <v>1432</v>
      </c>
      <c r="C2557" s="1247">
        <v>0</v>
      </c>
      <c r="E2557" s="1246" t="s">
        <v>376</v>
      </c>
      <c r="F2557" s="1248">
        <v>299</v>
      </c>
      <c r="G2557" s="1248">
        <v>0</v>
      </c>
      <c r="H2557" s="1249">
        <v>0</v>
      </c>
      <c r="J2557" s="1246" t="s">
        <v>1462</v>
      </c>
      <c r="K2557" s="1284" t="str">
        <f t="shared" si="39"/>
        <v>71</v>
      </c>
      <c r="L2557" s="1246" t="s">
        <v>1496</v>
      </c>
      <c r="M2557" s="1250">
        <v>9</v>
      </c>
      <c r="N2557" s="1251">
        <v>299</v>
      </c>
      <c r="O2557" s="1252">
        <v>1</v>
      </c>
    </row>
    <row r="2558" spans="1:15">
      <c r="A2558" s="1246" t="s">
        <v>1493</v>
      </c>
      <c r="B2558" s="1246" t="s">
        <v>1432</v>
      </c>
      <c r="C2558" s="1247">
        <v>0</v>
      </c>
      <c r="E2558" s="1246" t="s">
        <v>376</v>
      </c>
      <c r="F2558" s="1248">
        <v>300</v>
      </c>
      <c r="G2558" s="1248">
        <v>0</v>
      </c>
      <c r="H2558" s="1249">
        <v>0</v>
      </c>
      <c r="J2558" s="1246" t="s">
        <v>1462</v>
      </c>
      <c r="K2558" s="1284" t="str">
        <f t="shared" si="39"/>
        <v>71</v>
      </c>
      <c r="L2558" s="1246" t="s">
        <v>1496</v>
      </c>
      <c r="M2558" s="1250">
        <v>9</v>
      </c>
      <c r="N2558" s="1251">
        <v>300</v>
      </c>
      <c r="O2558" s="1252">
        <v>1</v>
      </c>
    </row>
    <row r="2559" spans="1:15">
      <c r="A2559" s="1246" t="s">
        <v>1493</v>
      </c>
      <c r="B2559" s="1246" t="s">
        <v>1432</v>
      </c>
      <c r="C2559" s="1247">
        <v>0</v>
      </c>
      <c r="E2559" s="1246" t="s">
        <v>376</v>
      </c>
      <c r="F2559" s="1248">
        <v>326</v>
      </c>
      <c r="G2559" s="1248">
        <v>0</v>
      </c>
      <c r="H2559" s="1249">
        <v>0</v>
      </c>
      <c r="I2559" s="1246" t="s">
        <v>1491</v>
      </c>
      <c r="J2559" s="1246" t="s">
        <v>1436</v>
      </c>
      <c r="K2559" s="1284" t="str">
        <f t="shared" si="39"/>
        <v>11</v>
      </c>
      <c r="L2559" s="1246" t="s">
        <v>1496</v>
      </c>
      <c r="M2559" s="1250">
        <v>9</v>
      </c>
      <c r="N2559" s="1251">
        <v>326</v>
      </c>
      <c r="O2559" s="1252">
        <v>1</v>
      </c>
    </row>
    <row r="2560" spans="1:15">
      <c r="A2560" s="1246" t="s">
        <v>1493</v>
      </c>
      <c r="B2560" s="1246" t="s">
        <v>1432</v>
      </c>
      <c r="C2560" s="1247">
        <v>0</v>
      </c>
      <c r="E2560" s="1246" t="s">
        <v>376</v>
      </c>
      <c r="F2560" s="1248">
        <v>334</v>
      </c>
      <c r="G2560" s="1248">
        <v>0</v>
      </c>
      <c r="H2560" s="1249">
        <v>0</v>
      </c>
      <c r="J2560" s="1246" t="s">
        <v>1462</v>
      </c>
      <c r="K2560" s="1284" t="str">
        <f t="shared" si="39"/>
        <v>71</v>
      </c>
      <c r="L2560" s="1246" t="s">
        <v>1496</v>
      </c>
      <c r="M2560" s="1250">
        <v>9</v>
      </c>
      <c r="N2560" s="1251">
        <v>334</v>
      </c>
      <c r="O2560" s="1252">
        <v>1</v>
      </c>
    </row>
    <row r="2561" spans="1:15">
      <c r="A2561" s="1246" t="s">
        <v>1493</v>
      </c>
      <c r="B2561" s="1246" t="s">
        <v>1432</v>
      </c>
      <c r="C2561" s="1247">
        <v>0</v>
      </c>
      <c r="E2561" s="1246" t="s">
        <v>376</v>
      </c>
      <c r="F2561" s="1248">
        <v>368</v>
      </c>
      <c r="G2561" s="1248">
        <v>0</v>
      </c>
      <c r="H2561" s="1249">
        <v>0</v>
      </c>
      <c r="J2561" s="1246" t="s">
        <v>1462</v>
      </c>
      <c r="K2561" s="1284" t="str">
        <f t="shared" si="39"/>
        <v>71</v>
      </c>
      <c r="L2561" s="1246" t="s">
        <v>1496</v>
      </c>
      <c r="M2561" s="1250">
        <v>9</v>
      </c>
      <c r="N2561" s="1251">
        <v>368</v>
      </c>
      <c r="O2561" s="1252">
        <v>1</v>
      </c>
    </row>
    <row r="2562" spans="1:15">
      <c r="A2562" s="1246" t="s">
        <v>683</v>
      </c>
      <c r="B2562" s="1246" t="s">
        <v>1432</v>
      </c>
      <c r="C2562" s="1247">
        <v>0</v>
      </c>
      <c r="E2562" s="1246" t="s">
        <v>376</v>
      </c>
      <c r="F2562" s="1248">
        <v>384</v>
      </c>
      <c r="G2562" s="1248">
        <v>0</v>
      </c>
      <c r="H2562" s="1249">
        <v>0</v>
      </c>
      <c r="J2562" s="1246" t="s">
        <v>1462</v>
      </c>
      <c r="K2562" s="1284" t="str">
        <f t="shared" ref="K2562:K2625" si="40">IF(J2562="1B","10", IF(J2562="2B","20",IF(J2562="3B","30",IF(J2562="7B",70,J2562))))</f>
        <v>71</v>
      </c>
      <c r="L2562" s="1246" t="s">
        <v>1496</v>
      </c>
      <c r="M2562" s="1250">
        <v>9</v>
      </c>
      <c r="N2562" s="1251">
        <v>384</v>
      </c>
      <c r="O2562" s="1252">
        <v>1</v>
      </c>
    </row>
    <row r="2563" spans="1:15">
      <c r="A2563" s="1246" t="s">
        <v>683</v>
      </c>
      <c r="B2563" s="1246" t="s">
        <v>1432</v>
      </c>
      <c r="C2563" s="1247">
        <v>0</v>
      </c>
      <c r="E2563" s="1246" t="s">
        <v>376</v>
      </c>
      <c r="F2563" s="1248">
        <v>396</v>
      </c>
      <c r="G2563" s="1248">
        <v>0</v>
      </c>
      <c r="H2563" s="1249">
        <v>0</v>
      </c>
      <c r="J2563" s="1246" t="s">
        <v>1462</v>
      </c>
      <c r="K2563" s="1284" t="str">
        <f t="shared" si="40"/>
        <v>71</v>
      </c>
      <c r="L2563" s="1246" t="s">
        <v>1496</v>
      </c>
      <c r="M2563" s="1250">
        <v>9</v>
      </c>
      <c r="N2563" s="1251">
        <v>396</v>
      </c>
      <c r="O2563" s="1252">
        <v>1</v>
      </c>
    </row>
    <row r="2564" spans="1:15">
      <c r="A2564" s="1246" t="s">
        <v>1493</v>
      </c>
      <c r="B2564" s="1246" t="s">
        <v>1432</v>
      </c>
      <c r="C2564" s="1247">
        <v>0</v>
      </c>
      <c r="E2564" s="1246" t="s">
        <v>376</v>
      </c>
      <c r="F2564" s="1248">
        <v>397</v>
      </c>
      <c r="G2564" s="1248">
        <v>0</v>
      </c>
      <c r="H2564" s="1249">
        <v>0</v>
      </c>
      <c r="J2564" s="1246" t="s">
        <v>1462</v>
      </c>
      <c r="K2564" s="1284" t="str">
        <f t="shared" si="40"/>
        <v>71</v>
      </c>
      <c r="L2564" s="1246" t="s">
        <v>1496</v>
      </c>
      <c r="M2564" s="1250">
        <v>9</v>
      </c>
      <c r="N2564" s="1251">
        <v>397</v>
      </c>
      <c r="O2564" s="1252">
        <v>1</v>
      </c>
    </row>
    <row r="2565" spans="1:15">
      <c r="A2565" s="1246" t="s">
        <v>1493</v>
      </c>
      <c r="B2565" s="1246" t="s">
        <v>1432</v>
      </c>
      <c r="C2565" s="1247">
        <v>0</v>
      </c>
      <c r="E2565" s="1246" t="s">
        <v>376</v>
      </c>
      <c r="F2565" s="1248">
        <v>400</v>
      </c>
      <c r="G2565" s="1248">
        <v>0</v>
      </c>
      <c r="H2565" s="1249">
        <v>0</v>
      </c>
      <c r="J2565" s="1246" t="s">
        <v>1436</v>
      </c>
      <c r="K2565" s="1284" t="str">
        <f t="shared" si="40"/>
        <v>11</v>
      </c>
      <c r="L2565" s="1246" t="s">
        <v>1496</v>
      </c>
      <c r="M2565" s="1250">
        <v>9</v>
      </c>
      <c r="N2565" s="1251">
        <v>400</v>
      </c>
      <c r="O2565" s="1252">
        <v>1</v>
      </c>
    </row>
    <row r="2566" spans="1:15">
      <c r="A2566" s="1246" t="s">
        <v>683</v>
      </c>
      <c r="B2566" s="1246" t="s">
        <v>1432</v>
      </c>
      <c r="C2566" s="1247">
        <v>0</v>
      </c>
      <c r="E2566" s="1246" t="s">
        <v>376</v>
      </c>
      <c r="F2566" s="1248">
        <v>449</v>
      </c>
      <c r="G2566" s="1248">
        <v>0</v>
      </c>
      <c r="H2566" s="1249">
        <v>0</v>
      </c>
      <c r="J2566" s="1246" t="s">
        <v>1462</v>
      </c>
      <c r="K2566" s="1284" t="str">
        <f t="shared" si="40"/>
        <v>71</v>
      </c>
      <c r="L2566" s="1246" t="s">
        <v>1496</v>
      </c>
      <c r="M2566" s="1250">
        <v>9</v>
      </c>
      <c r="N2566" s="1251">
        <v>449</v>
      </c>
      <c r="O2566" s="1252">
        <v>1</v>
      </c>
    </row>
    <row r="2567" spans="1:15">
      <c r="A2567" s="1246" t="s">
        <v>1493</v>
      </c>
      <c r="B2567" s="1246" t="s">
        <v>1432</v>
      </c>
      <c r="C2567" s="1247">
        <v>0</v>
      </c>
      <c r="E2567" s="1246" t="s">
        <v>376</v>
      </c>
      <c r="F2567" s="1248">
        <v>539</v>
      </c>
      <c r="G2567" s="1248">
        <v>0</v>
      </c>
      <c r="H2567" s="1249">
        <v>0</v>
      </c>
      <c r="J2567" s="1246" t="s">
        <v>1462</v>
      </c>
      <c r="K2567" s="1284" t="str">
        <f t="shared" si="40"/>
        <v>71</v>
      </c>
      <c r="L2567" s="1246" t="s">
        <v>1496</v>
      </c>
      <c r="M2567" s="1250">
        <v>9</v>
      </c>
      <c r="N2567" s="1251">
        <v>539</v>
      </c>
      <c r="O2567" s="1252">
        <v>1</v>
      </c>
    </row>
    <row r="2568" spans="1:15">
      <c r="A2568" s="1246" t="s">
        <v>683</v>
      </c>
      <c r="B2568" s="1246" t="s">
        <v>1432</v>
      </c>
      <c r="C2568" s="1247">
        <v>0</v>
      </c>
      <c r="E2568" s="1246" t="s">
        <v>376</v>
      </c>
      <c r="F2568" s="1248">
        <v>624</v>
      </c>
      <c r="G2568" s="1248">
        <v>0</v>
      </c>
      <c r="H2568" s="1249">
        <v>0</v>
      </c>
      <c r="J2568" s="1246" t="s">
        <v>1462</v>
      </c>
      <c r="K2568" s="1284" t="str">
        <f t="shared" si="40"/>
        <v>71</v>
      </c>
      <c r="L2568" s="1246" t="s">
        <v>1496</v>
      </c>
      <c r="M2568" s="1250">
        <v>9</v>
      </c>
      <c r="N2568" s="1251">
        <v>624</v>
      </c>
      <c r="O2568" s="1252">
        <v>1</v>
      </c>
    </row>
    <row r="2569" spans="1:15">
      <c r="A2569" s="1246" t="s">
        <v>1493</v>
      </c>
      <c r="B2569" s="1246" t="s">
        <v>1432</v>
      </c>
      <c r="C2569" s="1247">
        <v>0</v>
      </c>
      <c r="E2569" s="1246" t="s">
        <v>376</v>
      </c>
      <c r="F2569" s="1248">
        <v>645</v>
      </c>
      <c r="G2569" s="1248">
        <v>0</v>
      </c>
      <c r="H2569" s="1249">
        <v>0</v>
      </c>
      <c r="J2569" s="1246" t="s">
        <v>1438</v>
      </c>
      <c r="K2569" s="1284" t="str">
        <f t="shared" si="40"/>
        <v>13</v>
      </c>
      <c r="L2569" s="1246" t="s">
        <v>1533</v>
      </c>
      <c r="M2569" s="1250">
        <v>9</v>
      </c>
      <c r="N2569" s="1251">
        <v>645</v>
      </c>
      <c r="O2569" s="1252">
        <v>1</v>
      </c>
    </row>
    <row r="2570" spans="1:15">
      <c r="A2570" s="1246" t="s">
        <v>1490</v>
      </c>
      <c r="B2570" s="1246" t="s">
        <v>427</v>
      </c>
      <c r="C2570" s="1247">
        <v>7.0000000000000007E-2</v>
      </c>
      <c r="F2570" s="1248">
        <v>1</v>
      </c>
      <c r="G2570" s="1248">
        <v>1</v>
      </c>
      <c r="H2570" s="1249">
        <v>1</v>
      </c>
      <c r="I2570" s="1246" t="s">
        <v>1491</v>
      </c>
      <c r="J2570" s="1246" t="s">
        <v>1454</v>
      </c>
      <c r="K2570" s="1284" t="str">
        <f t="shared" si="40"/>
        <v>31</v>
      </c>
      <c r="L2570" s="1246" t="s">
        <v>1506</v>
      </c>
      <c r="M2570" s="1250">
        <v>1</v>
      </c>
      <c r="N2570" s="1251">
        <v>9</v>
      </c>
      <c r="O2570" s="1252">
        <v>9</v>
      </c>
    </row>
    <row r="2571" spans="1:15">
      <c r="A2571" s="1246" t="s">
        <v>1490</v>
      </c>
      <c r="B2571" s="1246" t="s">
        <v>427</v>
      </c>
      <c r="C2571" s="1247">
        <v>7.0000000000000007E-2</v>
      </c>
      <c r="F2571" s="1248">
        <v>1</v>
      </c>
      <c r="G2571" s="1248">
        <v>1</v>
      </c>
      <c r="H2571" s="1249">
        <v>1</v>
      </c>
      <c r="I2571" s="1246" t="s">
        <v>1491</v>
      </c>
      <c r="J2571" s="1246" t="s">
        <v>1454</v>
      </c>
      <c r="K2571" s="1284" t="str">
        <f t="shared" si="40"/>
        <v>31</v>
      </c>
      <c r="L2571" s="1246" t="s">
        <v>1500</v>
      </c>
      <c r="M2571" s="1250">
        <v>2</v>
      </c>
      <c r="N2571" s="1251">
        <v>5</v>
      </c>
      <c r="O2571" s="1252">
        <v>5</v>
      </c>
    </row>
    <row r="2572" spans="1:15">
      <c r="A2572" s="1246" t="s">
        <v>1490</v>
      </c>
      <c r="B2572" s="1246" t="s">
        <v>427</v>
      </c>
      <c r="C2572" s="1247">
        <v>7.0000000000000007E-2</v>
      </c>
      <c r="F2572" s="1248">
        <v>1</v>
      </c>
      <c r="G2572" s="1248">
        <v>1</v>
      </c>
      <c r="H2572" s="1249">
        <v>1</v>
      </c>
      <c r="I2572" s="1246" t="s">
        <v>1491</v>
      </c>
      <c r="J2572" s="1246" t="s">
        <v>1454</v>
      </c>
      <c r="K2572" s="1284" t="str">
        <f t="shared" si="40"/>
        <v>31</v>
      </c>
      <c r="L2572" s="1246" t="s">
        <v>1523</v>
      </c>
      <c r="M2572" s="1250">
        <v>3</v>
      </c>
      <c r="N2572" s="1251">
        <v>7</v>
      </c>
      <c r="O2572" s="1252">
        <v>7</v>
      </c>
    </row>
    <row r="2573" spans="1:15">
      <c r="A2573" s="1246" t="s">
        <v>1490</v>
      </c>
      <c r="B2573" s="1246" t="s">
        <v>427</v>
      </c>
      <c r="C2573" s="1247">
        <v>0.16</v>
      </c>
      <c r="F2573" s="1248">
        <v>1</v>
      </c>
      <c r="G2573" s="1248">
        <v>1</v>
      </c>
      <c r="H2573" s="1249">
        <v>1</v>
      </c>
      <c r="I2573" s="1246" t="s">
        <v>1491</v>
      </c>
      <c r="J2573" s="1246" t="s">
        <v>1460</v>
      </c>
      <c r="K2573" s="1284" t="str">
        <f t="shared" si="40"/>
        <v>30</v>
      </c>
      <c r="L2573" s="1246" t="s">
        <v>1497</v>
      </c>
      <c r="M2573" s="1250">
        <v>1</v>
      </c>
      <c r="N2573" s="1251">
        <v>40</v>
      </c>
      <c r="O2573" s="1252">
        <v>40</v>
      </c>
    </row>
    <row r="2574" spans="1:15">
      <c r="A2574" s="1246" t="s">
        <v>1490</v>
      </c>
      <c r="B2574" s="1246" t="s">
        <v>427</v>
      </c>
      <c r="C2574" s="1247">
        <v>0.16</v>
      </c>
      <c r="F2574" s="1248">
        <v>1</v>
      </c>
      <c r="G2574" s="1248">
        <v>1</v>
      </c>
      <c r="H2574" s="1249">
        <v>1</v>
      </c>
      <c r="I2574" s="1246" t="s">
        <v>1491</v>
      </c>
      <c r="J2574" s="1246" t="s">
        <v>1461</v>
      </c>
      <c r="K2574" s="1284" t="str">
        <f t="shared" si="40"/>
        <v>3C</v>
      </c>
      <c r="L2574" s="1246" t="s">
        <v>1502</v>
      </c>
      <c r="M2574" s="1250">
        <v>1</v>
      </c>
      <c r="N2574" s="1251">
        <v>1</v>
      </c>
      <c r="O2574" s="1252">
        <v>1</v>
      </c>
    </row>
    <row r="2575" spans="1:15">
      <c r="A2575" s="1246" t="s">
        <v>1490</v>
      </c>
      <c r="B2575" s="1246" t="s">
        <v>427</v>
      </c>
      <c r="C2575" s="1247">
        <v>0.16</v>
      </c>
      <c r="F2575" s="1248">
        <v>1</v>
      </c>
      <c r="G2575" s="1248">
        <v>1</v>
      </c>
      <c r="H2575" s="1249">
        <v>1</v>
      </c>
      <c r="I2575" s="1246" t="s">
        <v>1491</v>
      </c>
      <c r="J2575" s="1246" t="s">
        <v>1461</v>
      </c>
      <c r="K2575" s="1284" t="str">
        <f t="shared" si="40"/>
        <v>3C</v>
      </c>
      <c r="L2575" s="1246" t="s">
        <v>1502</v>
      </c>
      <c r="M2575" s="1250">
        <v>3</v>
      </c>
      <c r="N2575" s="1251">
        <v>2</v>
      </c>
      <c r="O2575" s="1252">
        <v>2</v>
      </c>
    </row>
    <row r="2576" spans="1:15">
      <c r="A2576" s="1246" t="s">
        <v>1490</v>
      </c>
      <c r="B2576" s="1246" t="s">
        <v>427</v>
      </c>
      <c r="C2576" s="1247">
        <v>0.16</v>
      </c>
      <c r="F2576" s="1248">
        <v>1</v>
      </c>
      <c r="G2576" s="1248">
        <v>1</v>
      </c>
      <c r="H2576" s="1249">
        <v>1</v>
      </c>
      <c r="I2576" s="1246" t="s">
        <v>1491</v>
      </c>
      <c r="J2576" s="1246" t="s">
        <v>1460</v>
      </c>
      <c r="K2576" s="1284" t="str">
        <f t="shared" si="40"/>
        <v>30</v>
      </c>
      <c r="L2576" s="1246" t="s">
        <v>1498</v>
      </c>
      <c r="M2576" s="1250">
        <v>2</v>
      </c>
      <c r="N2576" s="1251">
        <v>59</v>
      </c>
      <c r="O2576" s="1252">
        <v>59</v>
      </c>
    </row>
    <row r="2577" spans="1:15">
      <c r="A2577" s="1246" t="s">
        <v>1490</v>
      </c>
      <c r="B2577" s="1246" t="s">
        <v>427</v>
      </c>
      <c r="C2577" s="1247">
        <v>0.16</v>
      </c>
      <c r="F2577" s="1248">
        <v>1</v>
      </c>
      <c r="G2577" s="1248">
        <v>1</v>
      </c>
      <c r="H2577" s="1249">
        <v>1</v>
      </c>
      <c r="I2577" s="1246" t="s">
        <v>1491</v>
      </c>
      <c r="J2577" s="1246" t="s">
        <v>1460</v>
      </c>
      <c r="K2577" s="1284" t="str">
        <f t="shared" si="40"/>
        <v>30</v>
      </c>
      <c r="L2577" s="1246" t="s">
        <v>1499</v>
      </c>
      <c r="M2577" s="1250">
        <v>5</v>
      </c>
      <c r="N2577" s="1251">
        <v>44</v>
      </c>
      <c r="O2577" s="1252">
        <v>44</v>
      </c>
    </row>
    <row r="2578" spans="1:15">
      <c r="A2578" s="1246" t="s">
        <v>1490</v>
      </c>
      <c r="B2578" s="1246" t="s">
        <v>427</v>
      </c>
      <c r="C2578" s="1247">
        <v>0.16</v>
      </c>
      <c r="F2578" s="1248">
        <v>1</v>
      </c>
      <c r="G2578" s="1248">
        <v>1</v>
      </c>
      <c r="H2578" s="1249">
        <v>1</v>
      </c>
      <c r="I2578" s="1246" t="s">
        <v>1491</v>
      </c>
      <c r="J2578" s="1246" t="s">
        <v>1455</v>
      </c>
      <c r="K2578" s="1284" t="str">
        <f t="shared" si="40"/>
        <v>32</v>
      </c>
      <c r="L2578" s="1246" t="s">
        <v>1505</v>
      </c>
      <c r="M2578" s="1250">
        <v>1</v>
      </c>
      <c r="N2578" s="1251">
        <v>89</v>
      </c>
      <c r="O2578" s="1252">
        <v>89</v>
      </c>
    </row>
    <row r="2579" spans="1:15">
      <c r="A2579" s="1246" t="s">
        <v>1490</v>
      </c>
      <c r="B2579" s="1246" t="s">
        <v>427</v>
      </c>
      <c r="C2579" s="1247">
        <v>0.16</v>
      </c>
      <c r="E2579" s="1246" t="s">
        <v>370</v>
      </c>
      <c r="F2579" s="1248">
        <v>1</v>
      </c>
      <c r="G2579" s="1248">
        <v>1</v>
      </c>
      <c r="H2579" s="1249">
        <v>1</v>
      </c>
      <c r="I2579" s="1246" t="s">
        <v>1491</v>
      </c>
      <c r="J2579" s="1246" t="s">
        <v>1455</v>
      </c>
      <c r="K2579" s="1284" t="str">
        <f t="shared" si="40"/>
        <v>32</v>
      </c>
      <c r="L2579" s="1246" t="s">
        <v>1505</v>
      </c>
      <c r="M2579" s="1250">
        <v>1</v>
      </c>
      <c r="N2579" s="1251">
        <v>45</v>
      </c>
      <c r="O2579" s="1252">
        <v>45</v>
      </c>
    </row>
    <row r="2580" spans="1:15">
      <c r="A2580" s="1246" t="s">
        <v>1490</v>
      </c>
      <c r="B2580" s="1246" t="s">
        <v>427</v>
      </c>
      <c r="C2580" s="1247">
        <v>0.16</v>
      </c>
      <c r="F2580" s="1248">
        <v>1</v>
      </c>
      <c r="G2580" s="1248">
        <v>1</v>
      </c>
      <c r="H2580" s="1249">
        <v>1</v>
      </c>
      <c r="I2580" s="1246" t="s">
        <v>1491</v>
      </c>
      <c r="J2580" s="1246" t="s">
        <v>1454</v>
      </c>
      <c r="K2580" s="1284" t="str">
        <f t="shared" si="40"/>
        <v>31</v>
      </c>
      <c r="L2580" s="1246" t="s">
        <v>1506</v>
      </c>
      <c r="M2580" s="1250">
        <v>1</v>
      </c>
      <c r="N2580" s="1251">
        <v>121</v>
      </c>
      <c r="O2580" s="1252">
        <v>121</v>
      </c>
    </row>
    <row r="2581" spans="1:15">
      <c r="A2581" s="1246" t="s">
        <v>1490</v>
      </c>
      <c r="B2581" s="1246" t="s">
        <v>427</v>
      </c>
      <c r="C2581" s="1247">
        <v>0.16</v>
      </c>
      <c r="E2581" s="1246" t="s">
        <v>370</v>
      </c>
      <c r="F2581" s="1248">
        <v>1</v>
      </c>
      <c r="G2581" s="1248">
        <v>1</v>
      </c>
      <c r="H2581" s="1249">
        <v>1</v>
      </c>
      <c r="I2581" s="1246" t="s">
        <v>1491</v>
      </c>
      <c r="J2581" s="1246" t="s">
        <v>1454</v>
      </c>
      <c r="K2581" s="1284" t="str">
        <f t="shared" si="40"/>
        <v>31</v>
      </c>
      <c r="L2581" s="1246" t="s">
        <v>1506</v>
      </c>
      <c r="M2581" s="1250">
        <v>1</v>
      </c>
      <c r="N2581" s="1251">
        <v>16</v>
      </c>
      <c r="O2581" s="1252">
        <v>16</v>
      </c>
    </row>
    <row r="2582" spans="1:15">
      <c r="A2582" s="1246" t="s">
        <v>1490</v>
      </c>
      <c r="B2582" s="1246" t="s">
        <v>427</v>
      </c>
      <c r="C2582" s="1247">
        <v>0.16</v>
      </c>
      <c r="F2582" s="1248">
        <v>1</v>
      </c>
      <c r="G2582" s="1248">
        <v>1</v>
      </c>
      <c r="H2582" s="1249">
        <v>1</v>
      </c>
      <c r="I2582" s="1246" t="s">
        <v>1491</v>
      </c>
      <c r="J2582" s="1246" t="s">
        <v>1458</v>
      </c>
      <c r="K2582" s="1284" t="str">
        <f t="shared" si="40"/>
        <v>36</v>
      </c>
      <c r="L2582" s="1246" t="s">
        <v>1507</v>
      </c>
      <c r="M2582" s="1250">
        <v>1</v>
      </c>
      <c r="N2582" s="1251">
        <v>13</v>
      </c>
      <c r="O2582" s="1252">
        <v>13</v>
      </c>
    </row>
    <row r="2583" spans="1:15">
      <c r="A2583" s="1246" t="s">
        <v>1490</v>
      </c>
      <c r="B2583" s="1246" t="s">
        <v>427</v>
      </c>
      <c r="C2583" s="1247">
        <v>0.16</v>
      </c>
      <c r="E2583" s="1246" t="s">
        <v>370</v>
      </c>
      <c r="F2583" s="1248">
        <v>1</v>
      </c>
      <c r="G2583" s="1248">
        <v>1</v>
      </c>
      <c r="H2583" s="1249">
        <v>1</v>
      </c>
      <c r="I2583" s="1246" t="s">
        <v>1491</v>
      </c>
      <c r="J2583" s="1246" t="s">
        <v>1458</v>
      </c>
      <c r="K2583" s="1284" t="str">
        <f t="shared" si="40"/>
        <v>36</v>
      </c>
      <c r="L2583" s="1246" t="s">
        <v>1507</v>
      </c>
      <c r="M2583" s="1250">
        <v>1</v>
      </c>
      <c r="N2583" s="1251">
        <v>1</v>
      </c>
      <c r="O2583" s="1252">
        <v>1</v>
      </c>
    </row>
    <row r="2584" spans="1:15">
      <c r="A2584" s="1246" t="s">
        <v>1490</v>
      </c>
      <c r="B2584" s="1246" t="s">
        <v>427</v>
      </c>
      <c r="C2584" s="1247">
        <v>0.16</v>
      </c>
      <c r="F2584" s="1248">
        <v>1</v>
      </c>
      <c r="G2584" s="1248">
        <v>1</v>
      </c>
      <c r="H2584" s="1249">
        <v>1</v>
      </c>
      <c r="I2584" s="1246" t="s">
        <v>1491</v>
      </c>
      <c r="J2584" s="1246" t="s">
        <v>1399</v>
      </c>
      <c r="K2584" s="1284" t="str">
        <f t="shared" si="40"/>
        <v>30</v>
      </c>
      <c r="L2584" s="1246" t="s">
        <v>1508</v>
      </c>
      <c r="M2584" s="1250">
        <v>1</v>
      </c>
      <c r="N2584" s="1251">
        <v>3</v>
      </c>
      <c r="O2584" s="1252">
        <v>3</v>
      </c>
    </row>
    <row r="2585" spans="1:15">
      <c r="A2585" s="1246" t="s">
        <v>1490</v>
      </c>
      <c r="B2585" s="1246" t="s">
        <v>427</v>
      </c>
      <c r="C2585" s="1247">
        <v>0.16</v>
      </c>
      <c r="E2585" s="1246" t="s">
        <v>370</v>
      </c>
      <c r="F2585" s="1248">
        <v>1</v>
      </c>
      <c r="G2585" s="1248">
        <v>1</v>
      </c>
      <c r="H2585" s="1249">
        <v>1</v>
      </c>
      <c r="I2585" s="1246" t="s">
        <v>1491</v>
      </c>
      <c r="J2585" s="1246" t="s">
        <v>1399</v>
      </c>
      <c r="K2585" s="1284" t="str">
        <f t="shared" si="40"/>
        <v>30</v>
      </c>
      <c r="L2585" s="1246" t="s">
        <v>1508</v>
      </c>
      <c r="M2585" s="1250">
        <v>1</v>
      </c>
      <c r="N2585" s="1251">
        <v>6</v>
      </c>
      <c r="O2585" s="1252">
        <v>6</v>
      </c>
    </row>
    <row r="2586" spans="1:15">
      <c r="A2586" s="1246" t="s">
        <v>1490</v>
      </c>
      <c r="B2586" s="1246" t="s">
        <v>427</v>
      </c>
      <c r="C2586" s="1247">
        <v>0.16</v>
      </c>
      <c r="F2586" s="1248">
        <v>1</v>
      </c>
      <c r="G2586" s="1248">
        <v>1</v>
      </c>
      <c r="H2586" s="1249">
        <v>1</v>
      </c>
      <c r="I2586" s="1246" t="s">
        <v>1491</v>
      </c>
      <c r="J2586" s="1246" t="s">
        <v>1399</v>
      </c>
      <c r="K2586" s="1284" t="str">
        <f t="shared" si="40"/>
        <v>30</v>
      </c>
      <c r="L2586" s="1246" t="s">
        <v>1509</v>
      </c>
      <c r="M2586" s="1250">
        <v>1</v>
      </c>
      <c r="N2586" s="1251">
        <v>6</v>
      </c>
      <c r="O2586" s="1252">
        <v>6</v>
      </c>
    </row>
    <row r="2587" spans="1:15">
      <c r="A2587" s="1246" t="s">
        <v>1490</v>
      </c>
      <c r="B2587" s="1246" t="s">
        <v>427</v>
      </c>
      <c r="C2587" s="1247">
        <v>0.16</v>
      </c>
      <c r="E2587" s="1246" t="s">
        <v>370</v>
      </c>
      <c r="F2587" s="1248">
        <v>1</v>
      </c>
      <c r="G2587" s="1248">
        <v>1</v>
      </c>
      <c r="H2587" s="1249">
        <v>1</v>
      </c>
      <c r="I2587" s="1246" t="s">
        <v>1491</v>
      </c>
      <c r="J2587" s="1246" t="s">
        <v>1399</v>
      </c>
      <c r="K2587" s="1284" t="str">
        <f t="shared" si="40"/>
        <v>30</v>
      </c>
      <c r="L2587" s="1246" t="s">
        <v>1509</v>
      </c>
      <c r="M2587" s="1250">
        <v>1</v>
      </c>
      <c r="N2587" s="1251">
        <v>1</v>
      </c>
      <c r="O2587" s="1252">
        <v>1</v>
      </c>
    </row>
    <row r="2588" spans="1:15">
      <c r="A2588" s="1246" t="s">
        <v>1490</v>
      </c>
      <c r="B2588" s="1246" t="s">
        <v>427</v>
      </c>
      <c r="C2588" s="1247">
        <v>0.16</v>
      </c>
      <c r="F2588" s="1248">
        <v>1</v>
      </c>
      <c r="G2588" s="1248">
        <v>1</v>
      </c>
      <c r="H2588" s="1249">
        <v>1</v>
      </c>
      <c r="I2588" s="1246" t="s">
        <v>1491</v>
      </c>
      <c r="J2588" s="1246" t="s">
        <v>1457</v>
      </c>
      <c r="K2588" s="1284" t="str">
        <f t="shared" si="40"/>
        <v>35</v>
      </c>
      <c r="L2588" s="1246" t="s">
        <v>1501</v>
      </c>
      <c r="M2588" s="1250">
        <v>1</v>
      </c>
      <c r="N2588" s="1251">
        <v>113</v>
      </c>
      <c r="O2588" s="1252">
        <v>113</v>
      </c>
    </row>
    <row r="2589" spans="1:15">
      <c r="A2589" s="1246" t="s">
        <v>1490</v>
      </c>
      <c r="B2589" s="1246" t="s">
        <v>427</v>
      </c>
      <c r="C2589" s="1247">
        <v>0.16</v>
      </c>
      <c r="F2589" s="1248">
        <v>1</v>
      </c>
      <c r="G2589" s="1248">
        <v>1</v>
      </c>
      <c r="H2589" s="1249">
        <v>1</v>
      </c>
      <c r="I2589" s="1246" t="s">
        <v>1491</v>
      </c>
      <c r="J2589" s="1246" t="s">
        <v>1399</v>
      </c>
      <c r="K2589" s="1284" t="str">
        <f t="shared" si="40"/>
        <v>30</v>
      </c>
      <c r="L2589" s="1246" t="s">
        <v>1510</v>
      </c>
      <c r="M2589" s="1250">
        <v>1</v>
      </c>
      <c r="N2589" s="1251">
        <v>142</v>
      </c>
      <c r="O2589" s="1252">
        <v>142</v>
      </c>
    </row>
    <row r="2590" spans="1:15">
      <c r="A2590" s="1246" t="s">
        <v>1490</v>
      </c>
      <c r="B2590" s="1246" t="s">
        <v>427</v>
      </c>
      <c r="C2590" s="1247">
        <v>0.16</v>
      </c>
      <c r="E2590" s="1246" t="s">
        <v>370</v>
      </c>
      <c r="F2590" s="1248">
        <v>1</v>
      </c>
      <c r="G2590" s="1248">
        <v>1</v>
      </c>
      <c r="H2590" s="1249">
        <v>1</v>
      </c>
      <c r="I2590" s="1246" t="s">
        <v>1491</v>
      </c>
      <c r="J2590" s="1246" t="s">
        <v>1399</v>
      </c>
      <c r="K2590" s="1284" t="str">
        <f t="shared" si="40"/>
        <v>30</v>
      </c>
      <c r="L2590" s="1246" t="s">
        <v>1510</v>
      </c>
      <c r="M2590" s="1250">
        <v>1</v>
      </c>
      <c r="N2590" s="1251">
        <v>27</v>
      </c>
      <c r="O2590" s="1252">
        <v>27</v>
      </c>
    </row>
    <row r="2591" spans="1:15">
      <c r="A2591" s="1246" t="s">
        <v>1490</v>
      </c>
      <c r="B2591" s="1246" t="s">
        <v>427</v>
      </c>
      <c r="C2591" s="1247">
        <v>0.16</v>
      </c>
      <c r="F2591" s="1248">
        <v>1</v>
      </c>
      <c r="G2591" s="1248">
        <v>1</v>
      </c>
      <c r="H2591" s="1249">
        <v>1</v>
      </c>
      <c r="I2591" s="1246" t="s">
        <v>1491</v>
      </c>
      <c r="J2591" s="1246" t="s">
        <v>1399</v>
      </c>
      <c r="K2591" s="1284" t="str">
        <f t="shared" si="40"/>
        <v>30</v>
      </c>
      <c r="L2591" s="1246" t="s">
        <v>1511</v>
      </c>
      <c r="M2591" s="1250">
        <v>2</v>
      </c>
      <c r="N2591" s="1251">
        <v>1</v>
      </c>
      <c r="O2591" s="1252">
        <v>1</v>
      </c>
    </row>
    <row r="2592" spans="1:15">
      <c r="A2592" s="1246" t="s">
        <v>1490</v>
      </c>
      <c r="B2592" s="1246" t="s">
        <v>427</v>
      </c>
      <c r="C2592" s="1247">
        <v>0.16</v>
      </c>
      <c r="F2592" s="1248">
        <v>1</v>
      </c>
      <c r="G2592" s="1248">
        <v>1</v>
      </c>
      <c r="H2592" s="1249">
        <v>1</v>
      </c>
      <c r="I2592" s="1246" t="s">
        <v>1491</v>
      </c>
      <c r="J2592" s="1246" t="s">
        <v>1399</v>
      </c>
      <c r="K2592" s="1284" t="str">
        <f t="shared" si="40"/>
        <v>30</v>
      </c>
      <c r="L2592" s="1246" t="s">
        <v>1512</v>
      </c>
      <c r="M2592" s="1250">
        <v>2</v>
      </c>
      <c r="N2592" s="1251">
        <v>1</v>
      </c>
      <c r="O2592" s="1252">
        <v>1</v>
      </c>
    </row>
    <row r="2593" spans="1:15">
      <c r="A2593" s="1246" t="s">
        <v>1490</v>
      </c>
      <c r="B2593" s="1246" t="s">
        <v>427</v>
      </c>
      <c r="C2593" s="1247">
        <v>0.16</v>
      </c>
      <c r="F2593" s="1248">
        <v>1</v>
      </c>
      <c r="G2593" s="1248">
        <v>1</v>
      </c>
      <c r="H2593" s="1249">
        <v>1</v>
      </c>
      <c r="I2593" s="1246" t="s">
        <v>1491</v>
      </c>
      <c r="J2593" s="1246" t="s">
        <v>1455</v>
      </c>
      <c r="K2593" s="1284" t="str">
        <f t="shared" si="40"/>
        <v>32</v>
      </c>
      <c r="L2593" s="1246" t="s">
        <v>1513</v>
      </c>
      <c r="M2593" s="1250">
        <v>2</v>
      </c>
      <c r="N2593" s="1251">
        <v>80</v>
      </c>
      <c r="O2593" s="1252">
        <v>80</v>
      </c>
    </row>
    <row r="2594" spans="1:15">
      <c r="A2594" s="1246" t="s">
        <v>1490</v>
      </c>
      <c r="B2594" s="1246" t="s">
        <v>427</v>
      </c>
      <c r="C2594" s="1247">
        <v>0.16</v>
      </c>
      <c r="E2594" s="1246" t="s">
        <v>370</v>
      </c>
      <c r="F2594" s="1248">
        <v>1</v>
      </c>
      <c r="G2594" s="1248">
        <v>1</v>
      </c>
      <c r="H2594" s="1249">
        <v>1</v>
      </c>
      <c r="I2594" s="1246" t="s">
        <v>1491</v>
      </c>
      <c r="J2594" s="1246" t="s">
        <v>1455</v>
      </c>
      <c r="K2594" s="1284" t="str">
        <f t="shared" si="40"/>
        <v>32</v>
      </c>
      <c r="L2594" s="1246" t="s">
        <v>1513</v>
      </c>
      <c r="M2594" s="1250">
        <v>2</v>
      </c>
      <c r="N2594" s="1251">
        <v>36</v>
      </c>
      <c r="O2594" s="1252">
        <v>36</v>
      </c>
    </row>
    <row r="2595" spans="1:15">
      <c r="A2595" s="1246" t="s">
        <v>1490</v>
      </c>
      <c r="B2595" s="1246" t="s">
        <v>427</v>
      </c>
      <c r="C2595" s="1247">
        <v>0.16</v>
      </c>
      <c r="F2595" s="1248">
        <v>1</v>
      </c>
      <c r="G2595" s="1248">
        <v>1</v>
      </c>
      <c r="H2595" s="1249">
        <v>1</v>
      </c>
      <c r="I2595" s="1246" t="s">
        <v>1491</v>
      </c>
      <c r="J2595" s="1246" t="s">
        <v>1454</v>
      </c>
      <c r="K2595" s="1284" t="str">
        <f t="shared" si="40"/>
        <v>31</v>
      </c>
      <c r="L2595" s="1246" t="s">
        <v>1500</v>
      </c>
      <c r="M2595" s="1250">
        <v>2</v>
      </c>
      <c r="N2595" s="1251">
        <v>93</v>
      </c>
      <c r="O2595" s="1252">
        <v>93</v>
      </c>
    </row>
    <row r="2596" spans="1:15">
      <c r="A2596" s="1246" t="s">
        <v>1490</v>
      </c>
      <c r="B2596" s="1246" t="s">
        <v>427</v>
      </c>
      <c r="C2596" s="1247">
        <v>0.16</v>
      </c>
      <c r="E2596" s="1246" t="s">
        <v>370</v>
      </c>
      <c r="F2596" s="1248">
        <v>1</v>
      </c>
      <c r="G2596" s="1248">
        <v>1</v>
      </c>
      <c r="H2596" s="1249">
        <v>1</v>
      </c>
      <c r="I2596" s="1246" t="s">
        <v>1491</v>
      </c>
      <c r="J2596" s="1246" t="s">
        <v>1454</v>
      </c>
      <c r="K2596" s="1284" t="str">
        <f t="shared" si="40"/>
        <v>31</v>
      </c>
      <c r="L2596" s="1246" t="s">
        <v>1500</v>
      </c>
      <c r="M2596" s="1250">
        <v>2</v>
      </c>
      <c r="N2596" s="1251">
        <v>16</v>
      </c>
      <c r="O2596" s="1252">
        <v>16</v>
      </c>
    </row>
    <row r="2597" spans="1:15">
      <c r="A2597" s="1246" t="s">
        <v>1490</v>
      </c>
      <c r="B2597" s="1246" t="s">
        <v>427</v>
      </c>
      <c r="C2597" s="1247">
        <v>0.16</v>
      </c>
      <c r="E2597" s="1246" t="s">
        <v>370</v>
      </c>
      <c r="F2597" s="1248">
        <v>1</v>
      </c>
      <c r="G2597" s="1248">
        <v>1</v>
      </c>
      <c r="H2597" s="1249">
        <v>1</v>
      </c>
      <c r="I2597" s="1246" t="s">
        <v>1491</v>
      </c>
      <c r="J2597" s="1246" t="s">
        <v>1458</v>
      </c>
      <c r="K2597" s="1284" t="str">
        <f t="shared" si="40"/>
        <v>36</v>
      </c>
      <c r="L2597" s="1246" t="s">
        <v>1514</v>
      </c>
      <c r="M2597" s="1250">
        <v>2</v>
      </c>
      <c r="N2597" s="1251">
        <v>4</v>
      </c>
      <c r="O2597" s="1252">
        <v>4</v>
      </c>
    </row>
    <row r="2598" spans="1:15">
      <c r="A2598" s="1246" t="s">
        <v>1490</v>
      </c>
      <c r="B2598" s="1246" t="s">
        <v>427</v>
      </c>
      <c r="C2598" s="1247">
        <v>0.16</v>
      </c>
      <c r="F2598" s="1248">
        <v>1</v>
      </c>
      <c r="G2598" s="1248">
        <v>1</v>
      </c>
      <c r="H2598" s="1249">
        <v>1</v>
      </c>
      <c r="I2598" s="1246" t="s">
        <v>1491</v>
      </c>
      <c r="J2598" s="1246" t="s">
        <v>1458</v>
      </c>
      <c r="K2598" s="1284" t="str">
        <f t="shared" si="40"/>
        <v>36</v>
      </c>
      <c r="L2598" s="1246" t="s">
        <v>1514</v>
      </c>
      <c r="M2598" s="1250">
        <v>2</v>
      </c>
      <c r="N2598" s="1251">
        <v>10</v>
      </c>
      <c r="O2598" s="1252">
        <v>10</v>
      </c>
    </row>
    <row r="2599" spans="1:15">
      <c r="A2599" s="1246" t="s">
        <v>1490</v>
      </c>
      <c r="B2599" s="1246" t="s">
        <v>427</v>
      </c>
      <c r="C2599" s="1247">
        <v>0.16</v>
      </c>
      <c r="F2599" s="1248">
        <v>1</v>
      </c>
      <c r="G2599" s="1248">
        <v>1</v>
      </c>
      <c r="H2599" s="1249">
        <v>1</v>
      </c>
      <c r="I2599" s="1246" t="s">
        <v>1491</v>
      </c>
      <c r="J2599" s="1246" t="s">
        <v>1399</v>
      </c>
      <c r="K2599" s="1284" t="str">
        <f t="shared" si="40"/>
        <v>30</v>
      </c>
      <c r="L2599" s="1246" t="s">
        <v>1515</v>
      </c>
      <c r="M2599" s="1250">
        <v>2</v>
      </c>
      <c r="N2599" s="1251">
        <v>9</v>
      </c>
      <c r="O2599" s="1252">
        <v>9</v>
      </c>
    </row>
    <row r="2600" spans="1:15">
      <c r="A2600" s="1246" t="s">
        <v>1490</v>
      </c>
      <c r="B2600" s="1246" t="s">
        <v>427</v>
      </c>
      <c r="C2600" s="1247">
        <v>0.16</v>
      </c>
      <c r="E2600" s="1246" t="s">
        <v>370</v>
      </c>
      <c r="F2600" s="1248">
        <v>1</v>
      </c>
      <c r="G2600" s="1248">
        <v>1</v>
      </c>
      <c r="H2600" s="1249">
        <v>1</v>
      </c>
      <c r="I2600" s="1246" t="s">
        <v>1491</v>
      </c>
      <c r="J2600" s="1246" t="s">
        <v>1399</v>
      </c>
      <c r="K2600" s="1284" t="str">
        <f t="shared" si="40"/>
        <v>30</v>
      </c>
      <c r="L2600" s="1246" t="s">
        <v>1515</v>
      </c>
      <c r="M2600" s="1250">
        <v>2</v>
      </c>
      <c r="N2600" s="1251">
        <v>2</v>
      </c>
      <c r="O2600" s="1252">
        <v>2</v>
      </c>
    </row>
    <row r="2601" spans="1:15">
      <c r="A2601" s="1246" t="s">
        <v>1490</v>
      </c>
      <c r="B2601" s="1246" t="s">
        <v>427</v>
      </c>
      <c r="C2601" s="1247">
        <v>0.16</v>
      </c>
      <c r="F2601" s="1248">
        <v>1</v>
      </c>
      <c r="G2601" s="1248">
        <v>1</v>
      </c>
      <c r="H2601" s="1249">
        <v>1</v>
      </c>
      <c r="I2601" s="1246" t="s">
        <v>1491</v>
      </c>
      <c r="J2601" s="1246" t="s">
        <v>1399</v>
      </c>
      <c r="K2601" s="1284" t="str">
        <f t="shared" si="40"/>
        <v>30</v>
      </c>
      <c r="L2601" s="1246" t="s">
        <v>1516</v>
      </c>
      <c r="M2601" s="1250">
        <v>2</v>
      </c>
      <c r="N2601" s="1251">
        <v>3</v>
      </c>
      <c r="O2601" s="1252">
        <v>3</v>
      </c>
    </row>
    <row r="2602" spans="1:15">
      <c r="A2602" s="1246" t="s">
        <v>1490</v>
      </c>
      <c r="B2602" s="1246" t="s">
        <v>427</v>
      </c>
      <c r="C2602" s="1247">
        <v>0.16</v>
      </c>
      <c r="E2602" s="1246" t="s">
        <v>370</v>
      </c>
      <c r="F2602" s="1248">
        <v>1</v>
      </c>
      <c r="G2602" s="1248">
        <v>1</v>
      </c>
      <c r="H2602" s="1249">
        <v>1</v>
      </c>
      <c r="I2602" s="1246" t="s">
        <v>1491</v>
      </c>
      <c r="J2602" s="1246" t="s">
        <v>1399</v>
      </c>
      <c r="K2602" s="1284" t="str">
        <f t="shared" si="40"/>
        <v>30</v>
      </c>
      <c r="L2602" s="1246" t="s">
        <v>1516</v>
      </c>
      <c r="M2602" s="1250">
        <v>2</v>
      </c>
      <c r="N2602" s="1251">
        <v>2</v>
      </c>
      <c r="O2602" s="1252">
        <v>2</v>
      </c>
    </row>
    <row r="2603" spans="1:15">
      <c r="A2603" s="1246" t="s">
        <v>1490</v>
      </c>
      <c r="B2603" s="1246" t="s">
        <v>427</v>
      </c>
      <c r="C2603" s="1247">
        <v>0.16</v>
      </c>
      <c r="F2603" s="1248">
        <v>1</v>
      </c>
      <c r="G2603" s="1248">
        <v>1</v>
      </c>
      <c r="H2603" s="1249">
        <v>1</v>
      </c>
      <c r="I2603" s="1246" t="s">
        <v>1491</v>
      </c>
      <c r="J2603" s="1246" t="s">
        <v>1457</v>
      </c>
      <c r="K2603" s="1284" t="str">
        <f t="shared" si="40"/>
        <v>35</v>
      </c>
      <c r="L2603" s="1246" t="s">
        <v>1517</v>
      </c>
      <c r="M2603" s="1250">
        <v>2</v>
      </c>
      <c r="N2603" s="1251">
        <v>123</v>
      </c>
      <c r="O2603" s="1252">
        <v>123</v>
      </c>
    </row>
    <row r="2604" spans="1:15">
      <c r="A2604" s="1246" t="s">
        <v>1490</v>
      </c>
      <c r="B2604" s="1246" t="s">
        <v>427</v>
      </c>
      <c r="C2604" s="1247">
        <v>0.16</v>
      </c>
      <c r="F2604" s="1248">
        <v>1</v>
      </c>
      <c r="G2604" s="1248">
        <v>1</v>
      </c>
      <c r="H2604" s="1249">
        <v>1</v>
      </c>
      <c r="I2604" s="1246" t="s">
        <v>1491</v>
      </c>
      <c r="J2604" s="1246" t="s">
        <v>1399</v>
      </c>
      <c r="K2604" s="1284" t="str">
        <f t="shared" si="40"/>
        <v>30</v>
      </c>
      <c r="L2604" s="1246" t="s">
        <v>1518</v>
      </c>
      <c r="M2604" s="1250">
        <v>2</v>
      </c>
      <c r="N2604" s="1251">
        <v>142</v>
      </c>
      <c r="O2604" s="1252">
        <v>142</v>
      </c>
    </row>
    <row r="2605" spans="1:15">
      <c r="A2605" s="1246" t="s">
        <v>1490</v>
      </c>
      <c r="B2605" s="1246" t="s">
        <v>427</v>
      </c>
      <c r="C2605" s="1247">
        <v>0.16</v>
      </c>
      <c r="E2605" s="1246" t="s">
        <v>370</v>
      </c>
      <c r="F2605" s="1248">
        <v>1</v>
      </c>
      <c r="G2605" s="1248">
        <v>1</v>
      </c>
      <c r="H2605" s="1249">
        <v>1</v>
      </c>
      <c r="I2605" s="1246" t="s">
        <v>1491</v>
      </c>
      <c r="J2605" s="1246" t="s">
        <v>1399</v>
      </c>
      <c r="K2605" s="1284" t="str">
        <f t="shared" si="40"/>
        <v>30</v>
      </c>
      <c r="L2605" s="1246" t="s">
        <v>1518</v>
      </c>
      <c r="M2605" s="1250">
        <v>2</v>
      </c>
      <c r="N2605" s="1251">
        <v>18</v>
      </c>
      <c r="O2605" s="1252">
        <v>18</v>
      </c>
    </row>
    <row r="2606" spans="1:15">
      <c r="A2606" s="1246" t="s">
        <v>1490</v>
      </c>
      <c r="B2606" s="1246" t="s">
        <v>427</v>
      </c>
      <c r="C2606" s="1247">
        <v>0.16</v>
      </c>
      <c r="F2606" s="1248">
        <v>1</v>
      </c>
      <c r="G2606" s="1248">
        <v>1</v>
      </c>
      <c r="H2606" s="1249">
        <v>1</v>
      </c>
      <c r="I2606" s="1246" t="s">
        <v>1491</v>
      </c>
      <c r="J2606" s="1246" t="s">
        <v>1456</v>
      </c>
      <c r="K2606" s="1284" t="str">
        <f t="shared" si="40"/>
        <v>33</v>
      </c>
      <c r="L2606" s="1246" t="s">
        <v>1519</v>
      </c>
      <c r="M2606" s="1250">
        <v>2</v>
      </c>
      <c r="N2606" s="1251">
        <v>24</v>
      </c>
      <c r="O2606" s="1252">
        <v>24</v>
      </c>
    </row>
    <row r="2607" spans="1:15">
      <c r="A2607" s="1246" t="s">
        <v>1490</v>
      </c>
      <c r="B2607" s="1246" t="s">
        <v>427</v>
      </c>
      <c r="C2607" s="1247">
        <v>0.16</v>
      </c>
      <c r="E2607" s="1246" t="s">
        <v>370</v>
      </c>
      <c r="F2607" s="1248">
        <v>1</v>
      </c>
      <c r="G2607" s="1248">
        <v>1</v>
      </c>
      <c r="H2607" s="1249">
        <v>1</v>
      </c>
      <c r="I2607" s="1246" t="s">
        <v>1491</v>
      </c>
      <c r="J2607" s="1246" t="s">
        <v>1456</v>
      </c>
      <c r="K2607" s="1284" t="str">
        <f t="shared" si="40"/>
        <v>33</v>
      </c>
      <c r="L2607" s="1246" t="s">
        <v>1519</v>
      </c>
      <c r="M2607" s="1250">
        <v>2</v>
      </c>
      <c r="N2607" s="1251">
        <v>4</v>
      </c>
      <c r="O2607" s="1252">
        <v>4</v>
      </c>
    </row>
    <row r="2608" spans="1:15">
      <c r="A2608" s="1246" t="s">
        <v>1490</v>
      </c>
      <c r="B2608" s="1246" t="s">
        <v>427</v>
      </c>
      <c r="C2608" s="1247">
        <v>0.16</v>
      </c>
      <c r="F2608" s="1248">
        <v>1</v>
      </c>
      <c r="G2608" s="1248">
        <v>1</v>
      </c>
      <c r="H2608" s="1249">
        <v>1</v>
      </c>
      <c r="I2608" s="1246" t="s">
        <v>1491</v>
      </c>
      <c r="J2608" s="1246" t="s">
        <v>1399</v>
      </c>
      <c r="K2608" s="1284" t="str">
        <f t="shared" si="40"/>
        <v>30</v>
      </c>
      <c r="L2608" s="1246" t="s">
        <v>1520</v>
      </c>
      <c r="M2608" s="1250">
        <v>3</v>
      </c>
      <c r="N2608" s="1251">
        <v>1</v>
      </c>
      <c r="O2608" s="1252">
        <v>1</v>
      </c>
    </row>
    <row r="2609" spans="1:15">
      <c r="A2609" s="1246" t="s">
        <v>1490</v>
      </c>
      <c r="B2609" s="1246" t="s">
        <v>427</v>
      </c>
      <c r="C2609" s="1247">
        <v>0.16</v>
      </c>
      <c r="F2609" s="1248">
        <v>1</v>
      </c>
      <c r="G2609" s="1248">
        <v>1</v>
      </c>
      <c r="H2609" s="1249">
        <v>1</v>
      </c>
      <c r="I2609" s="1246" t="s">
        <v>1491</v>
      </c>
      <c r="J2609" s="1246" t="s">
        <v>1455</v>
      </c>
      <c r="K2609" s="1284" t="str">
        <f t="shared" si="40"/>
        <v>32</v>
      </c>
      <c r="L2609" s="1246" t="s">
        <v>1522</v>
      </c>
      <c r="M2609" s="1250">
        <v>3</v>
      </c>
      <c r="N2609" s="1251">
        <v>111</v>
      </c>
      <c r="O2609" s="1252">
        <v>111</v>
      </c>
    </row>
    <row r="2610" spans="1:15">
      <c r="A2610" s="1246" t="s">
        <v>1490</v>
      </c>
      <c r="B2610" s="1246" t="s">
        <v>427</v>
      </c>
      <c r="C2610" s="1247">
        <v>0.16</v>
      </c>
      <c r="E2610" s="1246" t="s">
        <v>370</v>
      </c>
      <c r="F2610" s="1248">
        <v>1</v>
      </c>
      <c r="G2610" s="1248">
        <v>1</v>
      </c>
      <c r="H2610" s="1249">
        <v>1</v>
      </c>
      <c r="I2610" s="1246" t="s">
        <v>1491</v>
      </c>
      <c r="J2610" s="1246" t="s">
        <v>1455</v>
      </c>
      <c r="K2610" s="1284" t="str">
        <f t="shared" si="40"/>
        <v>32</v>
      </c>
      <c r="L2610" s="1246" t="s">
        <v>1522</v>
      </c>
      <c r="M2610" s="1250">
        <v>3</v>
      </c>
      <c r="N2610" s="1251">
        <v>49</v>
      </c>
      <c r="O2610" s="1252">
        <v>49</v>
      </c>
    </row>
    <row r="2611" spans="1:15">
      <c r="A2611" s="1246" t="s">
        <v>1490</v>
      </c>
      <c r="B2611" s="1246" t="s">
        <v>427</v>
      </c>
      <c r="C2611" s="1247">
        <v>0.16</v>
      </c>
      <c r="F2611" s="1248">
        <v>1</v>
      </c>
      <c r="G2611" s="1248">
        <v>1</v>
      </c>
      <c r="H2611" s="1249">
        <v>1</v>
      </c>
      <c r="I2611" s="1246" t="s">
        <v>1491</v>
      </c>
      <c r="J2611" s="1246" t="s">
        <v>1454</v>
      </c>
      <c r="K2611" s="1284" t="str">
        <f t="shared" si="40"/>
        <v>31</v>
      </c>
      <c r="L2611" s="1246" t="s">
        <v>1523</v>
      </c>
      <c r="M2611" s="1250">
        <v>3</v>
      </c>
      <c r="N2611" s="1251">
        <v>66</v>
      </c>
      <c r="O2611" s="1252">
        <v>66</v>
      </c>
    </row>
    <row r="2612" spans="1:15">
      <c r="A2612" s="1246" t="s">
        <v>1490</v>
      </c>
      <c r="B2612" s="1246" t="s">
        <v>427</v>
      </c>
      <c r="C2612" s="1247">
        <v>0.16</v>
      </c>
      <c r="E2612" s="1246" t="s">
        <v>370</v>
      </c>
      <c r="F2612" s="1248">
        <v>1</v>
      </c>
      <c r="G2612" s="1248">
        <v>1</v>
      </c>
      <c r="H2612" s="1249">
        <v>1</v>
      </c>
      <c r="I2612" s="1246" t="s">
        <v>1491</v>
      </c>
      <c r="J2612" s="1246" t="s">
        <v>1454</v>
      </c>
      <c r="K2612" s="1284" t="str">
        <f t="shared" si="40"/>
        <v>31</v>
      </c>
      <c r="L2612" s="1246" t="s">
        <v>1523</v>
      </c>
      <c r="M2612" s="1250">
        <v>3</v>
      </c>
      <c r="N2612" s="1251">
        <v>21</v>
      </c>
      <c r="O2612" s="1252">
        <v>21</v>
      </c>
    </row>
    <row r="2613" spans="1:15">
      <c r="A2613" s="1246" t="s">
        <v>1490</v>
      </c>
      <c r="B2613" s="1246" t="s">
        <v>427</v>
      </c>
      <c r="C2613" s="1247">
        <v>0.16</v>
      </c>
      <c r="F2613" s="1248">
        <v>1</v>
      </c>
      <c r="G2613" s="1248">
        <v>1</v>
      </c>
      <c r="H2613" s="1249">
        <v>1</v>
      </c>
      <c r="I2613" s="1246" t="s">
        <v>1491</v>
      </c>
      <c r="J2613" s="1246" t="s">
        <v>1458</v>
      </c>
      <c r="K2613" s="1284" t="str">
        <f t="shared" si="40"/>
        <v>36</v>
      </c>
      <c r="L2613" s="1246" t="s">
        <v>1524</v>
      </c>
      <c r="M2613" s="1250">
        <v>3</v>
      </c>
      <c r="N2613" s="1251">
        <v>7</v>
      </c>
      <c r="O2613" s="1252">
        <v>7</v>
      </c>
    </row>
    <row r="2614" spans="1:15">
      <c r="A2614" s="1246" t="s">
        <v>1490</v>
      </c>
      <c r="B2614" s="1246" t="s">
        <v>427</v>
      </c>
      <c r="C2614" s="1247">
        <v>0.16</v>
      </c>
      <c r="E2614" s="1246" t="s">
        <v>370</v>
      </c>
      <c r="F2614" s="1248">
        <v>1</v>
      </c>
      <c r="G2614" s="1248">
        <v>1</v>
      </c>
      <c r="H2614" s="1249">
        <v>1</v>
      </c>
      <c r="I2614" s="1246" t="s">
        <v>1491</v>
      </c>
      <c r="J2614" s="1246" t="s">
        <v>1458</v>
      </c>
      <c r="K2614" s="1284" t="str">
        <f t="shared" si="40"/>
        <v>36</v>
      </c>
      <c r="L2614" s="1246" t="s">
        <v>1524</v>
      </c>
      <c r="M2614" s="1250">
        <v>3</v>
      </c>
      <c r="N2614" s="1251">
        <v>4</v>
      </c>
      <c r="O2614" s="1252">
        <v>4</v>
      </c>
    </row>
    <row r="2615" spans="1:15">
      <c r="A2615" s="1246" t="s">
        <v>1490</v>
      </c>
      <c r="B2615" s="1246" t="s">
        <v>427</v>
      </c>
      <c r="C2615" s="1247">
        <v>0.16</v>
      </c>
      <c r="E2615" s="1246" t="s">
        <v>370</v>
      </c>
      <c r="F2615" s="1248">
        <v>1</v>
      </c>
      <c r="G2615" s="1248">
        <v>1</v>
      </c>
      <c r="H2615" s="1249">
        <v>1</v>
      </c>
      <c r="I2615" s="1246" t="s">
        <v>1491</v>
      </c>
      <c r="J2615" s="1246" t="s">
        <v>1399</v>
      </c>
      <c r="K2615" s="1284" t="str">
        <f t="shared" si="40"/>
        <v>30</v>
      </c>
      <c r="L2615" s="1246" t="s">
        <v>1525</v>
      </c>
      <c r="M2615" s="1250">
        <v>3</v>
      </c>
      <c r="N2615" s="1251">
        <v>3</v>
      </c>
      <c r="O2615" s="1252">
        <v>3</v>
      </c>
    </row>
    <row r="2616" spans="1:15">
      <c r="A2616" s="1246" t="s">
        <v>1490</v>
      </c>
      <c r="B2616" s="1246" t="s">
        <v>427</v>
      </c>
      <c r="C2616" s="1247">
        <v>0.16</v>
      </c>
      <c r="F2616" s="1248">
        <v>1</v>
      </c>
      <c r="G2616" s="1248">
        <v>1</v>
      </c>
      <c r="H2616" s="1249">
        <v>1</v>
      </c>
      <c r="I2616" s="1246" t="s">
        <v>1491</v>
      </c>
      <c r="J2616" s="1246" t="s">
        <v>1399</v>
      </c>
      <c r="K2616" s="1284" t="str">
        <f t="shared" si="40"/>
        <v>30</v>
      </c>
      <c r="L2616" s="1246" t="s">
        <v>1525</v>
      </c>
      <c r="M2616" s="1250">
        <v>3</v>
      </c>
      <c r="N2616" s="1251">
        <v>7</v>
      </c>
      <c r="O2616" s="1252">
        <v>7</v>
      </c>
    </row>
    <row r="2617" spans="1:15">
      <c r="A2617" s="1246" t="s">
        <v>1490</v>
      </c>
      <c r="B2617" s="1246" t="s">
        <v>427</v>
      </c>
      <c r="C2617" s="1247">
        <v>0.16</v>
      </c>
      <c r="F2617" s="1248">
        <v>1</v>
      </c>
      <c r="G2617" s="1248">
        <v>1</v>
      </c>
      <c r="H2617" s="1249">
        <v>1</v>
      </c>
      <c r="I2617" s="1246" t="s">
        <v>1491</v>
      </c>
      <c r="J2617" s="1246" t="s">
        <v>1399</v>
      </c>
      <c r="K2617" s="1284" t="str">
        <f t="shared" si="40"/>
        <v>30</v>
      </c>
      <c r="L2617" s="1246" t="s">
        <v>1526</v>
      </c>
      <c r="M2617" s="1250">
        <v>3</v>
      </c>
      <c r="N2617" s="1251">
        <v>6</v>
      </c>
      <c r="O2617" s="1252">
        <v>6</v>
      </c>
    </row>
    <row r="2618" spans="1:15">
      <c r="A2618" s="1246" t="s">
        <v>1490</v>
      </c>
      <c r="B2618" s="1246" t="s">
        <v>427</v>
      </c>
      <c r="C2618" s="1247">
        <v>0.16</v>
      </c>
      <c r="E2618" s="1246" t="s">
        <v>370</v>
      </c>
      <c r="F2618" s="1248">
        <v>1</v>
      </c>
      <c r="G2618" s="1248">
        <v>1</v>
      </c>
      <c r="H2618" s="1249">
        <v>1</v>
      </c>
      <c r="I2618" s="1246" t="s">
        <v>1491</v>
      </c>
      <c r="J2618" s="1246" t="s">
        <v>1399</v>
      </c>
      <c r="K2618" s="1284" t="str">
        <f t="shared" si="40"/>
        <v>30</v>
      </c>
      <c r="L2618" s="1246" t="s">
        <v>1526</v>
      </c>
      <c r="M2618" s="1250">
        <v>3</v>
      </c>
      <c r="N2618" s="1251">
        <v>3</v>
      </c>
      <c r="O2618" s="1252">
        <v>3</v>
      </c>
    </row>
    <row r="2619" spans="1:15">
      <c r="A2619" s="1246" t="s">
        <v>1490</v>
      </c>
      <c r="B2619" s="1246" t="s">
        <v>427</v>
      </c>
      <c r="C2619" s="1247">
        <v>0.16</v>
      </c>
      <c r="F2619" s="1248">
        <v>1</v>
      </c>
      <c r="G2619" s="1248">
        <v>1</v>
      </c>
      <c r="H2619" s="1249">
        <v>1</v>
      </c>
      <c r="I2619" s="1246" t="s">
        <v>1491</v>
      </c>
      <c r="J2619" s="1246" t="s">
        <v>1457</v>
      </c>
      <c r="K2619" s="1284" t="str">
        <f t="shared" si="40"/>
        <v>35</v>
      </c>
      <c r="L2619" s="1246" t="s">
        <v>1527</v>
      </c>
      <c r="M2619" s="1250">
        <v>3</v>
      </c>
      <c r="N2619" s="1251">
        <v>116</v>
      </c>
      <c r="O2619" s="1252">
        <v>116</v>
      </c>
    </row>
    <row r="2620" spans="1:15">
      <c r="A2620" s="1246" t="s">
        <v>1490</v>
      </c>
      <c r="B2620" s="1246" t="s">
        <v>427</v>
      </c>
      <c r="C2620" s="1247">
        <v>0.16</v>
      </c>
      <c r="F2620" s="1248">
        <v>1</v>
      </c>
      <c r="G2620" s="1248">
        <v>1</v>
      </c>
      <c r="H2620" s="1249">
        <v>1</v>
      </c>
      <c r="I2620" s="1246" t="s">
        <v>1491</v>
      </c>
      <c r="J2620" s="1246" t="s">
        <v>1459</v>
      </c>
      <c r="K2620" s="1284" t="str">
        <f t="shared" si="40"/>
        <v>3A</v>
      </c>
      <c r="L2620" s="1246" t="s">
        <v>1492</v>
      </c>
      <c r="M2620" s="1250">
        <v>3</v>
      </c>
      <c r="N2620" s="1251">
        <v>6</v>
      </c>
      <c r="O2620" s="1252">
        <v>6</v>
      </c>
    </row>
    <row r="2621" spans="1:15">
      <c r="A2621" s="1246" t="s">
        <v>1490</v>
      </c>
      <c r="B2621" s="1246" t="s">
        <v>427</v>
      </c>
      <c r="C2621" s="1247">
        <v>0.16</v>
      </c>
      <c r="F2621" s="1248">
        <v>1</v>
      </c>
      <c r="G2621" s="1248">
        <v>1</v>
      </c>
      <c r="H2621" s="1249">
        <v>1</v>
      </c>
      <c r="I2621" s="1246" t="s">
        <v>1491</v>
      </c>
      <c r="J2621" s="1246" t="s">
        <v>1399</v>
      </c>
      <c r="K2621" s="1284" t="str">
        <f t="shared" si="40"/>
        <v>30</v>
      </c>
      <c r="L2621" s="1246" t="s">
        <v>1528</v>
      </c>
      <c r="M2621" s="1250">
        <v>3</v>
      </c>
      <c r="N2621" s="1251">
        <v>155</v>
      </c>
      <c r="O2621" s="1252">
        <v>155</v>
      </c>
    </row>
    <row r="2622" spans="1:15">
      <c r="A2622" s="1246" t="s">
        <v>1490</v>
      </c>
      <c r="B2622" s="1246" t="s">
        <v>427</v>
      </c>
      <c r="C2622" s="1247">
        <v>0.16</v>
      </c>
      <c r="E2622" s="1246" t="s">
        <v>370</v>
      </c>
      <c r="F2622" s="1248">
        <v>1</v>
      </c>
      <c r="G2622" s="1248">
        <v>1</v>
      </c>
      <c r="H2622" s="1249">
        <v>1</v>
      </c>
      <c r="I2622" s="1246" t="s">
        <v>1491</v>
      </c>
      <c r="J2622" s="1246" t="s">
        <v>1399</v>
      </c>
      <c r="K2622" s="1284" t="str">
        <f t="shared" si="40"/>
        <v>30</v>
      </c>
      <c r="L2622" s="1246" t="s">
        <v>1528</v>
      </c>
      <c r="M2622" s="1250">
        <v>3</v>
      </c>
      <c r="N2622" s="1251">
        <v>26</v>
      </c>
      <c r="O2622" s="1252">
        <v>26</v>
      </c>
    </row>
    <row r="2623" spans="1:15">
      <c r="A2623" s="1246" t="s">
        <v>1493</v>
      </c>
      <c r="B2623" s="1246" t="s">
        <v>427</v>
      </c>
      <c r="C2623" s="1247">
        <v>0.16</v>
      </c>
      <c r="E2623" s="1246" t="s">
        <v>1535</v>
      </c>
      <c r="F2623" s="1248">
        <v>1</v>
      </c>
      <c r="G2623" s="1248">
        <v>1</v>
      </c>
      <c r="H2623" s="1249">
        <v>1</v>
      </c>
      <c r="I2623" s="1246" t="s">
        <v>1491</v>
      </c>
      <c r="J2623" s="1246" t="s">
        <v>1440</v>
      </c>
      <c r="K2623" s="1284" t="str">
        <f t="shared" si="40"/>
        <v>16</v>
      </c>
      <c r="L2623" s="1246" t="s">
        <v>1538</v>
      </c>
      <c r="M2623" s="1250">
        <v>9</v>
      </c>
      <c r="N2623" s="1251">
        <v>1</v>
      </c>
      <c r="O2623" s="1252">
        <v>1</v>
      </c>
    </row>
    <row r="2624" spans="1:15">
      <c r="A2624" s="1246" t="s">
        <v>1490</v>
      </c>
      <c r="B2624" s="1246" t="s">
        <v>427</v>
      </c>
      <c r="C2624" s="1247">
        <v>0.16</v>
      </c>
      <c r="F2624" s="1248">
        <v>1</v>
      </c>
      <c r="G2624" s="1248">
        <v>1</v>
      </c>
      <c r="H2624" s="1249">
        <v>2</v>
      </c>
      <c r="I2624" s="1246" t="s">
        <v>1491</v>
      </c>
      <c r="J2624" s="1246" t="s">
        <v>1399</v>
      </c>
      <c r="K2624" s="1284" t="str">
        <f t="shared" si="40"/>
        <v>30</v>
      </c>
      <c r="L2624" s="1246" t="s">
        <v>1504</v>
      </c>
      <c r="M2624" s="1250">
        <v>1</v>
      </c>
      <c r="N2624" s="1251">
        <v>2</v>
      </c>
      <c r="O2624" s="1252">
        <v>2</v>
      </c>
    </row>
    <row r="2625" spans="1:15">
      <c r="A2625" s="1246" t="s">
        <v>1490</v>
      </c>
      <c r="B2625" s="1246" t="s">
        <v>427</v>
      </c>
      <c r="C2625" s="1247">
        <v>0.16</v>
      </c>
      <c r="E2625" s="1246" t="s">
        <v>370</v>
      </c>
      <c r="F2625" s="1248">
        <v>1</v>
      </c>
      <c r="G2625" s="1248">
        <v>1</v>
      </c>
      <c r="H2625" s="1249">
        <v>2</v>
      </c>
      <c r="I2625" s="1246" t="s">
        <v>1491</v>
      </c>
      <c r="J2625" s="1246" t="s">
        <v>1399</v>
      </c>
      <c r="K2625" s="1284" t="str">
        <f t="shared" si="40"/>
        <v>30</v>
      </c>
      <c r="L2625" s="1246" t="s">
        <v>1504</v>
      </c>
      <c r="M2625" s="1250">
        <v>1</v>
      </c>
      <c r="N2625" s="1251">
        <v>1</v>
      </c>
      <c r="O2625" s="1252">
        <v>1</v>
      </c>
    </row>
    <row r="2626" spans="1:15">
      <c r="A2626" s="1246" t="s">
        <v>1490</v>
      </c>
      <c r="B2626" s="1246" t="s">
        <v>427</v>
      </c>
      <c r="C2626" s="1247">
        <v>0.16</v>
      </c>
      <c r="F2626" s="1248">
        <v>1</v>
      </c>
      <c r="G2626" s="1248">
        <v>1</v>
      </c>
      <c r="H2626" s="1249">
        <v>2</v>
      </c>
      <c r="I2626" s="1246" t="s">
        <v>1491</v>
      </c>
      <c r="J2626" s="1246" t="s">
        <v>1399</v>
      </c>
      <c r="K2626" s="1284" t="str">
        <f t="shared" ref="K2626:K2689" si="41">IF(J2626="1B","10", IF(J2626="2B","20",IF(J2626="3B","30",IF(J2626="7B",70,J2626))))</f>
        <v>30</v>
      </c>
      <c r="L2626" s="1246" t="s">
        <v>1512</v>
      </c>
      <c r="M2626" s="1250">
        <v>2</v>
      </c>
      <c r="N2626" s="1251">
        <v>1</v>
      </c>
      <c r="O2626" s="1252">
        <v>1</v>
      </c>
    </row>
    <row r="2627" spans="1:15">
      <c r="A2627" s="1246" t="s">
        <v>1490</v>
      </c>
      <c r="B2627" s="1246" t="s">
        <v>427</v>
      </c>
      <c r="C2627" s="1247">
        <v>0.16</v>
      </c>
      <c r="F2627" s="1248">
        <v>1</v>
      </c>
      <c r="G2627" s="1248">
        <v>1</v>
      </c>
      <c r="H2627" s="1249">
        <v>2</v>
      </c>
      <c r="I2627" s="1246" t="s">
        <v>1491</v>
      </c>
      <c r="J2627" s="1246" t="s">
        <v>1399</v>
      </c>
      <c r="K2627" s="1284" t="str">
        <f t="shared" si="41"/>
        <v>30</v>
      </c>
      <c r="L2627" s="1246" t="s">
        <v>1521</v>
      </c>
      <c r="M2627" s="1250">
        <v>3</v>
      </c>
      <c r="N2627" s="1251">
        <v>5</v>
      </c>
      <c r="O2627" s="1252">
        <v>5</v>
      </c>
    </row>
    <row r="2628" spans="1:15">
      <c r="A2628" s="1246" t="s">
        <v>1490</v>
      </c>
      <c r="B2628" s="1246" t="s">
        <v>427</v>
      </c>
      <c r="C2628" s="1247">
        <v>0.16</v>
      </c>
      <c r="E2628" s="1246" t="s">
        <v>370</v>
      </c>
      <c r="F2628" s="1248">
        <v>5</v>
      </c>
      <c r="G2628" s="1248">
        <v>5</v>
      </c>
      <c r="H2628" s="1249">
        <v>1</v>
      </c>
      <c r="I2628" s="1246" t="s">
        <v>1491</v>
      </c>
      <c r="J2628" s="1246" t="s">
        <v>1455</v>
      </c>
      <c r="K2628" s="1284" t="str">
        <f t="shared" si="41"/>
        <v>32</v>
      </c>
      <c r="L2628" s="1246" t="s">
        <v>1522</v>
      </c>
      <c r="M2628" s="1250">
        <v>3</v>
      </c>
      <c r="N2628" s="1251">
        <v>5</v>
      </c>
      <c r="O2628" s="1252">
        <v>1</v>
      </c>
    </row>
    <row r="2629" spans="1:15">
      <c r="A2629" s="1246" t="s">
        <v>1490</v>
      </c>
      <c r="B2629" s="1246" t="s">
        <v>427</v>
      </c>
      <c r="C2629" s="1247">
        <v>0.3</v>
      </c>
      <c r="F2629" s="1248">
        <v>1</v>
      </c>
      <c r="G2629" s="1248">
        <v>1</v>
      </c>
      <c r="H2629" s="1249">
        <v>1</v>
      </c>
      <c r="I2629" s="1246" t="s">
        <v>1491</v>
      </c>
      <c r="J2629" s="1246" t="s">
        <v>1460</v>
      </c>
      <c r="K2629" s="1284" t="str">
        <f t="shared" si="41"/>
        <v>30</v>
      </c>
      <c r="L2629" s="1246" t="s">
        <v>1497</v>
      </c>
      <c r="M2629" s="1250">
        <v>1</v>
      </c>
      <c r="N2629" s="1251">
        <v>2</v>
      </c>
      <c r="O2629" s="1252">
        <v>2</v>
      </c>
    </row>
    <row r="2630" spans="1:15">
      <c r="A2630" s="1246" t="s">
        <v>1490</v>
      </c>
      <c r="B2630" s="1246" t="s">
        <v>427</v>
      </c>
      <c r="C2630" s="1247">
        <v>0.3</v>
      </c>
      <c r="F2630" s="1248">
        <v>1</v>
      </c>
      <c r="G2630" s="1248">
        <v>1</v>
      </c>
      <c r="H2630" s="1249">
        <v>1</v>
      </c>
      <c r="I2630" s="1246" t="s">
        <v>1491</v>
      </c>
      <c r="J2630" s="1246" t="s">
        <v>1461</v>
      </c>
      <c r="K2630" s="1284" t="str">
        <f t="shared" si="41"/>
        <v>3C</v>
      </c>
      <c r="L2630" s="1246" t="s">
        <v>1502</v>
      </c>
      <c r="M2630" s="1250">
        <v>1</v>
      </c>
      <c r="N2630" s="1251">
        <v>5</v>
      </c>
      <c r="O2630" s="1252">
        <v>5</v>
      </c>
    </row>
    <row r="2631" spans="1:15">
      <c r="A2631" s="1246" t="s">
        <v>1490</v>
      </c>
      <c r="B2631" s="1246" t="s">
        <v>427</v>
      </c>
      <c r="C2631" s="1247">
        <v>0.3</v>
      </c>
      <c r="F2631" s="1248">
        <v>1</v>
      </c>
      <c r="G2631" s="1248">
        <v>1</v>
      </c>
      <c r="H2631" s="1249">
        <v>1</v>
      </c>
      <c r="I2631" s="1246" t="s">
        <v>1491</v>
      </c>
      <c r="J2631" s="1246" t="s">
        <v>1461</v>
      </c>
      <c r="K2631" s="1284" t="str">
        <f t="shared" si="41"/>
        <v>3C</v>
      </c>
      <c r="L2631" s="1246" t="s">
        <v>1502</v>
      </c>
      <c r="M2631" s="1250">
        <v>3</v>
      </c>
      <c r="N2631" s="1251">
        <v>17</v>
      </c>
      <c r="O2631" s="1252">
        <v>17</v>
      </c>
    </row>
    <row r="2632" spans="1:15">
      <c r="A2632" s="1246" t="s">
        <v>1490</v>
      </c>
      <c r="B2632" s="1246" t="s">
        <v>427</v>
      </c>
      <c r="C2632" s="1247">
        <v>0.3</v>
      </c>
      <c r="F2632" s="1248">
        <v>1</v>
      </c>
      <c r="G2632" s="1248">
        <v>1</v>
      </c>
      <c r="H2632" s="1249">
        <v>1</v>
      </c>
      <c r="I2632" s="1246" t="s">
        <v>1491</v>
      </c>
      <c r="J2632" s="1246" t="s">
        <v>1460</v>
      </c>
      <c r="K2632" s="1284" t="str">
        <f t="shared" si="41"/>
        <v>30</v>
      </c>
      <c r="L2632" s="1246" t="s">
        <v>1498</v>
      </c>
      <c r="M2632" s="1250">
        <v>2</v>
      </c>
      <c r="N2632" s="1251">
        <v>3</v>
      </c>
      <c r="O2632" s="1252">
        <v>3</v>
      </c>
    </row>
    <row r="2633" spans="1:15">
      <c r="A2633" s="1246" t="s">
        <v>1490</v>
      </c>
      <c r="B2633" s="1246" t="s">
        <v>427</v>
      </c>
      <c r="C2633" s="1247">
        <v>0.3</v>
      </c>
      <c r="F2633" s="1248">
        <v>1</v>
      </c>
      <c r="G2633" s="1248">
        <v>1</v>
      </c>
      <c r="H2633" s="1249">
        <v>1</v>
      </c>
      <c r="I2633" s="1246" t="s">
        <v>1491</v>
      </c>
      <c r="J2633" s="1246" t="s">
        <v>1460</v>
      </c>
      <c r="K2633" s="1284" t="str">
        <f t="shared" si="41"/>
        <v>30</v>
      </c>
      <c r="L2633" s="1246" t="s">
        <v>1499</v>
      </c>
      <c r="M2633" s="1250">
        <v>5</v>
      </c>
      <c r="N2633" s="1251">
        <v>5</v>
      </c>
      <c r="O2633" s="1252">
        <v>5</v>
      </c>
    </row>
    <row r="2634" spans="1:15">
      <c r="A2634" s="1246" t="s">
        <v>1490</v>
      </c>
      <c r="B2634" s="1246" t="s">
        <v>427</v>
      </c>
      <c r="C2634" s="1247">
        <v>0.3</v>
      </c>
      <c r="F2634" s="1248">
        <v>1</v>
      </c>
      <c r="G2634" s="1248">
        <v>1</v>
      </c>
      <c r="H2634" s="1249">
        <v>1</v>
      </c>
      <c r="I2634" s="1246" t="s">
        <v>1491</v>
      </c>
      <c r="J2634" s="1246" t="s">
        <v>1399</v>
      </c>
      <c r="K2634" s="1284" t="str">
        <f t="shared" si="41"/>
        <v>30</v>
      </c>
      <c r="L2634" s="1246" t="s">
        <v>1504</v>
      </c>
      <c r="M2634" s="1250">
        <v>1</v>
      </c>
      <c r="N2634" s="1251">
        <v>1</v>
      </c>
      <c r="O2634" s="1252">
        <v>1</v>
      </c>
    </row>
    <row r="2635" spans="1:15">
      <c r="A2635" s="1246" t="s">
        <v>1490</v>
      </c>
      <c r="B2635" s="1246" t="s">
        <v>427</v>
      </c>
      <c r="C2635" s="1247">
        <v>0.3</v>
      </c>
      <c r="F2635" s="1248">
        <v>1</v>
      </c>
      <c r="G2635" s="1248">
        <v>1</v>
      </c>
      <c r="H2635" s="1249">
        <v>1</v>
      </c>
      <c r="I2635" s="1246" t="s">
        <v>1491</v>
      </c>
      <c r="J2635" s="1246" t="s">
        <v>1455</v>
      </c>
      <c r="K2635" s="1284" t="str">
        <f t="shared" si="41"/>
        <v>32</v>
      </c>
      <c r="L2635" s="1246" t="s">
        <v>1505</v>
      </c>
      <c r="M2635" s="1250">
        <v>1</v>
      </c>
      <c r="N2635" s="1251">
        <v>5</v>
      </c>
      <c r="O2635" s="1252">
        <v>5</v>
      </c>
    </row>
    <row r="2636" spans="1:15">
      <c r="A2636" s="1246" t="s">
        <v>1490</v>
      </c>
      <c r="B2636" s="1246" t="s">
        <v>427</v>
      </c>
      <c r="C2636" s="1247">
        <v>0.3</v>
      </c>
      <c r="F2636" s="1248">
        <v>1</v>
      </c>
      <c r="G2636" s="1248">
        <v>1</v>
      </c>
      <c r="H2636" s="1249">
        <v>1</v>
      </c>
      <c r="I2636" s="1246" t="s">
        <v>1491</v>
      </c>
      <c r="J2636" s="1246" t="s">
        <v>1454</v>
      </c>
      <c r="K2636" s="1284" t="str">
        <f t="shared" si="41"/>
        <v>31</v>
      </c>
      <c r="L2636" s="1246" t="s">
        <v>1506</v>
      </c>
      <c r="M2636" s="1250">
        <v>1</v>
      </c>
      <c r="N2636" s="1251">
        <v>78</v>
      </c>
      <c r="O2636" s="1252">
        <v>78</v>
      </c>
    </row>
    <row r="2637" spans="1:15">
      <c r="A2637" s="1246" t="s">
        <v>1490</v>
      </c>
      <c r="B2637" s="1246" t="s">
        <v>427</v>
      </c>
      <c r="C2637" s="1247">
        <v>0.3</v>
      </c>
      <c r="E2637" s="1246" t="s">
        <v>370</v>
      </c>
      <c r="F2637" s="1248">
        <v>1</v>
      </c>
      <c r="G2637" s="1248">
        <v>1</v>
      </c>
      <c r="H2637" s="1249">
        <v>1</v>
      </c>
      <c r="I2637" s="1246" t="s">
        <v>1491</v>
      </c>
      <c r="J2637" s="1246" t="s">
        <v>1454</v>
      </c>
      <c r="K2637" s="1284" t="str">
        <f t="shared" si="41"/>
        <v>31</v>
      </c>
      <c r="L2637" s="1246" t="s">
        <v>1506</v>
      </c>
      <c r="M2637" s="1250">
        <v>1</v>
      </c>
      <c r="N2637" s="1251">
        <v>2</v>
      </c>
      <c r="O2637" s="1252">
        <v>2</v>
      </c>
    </row>
    <row r="2638" spans="1:15">
      <c r="A2638" s="1246" t="s">
        <v>1490</v>
      </c>
      <c r="B2638" s="1246" t="s">
        <v>427</v>
      </c>
      <c r="C2638" s="1247">
        <v>0.3</v>
      </c>
      <c r="F2638" s="1248">
        <v>1</v>
      </c>
      <c r="G2638" s="1248">
        <v>1</v>
      </c>
      <c r="H2638" s="1249">
        <v>1</v>
      </c>
      <c r="I2638" s="1246" t="s">
        <v>1491</v>
      </c>
      <c r="J2638" s="1246" t="s">
        <v>1458</v>
      </c>
      <c r="K2638" s="1284" t="str">
        <f t="shared" si="41"/>
        <v>36</v>
      </c>
      <c r="L2638" s="1246" t="s">
        <v>1507</v>
      </c>
      <c r="M2638" s="1250">
        <v>1</v>
      </c>
      <c r="N2638" s="1251">
        <v>3</v>
      </c>
      <c r="O2638" s="1252">
        <v>3</v>
      </c>
    </row>
    <row r="2639" spans="1:15">
      <c r="A2639" s="1246" t="s">
        <v>1490</v>
      </c>
      <c r="B2639" s="1246" t="s">
        <v>427</v>
      </c>
      <c r="C2639" s="1247">
        <v>0.3</v>
      </c>
      <c r="F2639" s="1248">
        <v>1</v>
      </c>
      <c r="G2639" s="1248">
        <v>1</v>
      </c>
      <c r="H2639" s="1249">
        <v>1</v>
      </c>
      <c r="I2639" s="1246" t="s">
        <v>1491</v>
      </c>
      <c r="J2639" s="1246" t="s">
        <v>1457</v>
      </c>
      <c r="K2639" s="1284" t="str">
        <f t="shared" si="41"/>
        <v>35</v>
      </c>
      <c r="L2639" s="1246" t="s">
        <v>1501</v>
      </c>
      <c r="M2639" s="1250">
        <v>1</v>
      </c>
      <c r="N2639" s="1251">
        <v>13</v>
      </c>
      <c r="O2639" s="1252">
        <v>13</v>
      </c>
    </row>
    <row r="2640" spans="1:15">
      <c r="A2640" s="1246" t="s">
        <v>1490</v>
      </c>
      <c r="B2640" s="1246" t="s">
        <v>427</v>
      </c>
      <c r="C2640" s="1247">
        <v>0.3</v>
      </c>
      <c r="F2640" s="1248">
        <v>1</v>
      </c>
      <c r="G2640" s="1248">
        <v>1</v>
      </c>
      <c r="H2640" s="1249">
        <v>1</v>
      </c>
      <c r="I2640" s="1246" t="s">
        <v>1491</v>
      </c>
      <c r="J2640" s="1246" t="s">
        <v>1399</v>
      </c>
      <c r="K2640" s="1284" t="str">
        <f t="shared" si="41"/>
        <v>30</v>
      </c>
      <c r="L2640" s="1246" t="s">
        <v>1510</v>
      </c>
      <c r="M2640" s="1250">
        <v>1</v>
      </c>
      <c r="N2640" s="1251">
        <v>2</v>
      </c>
      <c r="O2640" s="1252">
        <v>2</v>
      </c>
    </row>
    <row r="2641" spans="1:15">
      <c r="A2641" s="1246" t="s">
        <v>1490</v>
      </c>
      <c r="B2641" s="1246" t="s">
        <v>427</v>
      </c>
      <c r="C2641" s="1247">
        <v>0.3</v>
      </c>
      <c r="F2641" s="1248">
        <v>1</v>
      </c>
      <c r="G2641" s="1248">
        <v>1</v>
      </c>
      <c r="H2641" s="1249">
        <v>1</v>
      </c>
      <c r="I2641" s="1246" t="s">
        <v>1491</v>
      </c>
      <c r="J2641" s="1246" t="s">
        <v>1455</v>
      </c>
      <c r="K2641" s="1284" t="str">
        <f t="shared" si="41"/>
        <v>32</v>
      </c>
      <c r="L2641" s="1246" t="s">
        <v>1513</v>
      </c>
      <c r="M2641" s="1250">
        <v>2</v>
      </c>
      <c r="N2641" s="1251">
        <v>2</v>
      </c>
      <c r="O2641" s="1252">
        <v>2</v>
      </c>
    </row>
    <row r="2642" spans="1:15">
      <c r="A2642" s="1246" t="s">
        <v>1490</v>
      </c>
      <c r="B2642" s="1246" t="s">
        <v>427</v>
      </c>
      <c r="C2642" s="1247">
        <v>0.3</v>
      </c>
      <c r="F2642" s="1248">
        <v>1</v>
      </c>
      <c r="G2642" s="1248">
        <v>1</v>
      </c>
      <c r="H2642" s="1249">
        <v>1</v>
      </c>
      <c r="I2642" s="1246" t="s">
        <v>1491</v>
      </c>
      <c r="J2642" s="1246" t="s">
        <v>1454</v>
      </c>
      <c r="K2642" s="1284" t="str">
        <f t="shared" si="41"/>
        <v>31</v>
      </c>
      <c r="L2642" s="1246" t="s">
        <v>1500</v>
      </c>
      <c r="M2642" s="1250">
        <v>2</v>
      </c>
      <c r="N2642" s="1251">
        <v>109</v>
      </c>
      <c r="O2642" s="1252">
        <v>109</v>
      </c>
    </row>
    <row r="2643" spans="1:15">
      <c r="A2643" s="1246" t="s">
        <v>1490</v>
      </c>
      <c r="B2643" s="1246" t="s">
        <v>427</v>
      </c>
      <c r="C2643" s="1247">
        <v>0.3</v>
      </c>
      <c r="E2643" s="1246" t="s">
        <v>370</v>
      </c>
      <c r="F2643" s="1248">
        <v>1</v>
      </c>
      <c r="G2643" s="1248">
        <v>1</v>
      </c>
      <c r="H2643" s="1249">
        <v>1</v>
      </c>
      <c r="I2643" s="1246" t="s">
        <v>1491</v>
      </c>
      <c r="J2643" s="1246" t="s">
        <v>1454</v>
      </c>
      <c r="K2643" s="1284" t="str">
        <f t="shared" si="41"/>
        <v>31</v>
      </c>
      <c r="L2643" s="1246" t="s">
        <v>1500</v>
      </c>
      <c r="M2643" s="1250">
        <v>2</v>
      </c>
      <c r="N2643" s="1251">
        <v>3</v>
      </c>
      <c r="O2643" s="1252">
        <v>3</v>
      </c>
    </row>
    <row r="2644" spans="1:15">
      <c r="A2644" s="1246" t="s">
        <v>1490</v>
      </c>
      <c r="B2644" s="1246" t="s">
        <v>427</v>
      </c>
      <c r="C2644" s="1247">
        <v>0.3</v>
      </c>
      <c r="E2644" s="1246" t="s">
        <v>370</v>
      </c>
      <c r="F2644" s="1248">
        <v>1</v>
      </c>
      <c r="G2644" s="1248">
        <v>1</v>
      </c>
      <c r="H2644" s="1249">
        <v>1</v>
      </c>
      <c r="I2644" s="1246" t="s">
        <v>1491</v>
      </c>
      <c r="J2644" s="1246" t="s">
        <v>1458</v>
      </c>
      <c r="K2644" s="1284" t="str">
        <f t="shared" si="41"/>
        <v>36</v>
      </c>
      <c r="L2644" s="1246" t="s">
        <v>1514</v>
      </c>
      <c r="M2644" s="1250">
        <v>2</v>
      </c>
      <c r="N2644" s="1251">
        <v>1</v>
      </c>
      <c r="O2644" s="1252">
        <v>1</v>
      </c>
    </row>
    <row r="2645" spans="1:15">
      <c r="A2645" s="1246" t="s">
        <v>1490</v>
      </c>
      <c r="B2645" s="1246" t="s">
        <v>427</v>
      </c>
      <c r="C2645" s="1247">
        <v>0.3</v>
      </c>
      <c r="F2645" s="1248">
        <v>1</v>
      </c>
      <c r="G2645" s="1248">
        <v>1</v>
      </c>
      <c r="H2645" s="1249">
        <v>1</v>
      </c>
      <c r="I2645" s="1246" t="s">
        <v>1491</v>
      </c>
      <c r="J2645" s="1246" t="s">
        <v>1399</v>
      </c>
      <c r="K2645" s="1284" t="str">
        <f t="shared" si="41"/>
        <v>30</v>
      </c>
      <c r="L2645" s="1246" t="s">
        <v>1515</v>
      </c>
      <c r="M2645" s="1250">
        <v>2</v>
      </c>
      <c r="N2645" s="1251">
        <v>1</v>
      </c>
      <c r="O2645" s="1252">
        <v>1</v>
      </c>
    </row>
    <row r="2646" spans="1:15">
      <c r="A2646" s="1246" t="s">
        <v>1490</v>
      </c>
      <c r="B2646" s="1246" t="s">
        <v>427</v>
      </c>
      <c r="C2646" s="1247">
        <v>0.3</v>
      </c>
      <c r="F2646" s="1248">
        <v>1</v>
      </c>
      <c r="G2646" s="1248">
        <v>1</v>
      </c>
      <c r="H2646" s="1249">
        <v>1</v>
      </c>
      <c r="I2646" s="1246" t="s">
        <v>1491</v>
      </c>
      <c r="J2646" s="1246" t="s">
        <v>1457</v>
      </c>
      <c r="K2646" s="1284" t="str">
        <f t="shared" si="41"/>
        <v>35</v>
      </c>
      <c r="L2646" s="1246" t="s">
        <v>1517</v>
      </c>
      <c r="M2646" s="1250">
        <v>2</v>
      </c>
      <c r="N2646" s="1251">
        <v>9</v>
      </c>
      <c r="O2646" s="1252">
        <v>9</v>
      </c>
    </row>
    <row r="2647" spans="1:15">
      <c r="A2647" s="1246" t="s">
        <v>1490</v>
      </c>
      <c r="B2647" s="1246" t="s">
        <v>427</v>
      </c>
      <c r="C2647" s="1247">
        <v>0.3</v>
      </c>
      <c r="F2647" s="1248">
        <v>1</v>
      </c>
      <c r="G2647" s="1248">
        <v>1</v>
      </c>
      <c r="H2647" s="1249">
        <v>1</v>
      </c>
      <c r="I2647" s="1246" t="s">
        <v>1491</v>
      </c>
      <c r="J2647" s="1246" t="s">
        <v>1399</v>
      </c>
      <c r="K2647" s="1284" t="str">
        <f t="shared" si="41"/>
        <v>30</v>
      </c>
      <c r="L2647" s="1246" t="s">
        <v>1518</v>
      </c>
      <c r="M2647" s="1250">
        <v>2</v>
      </c>
      <c r="N2647" s="1251">
        <v>3</v>
      </c>
      <c r="O2647" s="1252">
        <v>3</v>
      </c>
    </row>
    <row r="2648" spans="1:15">
      <c r="A2648" s="1246" t="s">
        <v>1490</v>
      </c>
      <c r="B2648" s="1246" t="s">
        <v>427</v>
      </c>
      <c r="C2648" s="1247">
        <v>0.3</v>
      </c>
      <c r="E2648" s="1246" t="s">
        <v>370</v>
      </c>
      <c r="F2648" s="1248">
        <v>1</v>
      </c>
      <c r="G2648" s="1248">
        <v>1</v>
      </c>
      <c r="H2648" s="1249">
        <v>1</v>
      </c>
      <c r="I2648" s="1246" t="s">
        <v>1491</v>
      </c>
      <c r="J2648" s="1246" t="s">
        <v>1399</v>
      </c>
      <c r="K2648" s="1284" t="str">
        <f t="shared" si="41"/>
        <v>30</v>
      </c>
      <c r="L2648" s="1246" t="s">
        <v>1518</v>
      </c>
      <c r="M2648" s="1250">
        <v>2</v>
      </c>
      <c r="N2648" s="1251">
        <v>1</v>
      </c>
      <c r="O2648" s="1252">
        <v>1</v>
      </c>
    </row>
    <row r="2649" spans="1:15">
      <c r="A2649" s="1246" t="s">
        <v>1490</v>
      </c>
      <c r="B2649" s="1246" t="s">
        <v>427</v>
      </c>
      <c r="C2649" s="1247">
        <v>0.3</v>
      </c>
      <c r="F2649" s="1248">
        <v>1</v>
      </c>
      <c r="G2649" s="1248">
        <v>1</v>
      </c>
      <c r="H2649" s="1249">
        <v>1</v>
      </c>
      <c r="I2649" s="1246" t="s">
        <v>1491</v>
      </c>
      <c r="J2649" s="1246" t="s">
        <v>1456</v>
      </c>
      <c r="K2649" s="1284" t="str">
        <f t="shared" si="41"/>
        <v>33</v>
      </c>
      <c r="L2649" s="1246" t="s">
        <v>1519</v>
      </c>
      <c r="M2649" s="1250">
        <v>2</v>
      </c>
      <c r="N2649" s="1251">
        <v>18</v>
      </c>
      <c r="O2649" s="1252">
        <v>18</v>
      </c>
    </row>
    <row r="2650" spans="1:15">
      <c r="A2650" s="1246" t="s">
        <v>1490</v>
      </c>
      <c r="B2650" s="1246" t="s">
        <v>427</v>
      </c>
      <c r="C2650" s="1247">
        <v>0.3</v>
      </c>
      <c r="E2650" s="1246" t="s">
        <v>370</v>
      </c>
      <c r="F2650" s="1248">
        <v>1</v>
      </c>
      <c r="G2650" s="1248">
        <v>1</v>
      </c>
      <c r="H2650" s="1249">
        <v>1</v>
      </c>
      <c r="I2650" s="1246" t="s">
        <v>1491</v>
      </c>
      <c r="J2650" s="1246" t="s">
        <v>1456</v>
      </c>
      <c r="K2650" s="1284" t="str">
        <f t="shared" si="41"/>
        <v>33</v>
      </c>
      <c r="L2650" s="1246" t="s">
        <v>1519</v>
      </c>
      <c r="M2650" s="1250">
        <v>2</v>
      </c>
      <c r="N2650" s="1251">
        <v>1</v>
      </c>
      <c r="O2650" s="1252">
        <v>1</v>
      </c>
    </row>
    <row r="2651" spans="1:15">
      <c r="A2651" s="1246" t="s">
        <v>1490</v>
      </c>
      <c r="B2651" s="1246" t="s">
        <v>427</v>
      </c>
      <c r="C2651" s="1247">
        <v>0.3</v>
      </c>
      <c r="F2651" s="1248">
        <v>1</v>
      </c>
      <c r="G2651" s="1248">
        <v>1</v>
      </c>
      <c r="H2651" s="1249">
        <v>1</v>
      </c>
      <c r="I2651" s="1246" t="s">
        <v>1491</v>
      </c>
      <c r="J2651" s="1246" t="s">
        <v>1455</v>
      </c>
      <c r="K2651" s="1284" t="str">
        <f t="shared" si="41"/>
        <v>32</v>
      </c>
      <c r="L2651" s="1246" t="s">
        <v>1522</v>
      </c>
      <c r="M2651" s="1250">
        <v>3</v>
      </c>
      <c r="N2651" s="1251">
        <v>5</v>
      </c>
      <c r="O2651" s="1252">
        <v>5</v>
      </c>
    </row>
    <row r="2652" spans="1:15">
      <c r="A2652" s="1246" t="s">
        <v>1490</v>
      </c>
      <c r="B2652" s="1246" t="s">
        <v>427</v>
      </c>
      <c r="C2652" s="1247">
        <v>0.3</v>
      </c>
      <c r="F2652" s="1248">
        <v>1</v>
      </c>
      <c r="G2652" s="1248">
        <v>1</v>
      </c>
      <c r="H2652" s="1249">
        <v>1</v>
      </c>
      <c r="I2652" s="1246" t="s">
        <v>1491</v>
      </c>
      <c r="J2652" s="1246" t="s">
        <v>1454</v>
      </c>
      <c r="K2652" s="1284" t="str">
        <f t="shared" si="41"/>
        <v>31</v>
      </c>
      <c r="L2652" s="1246" t="s">
        <v>1523</v>
      </c>
      <c r="M2652" s="1250">
        <v>3</v>
      </c>
      <c r="N2652" s="1251">
        <v>66</v>
      </c>
      <c r="O2652" s="1252">
        <v>66</v>
      </c>
    </row>
    <row r="2653" spans="1:15">
      <c r="A2653" s="1246" t="s">
        <v>1490</v>
      </c>
      <c r="B2653" s="1246" t="s">
        <v>427</v>
      </c>
      <c r="C2653" s="1247">
        <v>0.3</v>
      </c>
      <c r="E2653" s="1246" t="s">
        <v>370</v>
      </c>
      <c r="F2653" s="1248">
        <v>1</v>
      </c>
      <c r="G2653" s="1248">
        <v>1</v>
      </c>
      <c r="H2653" s="1249">
        <v>1</v>
      </c>
      <c r="I2653" s="1246" t="s">
        <v>1491</v>
      </c>
      <c r="J2653" s="1246" t="s">
        <v>1454</v>
      </c>
      <c r="K2653" s="1284" t="str">
        <f t="shared" si="41"/>
        <v>31</v>
      </c>
      <c r="L2653" s="1246" t="s">
        <v>1523</v>
      </c>
      <c r="M2653" s="1250">
        <v>3</v>
      </c>
      <c r="N2653" s="1251">
        <v>2</v>
      </c>
      <c r="O2653" s="1252">
        <v>2</v>
      </c>
    </row>
    <row r="2654" spans="1:15">
      <c r="A2654" s="1246" t="s">
        <v>1490</v>
      </c>
      <c r="B2654" s="1246" t="s">
        <v>427</v>
      </c>
      <c r="C2654" s="1247">
        <v>0.3</v>
      </c>
      <c r="F2654" s="1248">
        <v>1</v>
      </c>
      <c r="G2654" s="1248">
        <v>1</v>
      </c>
      <c r="H2654" s="1249">
        <v>1</v>
      </c>
      <c r="I2654" s="1246" t="s">
        <v>1491</v>
      </c>
      <c r="J2654" s="1246" t="s">
        <v>1458</v>
      </c>
      <c r="K2654" s="1284" t="str">
        <f t="shared" si="41"/>
        <v>36</v>
      </c>
      <c r="L2654" s="1246" t="s">
        <v>1524</v>
      </c>
      <c r="M2654" s="1250">
        <v>3</v>
      </c>
      <c r="N2654" s="1251">
        <v>1</v>
      </c>
      <c r="O2654" s="1252">
        <v>1</v>
      </c>
    </row>
    <row r="2655" spans="1:15">
      <c r="A2655" s="1246" t="s">
        <v>1490</v>
      </c>
      <c r="B2655" s="1246" t="s">
        <v>427</v>
      </c>
      <c r="C2655" s="1247">
        <v>0.3</v>
      </c>
      <c r="F2655" s="1248">
        <v>1</v>
      </c>
      <c r="G2655" s="1248">
        <v>1</v>
      </c>
      <c r="H2655" s="1249">
        <v>1</v>
      </c>
      <c r="I2655" s="1246" t="s">
        <v>1491</v>
      </c>
      <c r="J2655" s="1246" t="s">
        <v>1399</v>
      </c>
      <c r="K2655" s="1284" t="str">
        <f t="shared" si="41"/>
        <v>30</v>
      </c>
      <c r="L2655" s="1246" t="s">
        <v>1525</v>
      </c>
      <c r="M2655" s="1250">
        <v>3</v>
      </c>
      <c r="N2655" s="1251">
        <v>2</v>
      </c>
      <c r="O2655" s="1252">
        <v>2</v>
      </c>
    </row>
    <row r="2656" spans="1:15">
      <c r="A2656" s="1246" t="s">
        <v>1490</v>
      </c>
      <c r="B2656" s="1246" t="s">
        <v>427</v>
      </c>
      <c r="C2656" s="1247">
        <v>0.3</v>
      </c>
      <c r="F2656" s="1248">
        <v>1</v>
      </c>
      <c r="G2656" s="1248">
        <v>1</v>
      </c>
      <c r="H2656" s="1249">
        <v>1</v>
      </c>
      <c r="I2656" s="1246" t="s">
        <v>1491</v>
      </c>
      <c r="J2656" s="1246" t="s">
        <v>1399</v>
      </c>
      <c r="K2656" s="1284" t="str">
        <f t="shared" si="41"/>
        <v>30</v>
      </c>
      <c r="L2656" s="1246" t="s">
        <v>1526</v>
      </c>
      <c r="M2656" s="1250">
        <v>3</v>
      </c>
      <c r="N2656" s="1251">
        <v>1</v>
      </c>
      <c r="O2656" s="1252">
        <v>1</v>
      </c>
    </row>
    <row r="2657" spans="1:15">
      <c r="A2657" s="1246" t="s">
        <v>1490</v>
      </c>
      <c r="B2657" s="1246" t="s">
        <v>427</v>
      </c>
      <c r="C2657" s="1247">
        <v>0.3</v>
      </c>
      <c r="F2657" s="1248">
        <v>1</v>
      </c>
      <c r="G2657" s="1248">
        <v>1</v>
      </c>
      <c r="H2657" s="1249">
        <v>1</v>
      </c>
      <c r="I2657" s="1246" t="s">
        <v>1491</v>
      </c>
      <c r="J2657" s="1246" t="s">
        <v>1457</v>
      </c>
      <c r="K2657" s="1284" t="str">
        <f t="shared" si="41"/>
        <v>35</v>
      </c>
      <c r="L2657" s="1246" t="s">
        <v>1527</v>
      </c>
      <c r="M2657" s="1250">
        <v>3</v>
      </c>
      <c r="N2657" s="1251">
        <v>14</v>
      </c>
      <c r="O2657" s="1252">
        <v>14</v>
      </c>
    </row>
    <row r="2658" spans="1:15">
      <c r="A2658" s="1246" t="s">
        <v>1490</v>
      </c>
      <c r="B2658" s="1246" t="s">
        <v>427</v>
      </c>
      <c r="C2658" s="1247">
        <v>0.3</v>
      </c>
      <c r="F2658" s="1248">
        <v>1</v>
      </c>
      <c r="G2658" s="1248">
        <v>1</v>
      </c>
      <c r="H2658" s="1249">
        <v>1</v>
      </c>
      <c r="I2658" s="1246" t="s">
        <v>1491</v>
      </c>
      <c r="J2658" s="1246" t="s">
        <v>1459</v>
      </c>
      <c r="K2658" s="1284" t="str">
        <f t="shared" si="41"/>
        <v>3A</v>
      </c>
      <c r="L2658" s="1246" t="s">
        <v>1492</v>
      </c>
      <c r="M2658" s="1250">
        <v>3</v>
      </c>
      <c r="N2658" s="1251">
        <v>1</v>
      </c>
      <c r="O2658" s="1252">
        <v>1</v>
      </c>
    </row>
    <row r="2659" spans="1:15">
      <c r="A2659" s="1246" t="s">
        <v>1490</v>
      </c>
      <c r="B2659" s="1246" t="s">
        <v>427</v>
      </c>
      <c r="C2659" s="1247">
        <v>0.3</v>
      </c>
      <c r="F2659" s="1248">
        <v>1</v>
      </c>
      <c r="G2659" s="1248">
        <v>1</v>
      </c>
      <c r="H2659" s="1249">
        <v>1</v>
      </c>
      <c r="I2659" s="1246" t="s">
        <v>1491</v>
      </c>
      <c r="J2659" s="1246" t="s">
        <v>1399</v>
      </c>
      <c r="K2659" s="1284" t="str">
        <f t="shared" si="41"/>
        <v>30</v>
      </c>
      <c r="L2659" s="1246" t="s">
        <v>1528</v>
      </c>
      <c r="M2659" s="1250">
        <v>3</v>
      </c>
      <c r="N2659" s="1251">
        <v>6</v>
      </c>
      <c r="O2659" s="1252">
        <v>6</v>
      </c>
    </row>
    <row r="2660" spans="1:15">
      <c r="A2660" s="1246" t="s">
        <v>1490</v>
      </c>
      <c r="B2660" s="1246" t="s">
        <v>427</v>
      </c>
      <c r="C2660" s="1247">
        <v>0.3</v>
      </c>
      <c r="E2660" s="1246" t="s">
        <v>370</v>
      </c>
      <c r="F2660" s="1248">
        <v>1</v>
      </c>
      <c r="G2660" s="1248">
        <v>1</v>
      </c>
      <c r="H2660" s="1249">
        <v>1</v>
      </c>
      <c r="I2660" s="1246" t="s">
        <v>1491</v>
      </c>
      <c r="J2660" s="1246" t="s">
        <v>1399</v>
      </c>
      <c r="K2660" s="1284" t="str">
        <f t="shared" si="41"/>
        <v>30</v>
      </c>
      <c r="L2660" s="1246" t="s">
        <v>1528</v>
      </c>
      <c r="M2660" s="1250">
        <v>3</v>
      </c>
      <c r="N2660" s="1251">
        <v>1</v>
      </c>
      <c r="O2660" s="1252">
        <v>1</v>
      </c>
    </row>
    <row r="2661" spans="1:15">
      <c r="A2661" s="1246" t="s">
        <v>1493</v>
      </c>
      <c r="B2661" s="1246" t="s">
        <v>427</v>
      </c>
      <c r="C2661" s="1247">
        <v>0.3</v>
      </c>
      <c r="E2661" s="1246" t="s">
        <v>376</v>
      </c>
      <c r="F2661" s="1248">
        <v>1</v>
      </c>
      <c r="G2661" s="1248">
        <v>1</v>
      </c>
      <c r="H2661" s="1249">
        <v>1</v>
      </c>
      <c r="I2661" s="1246" t="s">
        <v>1491</v>
      </c>
      <c r="J2661" s="1246" t="s">
        <v>1462</v>
      </c>
      <c r="K2661" s="1284" t="str">
        <f t="shared" si="41"/>
        <v>71</v>
      </c>
      <c r="L2661" s="1246" t="s">
        <v>1496</v>
      </c>
      <c r="M2661" s="1250">
        <v>9</v>
      </c>
      <c r="N2661" s="1251">
        <v>1</v>
      </c>
      <c r="O2661" s="1252">
        <v>1</v>
      </c>
    </row>
    <row r="2662" spans="1:15">
      <c r="A2662" s="1246" t="s">
        <v>1490</v>
      </c>
      <c r="B2662" s="1246" t="s">
        <v>427</v>
      </c>
      <c r="C2662" s="1247">
        <v>0.3</v>
      </c>
      <c r="F2662" s="1248">
        <v>2</v>
      </c>
      <c r="G2662" s="1248">
        <v>2</v>
      </c>
      <c r="H2662" s="1249">
        <v>1</v>
      </c>
      <c r="I2662" s="1246" t="s">
        <v>1491</v>
      </c>
      <c r="J2662" s="1246" t="s">
        <v>1454</v>
      </c>
      <c r="K2662" s="1284" t="str">
        <f t="shared" si="41"/>
        <v>31</v>
      </c>
      <c r="L2662" s="1246" t="s">
        <v>1506</v>
      </c>
      <c r="M2662" s="1250">
        <v>1</v>
      </c>
      <c r="N2662" s="1251">
        <v>6</v>
      </c>
      <c r="O2662" s="1252">
        <v>3</v>
      </c>
    </row>
    <row r="2663" spans="1:15">
      <c r="A2663" s="1246" t="s">
        <v>1490</v>
      </c>
      <c r="B2663" s="1246" t="s">
        <v>427</v>
      </c>
      <c r="C2663" s="1247">
        <v>0.3</v>
      </c>
      <c r="E2663" s="1246" t="s">
        <v>370</v>
      </c>
      <c r="F2663" s="1248">
        <v>2</v>
      </c>
      <c r="G2663" s="1248">
        <v>2</v>
      </c>
      <c r="H2663" s="1249">
        <v>1</v>
      </c>
      <c r="I2663" s="1246" t="s">
        <v>1491</v>
      </c>
      <c r="J2663" s="1246" t="s">
        <v>1454</v>
      </c>
      <c r="K2663" s="1284" t="str">
        <f t="shared" si="41"/>
        <v>31</v>
      </c>
      <c r="L2663" s="1246" t="s">
        <v>1506</v>
      </c>
      <c r="M2663" s="1250">
        <v>1</v>
      </c>
      <c r="N2663" s="1251">
        <v>2</v>
      </c>
      <c r="O2663" s="1252">
        <v>1</v>
      </c>
    </row>
    <row r="2664" spans="1:15">
      <c r="A2664" s="1246" t="s">
        <v>1490</v>
      </c>
      <c r="B2664" s="1246" t="s">
        <v>427</v>
      </c>
      <c r="C2664" s="1247">
        <v>0.3</v>
      </c>
      <c r="F2664" s="1248">
        <v>2</v>
      </c>
      <c r="G2664" s="1248">
        <v>2</v>
      </c>
      <c r="H2664" s="1249">
        <v>1</v>
      </c>
      <c r="I2664" s="1246" t="s">
        <v>1491</v>
      </c>
      <c r="J2664" s="1246" t="s">
        <v>1454</v>
      </c>
      <c r="K2664" s="1284" t="str">
        <f t="shared" si="41"/>
        <v>31</v>
      </c>
      <c r="L2664" s="1246" t="s">
        <v>1500</v>
      </c>
      <c r="M2664" s="1250">
        <v>2</v>
      </c>
      <c r="N2664" s="1251">
        <v>4</v>
      </c>
      <c r="O2664" s="1252">
        <v>2</v>
      </c>
    </row>
    <row r="2665" spans="1:15">
      <c r="A2665" s="1246" t="s">
        <v>1490</v>
      </c>
      <c r="B2665" s="1246" t="s">
        <v>427</v>
      </c>
      <c r="C2665" s="1247">
        <v>0.3</v>
      </c>
      <c r="F2665" s="1248">
        <v>2</v>
      </c>
      <c r="G2665" s="1248">
        <v>2</v>
      </c>
      <c r="H2665" s="1249">
        <v>1</v>
      </c>
      <c r="I2665" s="1246" t="s">
        <v>1491</v>
      </c>
      <c r="J2665" s="1246" t="s">
        <v>1456</v>
      </c>
      <c r="K2665" s="1284" t="str">
        <f t="shared" si="41"/>
        <v>33</v>
      </c>
      <c r="L2665" s="1246" t="s">
        <v>1519</v>
      </c>
      <c r="M2665" s="1250">
        <v>2</v>
      </c>
      <c r="N2665" s="1251">
        <v>2</v>
      </c>
      <c r="O2665" s="1252">
        <v>1</v>
      </c>
    </row>
    <row r="2666" spans="1:15">
      <c r="A2666" s="1246" t="s">
        <v>1490</v>
      </c>
      <c r="B2666" s="1246" t="s">
        <v>427</v>
      </c>
      <c r="C2666" s="1247">
        <v>0.3</v>
      </c>
      <c r="E2666" s="1246" t="s">
        <v>370</v>
      </c>
      <c r="F2666" s="1248">
        <v>2</v>
      </c>
      <c r="G2666" s="1248">
        <v>2</v>
      </c>
      <c r="H2666" s="1249">
        <v>1</v>
      </c>
      <c r="I2666" s="1246" t="s">
        <v>1491</v>
      </c>
      <c r="J2666" s="1246" t="s">
        <v>1456</v>
      </c>
      <c r="K2666" s="1284" t="str">
        <f t="shared" si="41"/>
        <v>33</v>
      </c>
      <c r="L2666" s="1246" t="s">
        <v>1519</v>
      </c>
      <c r="M2666" s="1250">
        <v>2</v>
      </c>
      <c r="N2666" s="1251">
        <v>2</v>
      </c>
      <c r="O2666" s="1252">
        <v>1</v>
      </c>
    </row>
    <row r="2667" spans="1:15">
      <c r="A2667" s="1246" t="s">
        <v>1490</v>
      </c>
      <c r="B2667" s="1246" t="s">
        <v>427</v>
      </c>
      <c r="C2667" s="1247">
        <v>0.3</v>
      </c>
      <c r="F2667" s="1248">
        <v>3</v>
      </c>
      <c r="G2667" s="1248">
        <v>3</v>
      </c>
      <c r="H2667" s="1249">
        <v>1</v>
      </c>
      <c r="I2667" s="1246" t="s">
        <v>1491</v>
      </c>
      <c r="J2667" s="1246" t="s">
        <v>1456</v>
      </c>
      <c r="K2667" s="1284" t="str">
        <f t="shared" si="41"/>
        <v>33</v>
      </c>
      <c r="L2667" s="1246" t="s">
        <v>1519</v>
      </c>
      <c r="M2667" s="1250">
        <v>2</v>
      </c>
      <c r="N2667" s="1251">
        <v>9</v>
      </c>
      <c r="O2667" s="1252">
        <v>3</v>
      </c>
    </row>
    <row r="2668" spans="1:15">
      <c r="A2668" s="1246" t="s">
        <v>1490</v>
      </c>
      <c r="B2668" s="1246" t="s">
        <v>427</v>
      </c>
      <c r="C2668" s="1247">
        <v>0.32</v>
      </c>
      <c r="F2668" s="1248">
        <v>1</v>
      </c>
      <c r="G2668" s="1248">
        <v>1</v>
      </c>
      <c r="H2668" s="1249">
        <v>1</v>
      </c>
      <c r="I2668" s="1246" t="s">
        <v>1491</v>
      </c>
      <c r="J2668" s="1246" t="s">
        <v>1454</v>
      </c>
      <c r="K2668" s="1284" t="str">
        <f t="shared" si="41"/>
        <v>31</v>
      </c>
      <c r="L2668" s="1246" t="s">
        <v>1506</v>
      </c>
      <c r="M2668" s="1250">
        <v>1</v>
      </c>
      <c r="N2668" s="1251">
        <v>2</v>
      </c>
      <c r="O2668" s="1252">
        <v>2</v>
      </c>
    </row>
    <row r="2669" spans="1:15">
      <c r="A2669" s="1246" t="s">
        <v>1490</v>
      </c>
      <c r="B2669" s="1246" t="s">
        <v>427</v>
      </c>
      <c r="C2669" s="1247">
        <v>0.32</v>
      </c>
      <c r="F2669" s="1248">
        <v>1</v>
      </c>
      <c r="G2669" s="1248">
        <v>1</v>
      </c>
      <c r="H2669" s="1249">
        <v>1</v>
      </c>
      <c r="I2669" s="1246" t="s">
        <v>1491</v>
      </c>
      <c r="J2669" s="1246" t="s">
        <v>1454</v>
      </c>
      <c r="K2669" s="1284" t="str">
        <f t="shared" si="41"/>
        <v>31</v>
      </c>
      <c r="L2669" s="1246" t="s">
        <v>1500</v>
      </c>
      <c r="M2669" s="1250">
        <v>2</v>
      </c>
      <c r="N2669" s="1251">
        <v>1</v>
      </c>
      <c r="O2669" s="1252">
        <v>1</v>
      </c>
    </row>
    <row r="2670" spans="1:15">
      <c r="A2670" s="1246" t="s">
        <v>1490</v>
      </c>
      <c r="B2670" s="1246" t="s">
        <v>427</v>
      </c>
      <c r="C2670" s="1247">
        <v>0.32</v>
      </c>
      <c r="F2670" s="1248">
        <v>1</v>
      </c>
      <c r="G2670" s="1248">
        <v>1</v>
      </c>
      <c r="H2670" s="1249">
        <v>1</v>
      </c>
      <c r="I2670" s="1246" t="s">
        <v>1491</v>
      </c>
      <c r="J2670" s="1246" t="s">
        <v>1454</v>
      </c>
      <c r="K2670" s="1284" t="str">
        <f t="shared" si="41"/>
        <v>31</v>
      </c>
      <c r="L2670" s="1246" t="s">
        <v>1523</v>
      </c>
      <c r="M2670" s="1250">
        <v>3</v>
      </c>
      <c r="N2670" s="1251">
        <v>1</v>
      </c>
      <c r="O2670" s="1252">
        <v>1</v>
      </c>
    </row>
    <row r="2671" spans="1:15">
      <c r="A2671" s="1246" t="s">
        <v>1490</v>
      </c>
      <c r="B2671" s="1246" t="s">
        <v>427</v>
      </c>
      <c r="C2671" s="1247">
        <v>0.45</v>
      </c>
      <c r="F2671" s="1248">
        <v>1</v>
      </c>
      <c r="G2671" s="1248">
        <v>1</v>
      </c>
      <c r="H2671" s="1249">
        <v>1</v>
      </c>
      <c r="I2671" s="1246" t="s">
        <v>1491</v>
      </c>
      <c r="J2671" s="1246" t="s">
        <v>1460</v>
      </c>
      <c r="K2671" s="1284" t="str">
        <f t="shared" si="41"/>
        <v>30</v>
      </c>
      <c r="L2671" s="1246" t="s">
        <v>1497</v>
      </c>
      <c r="M2671" s="1250">
        <v>1</v>
      </c>
      <c r="N2671" s="1251">
        <v>650</v>
      </c>
      <c r="O2671" s="1252">
        <v>650</v>
      </c>
    </row>
    <row r="2672" spans="1:15">
      <c r="A2672" s="1246" t="s">
        <v>1490</v>
      </c>
      <c r="B2672" s="1246" t="s">
        <v>427</v>
      </c>
      <c r="C2672" s="1247">
        <v>0.45</v>
      </c>
      <c r="F2672" s="1248">
        <v>1</v>
      </c>
      <c r="G2672" s="1248">
        <v>1</v>
      </c>
      <c r="H2672" s="1249">
        <v>1</v>
      </c>
      <c r="I2672" s="1246" t="s">
        <v>1491</v>
      </c>
      <c r="J2672" s="1246" t="s">
        <v>1461</v>
      </c>
      <c r="K2672" s="1284" t="str">
        <f t="shared" si="41"/>
        <v>3C</v>
      </c>
      <c r="L2672" s="1246" t="s">
        <v>1502</v>
      </c>
      <c r="M2672" s="1250">
        <v>1</v>
      </c>
      <c r="N2672" s="1251">
        <v>428</v>
      </c>
      <c r="O2672" s="1252">
        <v>428</v>
      </c>
    </row>
    <row r="2673" spans="1:15">
      <c r="A2673" s="1246" t="s">
        <v>1490</v>
      </c>
      <c r="B2673" s="1246" t="s">
        <v>427</v>
      </c>
      <c r="C2673" s="1247">
        <v>0.45</v>
      </c>
      <c r="F2673" s="1248">
        <v>1</v>
      </c>
      <c r="G2673" s="1248">
        <v>1</v>
      </c>
      <c r="H2673" s="1249">
        <v>1</v>
      </c>
      <c r="I2673" s="1246" t="s">
        <v>1491</v>
      </c>
      <c r="J2673" s="1246" t="s">
        <v>1461</v>
      </c>
      <c r="K2673" s="1284" t="str">
        <f t="shared" si="41"/>
        <v>3C</v>
      </c>
      <c r="L2673" s="1246" t="s">
        <v>1502</v>
      </c>
      <c r="M2673" s="1250">
        <v>3</v>
      </c>
      <c r="N2673" s="1251">
        <v>730</v>
      </c>
      <c r="O2673" s="1252">
        <v>730</v>
      </c>
    </row>
    <row r="2674" spans="1:15">
      <c r="A2674" s="1246" t="s">
        <v>1490</v>
      </c>
      <c r="B2674" s="1246" t="s">
        <v>427</v>
      </c>
      <c r="C2674" s="1247">
        <v>0.45</v>
      </c>
      <c r="F2674" s="1248">
        <v>1</v>
      </c>
      <c r="G2674" s="1248">
        <v>1</v>
      </c>
      <c r="H2674" s="1249">
        <v>1</v>
      </c>
      <c r="I2674" s="1246" t="s">
        <v>1491</v>
      </c>
      <c r="J2674" s="1246" t="s">
        <v>1460</v>
      </c>
      <c r="K2674" s="1284" t="str">
        <f t="shared" si="41"/>
        <v>30</v>
      </c>
      <c r="L2674" s="1246" t="s">
        <v>1498</v>
      </c>
      <c r="M2674" s="1250">
        <v>2</v>
      </c>
      <c r="N2674" s="1251">
        <v>637</v>
      </c>
      <c r="O2674" s="1252">
        <v>637</v>
      </c>
    </row>
    <row r="2675" spans="1:15">
      <c r="A2675" s="1246" t="s">
        <v>1490</v>
      </c>
      <c r="B2675" s="1246" t="s">
        <v>427</v>
      </c>
      <c r="C2675" s="1247">
        <v>0.45</v>
      </c>
      <c r="F2675" s="1248">
        <v>1</v>
      </c>
      <c r="G2675" s="1248">
        <v>1</v>
      </c>
      <c r="H2675" s="1249">
        <v>1</v>
      </c>
      <c r="I2675" s="1246" t="s">
        <v>1491</v>
      </c>
      <c r="J2675" s="1246" t="s">
        <v>1460</v>
      </c>
      <c r="K2675" s="1284" t="str">
        <f t="shared" si="41"/>
        <v>30</v>
      </c>
      <c r="L2675" s="1246" t="s">
        <v>1499</v>
      </c>
      <c r="M2675" s="1250">
        <v>5</v>
      </c>
      <c r="N2675" s="1251">
        <v>652</v>
      </c>
      <c r="O2675" s="1252">
        <v>652</v>
      </c>
    </row>
    <row r="2676" spans="1:15">
      <c r="A2676" s="1246" t="s">
        <v>1490</v>
      </c>
      <c r="B2676" s="1246" t="s">
        <v>427</v>
      </c>
      <c r="C2676" s="1247">
        <v>0.45</v>
      </c>
      <c r="F2676" s="1248">
        <v>1</v>
      </c>
      <c r="G2676" s="1248">
        <v>1</v>
      </c>
      <c r="H2676" s="1249">
        <v>1</v>
      </c>
      <c r="I2676" s="1246" t="s">
        <v>1491</v>
      </c>
      <c r="J2676" s="1246" t="s">
        <v>1399</v>
      </c>
      <c r="K2676" s="1284" t="str">
        <f t="shared" si="41"/>
        <v>30</v>
      </c>
      <c r="L2676" s="1246" t="s">
        <v>1503</v>
      </c>
      <c r="M2676" s="1250">
        <v>1</v>
      </c>
      <c r="N2676" s="1251">
        <v>18</v>
      </c>
      <c r="O2676" s="1252">
        <v>18</v>
      </c>
    </row>
    <row r="2677" spans="1:15">
      <c r="A2677" s="1246" t="s">
        <v>1490</v>
      </c>
      <c r="B2677" s="1246" t="s">
        <v>427</v>
      </c>
      <c r="C2677" s="1247">
        <v>0.45</v>
      </c>
      <c r="E2677" s="1246" t="s">
        <v>370</v>
      </c>
      <c r="F2677" s="1248">
        <v>1</v>
      </c>
      <c r="G2677" s="1248">
        <v>1</v>
      </c>
      <c r="H2677" s="1249">
        <v>1</v>
      </c>
      <c r="I2677" s="1246" t="s">
        <v>1491</v>
      </c>
      <c r="J2677" s="1246" t="s">
        <v>1399</v>
      </c>
      <c r="K2677" s="1284" t="str">
        <f t="shared" si="41"/>
        <v>30</v>
      </c>
      <c r="L2677" s="1246" t="s">
        <v>1503</v>
      </c>
      <c r="M2677" s="1250">
        <v>1</v>
      </c>
      <c r="N2677" s="1251">
        <v>10</v>
      </c>
      <c r="O2677" s="1252">
        <v>10</v>
      </c>
    </row>
    <row r="2678" spans="1:15">
      <c r="A2678" s="1246" t="s">
        <v>1490</v>
      </c>
      <c r="B2678" s="1246" t="s">
        <v>427</v>
      </c>
      <c r="C2678" s="1247">
        <v>0.45</v>
      </c>
      <c r="F2678" s="1248">
        <v>1</v>
      </c>
      <c r="G2678" s="1248">
        <v>1</v>
      </c>
      <c r="H2678" s="1249">
        <v>1</v>
      </c>
      <c r="I2678" s="1246" t="s">
        <v>1491</v>
      </c>
      <c r="J2678" s="1246" t="s">
        <v>1399</v>
      </c>
      <c r="K2678" s="1284" t="str">
        <f t="shared" si="41"/>
        <v>30</v>
      </c>
      <c r="L2678" s="1246" t="s">
        <v>1504</v>
      </c>
      <c r="M2678" s="1250">
        <v>1</v>
      </c>
      <c r="N2678" s="1251">
        <v>2</v>
      </c>
      <c r="O2678" s="1252">
        <v>2</v>
      </c>
    </row>
    <row r="2679" spans="1:15">
      <c r="A2679" s="1246" t="s">
        <v>1490</v>
      </c>
      <c r="B2679" s="1246" t="s">
        <v>427</v>
      </c>
      <c r="C2679" s="1247">
        <v>0.45</v>
      </c>
      <c r="F2679" s="1248">
        <v>1</v>
      </c>
      <c r="G2679" s="1248">
        <v>1</v>
      </c>
      <c r="H2679" s="1249">
        <v>1</v>
      </c>
      <c r="I2679" s="1246" t="s">
        <v>1491</v>
      </c>
      <c r="J2679" s="1246" t="s">
        <v>1455</v>
      </c>
      <c r="K2679" s="1284" t="str">
        <f t="shared" si="41"/>
        <v>32</v>
      </c>
      <c r="L2679" s="1246" t="s">
        <v>1505</v>
      </c>
      <c r="M2679" s="1250">
        <v>1</v>
      </c>
      <c r="N2679" s="1251">
        <v>819</v>
      </c>
      <c r="O2679" s="1252">
        <v>819</v>
      </c>
    </row>
    <row r="2680" spans="1:15">
      <c r="A2680" s="1246" t="s">
        <v>1490</v>
      </c>
      <c r="B2680" s="1246" t="s">
        <v>427</v>
      </c>
      <c r="C2680" s="1247">
        <v>0.45</v>
      </c>
      <c r="E2680" s="1246" t="s">
        <v>370</v>
      </c>
      <c r="F2680" s="1248">
        <v>1</v>
      </c>
      <c r="G2680" s="1248">
        <v>1</v>
      </c>
      <c r="H2680" s="1249">
        <v>1</v>
      </c>
      <c r="I2680" s="1246" t="s">
        <v>1491</v>
      </c>
      <c r="J2680" s="1246" t="s">
        <v>1455</v>
      </c>
      <c r="K2680" s="1284" t="str">
        <f t="shared" si="41"/>
        <v>32</v>
      </c>
      <c r="L2680" s="1246" t="s">
        <v>1505</v>
      </c>
      <c r="M2680" s="1250">
        <v>1</v>
      </c>
      <c r="N2680" s="1251">
        <v>193</v>
      </c>
      <c r="O2680" s="1252">
        <v>193</v>
      </c>
    </row>
    <row r="2681" spans="1:15">
      <c r="A2681" s="1246" t="s">
        <v>1490</v>
      </c>
      <c r="B2681" s="1246" t="s">
        <v>427</v>
      </c>
      <c r="C2681" s="1247">
        <v>0.45</v>
      </c>
      <c r="F2681" s="1248">
        <v>1</v>
      </c>
      <c r="G2681" s="1248">
        <v>1</v>
      </c>
      <c r="H2681" s="1249">
        <v>1</v>
      </c>
      <c r="I2681" s="1246" t="s">
        <v>1491</v>
      </c>
      <c r="J2681" s="1246" t="s">
        <v>1454</v>
      </c>
      <c r="K2681" s="1284" t="str">
        <f t="shared" si="41"/>
        <v>31</v>
      </c>
      <c r="L2681" s="1246" t="s">
        <v>1506</v>
      </c>
      <c r="M2681" s="1250">
        <v>1</v>
      </c>
      <c r="N2681" s="1251">
        <v>6194</v>
      </c>
      <c r="O2681" s="1252">
        <v>6194</v>
      </c>
    </row>
    <row r="2682" spans="1:15">
      <c r="A2682" s="1246" t="s">
        <v>1490</v>
      </c>
      <c r="B2682" s="1246" t="s">
        <v>427</v>
      </c>
      <c r="C2682" s="1247">
        <v>0.45</v>
      </c>
      <c r="F2682" s="1248">
        <v>1</v>
      </c>
      <c r="G2682" s="1248">
        <v>1</v>
      </c>
      <c r="H2682" s="1249">
        <v>1</v>
      </c>
      <c r="I2682" s="1246" t="s">
        <v>1491</v>
      </c>
      <c r="J2682" s="1246" t="s">
        <v>1455</v>
      </c>
      <c r="K2682" s="1284" t="str">
        <f t="shared" si="41"/>
        <v>32</v>
      </c>
      <c r="L2682" s="1246" t="s">
        <v>1506</v>
      </c>
      <c r="M2682" s="1250">
        <v>1</v>
      </c>
      <c r="N2682" s="1251">
        <v>1</v>
      </c>
      <c r="O2682" s="1252">
        <v>1</v>
      </c>
    </row>
    <row r="2683" spans="1:15">
      <c r="A2683" s="1246" t="s">
        <v>1490</v>
      </c>
      <c r="B2683" s="1246" t="s">
        <v>427</v>
      </c>
      <c r="C2683" s="1247">
        <v>0.45</v>
      </c>
      <c r="F2683" s="1248">
        <v>1</v>
      </c>
      <c r="G2683" s="1248">
        <v>1</v>
      </c>
      <c r="H2683" s="1249">
        <v>1</v>
      </c>
      <c r="I2683" s="1246" t="s">
        <v>1491</v>
      </c>
      <c r="J2683" s="1246" t="s">
        <v>1457</v>
      </c>
      <c r="K2683" s="1284" t="str">
        <f t="shared" si="41"/>
        <v>35</v>
      </c>
      <c r="L2683" s="1246" t="s">
        <v>1506</v>
      </c>
      <c r="M2683" s="1250">
        <v>1</v>
      </c>
      <c r="N2683" s="1251">
        <v>1</v>
      </c>
      <c r="O2683" s="1252">
        <v>1</v>
      </c>
    </row>
    <row r="2684" spans="1:15">
      <c r="A2684" s="1246" t="s">
        <v>1490</v>
      </c>
      <c r="B2684" s="1246" t="s">
        <v>427</v>
      </c>
      <c r="C2684" s="1247">
        <v>0.45</v>
      </c>
      <c r="E2684" s="1246" t="s">
        <v>370</v>
      </c>
      <c r="F2684" s="1248">
        <v>1</v>
      </c>
      <c r="G2684" s="1248">
        <v>1</v>
      </c>
      <c r="H2684" s="1249">
        <v>1</v>
      </c>
      <c r="I2684" s="1246" t="s">
        <v>1491</v>
      </c>
      <c r="J2684" s="1246" t="s">
        <v>1454</v>
      </c>
      <c r="K2684" s="1284" t="str">
        <f t="shared" si="41"/>
        <v>31</v>
      </c>
      <c r="L2684" s="1246" t="s">
        <v>1506</v>
      </c>
      <c r="M2684" s="1250">
        <v>1</v>
      </c>
      <c r="N2684" s="1251">
        <v>2655</v>
      </c>
      <c r="O2684" s="1252">
        <v>2655</v>
      </c>
    </row>
    <row r="2685" spans="1:15">
      <c r="A2685" s="1246" t="s">
        <v>1490</v>
      </c>
      <c r="B2685" s="1246" t="s">
        <v>427</v>
      </c>
      <c r="C2685" s="1247">
        <v>0.45</v>
      </c>
      <c r="F2685" s="1248">
        <v>1</v>
      </c>
      <c r="G2685" s="1248">
        <v>1</v>
      </c>
      <c r="H2685" s="1249">
        <v>1</v>
      </c>
      <c r="I2685" s="1246" t="s">
        <v>1491</v>
      </c>
      <c r="J2685" s="1246" t="s">
        <v>1458</v>
      </c>
      <c r="K2685" s="1284" t="str">
        <f t="shared" si="41"/>
        <v>36</v>
      </c>
      <c r="L2685" s="1246" t="s">
        <v>1507</v>
      </c>
      <c r="M2685" s="1250">
        <v>1</v>
      </c>
      <c r="N2685" s="1251">
        <v>152</v>
      </c>
      <c r="O2685" s="1252">
        <v>152</v>
      </c>
    </row>
    <row r="2686" spans="1:15">
      <c r="A2686" s="1246" t="s">
        <v>1490</v>
      </c>
      <c r="B2686" s="1246" t="s">
        <v>427</v>
      </c>
      <c r="C2686" s="1247">
        <v>0.45</v>
      </c>
      <c r="E2686" s="1246" t="s">
        <v>370</v>
      </c>
      <c r="F2686" s="1248">
        <v>1</v>
      </c>
      <c r="G2686" s="1248">
        <v>1</v>
      </c>
      <c r="H2686" s="1249">
        <v>1</v>
      </c>
      <c r="I2686" s="1246" t="s">
        <v>1491</v>
      </c>
      <c r="J2686" s="1246" t="s">
        <v>1458</v>
      </c>
      <c r="K2686" s="1284" t="str">
        <f t="shared" si="41"/>
        <v>36</v>
      </c>
      <c r="L2686" s="1246" t="s">
        <v>1507</v>
      </c>
      <c r="M2686" s="1250">
        <v>1</v>
      </c>
      <c r="N2686" s="1251">
        <v>47</v>
      </c>
      <c r="O2686" s="1252">
        <v>47</v>
      </c>
    </row>
    <row r="2687" spans="1:15">
      <c r="A2687" s="1246" t="s">
        <v>1490</v>
      </c>
      <c r="B2687" s="1246" t="s">
        <v>427</v>
      </c>
      <c r="C2687" s="1247">
        <v>0.45</v>
      </c>
      <c r="F2687" s="1248">
        <v>1</v>
      </c>
      <c r="G2687" s="1248">
        <v>1</v>
      </c>
      <c r="H2687" s="1249">
        <v>1</v>
      </c>
      <c r="I2687" s="1246" t="s">
        <v>1491</v>
      </c>
      <c r="J2687" s="1246" t="s">
        <v>1399</v>
      </c>
      <c r="K2687" s="1284" t="str">
        <f t="shared" si="41"/>
        <v>30</v>
      </c>
      <c r="L2687" s="1246" t="s">
        <v>1508</v>
      </c>
      <c r="M2687" s="1250">
        <v>1</v>
      </c>
      <c r="N2687" s="1251">
        <v>129</v>
      </c>
      <c r="O2687" s="1252">
        <v>129</v>
      </c>
    </row>
    <row r="2688" spans="1:15">
      <c r="A2688" s="1246" t="s">
        <v>1490</v>
      </c>
      <c r="B2688" s="1246" t="s">
        <v>427</v>
      </c>
      <c r="C2688" s="1247">
        <v>0.45</v>
      </c>
      <c r="E2688" s="1246" t="s">
        <v>370</v>
      </c>
      <c r="F2688" s="1248">
        <v>1</v>
      </c>
      <c r="G2688" s="1248">
        <v>1</v>
      </c>
      <c r="H2688" s="1249">
        <v>1</v>
      </c>
      <c r="I2688" s="1246" t="s">
        <v>1491</v>
      </c>
      <c r="J2688" s="1246" t="s">
        <v>1399</v>
      </c>
      <c r="K2688" s="1284" t="str">
        <f t="shared" si="41"/>
        <v>30</v>
      </c>
      <c r="L2688" s="1246" t="s">
        <v>1508</v>
      </c>
      <c r="M2688" s="1250">
        <v>1</v>
      </c>
      <c r="N2688" s="1251">
        <v>40</v>
      </c>
      <c r="O2688" s="1252">
        <v>40</v>
      </c>
    </row>
    <row r="2689" spans="1:15">
      <c r="A2689" s="1246" t="s">
        <v>1490</v>
      </c>
      <c r="B2689" s="1246" t="s">
        <v>427</v>
      </c>
      <c r="C2689" s="1247">
        <v>0.45</v>
      </c>
      <c r="F2689" s="1248">
        <v>1</v>
      </c>
      <c r="G2689" s="1248">
        <v>1</v>
      </c>
      <c r="H2689" s="1249">
        <v>1</v>
      </c>
      <c r="I2689" s="1246" t="s">
        <v>1491</v>
      </c>
      <c r="J2689" s="1246" t="s">
        <v>1399</v>
      </c>
      <c r="K2689" s="1284" t="str">
        <f t="shared" si="41"/>
        <v>30</v>
      </c>
      <c r="L2689" s="1246" t="s">
        <v>1509</v>
      </c>
      <c r="M2689" s="1250">
        <v>1</v>
      </c>
      <c r="N2689" s="1251">
        <v>55</v>
      </c>
      <c r="O2689" s="1252">
        <v>55</v>
      </c>
    </row>
    <row r="2690" spans="1:15">
      <c r="A2690" s="1246" t="s">
        <v>1490</v>
      </c>
      <c r="B2690" s="1246" t="s">
        <v>427</v>
      </c>
      <c r="C2690" s="1247">
        <v>0.45</v>
      </c>
      <c r="E2690" s="1246" t="s">
        <v>370</v>
      </c>
      <c r="F2690" s="1248">
        <v>1</v>
      </c>
      <c r="G2690" s="1248">
        <v>1</v>
      </c>
      <c r="H2690" s="1249">
        <v>1</v>
      </c>
      <c r="I2690" s="1246" t="s">
        <v>1491</v>
      </c>
      <c r="J2690" s="1246" t="s">
        <v>1399</v>
      </c>
      <c r="K2690" s="1284" t="str">
        <f t="shared" ref="K2690:K2753" si="42">IF(J2690="1B","10", IF(J2690="2B","20",IF(J2690="3B","30",IF(J2690="7B",70,J2690))))</f>
        <v>30</v>
      </c>
      <c r="L2690" s="1246" t="s">
        <v>1509</v>
      </c>
      <c r="M2690" s="1250">
        <v>1</v>
      </c>
      <c r="N2690" s="1251">
        <v>12</v>
      </c>
      <c r="O2690" s="1252">
        <v>12</v>
      </c>
    </row>
    <row r="2691" spans="1:15">
      <c r="A2691" s="1246" t="s">
        <v>1490</v>
      </c>
      <c r="B2691" s="1246" t="s">
        <v>427</v>
      </c>
      <c r="C2691" s="1247">
        <v>0.45</v>
      </c>
      <c r="F2691" s="1248">
        <v>1</v>
      </c>
      <c r="G2691" s="1248">
        <v>1</v>
      </c>
      <c r="H2691" s="1249">
        <v>1</v>
      </c>
      <c r="I2691" s="1246" t="s">
        <v>1491</v>
      </c>
      <c r="J2691" s="1246" t="s">
        <v>1457</v>
      </c>
      <c r="K2691" s="1284" t="str">
        <f t="shared" si="42"/>
        <v>35</v>
      </c>
      <c r="L2691" s="1246" t="s">
        <v>1501</v>
      </c>
      <c r="M2691" s="1250">
        <v>1</v>
      </c>
      <c r="N2691" s="1251">
        <v>1515</v>
      </c>
      <c r="O2691" s="1252">
        <v>1515</v>
      </c>
    </row>
    <row r="2692" spans="1:15">
      <c r="A2692" s="1246" t="s">
        <v>1490</v>
      </c>
      <c r="B2692" s="1246" t="s">
        <v>427</v>
      </c>
      <c r="C2692" s="1247">
        <v>0.45</v>
      </c>
      <c r="E2692" s="1246" t="s">
        <v>370</v>
      </c>
      <c r="F2692" s="1248">
        <v>1</v>
      </c>
      <c r="G2692" s="1248">
        <v>1</v>
      </c>
      <c r="H2692" s="1249">
        <v>1</v>
      </c>
      <c r="I2692" s="1246" t="s">
        <v>1491</v>
      </c>
      <c r="J2692" s="1246" t="s">
        <v>1399</v>
      </c>
      <c r="K2692" s="1284" t="str">
        <f t="shared" si="42"/>
        <v>30</v>
      </c>
      <c r="L2692" s="1246" t="s">
        <v>1510</v>
      </c>
      <c r="M2692" s="1250">
        <v>1</v>
      </c>
      <c r="N2692" s="1251">
        <v>186</v>
      </c>
      <c r="O2692" s="1252">
        <v>186</v>
      </c>
    </row>
    <row r="2693" spans="1:15">
      <c r="A2693" s="1246" t="s">
        <v>1490</v>
      </c>
      <c r="B2693" s="1246" t="s">
        <v>427</v>
      </c>
      <c r="C2693" s="1247">
        <v>0.45</v>
      </c>
      <c r="F2693" s="1248">
        <v>1</v>
      </c>
      <c r="G2693" s="1248">
        <v>1</v>
      </c>
      <c r="H2693" s="1249">
        <v>1</v>
      </c>
      <c r="I2693" s="1246" t="s">
        <v>1491</v>
      </c>
      <c r="J2693" s="1246" t="s">
        <v>1399</v>
      </c>
      <c r="K2693" s="1284" t="str">
        <f t="shared" si="42"/>
        <v>30</v>
      </c>
      <c r="L2693" s="1246" t="s">
        <v>1510</v>
      </c>
      <c r="M2693" s="1250">
        <v>1</v>
      </c>
      <c r="N2693" s="1251">
        <v>794</v>
      </c>
      <c r="O2693" s="1252">
        <v>794</v>
      </c>
    </row>
    <row r="2694" spans="1:15">
      <c r="A2694" s="1246" t="s">
        <v>1490</v>
      </c>
      <c r="B2694" s="1246" t="s">
        <v>427</v>
      </c>
      <c r="C2694" s="1247">
        <v>0.45</v>
      </c>
      <c r="E2694" s="1246" t="s">
        <v>370</v>
      </c>
      <c r="F2694" s="1248">
        <v>1</v>
      </c>
      <c r="G2694" s="1248">
        <v>1</v>
      </c>
      <c r="H2694" s="1249">
        <v>1</v>
      </c>
      <c r="I2694" s="1246" t="s">
        <v>1491</v>
      </c>
      <c r="J2694" s="1246" t="s">
        <v>1399</v>
      </c>
      <c r="K2694" s="1284" t="str">
        <f t="shared" si="42"/>
        <v>30</v>
      </c>
      <c r="L2694" s="1246" t="s">
        <v>1511</v>
      </c>
      <c r="M2694" s="1250">
        <v>2</v>
      </c>
      <c r="N2694" s="1251">
        <v>6</v>
      </c>
      <c r="O2694" s="1252">
        <v>6</v>
      </c>
    </row>
    <row r="2695" spans="1:15">
      <c r="A2695" s="1246" t="s">
        <v>1490</v>
      </c>
      <c r="B2695" s="1246" t="s">
        <v>427</v>
      </c>
      <c r="C2695" s="1247">
        <v>0.45</v>
      </c>
      <c r="F2695" s="1248">
        <v>1</v>
      </c>
      <c r="G2695" s="1248">
        <v>1</v>
      </c>
      <c r="H2695" s="1249">
        <v>1</v>
      </c>
      <c r="I2695" s="1246" t="s">
        <v>1491</v>
      </c>
      <c r="J2695" s="1246" t="s">
        <v>1399</v>
      </c>
      <c r="K2695" s="1284" t="str">
        <f t="shared" si="42"/>
        <v>30</v>
      </c>
      <c r="L2695" s="1246" t="s">
        <v>1511</v>
      </c>
      <c r="M2695" s="1250">
        <v>2</v>
      </c>
      <c r="N2695" s="1251">
        <v>16</v>
      </c>
      <c r="O2695" s="1252">
        <v>16</v>
      </c>
    </row>
    <row r="2696" spans="1:15">
      <c r="A2696" s="1246" t="s">
        <v>1490</v>
      </c>
      <c r="B2696" s="1246" t="s">
        <v>427</v>
      </c>
      <c r="C2696" s="1247">
        <v>0.45</v>
      </c>
      <c r="F2696" s="1248">
        <v>1</v>
      </c>
      <c r="G2696" s="1248">
        <v>1</v>
      </c>
      <c r="H2696" s="1249">
        <v>1</v>
      </c>
      <c r="I2696" s="1246" t="s">
        <v>1491</v>
      </c>
      <c r="J2696" s="1246" t="s">
        <v>1399</v>
      </c>
      <c r="K2696" s="1284" t="str">
        <f t="shared" si="42"/>
        <v>30</v>
      </c>
      <c r="L2696" s="1246" t="s">
        <v>1512</v>
      </c>
      <c r="M2696" s="1250">
        <v>2</v>
      </c>
      <c r="N2696" s="1251">
        <v>2</v>
      </c>
      <c r="O2696" s="1252">
        <v>2</v>
      </c>
    </row>
    <row r="2697" spans="1:15">
      <c r="A2697" s="1246" t="s">
        <v>1490</v>
      </c>
      <c r="B2697" s="1246" t="s">
        <v>427</v>
      </c>
      <c r="C2697" s="1247">
        <v>0.45</v>
      </c>
      <c r="E2697" s="1246" t="s">
        <v>370</v>
      </c>
      <c r="F2697" s="1248">
        <v>1</v>
      </c>
      <c r="G2697" s="1248">
        <v>1</v>
      </c>
      <c r="H2697" s="1249">
        <v>1</v>
      </c>
      <c r="I2697" s="1246" t="s">
        <v>1491</v>
      </c>
      <c r="J2697" s="1246" t="s">
        <v>1399</v>
      </c>
      <c r="K2697" s="1284" t="str">
        <f t="shared" si="42"/>
        <v>30</v>
      </c>
      <c r="L2697" s="1246" t="s">
        <v>1512</v>
      </c>
      <c r="M2697" s="1250">
        <v>2</v>
      </c>
      <c r="N2697" s="1251">
        <v>1</v>
      </c>
      <c r="O2697" s="1252">
        <v>1</v>
      </c>
    </row>
    <row r="2698" spans="1:15">
      <c r="A2698" s="1246" t="s">
        <v>1490</v>
      </c>
      <c r="B2698" s="1246" t="s">
        <v>427</v>
      </c>
      <c r="C2698" s="1247">
        <v>0.45</v>
      </c>
      <c r="F2698" s="1248">
        <v>1</v>
      </c>
      <c r="G2698" s="1248">
        <v>1</v>
      </c>
      <c r="H2698" s="1249">
        <v>1</v>
      </c>
      <c r="I2698" s="1246" t="s">
        <v>1491</v>
      </c>
      <c r="J2698" s="1246" t="s">
        <v>1455</v>
      </c>
      <c r="K2698" s="1284" t="str">
        <f t="shared" si="42"/>
        <v>32</v>
      </c>
      <c r="L2698" s="1246" t="s">
        <v>1513</v>
      </c>
      <c r="M2698" s="1250">
        <v>2</v>
      </c>
      <c r="N2698" s="1251">
        <v>871</v>
      </c>
      <c r="O2698" s="1252">
        <v>871</v>
      </c>
    </row>
    <row r="2699" spans="1:15">
      <c r="A2699" s="1246" t="s">
        <v>1490</v>
      </c>
      <c r="B2699" s="1246" t="s">
        <v>427</v>
      </c>
      <c r="C2699" s="1247">
        <v>0.45</v>
      </c>
      <c r="E2699" s="1246" t="s">
        <v>370</v>
      </c>
      <c r="F2699" s="1248">
        <v>1</v>
      </c>
      <c r="G2699" s="1248">
        <v>1</v>
      </c>
      <c r="H2699" s="1249">
        <v>1</v>
      </c>
      <c r="I2699" s="1246" t="s">
        <v>1491</v>
      </c>
      <c r="J2699" s="1246" t="s">
        <v>1455</v>
      </c>
      <c r="K2699" s="1284" t="str">
        <f t="shared" si="42"/>
        <v>32</v>
      </c>
      <c r="L2699" s="1246" t="s">
        <v>1513</v>
      </c>
      <c r="M2699" s="1250">
        <v>2</v>
      </c>
      <c r="N2699" s="1251">
        <v>169</v>
      </c>
      <c r="O2699" s="1252">
        <v>169</v>
      </c>
    </row>
    <row r="2700" spans="1:15">
      <c r="A2700" s="1246" t="s">
        <v>1490</v>
      </c>
      <c r="B2700" s="1246" t="s">
        <v>427</v>
      </c>
      <c r="C2700" s="1247">
        <v>0.45</v>
      </c>
      <c r="F2700" s="1248">
        <v>1</v>
      </c>
      <c r="G2700" s="1248">
        <v>1</v>
      </c>
      <c r="H2700" s="1249">
        <v>1</v>
      </c>
      <c r="I2700" s="1246" t="s">
        <v>1491</v>
      </c>
      <c r="J2700" s="1246" t="s">
        <v>1454</v>
      </c>
      <c r="K2700" s="1284" t="str">
        <f t="shared" si="42"/>
        <v>31</v>
      </c>
      <c r="L2700" s="1246" t="s">
        <v>1500</v>
      </c>
      <c r="M2700" s="1250">
        <v>2</v>
      </c>
      <c r="N2700" s="1251">
        <v>6416</v>
      </c>
      <c r="O2700" s="1252">
        <v>6416</v>
      </c>
    </row>
    <row r="2701" spans="1:15">
      <c r="A2701" s="1246" t="s">
        <v>1490</v>
      </c>
      <c r="B2701" s="1246" t="s">
        <v>427</v>
      </c>
      <c r="C2701" s="1247">
        <v>0.45</v>
      </c>
      <c r="E2701" s="1246" t="s">
        <v>370</v>
      </c>
      <c r="F2701" s="1248">
        <v>1</v>
      </c>
      <c r="G2701" s="1248">
        <v>1</v>
      </c>
      <c r="H2701" s="1249">
        <v>1</v>
      </c>
      <c r="I2701" s="1246" t="s">
        <v>1491</v>
      </c>
      <c r="J2701" s="1246" t="s">
        <v>1454</v>
      </c>
      <c r="K2701" s="1284" t="str">
        <f t="shared" si="42"/>
        <v>31</v>
      </c>
      <c r="L2701" s="1246" t="s">
        <v>1500</v>
      </c>
      <c r="M2701" s="1250">
        <v>2</v>
      </c>
      <c r="N2701" s="1251">
        <v>1562</v>
      </c>
      <c r="O2701" s="1252">
        <v>1562</v>
      </c>
    </row>
    <row r="2702" spans="1:15">
      <c r="A2702" s="1246" t="s">
        <v>1490</v>
      </c>
      <c r="B2702" s="1246" t="s">
        <v>427</v>
      </c>
      <c r="C2702" s="1247">
        <v>0.45</v>
      </c>
      <c r="F2702" s="1248">
        <v>1</v>
      </c>
      <c r="G2702" s="1248">
        <v>1</v>
      </c>
      <c r="H2702" s="1249">
        <v>1</v>
      </c>
      <c r="I2702" s="1246" t="s">
        <v>1491</v>
      </c>
      <c r="J2702" s="1246" t="s">
        <v>1458</v>
      </c>
      <c r="K2702" s="1284" t="str">
        <f t="shared" si="42"/>
        <v>36</v>
      </c>
      <c r="L2702" s="1246" t="s">
        <v>1514</v>
      </c>
      <c r="M2702" s="1250">
        <v>2</v>
      </c>
      <c r="N2702" s="1251">
        <v>157</v>
      </c>
      <c r="O2702" s="1252">
        <v>157</v>
      </c>
    </row>
    <row r="2703" spans="1:15">
      <c r="A2703" s="1246" t="s">
        <v>1490</v>
      </c>
      <c r="B2703" s="1246" t="s">
        <v>427</v>
      </c>
      <c r="C2703" s="1247">
        <v>0.45</v>
      </c>
      <c r="E2703" s="1246" t="s">
        <v>370</v>
      </c>
      <c r="F2703" s="1248">
        <v>1</v>
      </c>
      <c r="G2703" s="1248">
        <v>1</v>
      </c>
      <c r="H2703" s="1249">
        <v>1</v>
      </c>
      <c r="I2703" s="1246" t="s">
        <v>1491</v>
      </c>
      <c r="J2703" s="1246" t="s">
        <v>1458</v>
      </c>
      <c r="K2703" s="1284" t="str">
        <f t="shared" si="42"/>
        <v>36</v>
      </c>
      <c r="L2703" s="1246" t="s">
        <v>1514</v>
      </c>
      <c r="M2703" s="1250">
        <v>2</v>
      </c>
      <c r="N2703" s="1251">
        <v>74</v>
      </c>
      <c r="O2703" s="1252">
        <v>74</v>
      </c>
    </row>
    <row r="2704" spans="1:15">
      <c r="A2704" s="1246" t="s">
        <v>1490</v>
      </c>
      <c r="B2704" s="1246" t="s">
        <v>427</v>
      </c>
      <c r="C2704" s="1247">
        <v>0.45</v>
      </c>
      <c r="F2704" s="1248">
        <v>1</v>
      </c>
      <c r="G2704" s="1248">
        <v>1</v>
      </c>
      <c r="H2704" s="1249">
        <v>1</v>
      </c>
      <c r="I2704" s="1246" t="s">
        <v>1491</v>
      </c>
      <c r="J2704" s="1246" t="s">
        <v>1399</v>
      </c>
      <c r="K2704" s="1284" t="str">
        <f t="shared" si="42"/>
        <v>30</v>
      </c>
      <c r="L2704" s="1246" t="s">
        <v>1515</v>
      </c>
      <c r="M2704" s="1250">
        <v>2</v>
      </c>
      <c r="N2704" s="1251">
        <v>165</v>
      </c>
      <c r="O2704" s="1252">
        <v>165</v>
      </c>
    </row>
    <row r="2705" spans="1:15">
      <c r="A2705" s="1246" t="s">
        <v>1490</v>
      </c>
      <c r="B2705" s="1246" t="s">
        <v>427</v>
      </c>
      <c r="C2705" s="1247">
        <v>0.45</v>
      </c>
      <c r="E2705" s="1246" t="s">
        <v>370</v>
      </c>
      <c r="F2705" s="1248">
        <v>1</v>
      </c>
      <c r="G2705" s="1248">
        <v>1</v>
      </c>
      <c r="H2705" s="1249">
        <v>1</v>
      </c>
      <c r="I2705" s="1246" t="s">
        <v>1491</v>
      </c>
      <c r="J2705" s="1246" t="s">
        <v>1399</v>
      </c>
      <c r="K2705" s="1284" t="str">
        <f t="shared" si="42"/>
        <v>30</v>
      </c>
      <c r="L2705" s="1246" t="s">
        <v>1515</v>
      </c>
      <c r="M2705" s="1250">
        <v>2</v>
      </c>
      <c r="N2705" s="1251">
        <v>69</v>
      </c>
      <c r="O2705" s="1252">
        <v>69</v>
      </c>
    </row>
    <row r="2706" spans="1:15">
      <c r="A2706" s="1246" t="s">
        <v>1490</v>
      </c>
      <c r="B2706" s="1246" t="s">
        <v>427</v>
      </c>
      <c r="C2706" s="1247">
        <v>0.45</v>
      </c>
      <c r="F2706" s="1248">
        <v>1</v>
      </c>
      <c r="G2706" s="1248">
        <v>1</v>
      </c>
      <c r="H2706" s="1249">
        <v>1</v>
      </c>
      <c r="I2706" s="1246" t="s">
        <v>1491</v>
      </c>
      <c r="J2706" s="1246" t="s">
        <v>1399</v>
      </c>
      <c r="K2706" s="1284" t="str">
        <f t="shared" si="42"/>
        <v>30</v>
      </c>
      <c r="L2706" s="1246" t="s">
        <v>1516</v>
      </c>
      <c r="M2706" s="1250">
        <v>2</v>
      </c>
      <c r="N2706" s="1251">
        <v>62</v>
      </c>
      <c r="O2706" s="1252">
        <v>62</v>
      </c>
    </row>
    <row r="2707" spans="1:15">
      <c r="A2707" s="1246" t="s">
        <v>1490</v>
      </c>
      <c r="B2707" s="1246" t="s">
        <v>427</v>
      </c>
      <c r="C2707" s="1247">
        <v>0.45</v>
      </c>
      <c r="E2707" s="1246" t="s">
        <v>370</v>
      </c>
      <c r="F2707" s="1248">
        <v>1</v>
      </c>
      <c r="G2707" s="1248">
        <v>1</v>
      </c>
      <c r="H2707" s="1249">
        <v>1</v>
      </c>
      <c r="I2707" s="1246" t="s">
        <v>1491</v>
      </c>
      <c r="J2707" s="1246" t="s">
        <v>1399</v>
      </c>
      <c r="K2707" s="1284" t="str">
        <f t="shared" si="42"/>
        <v>30</v>
      </c>
      <c r="L2707" s="1246" t="s">
        <v>1516</v>
      </c>
      <c r="M2707" s="1250">
        <v>2</v>
      </c>
      <c r="N2707" s="1251">
        <v>22</v>
      </c>
      <c r="O2707" s="1252">
        <v>22</v>
      </c>
    </row>
    <row r="2708" spans="1:15">
      <c r="A2708" s="1246" t="s">
        <v>1490</v>
      </c>
      <c r="B2708" s="1246" t="s">
        <v>427</v>
      </c>
      <c r="C2708" s="1247">
        <v>0.45</v>
      </c>
      <c r="F2708" s="1248">
        <v>1</v>
      </c>
      <c r="G2708" s="1248">
        <v>1</v>
      </c>
      <c r="H2708" s="1249">
        <v>1</v>
      </c>
      <c r="I2708" s="1246" t="s">
        <v>1491</v>
      </c>
      <c r="J2708" s="1246" t="s">
        <v>1457</v>
      </c>
      <c r="K2708" s="1284" t="str">
        <f t="shared" si="42"/>
        <v>35</v>
      </c>
      <c r="L2708" s="1246" t="s">
        <v>1517</v>
      </c>
      <c r="M2708" s="1250">
        <v>2</v>
      </c>
      <c r="N2708" s="1251">
        <v>1444</v>
      </c>
      <c r="O2708" s="1252">
        <v>1444</v>
      </c>
    </row>
    <row r="2709" spans="1:15">
      <c r="A2709" s="1246" t="s">
        <v>1490</v>
      </c>
      <c r="B2709" s="1246" t="s">
        <v>427</v>
      </c>
      <c r="C2709" s="1247">
        <v>0.45</v>
      </c>
      <c r="F2709" s="1248">
        <v>1</v>
      </c>
      <c r="G2709" s="1248">
        <v>1</v>
      </c>
      <c r="H2709" s="1249">
        <v>1</v>
      </c>
      <c r="I2709" s="1246" t="s">
        <v>1491</v>
      </c>
      <c r="J2709" s="1246" t="s">
        <v>1399</v>
      </c>
      <c r="K2709" s="1284" t="str">
        <f t="shared" si="42"/>
        <v>30</v>
      </c>
      <c r="L2709" s="1246" t="s">
        <v>1518</v>
      </c>
      <c r="M2709" s="1250">
        <v>2</v>
      </c>
      <c r="N2709" s="1251">
        <v>734</v>
      </c>
      <c r="O2709" s="1252">
        <v>734</v>
      </c>
    </row>
    <row r="2710" spans="1:15">
      <c r="A2710" s="1246" t="s">
        <v>1490</v>
      </c>
      <c r="B2710" s="1246" t="s">
        <v>427</v>
      </c>
      <c r="C2710" s="1247">
        <v>0.45</v>
      </c>
      <c r="E2710" s="1246" t="s">
        <v>370</v>
      </c>
      <c r="F2710" s="1248">
        <v>1</v>
      </c>
      <c r="G2710" s="1248">
        <v>1</v>
      </c>
      <c r="H2710" s="1249">
        <v>1</v>
      </c>
      <c r="I2710" s="1246" t="s">
        <v>1491</v>
      </c>
      <c r="J2710" s="1246" t="s">
        <v>1399</v>
      </c>
      <c r="K2710" s="1284" t="str">
        <f t="shared" si="42"/>
        <v>30</v>
      </c>
      <c r="L2710" s="1246" t="s">
        <v>1518</v>
      </c>
      <c r="M2710" s="1250">
        <v>2</v>
      </c>
      <c r="N2710" s="1251">
        <v>149</v>
      </c>
      <c r="O2710" s="1252">
        <v>149</v>
      </c>
    </row>
    <row r="2711" spans="1:15">
      <c r="A2711" s="1246" t="s">
        <v>1490</v>
      </c>
      <c r="B2711" s="1246" t="s">
        <v>427</v>
      </c>
      <c r="C2711" s="1247">
        <v>0.45</v>
      </c>
      <c r="F2711" s="1248">
        <v>1</v>
      </c>
      <c r="G2711" s="1248">
        <v>1</v>
      </c>
      <c r="H2711" s="1249">
        <v>1</v>
      </c>
      <c r="I2711" s="1246" t="s">
        <v>1491</v>
      </c>
      <c r="J2711" s="1246" t="s">
        <v>1454</v>
      </c>
      <c r="K2711" s="1284" t="str">
        <f t="shared" si="42"/>
        <v>31</v>
      </c>
      <c r="L2711" s="1246" t="s">
        <v>1519</v>
      </c>
      <c r="M2711" s="1250">
        <v>2</v>
      </c>
      <c r="N2711" s="1251">
        <v>1</v>
      </c>
      <c r="O2711" s="1252">
        <v>1</v>
      </c>
    </row>
    <row r="2712" spans="1:15">
      <c r="A2712" s="1246" t="s">
        <v>1490</v>
      </c>
      <c r="B2712" s="1246" t="s">
        <v>427</v>
      </c>
      <c r="C2712" s="1247">
        <v>0.45</v>
      </c>
      <c r="F2712" s="1248">
        <v>1</v>
      </c>
      <c r="G2712" s="1248">
        <v>1</v>
      </c>
      <c r="H2712" s="1249">
        <v>1</v>
      </c>
      <c r="I2712" s="1246" t="s">
        <v>1491</v>
      </c>
      <c r="J2712" s="1246" t="s">
        <v>1455</v>
      </c>
      <c r="K2712" s="1284" t="str">
        <f t="shared" si="42"/>
        <v>32</v>
      </c>
      <c r="L2712" s="1246" t="s">
        <v>1519</v>
      </c>
      <c r="M2712" s="1250">
        <v>2</v>
      </c>
      <c r="N2712" s="1251">
        <v>2</v>
      </c>
      <c r="O2712" s="1252">
        <v>2</v>
      </c>
    </row>
    <row r="2713" spans="1:15">
      <c r="A2713" s="1246" t="s">
        <v>1490</v>
      </c>
      <c r="B2713" s="1246" t="s">
        <v>427</v>
      </c>
      <c r="C2713" s="1247">
        <v>0.45</v>
      </c>
      <c r="F2713" s="1248">
        <v>1</v>
      </c>
      <c r="G2713" s="1248">
        <v>1</v>
      </c>
      <c r="H2713" s="1249">
        <v>1</v>
      </c>
      <c r="I2713" s="1246" t="s">
        <v>1491</v>
      </c>
      <c r="J2713" s="1246" t="s">
        <v>1456</v>
      </c>
      <c r="K2713" s="1284" t="str">
        <f t="shared" si="42"/>
        <v>33</v>
      </c>
      <c r="L2713" s="1246" t="s">
        <v>1519</v>
      </c>
      <c r="M2713" s="1250">
        <v>2</v>
      </c>
      <c r="N2713" s="1251">
        <v>2724</v>
      </c>
      <c r="O2713" s="1252">
        <v>2724</v>
      </c>
    </row>
    <row r="2714" spans="1:15">
      <c r="A2714" s="1246" t="s">
        <v>1490</v>
      </c>
      <c r="B2714" s="1246" t="s">
        <v>427</v>
      </c>
      <c r="C2714" s="1247">
        <v>0.45</v>
      </c>
      <c r="E2714" s="1246" t="s">
        <v>370</v>
      </c>
      <c r="F2714" s="1248">
        <v>1</v>
      </c>
      <c r="G2714" s="1248">
        <v>1</v>
      </c>
      <c r="H2714" s="1249">
        <v>1</v>
      </c>
      <c r="I2714" s="1246" t="s">
        <v>1491</v>
      </c>
      <c r="J2714" s="1246" t="s">
        <v>1456</v>
      </c>
      <c r="K2714" s="1284" t="str">
        <f t="shared" si="42"/>
        <v>33</v>
      </c>
      <c r="L2714" s="1246" t="s">
        <v>1519</v>
      </c>
      <c r="M2714" s="1250">
        <v>2</v>
      </c>
      <c r="N2714" s="1251">
        <v>742</v>
      </c>
      <c r="O2714" s="1252">
        <v>742</v>
      </c>
    </row>
    <row r="2715" spans="1:15">
      <c r="A2715" s="1246" t="s">
        <v>1490</v>
      </c>
      <c r="B2715" s="1246" t="s">
        <v>427</v>
      </c>
      <c r="C2715" s="1247">
        <v>0.45</v>
      </c>
      <c r="F2715" s="1248">
        <v>1</v>
      </c>
      <c r="G2715" s="1248">
        <v>1</v>
      </c>
      <c r="H2715" s="1249">
        <v>1</v>
      </c>
      <c r="I2715" s="1246" t="s">
        <v>1491</v>
      </c>
      <c r="J2715" s="1246" t="s">
        <v>1399</v>
      </c>
      <c r="K2715" s="1284" t="str">
        <f t="shared" si="42"/>
        <v>30</v>
      </c>
      <c r="L2715" s="1246" t="s">
        <v>1520</v>
      </c>
      <c r="M2715" s="1250">
        <v>3</v>
      </c>
      <c r="N2715" s="1251">
        <v>16</v>
      </c>
      <c r="O2715" s="1252">
        <v>16</v>
      </c>
    </row>
    <row r="2716" spans="1:15">
      <c r="A2716" s="1246" t="s">
        <v>1490</v>
      </c>
      <c r="B2716" s="1246" t="s">
        <v>427</v>
      </c>
      <c r="C2716" s="1247">
        <v>0.45</v>
      </c>
      <c r="E2716" s="1246" t="s">
        <v>370</v>
      </c>
      <c r="F2716" s="1248">
        <v>1</v>
      </c>
      <c r="G2716" s="1248">
        <v>1</v>
      </c>
      <c r="H2716" s="1249">
        <v>1</v>
      </c>
      <c r="I2716" s="1246" t="s">
        <v>1491</v>
      </c>
      <c r="J2716" s="1246" t="s">
        <v>1399</v>
      </c>
      <c r="K2716" s="1284" t="str">
        <f t="shared" si="42"/>
        <v>30</v>
      </c>
      <c r="L2716" s="1246" t="s">
        <v>1520</v>
      </c>
      <c r="M2716" s="1250">
        <v>3</v>
      </c>
      <c r="N2716" s="1251">
        <v>4</v>
      </c>
      <c r="O2716" s="1252">
        <v>4</v>
      </c>
    </row>
    <row r="2717" spans="1:15">
      <c r="A2717" s="1246" t="s">
        <v>1490</v>
      </c>
      <c r="B2717" s="1246" t="s">
        <v>427</v>
      </c>
      <c r="C2717" s="1247">
        <v>0.45</v>
      </c>
      <c r="F2717" s="1248">
        <v>1</v>
      </c>
      <c r="G2717" s="1248">
        <v>1</v>
      </c>
      <c r="H2717" s="1249">
        <v>1</v>
      </c>
      <c r="I2717" s="1246" t="s">
        <v>1491</v>
      </c>
      <c r="J2717" s="1246" t="s">
        <v>1399</v>
      </c>
      <c r="K2717" s="1284" t="str">
        <f t="shared" si="42"/>
        <v>30</v>
      </c>
      <c r="L2717" s="1246" t="s">
        <v>1521</v>
      </c>
      <c r="M2717" s="1250">
        <v>3</v>
      </c>
      <c r="N2717" s="1251">
        <v>2</v>
      </c>
      <c r="O2717" s="1252">
        <v>2</v>
      </c>
    </row>
    <row r="2718" spans="1:15">
      <c r="A2718" s="1246" t="s">
        <v>1490</v>
      </c>
      <c r="B2718" s="1246" t="s">
        <v>427</v>
      </c>
      <c r="C2718" s="1247">
        <v>0.45</v>
      </c>
      <c r="F2718" s="1248">
        <v>1</v>
      </c>
      <c r="G2718" s="1248">
        <v>1</v>
      </c>
      <c r="H2718" s="1249">
        <v>1</v>
      </c>
      <c r="I2718" s="1246" t="s">
        <v>1491</v>
      </c>
      <c r="J2718" s="1246" t="s">
        <v>1454</v>
      </c>
      <c r="K2718" s="1284" t="str">
        <f t="shared" si="42"/>
        <v>31</v>
      </c>
      <c r="L2718" s="1246" t="s">
        <v>1522</v>
      </c>
      <c r="M2718" s="1250">
        <v>3</v>
      </c>
      <c r="N2718" s="1251">
        <v>1</v>
      </c>
      <c r="O2718" s="1252">
        <v>1</v>
      </c>
    </row>
    <row r="2719" spans="1:15">
      <c r="A2719" s="1246" t="s">
        <v>1490</v>
      </c>
      <c r="B2719" s="1246" t="s">
        <v>427</v>
      </c>
      <c r="C2719" s="1247">
        <v>0.45</v>
      </c>
      <c r="F2719" s="1248">
        <v>1</v>
      </c>
      <c r="G2719" s="1248">
        <v>1</v>
      </c>
      <c r="H2719" s="1249">
        <v>1</v>
      </c>
      <c r="I2719" s="1246" t="s">
        <v>1491</v>
      </c>
      <c r="J2719" s="1246" t="s">
        <v>1455</v>
      </c>
      <c r="K2719" s="1284" t="str">
        <f t="shared" si="42"/>
        <v>32</v>
      </c>
      <c r="L2719" s="1246" t="s">
        <v>1522</v>
      </c>
      <c r="M2719" s="1250">
        <v>3</v>
      </c>
      <c r="N2719" s="1251">
        <v>1072</v>
      </c>
      <c r="O2719" s="1252">
        <v>1072</v>
      </c>
    </row>
    <row r="2720" spans="1:15">
      <c r="A2720" s="1246" t="s">
        <v>1490</v>
      </c>
      <c r="B2720" s="1246" t="s">
        <v>427</v>
      </c>
      <c r="C2720" s="1247">
        <v>0.45</v>
      </c>
      <c r="E2720" s="1246" t="s">
        <v>370</v>
      </c>
      <c r="F2720" s="1248">
        <v>1</v>
      </c>
      <c r="G2720" s="1248">
        <v>1</v>
      </c>
      <c r="H2720" s="1249">
        <v>1</v>
      </c>
      <c r="I2720" s="1246" t="s">
        <v>1491</v>
      </c>
      <c r="J2720" s="1246" t="s">
        <v>1455</v>
      </c>
      <c r="K2720" s="1284" t="str">
        <f t="shared" si="42"/>
        <v>32</v>
      </c>
      <c r="L2720" s="1246" t="s">
        <v>1522</v>
      </c>
      <c r="M2720" s="1250">
        <v>3</v>
      </c>
      <c r="N2720" s="1251">
        <v>318</v>
      </c>
      <c r="O2720" s="1252">
        <v>318</v>
      </c>
    </row>
    <row r="2721" spans="1:15">
      <c r="A2721" s="1246" t="s">
        <v>1490</v>
      </c>
      <c r="B2721" s="1246" t="s">
        <v>427</v>
      </c>
      <c r="C2721" s="1247">
        <v>0.45</v>
      </c>
      <c r="F2721" s="1248">
        <v>1</v>
      </c>
      <c r="G2721" s="1248">
        <v>1</v>
      </c>
      <c r="H2721" s="1249">
        <v>1</v>
      </c>
      <c r="I2721" s="1246" t="s">
        <v>1491</v>
      </c>
      <c r="J2721" s="1246" t="s">
        <v>1454</v>
      </c>
      <c r="K2721" s="1284" t="str">
        <f t="shared" si="42"/>
        <v>31</v>
      </c>
      <c r="L2721" s="1246" t="s">
        <v>1523</v>
      </c>
      <c r="M2721" s="1250">
        <v>3</v>
      </c>
      <c r="N2721" s="1251">
        <v>5861</v>
      </c>
      <c r="O2721" s="1252">
        <v>5861</v>
      </c>
    </row>
    <row r="2722" spans="1:15">
      <c r="A2722" s="1246" t="s">
        <v>1490</v>
      </c>
      <c r="B2722" s="1246" t="s">
        <v>427</v>
      </c>
      <c r="C2722" s="1247">
        <v>0.45</v>
      </c>
      <c r="E2722" s="1246" t="s">
        <v>370</v>
      </c>
      <c r="F2722" s="1248">
        <v>1</v>
      </c>
      <c r="G2722" s="1248">
        <v>1</v>
      </c>
      <c r="H2722" s="1249">
        <v>1</v>
      </c>
      <c r="I2722" s="1246" t="s">
        <v>1491</v>
      </c>
      <c r="J2722" s="1246" t="s">
        <v>1454</v>
      </c>
      <c r="K2722" s="1284" t="str">
        <f t="shared" si="42"/>
        <v>31</v>
      </c>
      <c r="L2722" s="1246" t="s">
        <v>1523</v>
      </c>
      <c r="M2722" s="1250">
        <v>3</v>
      </c>
      <c r="N2722" s="1251">
        <v>1870</v>
      </c>
      <c r="O2722" s="1252">
        <v>1870</v>
      </c>
    </row>
    <row r="2723" spans="1:15">
      <c r="A2723" s="1246" t="s">
        <v>1490</v>
      </c>
      <c r="B2723" s="1246" t="s">
        <v>427</v>
      </c>
      <c r="C2723" s="1247">
        <v>0.45</v>
      </c>
      <c r="E2723" s="1246" t="s">
        <v>370</v>
      </c>
      <c r="F2723" s="1248">
        <v>1</v>
      </c>
      <c r="G2723" s="1248">
        <v>1</v>
      </c>
      <c r="H2723" s="1249">
        <v>1</v>
      </c>
      <c r="I2723" s="1246" t="s">
        <v>1491</v>
      </c>
      <c r="J2723" s="1246" t="s">
        <v>1458</v>
      </c>
      <c r="K2723" s="1284" t="str">
        <f t="shared" si="42"/>
        <v>36</v>
      </c>
      <c r="L2723" s="1246" t="s">
        <v>1524</v>
      </c>
      <c r="M2723" s="1250">
        <v>3</v>
      </c>
      <c r="N2723" s="1251">
        <v>53</v>
      </c>
      <c r="O2723" s="1252">
        <v>53</v>
      </c>
    </row>
    <row r="2724" spans="1:15">
      <c r="A2724" s="1246" t="s">
        <v>1490</v>
      </c>
      <c r="B2724" s="1246" t="s">
        <v>427</v>
      </c>
      <c r="C2724" s="1247">
        <v>0.45</v>
      </c>
      <c r="F2724" s="1248">
        <v>1</v>
      </c>
      <c r="G2724" s="1248">
        <v>1</v>
      </c>
      <c r="H2724" s="1249">
        <v>1</v>
      </c>
      <c r="I2724" s="1246" t="s">
        <v>1491</v>
      </c>
      <c r="J2724" s="1246" t="s">
        <v>1458</v>
      </c>
      <c r="K2724" s="1284" t="str">
        <f t="shared" si="42"/>
        <v>36</v>
      </c>
      <c r="L2724" s="1246" t="s">
        <v>1524</v>
      </c>
      <c r="M2724" s="1250">
        <v>3</v>
      </c>
      <c r="N2724" s="1251">
        <v>161</v>
      </c>
      <c r="O2724" s="1252">
        <v>161</v>
      </c>
    </row>
    <row r="2725" spans="1:15">
      <c r="A2725" s="1246" t="s">
        <v>1490</v>
      </c>
      <c r="B2725" s="1246" t="s">
        <v>427</v>
      </c>
      <c r="C2725" s="1247">
        <v>0.45</v>
      </c>
      <c r="F2725" s="1248">
        <v>1</v>
      </c>
      <c r="G2725" s="1248">
        <v>1</v>
      </c>
      <c r="H2725" s="1249">
        <v>1</v>
      </c>
      <c r="I2725" s="1246" t="s">
        <v>1491</v>
      </c>
      <c r="J2725" s="1246" t="s">
        <v>1399</v>
      </c>
      <c r="K2725" s="1284" t="str">
        <f t="shared" si="42"/>
        <v>30</v>
      </c>
      <c r="L2725" s="1246" t="s">
        <v>1525</v>
      </c>
      <c r="M2725" s="1250">
        <v>3</v>
      </c>
      <c r="N2725" s="1251">
        <v>171</v>
      </c>
      <c r="O2725" s="1252">
        <v>171</v>
      </c>
    </row>
    <row r="2726" spans="1:15">
      <c r="A2726" s="1246" t="s">
        <v>1490</v>
      </c>
      <c r="B2726" s="1246" t="s">
        <v>427</v>
      </c>
      <c r="C2726" s="1247">
        <v>0.45</v>
      </c>
      <c r="E2726" s="1246" t="s">
        <v>370</v>
      </c>
      <c r="F2726" s="1248">
        <v>1</v>
      </c>
      <c r="G2726" s="1248">
        <v>1</v>
      </c>
      <c r="H2726" s="1249">
        <v>1</v>
      </c>
      <c r="I2726" s="1246" t="s">
        <v>1491</v>
      </c>
      <c r="J2726" s="1246" t="s">
        <v>1399</v>
      </c>
      <c r="K2726" s="1284" t="str">
        <f t="shared" si="42"/>
        <v>30</v>
      </c>
      <c r="L2726" s="1246" t="s">
        <v>1525</v>
      </c>
      <c r="M2726" s="1250">
        <v>3</v>
      </c>
      <c r="N2726" s="1251">
        <v>42</v>
      </c>
      <c r="O2726" s="1252">
        <v>42</v>
      </c>
    </row>
    <row r="2727" spans="1:15">
      <c r="A2727" s="1246" t="s">
        <v>1490</v>
      </c>
      <c r="B2727" s="1246" t="s">
        <v>427</v>
      </c>
      <c r="C2727" s="1247">
        <v>0.45</v>
      </c>
      <c r="E2727" s="1246" t="s">
        <v>370</v>
      </c>
      <c r="F2727" s="1248">
        <v>1</v>
      </c>
      <c r="G2727" s="1248">
        <v>1</v>
      </c>
      <c r="H2727" s="1249">
        <v>1</v>
      </c>
      <c r="I2727" s="1246" t="s">
        <v>1491</v>
      </c>
      <c r="J2727" s="1246" t="s">
        <v>1399</v>
      </c>
      <c r="K2727" s="1284" t="str">
        <f t="shared" si="42"/>
        <v>30</v>
      </c>
      <c r="L2727" s="1246" t="s">
        <v>1526</v>
      </c>
      <c r="M2727" s="1250">
        <v>3</v>
      </c>
      <c r="N2727" s="1251">
        <v>14</v>
      </c>
      <c r="O2727" s="1252">
        <v>14</v>
      </c>
    </row>
    <row r="2728" spans="1:15">
      <c r="A2728" s="1246" t="s">
        <v>1490</v>
      </c>
      <c r="B2728" s="1246" t="s">
        <v>427</v>
      </c>
      <c r="C2728" s="1247">
        <v>0.45</v>
      </c>
      <c r="F2728" s="1248">
        <v>1</v>
      </c>
      <c r="G2728" s="1248">
        <v>1</v>
      </c>
      <c r="H2728" s="1249">
        <v>1</v>
      </c>
      <c r="I2728" s="1246" t="s">
        <v>1491</v>
      </c>
      <c r="J2728" s="1246" t="s">
        <v>1399</v>
      </c>
      <c r="K2728" s="1284" t="str">
        <f t="shared" si="42"/>
        <v>30</v>
      </c>
      <c r="L2728" s="1246" t="s">
        <v>1526</v>
      </c>
      <c r="M2728" s="1250">
        <v>3</v>
      </c>
      <c r="N2728" s="1251">
        <v>64</v>
      </c>
      <c r="O2728" s="1252">
        <v>64</v>
      </c>
    </row>
    <row r="2729" spans="1:15">
      <c r="A2729" s="1246" t="s">
        <v>1490</v>
      </c>
      <c r="B2729" s="1246" t="s">
        <v>427</v>
      </c>
      <c r="C2729" s="1247">
        <v>0.45</v>
      </c>
      <c r="F2729" s="1248">
        <v>1</v>
      </c>
      <c r="G2729" s="1248">
        <v>1</v>
      </c>
      <c r="H2729" s="1249">
        <v>1</v>
      </c>
      <c r="I2729" s="1246" t="s">
        <v>1491</v>
      </c>
      <c r="J2729" s="1246" t="s">
        <v>1457</v>
      </c>
      <c r="K2729" s="1284" t="str">
        <f t="shared" si="42"/>
        <v>35</v>
      </c>
      <c r="L2729" s="1246" t="s">
        <v>1527</v>
      </c>
      <c r="M2729" s="1250">
        <v>3</v>
      </c>
      <c r="N2729" s="1251">
        <v>1509</v>
      </c>
      <c r="O2729" s="1252">
        <v>1509</v>
      </c>
    </row>
    <row r="2730" spans="1:15">
      <c r="A2730" s="1246" t="s">
        <v>1490</v>
      </c>
      <c r="B2730" s="1246" t="s">
        <v>427</v>
      </c>
      <c r="C2730" s="1247">
        <v>0.45</v>
      </c>
      <c r="F2730" s="1248">
        <v>1</v>
      </c>
      <c r="G2730" s="1248">
        <v>1</v>
      </c>
      <c r="H2730" s="1249">
        <v>1</v>
      </c>
      <c r="I2730" s="1246" t="s">
        <v>1491</v>
      </c>
      <c r="J2730" s="1246" t="s">
        <v>1459</v>
      </c>
      <c r="K2730" s="1284" t="str">
        <f t="shared" si="42"/>
        <v>3A</v>
      </c>
      <c r="L2730" s="1246" t="s">
        <v>1492</v>
      </c>
      <c r="M2730" s="1250">
        <v>3</v>
      </c>
      <c r="N2730" s="1251">
        <v>778</v>
      </c>
      <c r="O2730" s="1252">
        <v>778</v>
      </c>
    </row>
    <row r="2731" spans="1:15">
      <c r="A2731" s="1246" t="s">
        <v>1490</v>
      </c>
      <c r="B2731" s="1246" t="s">
        <v>427</v>
      </c>
      <c r="C2731" s="1247">
        <v>0.45</v>
      </c>
      <c r="F2731" s="1248">
        <v>1</v>
      </c>
      <c r="G2731" s="1248">
        <v>1</v>
      </c>
      <c r="H2731" s="1249">
        <v>1</v>
      </c>
      <c r="I2731" s="1246" t="s">
        <v>1491</v>
      </c>
      <c r="J2731" s="1246" t="s">
        <v>1460</v>
      </c>
      <c r="K2731" s="1284" t="str">
        <f t="shared" si="42"/>
        <v>30</v>
      </c>
      <c r="L2731" s="1246" t="s">
        <v>1492</v>
      </c>
      <c r="M2731" s="1250">
        <v>3</v>
      </c>
      <c r="N2731" s="1251">
        <v>1</v>
      </c>
      <c r="O2731" s="1252">
        <v>1</v>
      </c>
    </row>
    <row r="2732" spans="1:15">
      <c r="A2732" s="1246" t="s">
        <v>1490</v>
      </c>
      <c r="B2732" s="1246" t="s">
        <v>427</v>
      </c>
      <c r="C2732" s="1247">
        <v>0.45</v>
      </c>
      <c r="F2732" s="1248">
        <v>1</v>
      </c>
      <c r="G2732" s="1248">
        <v>1</v>
      </c>
      <c r="H2732" s="1249">
        <v>1</v>
      </c>
      <c r="I2732" s="1246" t="s">
        <v>1491</v>
      </c>
      <c r="J2732" s="1246" t="s">
        <v>1399</v>
      </c>
      <c r="K2732" s="1284" t="str">
        <f t="shared" si="42"/>
        <v>30</v>
      </c>
      <c r="L2732" s="1246" t="s">
        <v>1528</v>
      </c>
      <c r="M2732" s="1250">
        <v>3</v>
      </c>
      <c r="N2732" s="1251">
        <v>890</v>
      </c>
      <c r="O2732" s="1252">
        <v>890</v>
      </c>
    </row>
    <row r="2733" spans="1:15">
      <c r="A2733" s="1246" t="s">
        <v>1490</v>
      </c>
      <c r="B2733" s="1246" t="s">
        <v>427</v>
      </c>
      <c r="C2733" s="1247">
        <v>0.45</v>
      </c>
      <c r="E2733" s="1246" t="s">
        <v>370</v>
      </c>
      <c r="F2733" s="1248">
        <v>1</v>
      </c>
      <c r="G2733" s="1248">
        <v>1</v>
      </c>
      <c r="H2733" s="1249">
        <v>1</v>
      </c>
      <c r="I2733" s="1246" t="s">
        <v>1491</v>
      </c>
      <c r="J2733" s="1246" t="s">
        <v>1399</v>
      </c>
      <c r="K2733" s="1284" t="str">
        <f t="shared" si="42"/>
        <v>30</v>
      </c>
      <c r="L2733" s="1246" t="s">
        <v>1528</v>
      </c>
      <c r="M2733" s="1250">
        <v>3</v>
      </c>
      <c r="N2733" s="1251">
        <v>254</v>
      </c>
      <c r="O2733" s="1252">
        <v>254</v>
      </c>
    </row>
    <row r="2734" spans="1:15">
      <c r="A2734" s="1246" t="s">
        <v>1490</v>
      </c>
      <c r="B2734" s="1246" t="s">
        <v>427</v>
      </c>
      <c r="C2734" s="1247">
        <v>0.45</v>
      </c>
      <c r="F2734" s="1248">
        <v>1</v>
      </c>
      <c r="G2734" s="1248">
        <v>1</v>
      </c>
      <c r="H2734" s="1249">
        <v>2</v>
      </c>
      <c r="I2734" s="1246" t="s">
        <v>1491</v>
      </c>
      <c r="J2734" s="1246" t="s">
        <v>1461</v>
      </c>
      <c r="K2734" s="1284" t="str">
        <f t="shared" si="42"/>
        <v>3C</v>
      </c>
      <c r="L2734" s="1246" t="s">
        <v>1502</v>
      </c>
      <c r="M2734" s="1250">
        <v>1</v>
      </c>
      <c r="N2734" s="1251">
        <v>51</v>
      </c>
      <c r="O2734" s="1252">
        <v>51</v>
      </c>
    </row>
    <row r="2735" spans="1:15">
      <c r="A2735" s="1246" t="s">
        <v>1490</v>
      </c>
      <c r="B2735" s="1246" t="s">
        <v>427</v>
      </c>
      <c r="C2735" s="1247">
        <v>0.45</v>
      </c>
      <c r="F2735" s="1248">
        <v>1</v>
      </c>
      <c r="G2735" s="1248">
        <v>1</v>
      </c>
      <c r="H2735" s="1249">
        <v>2</v>
      </c>
      <c r="I2735" s="1246" t="s">
        <v>1491</v>
      </c>
      <c r="J2735" s="1246" t="s">
        <v>1399</v>
      </c>
      <c r="K2735" s="1284" t="str">
        <f t="shared" si="42"/>
        <v>30</v>
      </c>
      <c r="L2735" s="1246" t="s">
        <v>1504</v>
      </c>
      <c r="M2735" s="1250">
        <v>1</v>
      </c>
      <c r="N2735" s="1251">
        <v>18</v>
      </c>
      <c r="O2735" s="1252">
        <v>18</v>
      </c>
    </row>
    <row r="2736" spans="1:15">
      <c r="A2736" s="1246" t="s">
        <v>1490</v>
      </c>
      <c r="B2736" s="1246" t="s">
        <v>427</v>
      </c>
      <c r="C2736" s="1247">
        <v>0.45</v>
      </c>
      <c r="E2736" s="1246" t="s">
        <v>370</v>
      </c>
      <c r="F2736" s="1248">
        <v>1</v>
      </c>
      <c r="G2736" s="1248">
        <v>1</v>
      </c>
      <c r="H2736" s="1249">
        <v>2</v>
      </c>
      <c r="I2736" s="1246" t="s">
        <v>1491</v>
      </c>
      <c r="J2736" s="1246" t="s">
        <v>1399</v>
      </c>
      <c r="K2736" s="1284" t="str">
        <f t="shared" si="42"/>
        <v>30</v>
      </c>
      <c r="L2736" s="1246" t="s">
        <v>1504</v>
      </c>
      <c r="M2736" s="1250">
        <v>1</v>
      </c>
      <c r="N2736" s="1251">
        <v>2</v>
      </c>
      <c r="O2736" s="1252">
        <v>2</v>
      </c>
    </row>
    <row r="2737" spans="1:15">
      <c r="A2737" s="1246" t="s">
        <v>1490</v>
      </c>
      <c r="B2737" s="1246" t="s">
        <v>427</v>
      </c>
      <c r="C2737" s="1247">
        <v>0.45</v>
      </c>
      <c r="F2737" s="1248">
        <v>1</v>
      </c>
      <c r="G2737" s="1248">
        <v>1</v>
      </c>
      <c r="H2737" s="1249">
        <v>2</v>
      </c>
      <c r="I2737" s="1246" t="s">
        <v>1491</v>
      </c>
      <c r="J2737" s="1246" t="s">
        <v>1399</v>
      </c>
      <c r="K2737" s="1284" t="str">
        <f t="shared" si="42"/>
        <v>30</v>
      </c>
      <c r="L2737" s="1246" t="s">
        <v>1512</v>
      </c>
      <c r="M2737" s="1250">
        <v>2</v>
      </c>
      <c r="N2737" s="1251">
        <v>11</v>
      </c>
      <c r="O2737" s="1252">
        <v>11</v>
      </c>
    </row>
    <row r="2738" spans="1:15">
      <c r="A2738" s="1246" t="s">
        <v>1490</v>
      </c>
      <c r="B2738" s="1246" t="s">
        <v>427</v>
      </c>
      <c r="C2738" s="1247">
        <v>0.45</v>
      </c>
      <c r="E2738" s="1246" t="s">
        <v>370</v>
      </c>
      <c r="F2738" s="1248">
        <v>1</v>
      </c>
      <c r="G2738" s="1248">
        <v>1</v>
      </c>
      <c r="H2738" s="1249">
        <v>2</v>
      </c>
      <c r="I2738" s="1246" t="s">
        <v>1491</v>
      </c>
      <c r="J2738" s="1246" t="s">
        <v>1399</v>
      </c>
      <c r="K2738" s="1284" t="str">
        <f t="shared" si="42"/>
        <v>30</v>
      </c>
      <c r="L2738" s="1246" t="s">
        <v>1512</v>
      </c>
      <c r="M2738" s="1250">
        <v>2</v>
      </c>
      <c r="N2738" s="1251">
        <v>9</v>
      </c>
      <c r="O2738" s="1252">
        <v>9</v>
      </c>
    </row>
    <row r="2739" spans="1:15">
      <c r="A2739" s="1246" t="s">
        <v>1490</v>
      </c>
      <c r="B2739" s="1246" t="s">
        <v>427</v>
      </c>
      <c r="C2739" s="1247">
        <v>0.45</v>
      </c>
      <c r="F2739" s="1248">
        <v>1</v>
      </c>
      <c r="G2739" s="1248">
        <v>1</v>
      </c>
      <c r="H2739" s="1249">
        <v>2</v>
      </c>
      <c r="I2739" s="1246" t="s">
        <v>1491</v>
      </c>
      <c r="J2739" s="1246" t="s">
        <v>1399</v>
      </c>
      <c r="K2739" s="1284" t="str">
        <f t="shared" si="42"/>
        <v>30</v>
      </c>
      <c r="L2739" s="1246" t="s">
        <v>1521</v>
      </c>
      <c r="M2739" s="1250">
        <v>3</v>
      </c>
      <c r="N2739" s="1251">
        <v>22</v>
      </c>
      <c r="O2739" s="1252">
        <v>22</v>
      </c>
    </row>
    <row r="2740" spans="1:15">
      <c r="A2740" s="1246" t="s">
        <v>1490</v>
      </c>
      <c r="B2740" s="1246" t="s">
        <v>427</v>
      </c>
      <c r="C2740" s="1247">
        <v>0.45</v>
      </c>
      <c r="E2740" s="1246" t="s">
        <v>370</v>
      </c>
      <c r="F2740" s="1248">
        <v>1</v>
      </c>
      <c r="G2740" s="1248">
        <v>1</v>
      </c>
      <c r="H2740" s="1249">
        <v>2</v>
      </c>
      <c r="I2740" s="1246" t="s">
        <v>1491</v>
      </c>
      <c r="J2740" s="1246" t="s">
        <v>1399</v>
      </c>
      <c r="K2740" s="1284" t="str">
        <f t="shared" si="42"/>
        <v>30</v>
      </c>
      <c r="L2740" s="1246" t="s">
        <v>1521</v>
      </c>
      <c r="M2740" s="1250">
        <v>3</v>
      </c>
      <c r="N2740" s="1251">
        <v>2</v>
      </c>
      <c r="O2740" s="1252">
        <v>2</v>
      </c>
    </row>
    <row r="2741" spans="1:15">
      <c r="A2741" s="1246" t="s">
        <v>1490</v>
      </c>
      <c r="B2741" s="1246" t="s">
        <v>427</v>
      </c>
      <c r="C2741" s="1247">
        <v>0.45</v>
      </c>
      <c r="F2741" s="1248">
        <v>1</v>
      </c>
      <c r="G2741" s="1248">
        <v>1</v>
      </c>
      <c r="H2741" s="1249">
        <v>2</v>
      </c>
      <c r="I2741" s="1246" t="s">
        <v>1491</v>
      </c>
      <c r="J2741" s="1246" t="s">
        <v>1399</v>
      </c>
      <c r="K2741" s="1284" t="str">
        <f t="shared" si="42"/>
        <v>30</v>
      </c>
      <c r="L2741" s="1246" t="s">
        <v>1528</v>
      </c>
      <c r="M2741" s="1250">
        <v>3</v>
      </c>
      <c r="N2741" s="1251">
        <v>1</v>
      </c>
      <c r="O2741" s="1252">
        <v>1</v>
      </c>
    </row>
    <row r="2742" spans="1:15">
      <c r="A2742" s="1246" t="s">
        <v>1490</v>
      </c>
      <c r="B2742" s="1246" t="s">
        <v>427</v>
      </c>
      <c r="C2742" s="1247">
        <v>0.45</v>
      </c>
      <c r="F2742" s="1248">
        <v>1</v>
      </c>
      <c r="G2742" s="1248">
        <v>2</v>
      </c>
      <c r="H2742" s="1249">
        <v>1</v>
      </c>
      <c r="I2742" s="1246" t="s">
        <v>1491</v>
      </c>
      <c r="J2742" s="1246" t="s">
        <v>1399</v>
      </c>
      <c r="K2742" s="1284" t="str">
        <f t="shared" si="42"/>
        <v>30</v>
      </c>
      <c r="L2742" s="1246" t="s">
        <v>1504</v>
      </c>
      <c r="M2742" s="1250">
        <v>1</v>
      </c>
      <c r="N2742" s="1251">
        <v>1</v>
      </c>
      <c r="O2742" s="1252">
        <v>1</v>
      </c>
    </row>
    <row r="2743" spans="1:15">
      <c r="A2743" s="1246" t="s">
        <v>1490</v>
      </c>
      <c r="B2743" s="1246" t="s">
        <v>427</v>
      </c>
      <c r="C2743" s="1247">
        <v>0.45</v>
      </c>
      <c r="F2743" s="1248">
        <v>1</v>
      </c>
      <c r="G2743" s="1248">
        <v>2</v>
      </c>
      <c r="H2743" s="1249">
        <v>1</v>
      </c>
      <c r="I2743" s="1246" t="s">
        <v>1491</v>
      </c>
      <c r="J2743" s="1246" t="s">
        <v>1454</v>
      </c>
      <c r="K2743" s="1284" t="str">
        <f t="shared" si="42"/>
        <v>31</v>
      </c>
      <c r="L2743" s="1246" t="s">
        <v>1506</v>
      </c>
      <c r="M2743" s="1250">
        <v>1</v>
      </c>
      <c r="N2743" s="1251">
        <v>3</v>
      </c>
      <c r="O2743" s="1252">
        <v>3</v>
      </c>
    </row>
    <row r="2744" spans="1:15">
      <c r="A2744" s="1246" t="s">
        <v>1490</v>
      </c>
      <c r="B2744" s="1246" t="s">
        <v>427</v>
      </c>
      <c r="C2744" s="1247">
        <v>0.45</v>
      </c>
      <c r="F2744" s="1248">
        <v>1</v>
      </c>
      <c r="G2744" s="1248">
        <v>2</v>
      </c>
      <c r="H2744" s="1249">
        <v>1</v>
      </c>
      <c r="I2744" s="1246" t="s">
        <v>1491</v>
      </c>
      <c r="J2744" s="1246" t="s">
        <v>1458</v>
      </c>
      <c r="K2744" s="1284" t="str">
        <f t="shared" si="42"/>
        <v>36</v>
      </c>
      <c r="L2744" s="1246" t="s">
        <v>1507</v>
      </c>
      <c r="M2744" s="1250">
        <v>1</v>
      </c>
      <c r="N2744" s="1251">
        <v>1</v>
      </c>
      <c r="O2744" s="1252">
        <v>1</v>
      </c>
    </row>
    <row r="2745" spans="1:15">
      <c r="A2745" s="1246" t="s">
        <v>1490</v>
      </c>
      <c r="B2745" s="1246" t="s">
        <v>427</v>
      </c>
      <c r="C2745" s="1247">
        <v>0.45</v>
      </c>
      <c r="F2745" s="1248">
        <v>1</v>
      </c>
      <c r="G2745" s="1248">
        <v>2</v>
      </c>
      <c r="H2745" s="1249">
        <v>1</v>
      </c>
      <c r="I2745" s="1246" t="s">
        <v>1491</v>
      </c>
      <c r="J2745" s="1246" t="s">
        <v>1454</v>
      </c>
      <c r="K2745" s="1284" t="str">
        <f t="shared" si="42"/>
        <v>31</v>
      </c>
      <c r="L2745" s="1246" t="s">
        <v>1500</v>
      </c>
      <c r="M2745" s="1250">
        <v>2</v>
      </c>
      <c r="N2745" s="1251">
        <v>1</v>
      </c>
      <c r="O2745" s="1252">
        <v>1</v>
      </c>
    </row>
    <row r="2746" spans="1:15">
      <c r="A2746" s="1246" t="s">
        <v>1490</v>
      </c>
      <c r="B2746" s="1246" t="s">
        <v>427</v>
      </c>
      <c r="C2746" s="1247">
        <v>0.45</v>
      </c>
      <c r="F2746" s="1248">
        <v>1</v>
      </c>
      <c r="G2746" s="1248">
        <v>2</v>
      </c>
      <c r="H2746" s="1249">
        <v>1</v>
      </c>
      <c r="I2746" s="1246" t="s">
        <v>1491</v>
      </c>
      <c r="J2746" s="1246" t="s">
        <v>1399</v>
      </c>
      <c r="K2746" s="1284" t="str">
        <f t="shared" si="42"/>
        <v>30</v>
      </c>
      <c r="L2746" s="1246" t="s">
        <v>1516</v>
      </c>
      <c r="M2746" s="1250">
        <v>2</v>
      </c>
      <c r="N2746" s="1251">
        <v>1</v>
      </c>
      <c r="O2746" s="1252">
        <v>1</v>
      </c>
    </row>
    <row r="2747" spans="1:15">
      <c r="A2747" s="1246" t="s">
        <v>1490</v>
      </c>
      <c r="B2747" s="1246" t="s">
        <v>427</v>
      </c>
      <c r="C2747" s="1247">
        <v>0.45</v>
      </c>
      <c r="F2747" s="1248">
        <v>1</v>
      </c>
      <c r="G2747" s="1248">
        <v>2</v>
      </c>
      <c r="H2747" s="1249">
        <v>1</v>
      </c>
      <c r="I2747" s="1246" t="s">
        <v>1491</v>
      </c>
      <c r="J2747" s="1246" t="s">
        <v>1456</v>
      </c>
      <c r="K2747" s="1284" t="str">
        <f t="shared" si="42"/>
        <v>33</v>
      </c>
      <c r="L2747" s="1246" t="s">
        <v>1519</v>
      </c>
      <c r="M2747" s="1250">
        <v>2</v>
      </c>
      <c r="N2747" s="1251">
        <v>4</v>
      </c>
      <c r="O2747" s="1252">
        <v>4</v>
      </c>
    </row>
    <row r="2748" spans="1:15">
      <c r="A2748" s="1246" t="s">
        <v>1490</v>
      </c>
      <c r="B2748" s="1246" t="s">
        <v>427</v>
      </c>
      <c r="C2748" s="1247">
        <v>0.45</v>
      </c>
      <c r="E2748" s="1246" t="s">
        <v>370</v>
      </c>
      <c r="F2748" s="1248">
        <v>1</v>
      </c>
      <c r="G2748" s="1248">
        <v>2</v>
      </c>
      <c r="H2748" s="1249">
        <v>1</v>
      </c>
      <c r="I2748" s="1246" t="s">
        <v>1491</v>
      </c>
      <c r="J2748" s="1246" t="s">
        <v>1455</v>
      </c>
      <c r="K2748" s="1284" t="str">
        <f t="shared" si="42"/>
        <v>32</v>
      </c>
      <c r="L2748" s="1246" t="s">
        <v>1522</v>
      </c>
      <c r="M2748" s="1250">
        <v>3</v>
      </c>
      <c r="N2748" s="1251">
        <v>1</v>
      </c>
      <c r="O2748" s="1252">
        <v>1</v>
      </c>
    </row>
    <row r="2749" spans="1:15">
      <c r="A2749" s="1246" t="s">
        <v>1490</v>
      </c>
      <c r="B2749" s="1246" t="s">
        <v>427</v>
      </c>
      <c r="C2749" s="1247">
        <v>0.45</v>
      </c>
      <c r="F2749" s="1248">
        <v>1</v>
      </c>
      <c r="G2749" s="1248">
        <v>2</v>
      </c>
      <c r="H2749" s="1249">
        <v>1</v>
      </c>
      <c r="I2749" s="1246" t="s">
        <v>1491</v>
      </c>
      <c r="J2749" s="1246" t="s">
        <v>1454</v>
      </c>
      <c r="K2749" s="1284" t="str">
        <f t="shared" si="42"/>
        <v>31</v>
      </c>
      <c r="L2749" s="1246" t="s">
        <v>1523</v>
      </c>
      <c r="M2749" s="1250">
        <v>3</v>
      </c>
      <c r="N2749" s="1251">
        <v>5</v>
      </c>
      <c r="O2749" s="1252">
        <v>5</v>
      </c>
    </row>
    <row r="2750" spans="1:15">
      <c r="A2750" s="1246" t="s">
        <v>1490</v>
      </c>
      <c r="B2750" s="1246" t="s">
        <v>427</v>
      </c>
      <c r="C2750" s="1247">
        <v>0.45</v>
      </c>
      <c r="E2750" s="1246" t="s">
        <v>370</v>
      </c>
      <c r="F2750" s="1248">
        <v>1</v>
      </c>
      <c r="G2750" s="1248">
        <v>2</v>
      </c>
      <c r="H2750" s="1249">
        <v>1</v>
      </c>
      <c r="I2750" s="1246" t="s">
        <v>1491</v>
      </c>
      <c r="J2750" s="1246" t="s">
        <v>1454</v>
      </c>
      <c r="K2750" s="1284" t="str">
        <f t="shared" si="42"/>
        <v>31</v>
      </c>
      <c r="L2750" s="1246" t="s">
        <v>1523</v>
      </c>
      <c r="M2750" s="1250">
        <v>3</v>
      </c>
      <c r="N2750" s="1251">
        <v>1</v>
      </c>
      <c r="O2750" s="1252">
        <v>1</v>
      </c>
    </row>
    <row r="2751" spans="1:15">
      <c r="A2751" s="1246" t="s">
        <v>1490</v>
      </c>
      <c r="B2751" s="1246" t="s">
        <v>427</v>
      </c>
      <c r="C2751" s="1247">
        <v>0.45</v>
      </c>
      <c r="F2751" s="1248">
        <v>1</v>
      </c>
      <c r="G2751" s="1248">
        <v>2</v>
      </c>
      <c r="H2751" s="1249">
        <v>2</v>
      </c>
      <c r="I2751" s="1246" t="s">
        <v>1491</v>
      </c>
      <c r="J2751" s="1246" t="s">
        <v>1456</v>
      </c>
      <c r="K2751" s="1284" t="str">
        <f t="shared" si="42"/>
        <v>33</v>
      </c>
      <c r="L2751" s="1246" t="s">
        <v>1519</v>
      </c>
      <c r="M2751" s="1250">
        <v>2</v>
      </c>
      <c r="N2751" s="1251">
        <v>1</v>
      </c>
      <c r="O2751" s="1252">
        <v>1</v>
      </c>
    </row>
    <row r="2752" spans="1:15">
      <c r="A2752" s="1246" t="s">
        <v>1490</v>
      </c>
      <c r="B2752" s="1246" t="s">
        <v>427</v>
      </c>
      <c r="C2752" s="1247">
        <v>0.45</v>
      </c>
      <c r="F2752" s="1248">
        <v>1</v>
      </c>
      <c r="G2752" s="1248">
        <v>3</v>
      </c>
      <c r="H2752" s="1249">
        <v>1</v>
      </c>
      <c r="I2752" s="1246" t="s">
        <v>1491</v>
      </c>
      <c r="J2752" s="1246" t="s">
        <v>1399</v>
      </c>
      <c r="K2752" s="1284" t="str">
        <f t="shared" si="42"/>
        <v>30</v>
      </c>
      <c r="L2752" s="1246" t="s">
        <v>1510</v>
      </c>
      <c r="M2752" s="1250">
        <v>1</v>
      </c>
      <c r="N2752" s="1251">
        <v>1</v>
      </c>
      <c r="O2752" s="1252">
        <v>1</v>
      </c>
    </row>
    <row r="2753" spans="1:15">
      <c r="A2753" s="1246" t="s">
        <v>1490</v>
      </c>
      <c r="B2753" s="1246" t="s">
        <v>427</v>
      </c>
      <c r="C2753" s="1247">
        <v>0.45</v>
      </c>
      <c r="F2753" s="1248">
        <v>1</v>
      </c>
      <c r="G2753" s="1248">
        <v>3</v>
      </c>
      <c r="H2753" s="1249">
        <v>1</v>
      </c>
      <c r="I2753" s="1246" t="s">
        <v>1491</v>
      </c>
      <c r="J2753" s="1246" t="s">
        <v>1456</v>
      </c>
      <c r="K2753" s="1284" t="str">
        <f t="shared" si="42"/>
        <v>33</v>
      </c>
      <c r="L2753" s="1246" t="s">
        <v>1519</v>
      </c>
      <c r="M2753" s="1250">
        <v>2</v>
      </c>
      <c r="N2753" s="1251">
        <v>2</v>
      </c>
      <c r="O2753" s="1252">
        <v>2</v>
      </c>
    </row>
    <row r="2754" spans="1:15">
      <c r="A2754" s="1246" t="s">
        <v>1490</v>
      </c>
      <c r="B2754" s="1246" t="s">
        <v>427</v>
      </c>
      <c r="C2754" s="1247">
        <v>0.45</v>
      </c>
      <c r="F2754" s="1248">
        <v>1</v>
      </c>
      <c r="G2754" s="1248">
        <v>14</v>
      </c>
      <c r="H2754" s="1249">
        <v>1</v>
      </c>
      <c r="I2754" s="1246" t="s">
        <v>1491</v>
      </c>
      <c r="J2754" s="1246" t="s">
        <v>1461</v>
      </c>
      <c r="K2754" s="1284" t="str">
        <f t="shared" ref="K2754:K2817" si="43">IF(J2754="1B","10", IF(J2754="2B","20",IF(J2754="3B","30",IF(J2754="7B",70,J2754))))</f>
        <v>3C</v>
      </c>
      <c r="L2754" s="1246" t="s">
        <v>1502</v>
      </c>
      <c r="M2754" s="1250">
        <v>1</v>
      </c>
      <c r="N2754" s="1251">
        <v>1</v>
      </c>
      <c r="O2754" s="1252">
        <v>1</v>
      </c>
    </row>
    <row r="2755" spans="1:15">
      <c r="A2755" s="1246" t="s">
        <v>1490</v>
      </c>
      <c r="B2755" s="1246" t="s">
        <v>427</v>
      </c>
      <c r="C2755" s="1247">
        <v>0.45</v>
      </c>
      <c r="F2755" s="1248">
        <v>2</v>
      </c>
      <c r="G2755" s="1248">
        <v>1</v>
      </c>
      <c r="H2755" s="1249">
        <v>1</v>
      </c>
      <c r="I2755" s="1246" t="s">
        <v>1491</v>
      </c>
      <c r="J2755" s="1246" t="s">
        <v>1460</v>
      </c>
      <c r="K2755" s="1284" t="str">
        <f t="shared" si="43"/>
        <v>30</v>
      </c>
      <c r="L2755" s="1246" t="s">
        <v>1498</v>
      </c>
      <c r="M2755" s="1250">
        <v>2</v>
      </c>
      <c r="N2755" s="1251">
        <v>2</v>
      </c>
      <c r="O2755" s="1252">
        <v>1</v>
      </c>
    </row>
    <row r="2756" spans="1:15">
      <c r="A2756" s="1246" t="s">
        <v>1490</v>
      </c>
      <c r="B2756" s="1246" t="s">
        <v>427</v>
      </c>
      <c r="C2756" s="1247">
        <v>0.45</v>
      </c>
      <c r="F2756" s="1248">
        <v>2</v>
      </c>
      <c r="G2756" s="1248">
        <v>1</v>
      </c>
      <c r="H2756" s="1249">
        <v>1</v>
      </c>
      <c r="I2756" s="1246" t="s">
        <v>1491</v>
      </c>
      <c r="J2756" s="1246" t="s">
        <v>1457</v>
      </c>
      <c r="K2756" s="1284" t="str">
        <f t="shared" si="43"/>
        <v>35</v>
      </c>
      <c r="L2756" s="1246" t="s">
        <v>1501</v>
      </c>
      <c r="M2756" s="1250">
        <v>1</v>
      </c>
      <c r="N2756" s="1251">
        <v>2</v>
      </c>
      <c r="O2756" s="1252">
        <v>1</v>
      </c>
    </row>
    <row r="2757" spans="1:15">
      <c r="A2757" s="1246" t="s">
        <v>1490</v>
      </c>
      <c r="B2757" s="1246" t="s">
        <v>427</v>
      </c>
      <c r="C2757" s="1247">
        <v>0.45</v>
      </c>
      <c r="F2757" s="1248">
        <v>2</v>
      </c>
      <c r="G2757" s="1248">
        <v>1</v>
      </c>
      <c r="H2757" s="1249">
        <v>1</v>
      </c>
      <c r="I2757" s="1246" t="s">
        <v>1491</v>
      </c>
      <c r="J2757" s="1246" t="s">
        <v>1458</v>
      </c>
      <c r="K2757" s="1284" t="str">
        <f t="shared" si="43"/>
        <v>36</v>
      </c>
      <c r="L2757" s="1246" t="s">
        <v>1514</v>
      </c>
      <c r="M2757" s="1250">
        <v>2</v>
      </c>
      <c r="N2757" s="1251">
        <v>2</v>
      </c>
      <c r="O2757" s="1252">
        <v>1</v>
      </c>
    </row>
    <row r="2758" spans="1:15">
      <c r="A2758" s="1246" t="s">
        <v>1490</v>
      </c>
      <c r="B2758" s="1246" t="s">
        <v>427</v>
      </c>
      <c r="C2758" s="1247">
        <v>0.45</v>
      </c>
      <c r="E2758" s="1246" t="s">
        <v>370</v>
      </c>
      <c r="F2758" s="1248">
        <v>2</v>
      </c>
      <c r="G2758" s="1248">
        <v>1</v>
      </c>
      <c r="H2758" s="1249">
        <v>1</v>
      </c>
      <c r="I2758" s="1246" t="s">
        <v>1491</v>
      </c>
      <c r="J2758" s="1246" t="s">
        <v>1399</v>
      </c>
      <c r="K2758" s="1284" t="str">
        <f t="shared" si="43"/>
        <v>30</v>
      </c>
      <c r="L2758" s="1246" t="s">
        <v>1515</v>
      </c>
      <c r="M2758" s="1250">
        <v>2</v>
      </c>
      <c r="N2758" s="1251">
        <v>2</v>
      </c>
      <c r="O2758" s="1252">
        <v>1</v>
      </c>
    </row>
    <row r="2759" spans="1:15">
      <c r="A2759" s="1246" t="s">
        <v>1490</v>
      </c>
      <c r="B2759" s="1246" t="s">
        <v>427</v>
      </c>
      <c r="C2759" s="1247">
        <v>0.45</v>
      </c>
      <c r="F2759" s="1248">
        <v>2</v>
      </c>
      <c r="G2759" s="1248">
        <v>1</v>
      </c>
      <c r="H2759" s="1249">
        <v>1</v>
      </c>
      <c r="I2759" s="1246" t="s">
        <v>1491</v>
      </c>
      <c r="J2759" s="1246" t="s">
        <v>1457</v>
      </c>
      <c r="K2759" s="1284" t="str">
        <f t="shared" si="43"/>
        <v>35</v>
      </c>
      <c r="L2759" s="1246" t="s">
        <v>1517</v>
      </c>
      <c r="M2759" s="1250">
        <v>2</v>
      </c>
      <c r="N2759" s="1251">
        <v>4</v>
      </c>
      <c r="O2759" s="1252">
        <v>2</v>
      </c>
    </row>
    <row r="2760" spans="1:15">
      <c r="A2760" s="1246" t="s">
        <v>1490</v>
      </c>
      <c r="B2760" s="1246" t="s">
        <v>427</v>
      </c>
      <c r="C2760" s="1247">
        <v>0.45</v>
      </c>
      <c r="E2760" s="1246" t="s">
        <v>370</v>
      </c>
      <c r="F2760" s="1248">
        <v>2</v>
      </c>
      <c r="G2760" s="1248">
        <v>1</v>
      </c>
      <c r="H2760" s="1249">
        <v>1</v>
      </c>
      <c r="I2760" s="1246" t="s">
        <v>1491</v>
      </c>
      <c r="J2760" s="1246" t="s">
        <v>1456</v>
      </c>
      <c r="K2760" s="1284" t="str">
        <f t="shared" si="43"/>
        <v>33</v>
      </c>
      <c r="L2760" s="1246" t="s">
        <v>1519</v>
      </c>
      <c r="M2760" s="1250">
        <v>2</v>
      </c>
      <c r="N2760" s="1251">
        <v>2</v>
      </c>
      <c r="O2760" s="1252">
        <v>1</v>
      </c>
    </row>
    <row r="2761" spans="1:15">
      <c r="A2761" s="1246" t="s">
        <v>1490</v>
      </c>
      <c r="B2761" s="1246" t="s">
        <v>427</v>
      </c>
      <c r="C2761" s="1247">
        <v>0.45</v>
      </c>
      <c r="F2761" s="1248">
        <v>2</v>
      </c>
      <c r="G2761" s="1248">
        <v>1</v>
      </c>
      <c r="H2761" s="1249">
        <v>1</v>
      </c>
      <c r="I2761" s="1246" t="s">
        <v>1491</v>
      </c>
      <c r="J2761" s="1246" t="s">
        <v>1456</v>
      </c>
      <c r="K2761" s="1284" t="str">
        <f t="shared" si="43"/>
        <v>33</v>
      </c>
      <c r="L2761" s="1246" t="s">
        <v>1519</v>
      </c>
      <c r="M2761" s="1250">
        <v>2</v>
      </c>
      <c r="N2761" s="1251">
        <v>34</v>
      </c>
      <c r="O2761" s="1252">
        <v>17</v>
      </c>
    </row>
    <row r="2762" spans="1:15">
      <c r="A2762" s="1246" t="s">
        <v>1490</v>
      </c>
      <c r="B2762" s="1246" t="s">
        <v>427</v>
      </c>
      <c r="C2762" s="1247">
        <v>0.45</v>
      </c>
      <c r="F2762" s="1248">
        <v>2</v>
      </c>
      <c r="G2762" s="1248">
        <v>1</v>
      </c>
      <c r="H2762" s="1249">
        <v>1</v>
      </c>
      <c r="I2762" s="1246" t="s">
        <v>1491</v>
      </c>
      <c r="J2762" s="1246" t="s">
        <v>1458</v>
      </c>
      <c r="K2762" s="1284" t="str">
        <f t="shared" si="43"/>
        <v>36</v>
      </c>
      <c r="L2762" s="1246" t="s">
        <v>1524</v>
      </c>
      <c r="M2762" s="1250">
        <v>3</v>
      </c>
      <c r="N2762" s="1251">
        <v>2</v>
      </c>
      <c r="O2762" s="1252">
        <v>1</v>
      </c>
    </row>
    <row r="2763" spans="1:15">
      <c r="A2763" s="1246" t="s">
        <v>1490</v>
      </c>
      <c r="B2763" s="1246" t="s">
        <v>427</v>
      </c>
      <c r="C2763" s="1247">
        <v>0.45</v>
      </c>
      <c r="F2763" s="1248">
        <v>2</v>
      </c>
      <c r="G2763" s="1248">
        <v>2</v>
      </c>
      <c r="H2763" s="1249">
        <v>1</v>
      </c>
      <c r="I2763" s="1246" t="s">
        <v>1491</v>
      </c>
      <c r="J2763" s="1246" t="s">
        <v>1460</v>
      </c>
      <c r="K2763" s="1284" t="str">
        <f t="shared" si="43"/>
        <v>30</v>
      </c>
      <c r="L2763" s="1246" t="s">
        <v>1497</v>
      </c>
      <c r="M2763" s="1250">
        <v>1</v>
      </c>
      <c r="N2763" s="1251">
        <v>24</v>
      </c>
      <c r="O2763" s="1252">
        <v>12</v>
      </c>
    </row>
    <row r="2764" spans="1:15">
      <c r="A2764" s="1246" t="s">
        <v>1490</v>
      </c>
      <c r="B2764" s="1246" t="s">
        <v>427</v>
      </c>
      <c r="C2764" s="1247">
        <v>0.45</v>
      </c>
      <c r="F2764" s="1248">
        <v>2</v>
      </c>
      <c r="G2764" s="1248">
        <v>2</v>
      </c>
      <c r="H2764" s="1249">
        <v>1</v>
      </c>
      <c r="I2764" s="1246" t="s">
        <v>1491</v>
      </c>
      <c r="J2764" s="1246" t="s">
        <v>1461</v>
      </c>
      <c r="K2764" s="1284" t="str">
        <f t="shared" si="43"/>
        <v>3C</v>
      </c>
      <c r="L2764" s="1246" t="s">
        <v>1502</v>
      </c>
      <c r="M2764" s="1250">
        <v>1</v>
      </c>
      <c r="N2764" s="1251">
        <v>16</v>
      </c>
      <c r="O2764" s="1252">
        <v>8</v>
      </c>
    </row>
    <row r="2765" spans="1:15">
      <c r="A2765" s="1246" t="s">
        <v>1490</v>
      </c>
      <c r="B2765" s="1246" t="s">
        <v>427</v>
      </c>
      <c r="C2765" s="1247">
        <v>0.45</v>
      </c>
      <c r="F2765" s="1248">
        <v>2</v>
      </c>
      <c r="G2765" s="1248">
        <v>2</v>
      </c>
      <c r="H2765" s="1249">
        <v>1</v>
      </c>
      <c r="I2765" s="1246" t="s">
        <v>1491</v>
      </c>
      <c r="J2765" s="1246" t="s">
        <v>1461</v>
      </c>
      <c r="K2765" s="1284" t="str">
        <f t="shared" si="43"/>
        <v>3C</v>
      </c>
      <c r="L2765" s="1246" t="s">
        <v>1502</v>
      </c>
      <c r="M2765" s="1250">
        <v>3</v>
      </c>
      <c r="N2765" s="1251">
        <v>30</v>
      </c>
      <c r="O2765" s="1252">
        <v>15</v>
      </c>
    </row>
    <row r="2766" spans="1:15">
      <c r="A2766" s="1246" t="s">
        <v>1490</v>
      </c>
      <c r="B2766" s="1246" t="s">
        <v>427</v>
      </c>
      <c r="C2766" s="1247">
        <v>0.45</v>
      </c>
      <c r="F2766" s="1248">
        <v>2</v>
      </c>
      <c r="G2766" s="1248">
        <v>2</v>
      </c>
      <c r="H2766" s="1249">
        <v>1</v>
      </c>
      <c r="I2766" s="1246" t="s">
        <v>1491</v>
      </c>
      <c r="J2766" s="1246" t="s">
        <v>1460</v>
      </c>
      <c r="K2766" s="1284" t="str">
        <f t="shared" si="43"/>
        <v>30</v>
      </c>
      <c r="L2766" s="1246" t="s">
        <v>1498</v>
      </c>
      <c r="M2766" s="1250">
        <v>2</v>
      </c>
      <c r="N2766" s="1251">
        <v>12</v>
      </c>
      <c r="O2766" s="1252">
        <v>6</v>
      </c>
    </row>
    <row r="2767" spans="1:15">
      <c r="A2767" s="1246" t="s">
        <v>1490</v>
      </c>
      <c r="B2767" s="1246" t="s">
        <v>427</v>
      </c>
      <c r="C2767" s="1247">
        <v>0.45</v>
      </c>
      <c r="F2767" s="1248">
        <v>2</v>
      </c>
      <c r="G2767" s="1248">
        <v>2</v>
      </c>
      <c r="H2767" s="1249">
        <v>1</v>
      </c>
      <c r="I2767" s="1246" t="s">
        <v>1491</v>
      </c>
      <c r="J2767" s="1246" t="s">
        <v>1460</v>
      </c>
      <c r="K2767" s="1284" t="str">
        <f t="shared" si="43"/>
        <v>30</v>
      </c>
      <c r="L2767" s="1246" t="s">
        <v>1499</v>
      </c>
      <c r="M2767" s="1250">
        <v>5</v>
      </c>
      <c r="N2767" s="1251">
        <v>10</v>
      </c>
      <c r="O2767" s="1252">
        <v>5</v>
      </c>
    </row>
    <row r="2768" spans="1:15">
      <c r="A2768" s="1246" t="s">
        <v>1490</v>
      </c>
      <c r="B2768" s="1246" t="s">
        <v>427</v>
      </c>
      <c r="C2768" s="1247">
        <v>0.45</v>
      </c>
      <c r="F2768" s="1248">
        <v>2</v>
      </c>
      <c r="G2768" s="1248">
        <v>2</v>
      </c>
      <c r="H2768" s="1249">
        <v>1</v>
      </c>
      <c r="I2768" s="1246" t="s">
        <v>1491</v>
      </c>
      <c r="J2768" s="1246" t="s">
        <v>1399</v>
      </c>
      <c r="K2768" s="1284" t="str">
        <f t="shared" si="43"/>
        <v>30</v>
      </c>
      <c r="L2768" s="1246" t="s">
        <v>1503</v>
      </c>
      <c r="M2768" s="1250">
        <v>1</v>
      </c>
      <c r="N2768" s="1251">
        <v>4</v>
      </c>
      <c r="O2768" s="1252">
        <v>2</v>
      </c>
    </row>
    <row r="2769" spans="1:15">
      <c r="A2769" s="1246" t="s">
        <v>1490</v>
      </c>
      <c r="B2769" s="1246" t="s">
        <v>427</v>
      </c>
      <c r="C2769" s="1247">
        <v>0.45</v>
      </c>
      <c r="F2769" s="1248">
        <v>2</v>
      </c>
      <c r="G2769" s="1248">
        <v>2</v>
      </c>
      <c r="H2769" s="1249">
        <v>1</v>
      </c>
      <c r="I2769" s="1246" t="s">
        <v>1491</v>
      </c>
      <c r="J2769" s="1246" t="s">
        <v>1399</v>
      </c>
      <c r="K2769" s="1284" t="str">
        <f t="shared" si="43"/>
        <v>30</v>
      </c>
      <c r="L2769" s="1246" t="s">
        <v>1504</v>
      </c>
      <c r="M2769" s="1250">
        <v>1</v>
      </c>
      <c r="N2769" s="1251">
        <v>2</v>
      </c>
      <c r="O2769" s="1252">
        <v>1</v>
      </c>
    </row>
    <row r="2770" spans="1:15">
      <c r="A2770" s="1246" t="s">
        <v>1490</v>
      </c>
      <c r="B2770" s="1246" t="s">
        <v>427</v>
      </c>
      <c r="C2770" s="1247">
        <v>0.45</v>
      </c>
      <c r="F2770" s="1248">
        <v>2</v>
      </c>
      <c r="G2770" s="1248">
        <v>2</v>
      </c>
      <c r="H2770" s="1249">
        <v>1</v>
      </c>
      <c r="I2770" s="1246" t="s">
        <v>1491</v>
      </c>
      <c r="J2770" s="1246" t="s">
        <v>1455</v>
      </c>
      <c r="K2770" s="1284" t="str">
        <f t="shared" si="43"/>
        <v>32</v>
      </c>
      <c r="L2770" s="1246" t="s">
        <v>1505</v>
      </c>
      <c r="M2770" s="1250">
        <v>1</v>
      </c>
      <c r="N2770" s="1251">
        <v>18</v>
      </c>
      <c r="O2770" s="1252">
        <v>9</v>
      </c>
    </row>
    <row r="2771" spans="1:15">
      <c r="A2771" s="1246" t="s">
        <v>1490</v>
      </c>
      <c r="B2771" s="1246" t="s">
        <v>427</v>
      </c>
      <c r="C2771" s="1247">
        <v>0.45</v>
      </c>
      <c r="F2771" s="1248">
        <v>2</v>
      </c>
      <c r="G2771" s="1248">
        <v>2</v>
      </c>
      <c r="H2771" s="1249">
        <v>1</v>
      </c>
      <c r="I2771" s="1246" t="s">
        <v>1491</v>
      </c>
      <c r="J2771" s="1246" t="s">
        <v>1454</v>
      </c>
      <c r="K2771" s="1284" t="str">
        <f t="shared" si="43"/>
        <v>31</v>
      </c>
      <c r="L2771" s="1246" t="s">
        <v>1506</v>
      </c>
      <c r="M2771" s="1250">
        <v>1</v>
      </c>
      <c r="N2771" s="1251">
        <v>746</v>
      </c>
      <c r="O2771" s="1252">
        <v>373</v>
      </c>
    </row>
    <row r="2772" spans="1:15">
      <c r="A2772" s="1246" t="s">
        <v>1490</v>
      </c>
      <c r="B2772" s="1246" t="s">
        <v>427</v>
      </c>
      <c r="C2772" s="1247">
        <v>0.45</v>
      </c>
      <c r="E2772" s="1246" t="s">
        <v>370</v>
      </c>
      <c r="F2772" s="1248">
        <v>2</v>
      </c>
      <c r="G2772" s="1248">
        <v>2</v>
      </c>
      <c r="H2772" s="1249">
        <v>1</v>
      </c>
      <c r="I2772" s="1246" t="s">
        <v>1491</v>
      </c>
      <c r="J2772" s="1246" t="s">
        <v>1454</v>
      </c>
      <c r="K2772" s="1284" t="str">
        <f t="shared" si="43"/>
        <v>31</v>
      </c>
      <c r="L2772" s="1246" t="s">
        <v>1506</v>
      </c>
      <c r="M2772" s="1250">
        <v>1</v>
      </c>
      <c r="N2772" s="1251">
        <v>480</v>
      </c>
      <c r="O2772" s="1252">
        <v>240</v>
      </c>
    </row>
    <row r="2773" spans="1:15">
      <c r="A2773" s="1246" t="s">
        <v>1490</v>
      </c>
      <c r="B2773" s="1246" t="s">
        <v>427</v>
      </c>
      <c r="C2773" s="1247">
        <v>0.45</v>
      </c>
      <c r="F2773" s="1248">
        <v>2</v>
      </c>
      <c r="G2773" s="1248">
        <v>2</v>
      </c>
      <c r="H2773" s="1249">
        <v>1</v>
      </c>
      <c r="I2773" s="1246" t="s">
        <v>1491</v>
      </c>
      <c r="J2773" s="1246" t="s">
        <v>1458</v>
      </c>
      <c r="K2773" s="1284" t="str">
        <f t="shared" si="43"/>
        <v>36</v>
      </c>
      <c r="L2773" s="1246" t="s">
        <v>1507</v>
      </c>
      <c r="M2773" s="1250">
        <v>1</v>
      </c>
      <c r="N2773" s="1251">
        <v>22</v>
      </c>
      <c r="O2773" s="1252">
        <v>11</v>
      </c>
    </row>
    <row r="2774" spans="1:15">
      <c r="A2774" s="1246" t="s">
        <v>1490</v>
      </c>
      <c r="B2774" s="1246" t="s">
        <v>427</v>
      </c>
      <c r="C2774" s="1247">
        <v>0.45</v>
      </c>
      <c r="E2774" s="1246" t="s">
        <v>370</v>
      </c>
      <c r="F2774" s="1248">
        <v>2</v>
      </c>
      <c r="G2774" s="1248">
        <v>2</v>
      </c>
      <c r="H2774" s="1249">
        <v>1</v>
      </c>
      <c r="I2774" s="1246" t="s">
        <v>1491</v>
      </c>
      <c r="J2774" s="1246" t="s">
        <v>1458</v>
      </c>
      <c r="K2774" s="1284" t="str">
        <f t="shared" si="43"/>
        <v>36</v>
      </c>
      <c r="L2774" s="1246" t="s">
        <v>1507</v>
      </c>
      <c r="M2774" s="1250">
        <v>1</v>
      </c>
      <c r="N2774" s="1251">
        <v>12</v>
      </c>
      <c r="O2774" s="1252">
        <v>6</v>
      </c>
    </row>
    <row r="2775" spans="1:15">
      <c r="A2775" s="1246" t="s">
        <v>1490</v>
      </c>
      <c r="B2775" s="1246" t="s">
        <v>427</v>
      </c>
      <c r="C2775" s="1247">
        <v>0.45</v>
      </c>
      <c r="E2775" s="1246" t="s">
        <v>370</v>
      </c>
      <c r="F2775" s="1248">
        <v>2</v>
      </c>
      <c r="G2775" s="1248">
        <v>2</v>
      </c>
      <c r="H2775" s="1249">
        <v>1</v>
      </c>
      <c r="I2775" s="1246" t="s">
        <v>1491</v>
      </c>
      <c r="J2775" s="1246" t="s">
        <v>1399</v>
      </c>
      <c r="K2775" s="1284" t="str">
        <f t="shared" si="43"/>
        <v>30</v>
      </c>
      <c r="L2775" s="1246" t="s">
        <v>1508</v>
      </c>
      <c r="M2775" s="1250">
        <v>1</v>
      </c>
      <c r="N2775" s="1251">
        <v>10</v>
      </c>
      <c r="O2775" s="1252">
        <v>5</v>
      </c>
    </row>
    <row r="2776" spans="1:15">
      <c r="A2776" s="1246" t="s">
        <v>1490</v>
      </c>
      <c r="B2776" s="1246" t="s">
        <v>427</v>
      </c>
      <c r="C2776" s="1247">
        <v>0.45</v>
      </c>
      <c r="F2776" s="1248">
        <v>2</v>
      </c>
      <c r="G2776" s="1248">
        <v>2</v>
      </c>
      <c r="H2776" s="1249">
        <v>1</v>
      </c>
      <c r="I2776" s="1246" t="s">
        <v>1491</v>
      </c>
      <c r="J2776" s="1246" t="s">
        <v>1399</v>
      </c>
      <c r="K2776" s="1284" t="str">
        <f t="shared" si="43"/>
        <v>30</v>
      </c>
      <c r="L2776" s="1246" t="s">
        <v>1508</v>
      </c>
      <c r="M2776" s="1250">
        <v>1</v>
      </c>
      <c r="N2776" s="1251">
        <v>24</v>
      </c>
      <c r="O2776" s="1252">
        <v>12</v>
      </c>
    </row>
    <row r="2777" spans="1:15">
      <c r="A2777" s="1246" t="s">
        <v>1490</v>
      </c>
      <c r="B2777" s="1246" t="s">
        <v>427</v>
      </c>
      <c r="C2777" s="1247">
        <v>0.45</v>
      </c>
      <c r="F2777" s="1248">
        <v>2</v>
      </c>
      <c r="G2777" s="1248">
        <v>2</v>
      </c>
      <c r="H2777" s="1249">
        <v>1</v>
      </c>
      <c r="I2777" s="1246" t="s">
        <v>1491</v>
      </c>
      <c r="J2777" s="1246" t="s">
        <v>1399</v>
      </c>
      <c r="K2777" s="1284" t="str">
        <f t="shared" si="43"/>
        <v>30</v>
      </c>
      <c r="L2777" s="1246" t="s">
        <v>1509</v>
      </c>
      <c r="M2777" s="1250">
        <v>1</v>
      </c>
      <c r="N2777" s="1251">
        <v>10</v>
      </c>
      <c r="O2777" s="1252">
        <v>5</v>
      </c>
    </row>
    <row r="2778" spans="1:15">
      <c r="A2778" s="1246" t="s">
        <v>1490</v>
      </c>
      <c r="B2778" s="1246" t="s">
        <v>427</v>
      </c>
      <c r="C2778" s="1247">
        <v>0.45</v>
      </c>
      <c r="E2778" s="1246" t="s">
        <v>370</v>
      </c>
      <c r="F2778" s="1248">
        <v>2</v>
      </c>
      <c r="G2778" s="1248">
        <v>2</v>
      </c>
      <c r="H2778" s="1249">
        <v>1</v>
      </c>
      <c r="I2778" s="1246" t="s">
        <v>1491</v>
      </c>
      <c r="J2778" s="1246" t="s">
        <v>1399</v>
      </c>
      <c r="K2778" s="1284" t="str">
        <f t="shared" si="43"/>
        <v>30</v>
      </c>
      <c r="L2778" s="1246" t="s">
        <v>1509</v>
      </c>
      <c r="M2778" s="1250">
        <v>1</v>
      </c>
      <c r="N2778" s="1251">
        <v>4</v>
      </c>
      <c r="O2778" s="1252">
        <v>2</v>
      </c>
    </row>
    <row r="2779" spans="1:15">
      <c r="A2779" s="1246" t="s">
        <v>1490</v>
      </c>
      <c r="B2779" s="1246" t="s">
        <v>427</v>
      </c>
      <c r="C2779" s="1247">
        <v>0.45</v>
      </c>
      <c r="F2779" s="1248">
        <v>2</v>
      </c>
      <c r="G2779" s="1248">
        <v>2</v>
      </c>
      <c r="H2779" s="1249">
        <v>1</v>
      </c>
      <c r="I2779" s="1246" t="s">
        <v>1491</v>
      </c>
      <c r="J2779" s="1246" t="s">
        <v>1457</v>
      </c>
      <c r="K2779" s="1284" t="str">
        <f t="shared" si="43"/>
        <v>35</v>
      </c>
      <c r="L2779" s="1246" t="s">
        <v>1501</v>
      </c>
      <c r="M2779" s="1250">
        <v>1</v>
      </c>
      <c r="N2779" s="1251">
        <v>94</v>
      </c>
      <c r="O2779" s="1252">
        <v>47</v>
      </c>
    </row>
    <row r="2780" spans="1:15">
      <c r="A2780" s="1246" t="s">
        <v>1490</v>
      </c>
      <c r="B2780" s="1246" t="s">
        <v>427</v>
      </c>
      <c r="C2780" s="1247">
        <v>0.45</v>
      </c>
      <c r="F2780" s="1248">
        <v>2</v>
      </c>
      <c r="G2780" s="1248">
        <v>2</v>
      </c>
      <c r="H2780" s="1249">
        <v>1</v>
      </c>
      <c r="I2780" s="1246" t="s">
        <v>1491</v>
      </c>
      <c r="J2780" s="1246" t="s">
        <v>1399</v>
      </c>
      <c r="K2780" s="1284" t="str">
        <f t="shared" si="43"/>
        <v>30</v>
      </c>
      <c r="L2780" s="1246" t="s">
        <v>1510</v>
      </c>
      <c r="M2780" s="1250">
        <v>1</v>
      </c>
      <c r="N2780" s="1251">
        <v>40</v>
      </c>
      <c r="O2780" s="1252">
        <v>20</v>
      </c>
    </row>
    <row r="2781" spans="1:15">
      <c r="A2781" s="1246" t="s">
        <v>1490</v>
      </c>
      <c r="B2781" s="1246" t="s">
        <v>427</v>
      </c>
      <c r="C2781" s="1247">
        <v>0.45</v>
      </c>
      <c r="E2781" s="1246" t="s">
        <v>370</v>
      </c>
      <c r="F2781" s="1248">
        <v>2</v>
      </c>
      <c r="G2781" s="1248">
        <v>2</v>
      </c>
      <c r="H2781" s="1249">
        <v>1</v>
      </c>
      <c r="I2781" s="1246" t="s">
        <v>1491</v>
      </c>
      <c r="J2781" s="1246" t="s">
        <v>1399</v>
      </c>
      <c r="K2781" s="1284" t="str">
        <f t="shared" si="43"/>
        <v>30</v>
      </c>
      <c r="L2781" s="1246" t="s">
        <v>1510</v>
      </c>
      <c r="M2781" s="1250">
        <v>1</v>
      </c>
      <c r="N2781" s="1251">
        <v>14</v>
      </c>
      <c r="O2781" s="1252">
        <v>7</v>
      </c>
    </row>
    <row r="2782" spans="1:15">
      <c r="A2782" s="1246" t="s">
        <v>1490</v>
      </c>
      <c r="B2782" s="1246" t="s">
        <v>427</v>
      </c>
      <c r="C2782" s="1247">
        <v>0.45</v>
      </c>
      <c r="F2782" s="1248">
        <v>2</v>
      </c>
      <c r="G2782" s="1248">
        <v>2</v>
      </c>
      <c r="H2782" s="1249">
        <v>1</v>
      </c>
      <c r="I2782" s="1246" t="s">
        <v>1491</v>
      </c>
      <c r="J2782" s="1246" t="s">
        <v>1399</v>
      </c>
      <c r="K2782" s="1284" t="str">
        <f t="shared" si="43"/>
        <v>30</v>
      </c>
      <c r="L2782" s="1246" t="s">
        <v>1511</v>
      </c>
      <c r="M2782" s="1250">
        <v>2</v>
      </c>
      <c r="N2782" s="1251">
        <v>6</v>
      </c>
      <c r="O2782" s="1252">
        <v>3</v>
      </c>
    </row>
    <row r="2783" spans="1:15">
      <c r="A2783" s="1246" t="s">
        <v>1490</v>
      </c>
      <c r="B2783" s="1246" t="s">
        <v>427</v>
      </c>
      <c r="C2783" s="1247">
        <v>0.45</v>
      </c>
      <c r="E2783" s="1246" t="s">
        <v>370</v>
      </c>
      <c r="F2783" s="1248">
        <v>2</v>
      </c>
      <c r="G2783" s="1248">
        <v>2</v>
      </c>
      <c r="H2783" s="1249">
        <v>1</v>
      </c>
      <c r="I2783" s="1246" t="s">
        <v>1491</v>
      </c>
      <c r="J2783" s="1246" t="s">
        <v>1399</v>
      </c>
      <c r="K2783" s="1284" t="str">
        <f t="shared" si="43"/>
        <v>30</v>
      </c>
      <c r="L2783" s="1246" t="s">
        <v>1511</v>
      </c>
      <c r="M2783" s="1250">
        <v>2</v>
      </c>
      <c r="N2783" s="1251">
        <v>2</v>
      </c>
      <c r="O2783" s="1252">
        <v>1</v>
      </c>
    </row>
    <row r="2784" spans="1:15">
      <c r="A2784" s="1246" t="s">
        <v>1490</v>
      </c>
      <c r="B2784" s="1246" t="s">
        <v>427</v>
      </c>
      <c r="C2784" s="1247">
        <v>0.45</v>
      </c>
      <c r="F2784" s="1248">
        <v>2</v>
      </c>
      <c r="G2784" s="1248">
        <v>2</v>
      </c>
      <c r="H2784" s="1249">
        <v>1</v>
      </c>
      <c r="I2784" s="1246" t="s">
        <v>1491</v>
      </c>
      <c r="J2784" s="1246" t="s">
        <v>1455</v>
      </c>
      <c r="K2784" s="1284" t="str">
        <f t="shared" si="43"/>
        <v>32</v>
      </c>
      <c r="L2784" s="1246" t="s">
        <v>1513</v>
      </c>
      <c r="M2784" s="1250">
        <v>2</v>
      </c>
      <c r="N2784" s="1251">
        <v>26</v>
      </c>
      <c r="O2784" s="1252">
        <v>13</v>
      </c>
    </row>
    <row r="2785" spans="1:15">
      <c r="A2785" s="1246" t="s">
        <v>1490</v>
      </c>
      <c r="B2785" s="1246" t="s">
        <v>427</v>
      </c>
      <c r="C2785" s="1247">
        <v>0.45</v>
      </c>
      <c r="F2785" s="1248">
        <v>2</v>
      </c>
      <c r="G2785" s="1248">
        <v>2</v>
      </c>
      <c r="H2785" s="1249">
        <v>1</v>
      </c>
      <c r="I2785" s="1246" t="s">
        <v>1491</v>
      </c>
      <c r="J2785" s="1246" t="s">
        <v>1454</v>
      </c>
      <c r="K2785" s="1284" t="str">
        <f t="shared" si="43"/>
        <v>31</v>
      </c>
      <c r="L2785" s="1246" t="s">
        <v>1500</v>
      </c>
      <c r="M2785" s="1250">
        <v>2</v>
      </c>
      <c r="N2785" s="1251">
        <v>592</v>
      </c>
      <c r="O2785" s="1252">
        <v>296</v>
      </c>
    </row>
    <row r="2786" spans="1:15">
      <c r="A2786" s="1246" t="s">
        <v>1490</v>
      </c>
      <c r="B2786" s="1246" t="s">
        <v>427</v>
      </c>
      <c r="C2786" s="1247">
        <v>0.45</v>
      </c>
      <c r="E2786" s="1246" t="s">
        <v>370</v>
      </c>
      <c r="F2786" s="1248">
        <v>2</v>
      </c>
      <c r="G2786" s="1248">
        <v>2</v>
      </c>
      <c r="H2786" s="1249">
        <v>1</v>
      </c>
      <c r="I2786" s="1246" t="s">
        <v>1491</v>
      </c>
      <c r="J2786" s="1246" t="s">
        <v>1454</v>
      </c>
      <c r="K2786" s="1284" t="str">
        <f t="shared" si="43"/>
        <v>31</v>
      </c>
      <c r="L2786" s="1246" t="s">
        <v>1500</v>
      </c>
      <c r="M2786" s="1250">
        <v>2</v>
      </c>
      <c r="N2786" s="1251">
        <v>316</v>
      </c>
      <c r="O2786" s="1252">
        <v>158</v>
      </c>
    </row>
    <row r="2787" spans="1:15">
      <c r="A2787" s="1246" t="s">
        <v>1490</v>
      </c>
      <c r="B2787" s="1246" t="s">
        <v>427</v>
      </c>
      <c r="C2787" s="1247">
        <v>0.45</v>
      </c>
      <c r="F2787" s="1248">
        <v>2</v>
      </c>
      <c r="G2787" s="1248">
        <v>2</v>
      </c>
      <c r="H2787" s="1249">
        <v>1</v>
      </c>
      <c r="I2787" s="1246" t="s">
        <v>1491</v>
      </c>
      <c r="J2787" s="1246" t="s">
        <v>1458</v>
      </c>
      <c r="K2787" s="1284" t="str">
        <f t="shared" si="43"/>
        <v>36</v>
      </c>
      <c r="L2787" s="1246" t="s">
        <v>1514</v>
      </c>
      <c r="M2787" s="1250">
        <v>2</v>
      </c>
      <c r="N2787" s="1251">
        <v>50</v>
      </c>
      <c r="O2787" s="1252">
        <v>25</v>
      </c>
    </row>
    <row r="2788" spans="1:15">
      <c r="A2788" s="1246" t="s">
        <v>1490</v>
      </c>
      <c r="B2788" s="1246" t="s">
        <v>427</v>
      </c>
      <c r="C2788" s="1247">
        <v>0.45</v>
      </c>
      <c r="E2788" s="1246" t="s">
        <v>370</v>
      </c>
      <c r="F2788" s="1248">
        <v>2</v>
      </c>
      <c r="G2788" s="1248">
        <v>2</v>
      </c>
      <c r="H2788" s="1249">
        <v>1</v>
      </c>
      <c r="I2788" s="1246" t="s">
        <v>1491</v>
      </c>
      <c r="J2788" s="1246" t="s">
        <v>1458</v>
      </c>
      <c r="K2788" s="1284" t="str">
        <f t="shared" si="43"/>
        <v>36</v>
      </c>
      <c r="L2788" s="1246" t="s">
        <v>1514</v>
      </c>
      <c r="M2788" s="1250">
        <v>2</v>
      </c>
      <c r="N2788" s="1251">
        <v>14</v>
      </c>
      <c r="O2788" s="1252">
        <v>7</v>
      </c>
    </row>
    <row r="2789" spans="1:15">
      <c r="A2789" s="1246" t="s">
        <v>1490</v>
      </c>
      <c r="B2789" s="1246" t="s">
        <v>427</v>
      </c>
      <c r="C2789" s="1247">
        <v>0.45</v>
      </c>
      <c r="E2789" s="1246" t="s">
        <v>370</v>
      </c>
      <c r="F2789" s="1248">
        <v>2</v>
      </c>
      <c r="G2789" s="1248">
        <v>2</v>
      </c>
      <c r="H2789" s="1249">
        <v>1</v>
      </c>
      <c r="I2789" s="1246" t="s">
        <v>1491</v>
      </c>
      <c r="J2789" s="1246" t="s">
        <v>1399</v>
      </c>
      <c r="K2789" s="1284" t="str">
        <f t="shared" si="43"/>
        <v>30</v>
      </c>
      <c r="L2789" s="1246" t="s">
        <v>1515</v>
      </c>
      <c r="M2789" s="1250">
        <v>2</v>
      </c>
      <c r="N2789" s="1251">
        <v>14</v>
      </c>
      <c r="O2789" s="1252">
        <v>7</v>
      </c>
    </row>
    <row r="2790" spans="1:15">
      <c r="A2790" s="1246" t="s">
        <v>1490</v>
      </c>
      <c r="B2790" s="1246" t="s">
        <v>427</v>
      </c>
      <c r="C2790" s="1247">
        <v>0.45</v>
      </c>
      <c r="F2790" s="1248">
        <v>2</v>
      </c>
      <c r="G2790" s="1248">
        <v>2</v>
      </c>
      <c r="H2790" s="1249">
        <v>1</v>
      </c>
      <c r="I2790" s="1246" t="s">
        <v>1491</v>
      </c>
      <c r="J2790" s="1246" t="s">
        <v>1399</v>
      </c>
      <c r="K2790" s="1284" t="str">
        <f t="shared" si="43"/>
        <v>30</v>
      </c>
      <c r="L2790" s="1246" t="s">
        <v>1515</v>
      </c>
      <c r="M2790" s="1250">
        <v>2</v>
      </c>
      <c r="N2790" s="1251">
        <v>42</v>
      </c>
      <c r="O2790" s="1252">
        <v>21</v>
      </c>
    </row>
    <row r="2791" spans="1:15">
      <c r="A2791" s="1246" t="s">
        <v>1490</v>
      </c>
      <c r="B2791" s="1246" t="s">
        <v>427</v>
      </c>
      <c r="C2791" s="1247">
        <v>0.45</v>
      </c>
      <c r="F2791" s="1248">
        <v>2</v>
      </c>
      <c r="G2791" s="1248">
        <v>2</v>
      </c>
      <c r="H2791" s="1249">
        <v>1</v>
      </c>
      <c r="I2791" s="1246" t="s">
        <v>1491</v>
      </c>
      <c r="J2791" s="1246" t="s">
        <v>1399</v>
      </c>
      <c r="K2791" s="1284" t="str">
        <f t="shared" si="43"/>
        <v>30</v>
      </c>
      <c r="L2791" s="1246" t="s">
        <v>1516</v>
      </c>
      <c r="M2791" s="1250">
        <v>2</v>
      </c>
      <c r="N2791" s="1251">
        <v>18</v>
      </c>
      <c r="O2791" s="1252">
        <v>9</v>
      </c>
    </row>
    <row r="2792" spans="1:15">
      <c r="A2792" s="1246" t="s">
        <v>1490</v>
      </c>
      <c r="B2792" s="1246" t="s">
        <v>427</v>
      </c>
      <c r="C2792" s="1247">
        <v>0.45</v>
      </c>
      <c r="E2792" s="1246" t="s">
        <v>370</v>
      </c>
      <c r="F2792" s="1248">
        <v>2</v>
      </c>
      <c r="G2792" s="1248">
        <v>2</v>
      </c>
      <c r="H2792" s="1249">
        <v>1</v>
      </c>
      <c r="I2792" s="1246" t="s">
        <v>1491</v>
      </c>
      <c r="J2792" s="1246" t="s">
        <v>1399</v>
      </c>
      <c r="K2792" s="1284" t="str">
        <f t="shared" si="43"/>
        <v>30</v>
      </c>
      <c r="L2792" s="1246" t="s">
        <v>1516</v>
      </c>
      <c r="M2792" s="1250">
        <v>2</v>
      </c>
      <c r="N2792" s="1251">
        <v>8</v>
      </c>
      <c r="O2792" s="1252">
        <v>4</v>
      </c>
    </row>
    <row r="2793" spans="1:15">
      <c r="A2793" s="1246" t="s">
        <v>1490</v>
      </c>
      <c r="B2793" s="1246" t="s">
        <v>427</v>
      </c>
      <c r="C2793" s="1247">
        <v>0.45</v>
      </c>
      <c r="F2793" s="1248">
        <v>2</v>
      </c>
      <c r="G2793" s="1248">
        <v>2</v>
      </c>
      <c r="H2793" s="1249">
        <v>1</v>
      </c>
      <c r="I2793" s="1246" t="s">
        <v>1491</v>
      </c>
      <c r="J2793" s="1246" t="s">
        <v>1457</v>
      </c>
      <c r="K2793" s="1284" t="str">
        <f t="shared" si="43"/>
        <v>35</v>
      </c>
      <c r="L2793" s="1246" t="s">
        <v>1517</v>
      </c>
      <c r="M2793" s="1250">
        <v>2</v>
      </c>
      <c r="N2793" s="1251">
        <v>118</v>
      </c>
      <c r="O2793" s="1252">
        <v>59</v>
      </c>
    </row>
    <row r="2794" spans="1:15">
      <c r="A2794" s="1246" t="s">
        <v>1490</v>
      </c>
      <c r="B2794" s="1246" t="s">
        <v>427</v>
      </c>
      <c r="C2794" s="1247">
        <v>0.45</v>
      </c>
      <c r="F2794" s="1248">
        <v>2</v>
      </c>
      <c r="G2794" s="1248">
        <v>2</v>
      </c>
      <c r="H2794" s="1249">
        <v>1</v>
      </c>
      <c r="I2794" s="1246" t="s">
        <v>1491</v>
      </c>
      <c r="J2794" s="1246" t="s">
        <v>1399</v>
      </c>
      <c r="K2794" s="1284" t="str">
        <f t="shared" si="43"/>
        <v>30</v>
      </c>
      <c r="L2794" s="1246" t="s">
        <v>1518</v>
      </c>
      <c r="M2794" s="1250">
        <v>2</v>
      </c>
      <c r="N2794" s="1251">
        <v>44</v>
      </c>
      <c r="O2794" s="1252">
        <v>22</v>
      </c>
    </row>
    <row r="2795" spans="1:15">
      <c r="A2795" s="1246" t="s">
        <v>1490</v>
      </c>
      <c r="B2795" s="1246" t="s">
        <v>427</v>
      </c>
      <c r="C2795" s="1247">
        <v>0.45</v>
      </c>
      <c r="E2795" s="1246" t="s">
        <v>370</v>
      </c>
      <c r="F2795" s="1248">
        <v>2</v>
      </c>
      <c r="G2795" s="1248">
        <v>2</v>
      </c>
      <c r="H2795" s="1249">
        <v>1</v>
      </c>
      <c r="I2795" s="1246" t="s">
        <v>1491</v>
      </c>
      <c r="J2795" s="1246" t="s">
        <v>1399</v>
      </c>
      <c r="K2795" s="1284" t="str">
        <f t="shared" si="43"/>
        <v>30</v>
      </c>
      <c r="L2795" s="1246" t="s">
        <v>1518</v>
      </c>
      <c r="M2795" s="1250">
        <v>2</v>
      </c>
      <c r="N2795" s="1251">
        <v>12</v>
      </c>
      <c r="O2795" s="1252">
        <v>6</v>
      </c>
    </row>
    <row r="2796" spans="1:15">
      <c r="A2796" s="1246" t="s">
        <v>1490</v>
      </c>
      <c r="B2796" s="1246" t="s">
        <v>427</v>
      </c>
      <c r="C2796" s="1247">
        <v>0.45</v>
      </c>
      <c r="F2796" s="1248">
        <v>2</v>
      </c>
      <c r="G2796" s="1248">
        <v>2</v>
      </c>
      <c r="H2796" s="1249">
        <v>1</v>
      </c>
      <c r="I2796" s="1246" t="s">
        <v>1491</v>
      </c>
      <c r="J2796" s="1246" t="s">
        <v>1456</v>
      </c>
      <c r="K2796" s="1284" t="str">
        <f t="shared" si="43"/>
        <v>33</v>
      </c>
      <c r="L2796" s="1246" t="s">
        <v>1519</v>
      </c>
      <c r="M2796" s="1250">
        <v>2</v>
      </c>
      <c r="N2796" s="1251">
        <v>1786</v>
      </c>
      <c r="O2796" s="1252">
        <v>893</v>
      </c>
    </row>
    <row r="2797" spans="1:15">
      <c r="A2797" s="1246" t="s">
        <v>1490</v>
      </c>
      <c r="B2797" s="1246" t="s">
        <v>427</v>
      </c>
      <c r="C2797" s="1247">
        <v>0.45</v>
      </c>
      <c r="E2797" s="1246" t="s">
        <v>370</v>
      </c>
      <c r="F2797" s="1248">
        <v>2</v>
      </c>
      <c r="G2797" s="1248">
        <v>2</v>
      </c>
      <c r="H2797" s="1249">
        <v>1</v>
      </c>
      <c r="I2797" s="1246" t="s">
        <v>1491</v>
      </c>
      <c r="J2797" s="1246" t="s">
        <v>1456</v>
      </c>
      <c r="K2797" s="1284" t="str">
        <f t="shared" si="43"/>
        <v>33</v>
      </c>
      <c r="L2797" s="1246" t="s">
        <v>1519</v>
      </c>
      <c r="M2797" s="1250">
        <v>2</v>
      </c>
      <c r="N2797" s="1251">
        <v>850</v>
      </c>
      <c r="O2797" s="1252">
        <v>425</v>
      </c>
    </row>
    <row r="2798" spans="1:15">
      <c r="A2798" s="1246" t="s">
        <v>1490</v>
      </c>
      <c r="B2798" s="1246" t="s">
        <v>427</v>
      </c>
      <c r="C2798" s="1247">
        <v>0.45</v>
      </c>
      <c r="F2798" s="1248">
        <v>2</v>
      </c>
      <c r="G2798" s="1248">
        <v>2</v>
      </c>
      <c r="H2798" s="1249">
        <v>1</v>
      </c>
      <c r="I2798" s="1246" t="s">
        <v>1491</v>
      </c>
      <c r="J2798" s="1246" t="s">
        <v>1399</v>
      </c>
      <c r="K2798" s="1284" t="str">
        <f t="shared" si="43"/>
        <v>30</v>
      </c>
      <c r="L2798" s="1246" t="s">
        <v>1520</v>
      </c>
      <c r="M2798" s="1250">
        <v>3</v>
      </c>
      <c r="N2798" s="1251">
        <v>4</v>
      </c>
      <c r="O2798" s="1252">
        <v>2</v>
      </c>
    </row>
    <row r="2799" spans="1:15">
      <c r="A2799" s="1246" t="s">
        <v>1490</v>
      </c>
      <c r="B2799" s="1246" t="s">
        <v>427</v>
      </c>
      <c r="C2799" s="1247">
        <v>0.45</v>
      </c>
      <c r="E2799" s="1246" t="s">
        <v>370</v>
      </c>
      <c r="F2799" s="1248">
        <v>2</v>
      </c>
      <c r="G2799" s="1248">
        <v>2</v>
      </c>
      <c r="H2799" s="1249">
        <v>1</v>
      </c>
      <c r="I2799" s="1246" t="s">
        <v>1491</v>
      </c>
      <c r="J2799" s="1246" t="s">
        <v>1399</v>
      </c>
      <c r="K2799" s="1284" t="str">
        <f t="shared" si="43"/>
        <v>30</v>
      </c>
      <c r="L2799" s="1246" t="s">
        <v>1520</v>
      </c>
      <c r="M2799" s="1250">
        <v>3</v>
      </c>
      <c r="N2799" s="1251">
        <v>2</v>
      </c>
      <c r="O2799" s="1252">
        <v>1</v>
      </c>
    </row>
    <row r="2800" spans="1:15">
      <c r="A2800" s="1246" t="s">
        <v>1490</v>
      </c>
      <c r="B2800" s="1246" t="s">
        <v>427</v>
      </c>
      <c r="C2800" s="1247">
        <v>0.45</v>
      </c>
      <c r="F2800" s="1248">
        <v>2</v>
      </c>
      <c r="G2800" s="1248">
        <v>2</v>
      </c>
      <c r="H2800" s="1249">
        <v>1</v>
      </c>
      <c r="I2800" s="1246" t="s">
        <v>1491</v>
      </c>
      <c r="J2800" s="1246" t="s">
        <v>1399</v>
      </c>
      <c r="K2800" s="1284" t="str">
        <f t="shared" si="43"/>
        <v>30</v>
      </c>
      <c r="L2800" s="1246" t="s">
        <v>1521</v>
      </c>
      <c r="M2800" s="1250">
        <v>3</v>
      </c>
      <c r="N2800" s="1251">
        <v>2</v>
      </c>
      <c r="O2800" s="1252">
        <v>1</v>
      </c>
    </row>
    <row r="2801" spans="1:15">
      <c r="A2801" s="1246" t="s">
        <v>1490</v>
      </c>
      <c r="B2801" s="1246" t="s">
        <v>427</v>
      </c>
      <c r="C2801" s="1247">
        <v>0.45</v>
      </c>
      <c r="F2801" s="1248">
        <v>2</v>
      </c>
      <c r="G2801" s="1248">
        <v>2</v>
      </c>
      <c r="H2801" s="1249">
        <v>1</v>
      </c>
      <c r="I2801" s="1246" t="s">
        <v>1491</v>
      </c>
      <c r="J2801" s="1246" t="s">
        <v>1455</v>
      </c>
      <c r="K2801" s="1284" t="str">
        <f t="shared" si="43"/>
        <v>32</v>
      </c>
      <c r="L2801" s="1246" t="s">
        <v>1522</v>
      </c>
      <c r="M2801" s="1250">
        <v>3</v>
      </c>
      <c r="N2801" s="1251">
        <v>28</v>
      </c>
      <c r="O2801" s="1252">
        <v>14</v>
      </c>
    </row>
    <row r="2802" spans="1:15">
      <c r="A2802" s="1246" t="s">
        <v>1490</v>
      </c>
      <c r="B2802" s="1246" t="s">
        <v>427</v>
      </c>
      <c r="C2802" s="1247">
        <v>0.45</v>
      </c>
      <c r="E2802" s="1246" t="s">
        <v>370</v>
      </c>
      <c r="F2802" s="1248">
        <v>2</v>
      </c>
      <c r="G2802" s="1248">
        <v>2</v>
      </c>
      <c r="H2802" s="1249">
        <v>1</v>
      </c>
      <c r="I2802" s="1246" t="s">
        <v>1491</v>
      </c>
      <c r="J2802" s="1246" t="s">
        <v>1455</v>
      </c>
      <c r="K2802" s="1284" t="str">
        <f t="shared" si="43"/>
        <v>32</v>
      </c>
      <c r="L2802" s="1246" t="s">
        <v>1522</v>
      </c>
      <c r="M2802" s="1250">
        <v>3</v>
      </c>
      <c r="N2802" s="1251">
        <v>4</v>
      </c>
      <c r="O2802" s="1252">
        <v>2</v>
      </c>
    </row>
    <row r="2803" spans="1:15">
      <c r="A2803" s="1246" t="s">
        <v>1490</v>
      </c>
      <c r="B2803" s="1246" t="s">
        <v>427</v>
      </c>
      <c r="C2803" s="1247">
        <v>0.45</v>
      </c>
      <c r="F2803" s="1248">
        <v>2</v>
      </c>
      <c r="G2803" s="1248">
        <v>2</v>
      </c>
      <c r="H2803" s="1249">
        <v>1</v>
      </c>
      <c r="I2803" s="1246" t="s">
        <v>1491</v>
      </c>
      <c r="J2803" s="1246" t="s">
        <v>1454</v>
      </c>
      <c r="K2803" s="1284" t="str">
        <f t="shared" si="43"/>
        <v>31</v>
      </c>
      <c r="L2803" s="1246" t="s">
        <v>1523</v>
      </c>
      <c r="M2803" s="1250">
        <v>3</v>
      </c>
      <c r="N2803" s="1251">
        <v>642</v>
      </c>
      <c r="O2803" s="1252">
        <v>321</v>
      </c>
    </row>
    <row r="2804" spans="1:15">
      <c r="A2804" s="1246" t="s">
        <v>1490</v>
      </c>
      <c r="B2804" s="1246" t="s">
        <v>427</v>
      </c>
      <c r="C2804" s="1247">
        <v>0.45</v>
      </c>
      <c r="E2804" s="1246" t="s">
        <v>370</v>
      </c>
      <c r="F2804" s="1248">
        <v>2</v>
      </c>
      <c r="G2804" s="1248">
        <v>2</v>
      </c>
      <c r="H2804" s="1249">
        <v>1</v>
      </c>
      <c r="I2804" s="1246" t="s">
        <v>1491</v>
      </c>
      <c r="J2804" s="1246" t="s">
        <v>1454</v>
      </c>
      <c r="K2804" s="1284" t="str">
        <f t="shared" si="43"/>
        <v>31</v>
      </c>
      <c r="L2804" s="1246" t="s">
        <v>1523</v>
      </c>
      <c r="M2804" s="1250">
        <v>3</v>
      </c>
      <c r="N2804" s="1251">
        <v>318</v>
      </c>
      <c r="O2804" s="1252">
        <v>159</v>
      </c>
    </row>
    <row r="2805" spans="1:15">
      <c r="A2805" s="1246" t="s">
        <v>1490</v>
      </c>
      <c r="B2805" s="1246" t="s">
        <v>427</v>
      </c>
      <c r="C2805" s="1247">
        <v>0.45</v>
      </c>
      <c r="F2805" s="1248">
        <v>2</v>
      </c>
      <c r="G2805" s="1248">
        <v>2</v>
      </c>
      <c r="H2805" s="1249">
        <v>1</v>
      </c>
      <c r="I2805" s="1246" t="s">
        <v>1491</v>
      </c>
      <c r="J2805" s="1246" t="s">
        <v>1458</v>
      </c>
      <c r="K2805" s="1284" t="str">
        <f t="shared" si="43"/>
        <v>36</v>
      </c>
      <c r="L2805" s="1246" t="s">
        <v>1524</v>
      </c>
      <c r="M2805" s="1250">
        <v>3</v>
      </c>
      <c r="N2805" s="1251">
        <v>44</v>
      </c>
      <c r="O2805" s="1252">
        <v>22</v>
      </c>
    </row>
    <row r="2806" spans="1:15">
      <c r="A2806" s="1246" t="s">
        <v>1490</v>
      </c>
      <c r="B2806" s="1246" t="s">
        <v>427</v>
      </c>
      <c r="C2806" s="1247">
        <v>0.45</v>
      </c>
      <c r="E2806" s="1246" t="s">
        <v>370</v>
      </c>
      <c r="F2806" s="1248">
        <v>2</v>
      </c>
      <c r="G2806" s="1248">
        <v>2</v>
      </c>
      <c r="H2806" s="1249">
        <v>1</v>
      </c>
      <c r="I2806" s="1246" t="s">
        <v>1491</v>
      </c>
      <c r="J2806" s="1246" t="s">
        <v>1458</v>
      </c>
      <c r="K2806" s="1284" t="str">
        <f t="shared" si="43"/>
        <v>36</v>
      </c>
      <c r="L2806" s="1246" t="s">
        <v>1524</v>
      </c>
      <c r="M2806" s="1250">
        <v>3</v>
      </c>
      <c r="N2806" s="1251">
        <v>24</v>
      </c>
      <c r="O2806" s="1252">
        <v>12</v>
      </c>
    </row>
    <row r="2807" spans="1:15">
      <c r="A2807" s="1246" t="s">
        <v>1490</v>
      </c>
      <c r="B2807" s="1246" t="s">
        <v>427</v>
      </c>
      <c r="C2807" s="1247">
        <v>0.45</v>
      </c>
      <c r="F2807" s="1248">
        <v>2</v>
      </c>
      <c r="G2807" s="1248">
        <v>2</v>
      </c>
      <c r="H2807" s="1249">
        <v>1</v>
      </c>
      <c r="I2807" s="1246" t="s">
        <v>1491</v>
      </c>
      <c r="J2807" s="1246" t="s">
        <v>1399</v>
      </c>
      <c r="K2807" s="1284" t="str">
        <f t="shared" si="43"/>
        <v>30</v>
      </c>
      <c r="L2807" s="1246" t="s">
        <v>1525</v>
      </c>
      <c r="M2807" s="1250">
        <v>3</v>
      </c>
      <c r="N2807" s="1251">
        <v>28</v>
      </c>
      <c r="O2807" s="1252">
        <v>14</v>
      </c>
    </row>
    <row r="2808" spans="1:15">
      <c r="A2808" s="1246" t="s">
        <v>1490</v>
      </c>
      <c r="B2808" s="1246" t="s">
        <v>427</v>
      </c>
      <c r="C2808" s="1247">
        <v>0.45</v>
      </c>
      <c r="E2808" s="1246" t="s">
        <v>370</v>
      </c>
      <c r="F2808" s="1248">
        <v>2</v>
      </c>
      <c r="G2808" s="1248">
        <v>2</v>
      </c>
      <c r="H2808" s="1249">
        <v>1</v>
      </c>
      <c r="I2808" s="1246" t="s">
        <v>1491</v>
      </c>
      <c r="J2808" s="1246" t="s">
        <v>1399</v>
      </c>
      <c r="K2808" s="1284" t="str">
        <f t="shared" si="43"/>
        <v>30</v>
      </c>
      <c r="L2808" s="1246" t="s">
        <v>1525</v>
      </c>
      <c r="M2808" s="1250">
        <v>3</v>
      </c>
      <c r="N2808" s="1251">
        <v>2</v>
      </c>
      <c r="O2808" s="1252">
        <v>1</v>
      </c>
    </row>
    <row r="2809" spans="1:15">
      <c r="A2809" s="1246" t="s">
        <v>1490</v>
      </c>
      <c r="B2809" s="1246" t="s">
        <v>427</v>
      </c>
      <c r="C2809" s="1247">
        <v>0.45</v>
      </c>
      <c r="F2809" s="1248">
        <v>2</v>
      </c>
      <c r="G2809" s="1248">
        <v>2</v>
      </c>
      <c r="H2809" s="1249">
        <v>1</v>
      </c>
      <c r="I2809" s="1246" t="s">
        <v>1491</v>
      </c>
      <c r="J2809" s="1246" t="s">
        <v>1399</v>
      </c>
      <c r="K2809" s="1284" t="str">
        <f t="shared" si="43"/>
        <v>30</v>
      </c>
      <c r="L2809" s="1246" t="s">
        <v>1526</v>
      </c>
      <c r="M2809" s="1250">
        <v>3</v>
      </c>
      <c r="N2809" s="1251">
        <v>12</v>
      </c>
      <c r="O2809" s="1252">
        <v>6</v>
      </c>
    </row>
    <row r="2810" spans="1:15">
      <c r="A2810" s="1246" t="s">
        <v>1490</v>
      </c>
      <c r="B2810" s="1246" t="s">
        <v>427</v>
      </c>
      <c r="C2810" s="1247">
        <v>0.45</v>
      </c>
      <c r="E2810" s="1246" t="s">
        <v>370</v>
      </c>
      <c r="F2810" s="1248">
        <v>2</v>
      </c>
      <c r="G2810" s="1248">
        <v>2</v>
      </c>
      <c r="H2810" s="1249">
        <v>1</v>
      </c>
      <c r="I2810" s="1246" t="s">
        <v>1491</v>
      </c>
      <c r="J2810" s="1246" t="s">
        <v>1399</v>
      </c>
      <c r="K2810" s="1284" t="str">
        <f t="shared" si="43"/>
        <v>30</v>
      </c>
      <c r="L2810" s="1246" t="s">
        <v>1526</v>
      </c>
      <c r="M2810" s="1250">
        <v>3</v>
      </c>
      <c r="N2810" s="1251">
        <v>4</v>
      </c>
      <c r="O2810" s="1252">
        <v>2</v>
      </c>
    </row>
    <row r="2811" spans="1:15">
      <c r="A2811" s="1246" t="s">
        <v>1490</v>
      </c>
      <c r="B2811" s="1246" t="s">
        <v>427</v>
      </c>
      <c r="C2811" s="1247">
        <v>0.45</v>
      </c>
      <c r="F2811" s="1248">
        <v>2</v>
      </c>
      <c r="G2811" s="1248">
        <v>2</v>
      </c>
      <c r="H2811" s="1249">
        <v>1</v>
      </c>
      <c r="I2811" s="1246" t="s">
        <v>1491</v>
      </c>
      <c r="J2811" s="1246" t="s">
        <v>1457</v>
      </c>
      <c r="K2811" s="1284" t="str">
        <f t="shared" si="43"/>
        <v>35</v>
      </c>
      <c r="L2811" s="1246" t="s">
        <v>1527</v>
      </c>
      <c r="M2811" s="1250">
        <v>3</v>
      </c>
      <c r="N2811" s="1251">
        <v>108</v>
      </c>
      <c r="O2811" s="1252">
        <v>54</v>
      </c>
    </row>
    <row r="2812" spans="1:15">
      <c r="A2812" s="1246" t="s">
        <v>1490</v>
      </c>
      <c r="B2812" s="1246" t="s">
        <v>427</v>
      </c>
      <c r="C2812" s="1247">
        <v>0.45</v>
      </c>
      <c r="F2812" s="1248">
        <v>2</v>
      </c>
      <c r="G2812" s="1248">
        <v>2</v>
      </c>
      <c r="H2812" s="1249">
        <v>1</v>
      </c>
      <c r="I2812" s="1246" t="s">
        <v>1491</v>
      </c>
      <c r="J2812" s="1246" t="s">
        <v>1459</v>
      </c>
      <c r="K2812" s="1284" t="str">
        <f t="shared" si="43"/>
        <v>3A</v>
      </c>
      <c r="L2812" s="1246" t="s">
        <v>1492</v>
      </c>
      <c r="M2812" s="1250">
        <v>3</v>
      </c>
      <c r="N2812" s="1251">
        <v>4</v>
      </c>
      <c r="O2812" s="1252">
        <v>2</v>
      </c>
    </row>
    <row r="2813" spans="1:15">
      <c r="A2813" s="1246" t="s">
        <v>1490</v>
      </c>
      <c r="B2813" s="1246" t="s">
        <v>427</v>
      </c>
      <c r="C2813" s="1247">
        <v>0.45</v>
      </c>
      <c r="F2813" s="1248">
        <v>2</v>
      </c>
      <c r="G2813" s="1248">
        <v>2</v>
      </c>
      <c r="H2813" s="1249">
        <v>1</v>
      </c>
      <c r="I2813" s="1246" t="s">
        <v>1491</v>
      </c>
      <c r="J2813" s="1246" t="s">
        <v>1399</v>
      </c>
      <c r="K2813" s="1284" t="str">
        <f t="shared" si="43"/>
        <v>30</v>
      </c>
      <c r="L2813" s="1246" t="s">
        <v>1528</v>
      </c>
      <c r="M2813" s="1250">
        <v>3</v>
      </c>
      <c r="N2813" s="1251">
        <v>62</v>
      </c>
      <c r="O2813" s="1252">
        <v>31</v>
      </c>
    </row>
    <row r="2814" spans="1:15">
      <c r="A2814" s="1246" t="s">
        <v>1490</v>
      </c>
      <c r="B2814" s="1246" t="s">
        <v>427</v>
      </c>
      <c r="C2814" s="1247">
        <v>0.45</v>
      </c>
      <c r="E2814" s="1246" t="s">
        <v>370</v>
      </c>
      <c r="F2814" s="1248">
        <v>2</v>
      </c>
      <c r="G2814" s="1248">
        <v>2</v>
      </c>
      <c r="H2814" s="1249">
        <v>1</v>
      </c>
      <c r="I2814" s="1246" t="s">
        <v>1491</v>
      </c>
      <c r="J2814" s="1246" t="s">
        <v>1399</v>
      </c>
      <c r="K2814" s="1284" t="str">
        <f t="shared" si="43"/>
        <v>30</v>
      </c>
      <c r="L2814" s="1246" t="s">
        <v>1528</v>
      </c>
      <c r="M2814" s="1250">
        <v>3</v>
      </c>
      <c r="N2814" s="1251">
        <v>26</v>
      </c>
      <c r="O2814" s="1252">
        <v>13</v>
      </c>
    </row>
    <row r="2815" spans="1:15">
      <c r="A2815" s="1246" t="s">
        <v>1490</v>
      </c>
      <c r="B2815" s="1246" t="s">
        <v>427</v>
      </c>
      <c r="C2815" s="1247">
        <v>0.45</v>
      </c>
      <c r="F2815" s="1248">
        <v>2</v>
      </c>
      <c r="G2815" s="1248">
        <v>2</v>
      </c>
      <c r="H2815" s="1249">
        <v>2</v>
      </c>
      <c r="I2815" s="1246" t="s">
        <v>1491</v>
      </c>
      <c r="J2815" s="1246" t="s">
        <v>1399</v>
      </c>
      <c r="K2815" s="1284" t="str">
        <f t="shared" si="43"/>
        <v>30</v>
      </c>
      <c r="L2815" s="1246" t="s">
        <v>1504</v>
      </c>
      <c r="M2815" s="1250">
        <v>1</v>
      </c>
      <c r="N2815" s="1251">
        <v>6</v>
      </c>
      <c r="O2815" s="1252">
        <v>3</v>
      </c>
    </row>
    <row r="2816" spans="1:15">
      <c r="A2816" s="1246" t="s">
        <v>1490</v>
      </c>
      <c r="B2816" s="1246" t="s">
        <v>427</v>
      </c>
      <c r="C2816" s="1247">
        <v>0.45</v>
      </c>
      <c r="E2816" s="1246" t="s">
        <v>370</v>
      </c>
      <c r="F2816" s="1248">
        <v>2</v>
      </c>
      <c r="G2816" s="1248">
        <v>2</v>
      </c>
      <c r="H2816" s="1249">
        <v>2</v>
      </c>
      <c r="I2816" s="1246" t="s">
        <v>1491</v>
      </c>
      <c r="J2816" s="1246" t="s">
        <v>1399</v>
      </c>
      <c r="K2816" s="1284" t="str">
        <f t="shared" si="43"/>
        <v>30</v>
      </c>
      <c r="L2816" s="1246" t="s">
        <v>1504</v>
      </c>
      <c r="M2816" s="1250">
        <v>1</v>
      </c>
      <c r="N2816" s="1251">
        <v>4</v>
      </c>
      <c r="O2816" s="1252">
        <v>2</v>
      </c>
    </row>
    <row r="2817" spans="1:15">
      <c r="A2817" s="1246" t="s">
        <v>1490</v>
      </c>
      <c r="B2817" s="1246" t="s">
        <v>427</v>
      </c>
      <c r="C2817" s="1247">
        <v>0.45</v>
      </c>
      <c r="F2817" s="1248">
        <v>2</v>
      </c>
      <c r="G2817" s="1248">
        <v>2</v>
      </c>
      <c r="H2817" s="1249">
        <v>2</v>
      </c>
      <c r="I2817" s="1246" t="s">
        <v>1491</v>
      </c>
      <c r="J2817" s="1246" t="s">
        <v>1399</v>
      </c>
      <c r="K2817" s="1284" t="str">
        <f t="shared" si="43"/>
        <v>30</v>
      </c>
      <c r="L2817" s="1246" t="s">
        <v>1512</v>
      </c>
      <c r="M2817" s="1250">
        <v>2</v>
      </c>
      <c r="N2817" s="1251">
        <v>8</v>
      </c>
      <c r="O2817" s="1252">
        <v>4</v>
      </c>
    </row>
    <row r="2818" spans="1:15">
      <c r="A2818" s="1246" t="s">
        <v>1490</v>
      </c>
      <c r="B2818" s="1246" t="s">
        <v>427</v>
      </c>
      <c r="C2818" s="1247">
        <v>0.45</v>
      </c>
      <c r="F2818" s="1248">
        <v>2</v>
      </c>
      <c r="G2818" s="1248">
        <v>2</v>
      </c>
      <c r="H2818" s="1249">
        <v>2</v>
      </c>
      <c r="I2818" s="1246" t="s">
        <v>1491</v>
      </c>
      <c r="J2818" s="1246" t="s">
        <v>1454</v>
      </c>
      <c r="K2818" s="1284" t="str">
        <f t="shared" ref="K2818:K2881" si="44">IF(J2818="1B","10", IF(J2818="2B","20",IF(J2818="3B","30",IF(J2818="7B",70,J2818))))</f>
        <v>31</v>
      </c>
      <c r="L2818" s="1246" t="s">
        <v>1500</v>
      </c>
      <c r="M2818" s="1250">
        <v>2</v>
      </c>
      <c r="N2818" s="1251">
        <v>2</v>
      </c>
      <c r="O2818" s="1252">
        <v>1</v>
      </c>
    </row>
    <row r="2819" spans="1:15">
      <c r="A2819" s="1246" t="s">
        <v>1490</v>
      </c>
      <c r="B2819" s="1246" t="s">
        <v>427</v>
      </c>
      <c r="C2819" s="1247">
        <v>0.45</v>
      </c>
      <c r="F2819" s="1248">
        <v>2</v>
      </c>
      <c r="G2819" s="1248">
        <v>2</v>
      </c>
      <c r="H2819" s="1249">
        <v>2</v>
      </c>
      <c r="I2819" s="1246" t="s">
        <v>1491</v>
      </c>
      <c r="J2819" s="1246" t="s">
        <v>1456</v>
      </c>
      <c r="K2819" s="1284" t="str">
        <f t="shared" si="44"/>
        <v>33</v>
      </c>
      <c r="L2819" s="1246" t="s">
        <v>1519</v>
      </c>
      <c r="M2819" s="1250">
        <v>2</v>
      </c>
      <c r="N2819" s="1251">
        <v>2</v>
      </c>
      <c r="O2819" s="1252">
        <v>1</v>
      </c>
    </row>
    <row r="2820" spans="1:15">
      <c r="A2820" s="1246" t="s">
        <v>1490</v>
      </c>
      <c r="B2820" s="1246" t="s">
        <v>427</v>
      </c>
      <c r="C2820" s="1247">
        <v>0.45</v>
      </c>
      <c r="F2820" s="1248">
        <v>2</v>
      </c>
      <c r="G2820" s="1248">
        <v>2</v>
      </c>
      <c r="H2820" s="1249">
        <v>2</v>
      </c>
      <c r="I2820" s="1246" t="s">
        <v>1491</v>
      </c>
      <c r="J2820" s="1246" t="s">
        <v>1399</v>
      </c>
      <c r="K2820" s="1284" t="str">
        <f t="shared" si="44"/>
        <v>30</v>
      </c>
      <c r="L2820" s="1246" t="s">
        <v>1521</v>
      </c>
      <c r="M2820" s="1250">
        <v>3</v>
      </c>
      <c r="N2820" s="1251">
        <v>2</v>
      </c>
      <c r="O2820" s="1252">
        <v>1</v>
      </c>
    </row>
    <row r="2821" spans="1:15">
      <c r="A2821" s="1246" t="s">
        <v>1490</v>
      </c>
      <c r="B2821" s="1246" t="s">
        <v>427</v>
      </c>
      <c r="C2821" s="1247">
        <v>0.45</v>
      </c>
      <c r="E2821" s="1246" t="s">
        <v>370</v>
      </c>
      <c r="F2821" s="1248">
        <v>2</v>
      </c>
      <c r="G2821" s="1248">
        <v>2</v>
      </c>
      <c r="H2821" s="1249">
        <v>2</v>
      </c>
      <c r="I2821" s="1246" t="s">
        <v>1491</v>
      </c>
      <c r="J2821" s="1246" t="s">
        <v>1399</v>
      </c>
      <c r="K2821" s="1284" t="str">
        <f t="shared" si="44"/>
        <v>30</v>
      </c>
      <c r="L2821" s="1246" t="s">
        <v>1521</v>
      </c>
      <c r="M2821" s="1250">
        <v>3</v>
      </c>
      <c r="N2821" s="1251">
        <v>2</v>
      </c>
      <c r="O2821" s="1252">
        <v>1</v>
      </c>
    </row>
    <row r="2822" spans="1:15">
      <c r="A2822" s="1246" t="s">
        <v>1493</v>
      </c>
      <c r="B2822" s="1246" t="s">
        <v>427</v>
      </c>
      <c r="C2822" s="1247">
        <v>0.45</v>
      </c>
      <c r="E2822" s="1246" t="s">
        <v>1535</v>
      </c>
      <c r="F2822" s="1248">
        <v>2</v>
      </c>
      <c r="G2822" s="1248">
        <v>2</v>
      </c>
      <c r="H2822" s="1249">
        <v>2</v>
      </c>
      <c r="I2822" s="1246" t="s">
        <v>1491</v>
      </c>
      <c r="J2822" s="1246" t="s">
        <v>1439</v>
      </c>
      <c r="K2822" s="1284" t="str">
        <f t="shared" si="44"/>
        <v>15</v>
      </c>
      <c r="L2822" s="1246" t="s">
        <v>1530</v>
      </c>
      <c r="M2822" s="1250">
        <v>9</v>
      </c>
      <c r="N2822" s="1251">
        <v>2</v>
      </c>
      <c r="O2822" s="1252">
        <v>1</v>
      </c>
    </row>
    <row r="2823" spans="1:15">
      <c r="A2823" s="1246" t="s">
        <v>1490</v>
      </c>
      <c r="B2823" s="1246" t="s">
        <v>427</v>
      </c>
      <c r="C2823" s="1247">
        <v>0.45</v>
      </c>
      <c r="F2823" s="1248">
        <v>2</v>
      </c>
      <c r="G2823" s="1248">
        <v>3</v>
      </c>
      <c r="H2823" s="1249">
        <v>1</v>
      </c>
      <c r="I2823" s="1246" t="s">
        <v>1491</v>
      </c>
      <c r="J2823" s="1246" t="s">
        <v>1454</v>
      </c>
      <c r="K2823" s="1284" t="str">
        <f t="shared" si="44"/>
        <v>31</v>
      </c>
      <c r="L2823" s="1246" t="s">
        <v>1500</v>
      </c>
      <c r="M2823" s="1250">
        <v>2</v>
      </c>
      <c r="N2823" s="1251">
        <v>2</v>
      </c>
      <c r="O2823" s="1252">
        <v>1</v>
      </c>
    </row>
    <row r="2824" spans="1:15">
      <c r="A2824" s="1246" t="s">
        <v>1490</v>
      </c>
      <c r="B2824" s="1246" t="s">
        <v>427</v>
      </c>
      <c r="C2824" s="1247">
        <v>0.45</v>
      </c>
      <c r="F2824" s="1248">
        <v>2</v>
      </c>
      <c r="G2824" s="1248">
        <v>3</v>
      </c>
      <c r="H2824" s="1249">
        <v>1</v>
      </c>
      <c r="I2824" s="1246" t="s">
        <v>1491</v>
      </c>
      <c r="J2824" s="1246" t="s">
        <v>1456</v>
      </c>
      <c r="K2824" s="1284" t="str">
        <f t="shared" si="44"/>
        <v>33</v>
      </c>
      <c r="L2824" s="1246" t="s">
        <v>1519</v>
      </c>
      <c r="M2824" s="1250">
        <v>2</v>
      </c>
      <c r="N2824" s="1251">
        <v>16</v>
      </c>
      <c r="O2824" s="1252">
        <v>8</v>
      </c>
    </row>
    <row r="2825" spans="1:15">
      <c r="A2825" s="1246" t="s">
        <v>1490</v>
      </c>
      <c r="B2825" s="1246" t="s">
        <v>427</v>
      </c>
      <c r="C2825" s="1247">
        <v>0.45</v>
      </c>
      <c r="F2825" s="1248">
        <v>2</v>
      </c>
      <c r="G2825" s="1248">
        <v>4</v>
      </c>
      <c r="H2825" s="1249">
        <v>1</v>
      </c>
      <c r="I2825" s="1246" t="s">
        <v>1491</v>
      </c>
      <c r="J2825" s="1246" t="s">
        <v>1454</v>
      </c>
      <c r="K2825" s="1284" t="str">
        <f t="shared" si="44"/>
        <v>31</v>
      </c>
      <c r="L2825" s="1246" t="s">
        <v>1506</v>
      </c>
      <c r="M2825" s="1250">
        <v>1</v>
      </c>
      <c r="N2825" s="1251">
        <v>2</v>
      </c>
      <c r="O2825" s="1252">
        <v>1</v>
      </c>
    </row>
    <row r="2826" spans="1:15">
      <c r="A2826" s="1246" t="s">
        <v>1490</v>
      </c>
      <c r="B2826" s="1246" t="s">
        <v>427</v>
      </c>
      <c r="C2826" s="1247">
        <v>0.45</v>
      </c>
      <c r="F2826" s="1248">
        <v>2</v>
      </c>
      <c r="G2826" s="1248">
        <v>4</v>
      </c>
      <c r="H2826" s="1249">
        <v>1</v>
      </c>
      <c r="I2826" s="1246" t="s">
        <v>1491</v>
      </c>
      <c r="J2826" s="1246" t="s">
        <v>1399</v>
      </c>
      <c r="K2826" s="1284" t="str">
        <f t="shared" si="44"/>
        <v>30</v>
      </c>
      <c r="L2826" s="1246" t="s">
        <v>1508</v>
      </c>
      <c r="M2826" s="1250">
        <v>1</v>
      </c>
      <c r="N2826" s="1251">
        <v>2</v>
      </c>
      <c r="O2826" s="1252">
        <v>1</v>
      </c>
    </row>
    <row r="2827" spans="1:15">
      <c r="A2827" s="1246" t="s">
        <v>1490</v>
      </c>
      <c r="B2827" s="1246" t="s">
        <v>427</v>
      </c>
      <c r="C2827" s="1247">
        <v>0.45</v>
      </c>
      <c r="E2827" s="1246" t="s">
        <v>370</v>
      </c>
      <c r="F2827" s="1248">
        <v>2</v>
      </c>
      <c r="G2827" s="1248">
        <v>4</v>
      </c>
      <c r="H2827" s="1249">
        <v>1</v>
      </c>
      <c r="I2827" s="1246" t="s">
        <v>1491</v>
      </c>
      <c r="J2827" s="1246" t="s">
        <v>1399</v>
      </c>
      <c r="K2827" s="1284" t="str">
        <f t="shared" si="44"/>
        <v>30</v>
      </c>
      <c r="L2827" s="1246" t="s">
        <v>1516</v>
      </c>
      <c r="M2827" s="1250">
        <v>2</v>
      </c>
      <c r="N2827" s="1251">
        <v>2</v>
      </c>
      <c r="O2827" s="1252">
        <v>1</v>
      </c>
    </row>
    <row r="2828" spans="1:15">
      <c r="A2828" s="1246" t="s">
        <v>1490</v>
      </c>
      <c r="B2828" s="1246" t="s">
        <v>427</v>
      </c>
      <c r="C2828" s="1247">
        <v>0.45</v>
      </c>
      <c r="E2828" s="1246" t="s">
        <v>370</v>
      </c>
      <c r="F2828" s="1248">
        <v>2</v>
      </c>
      <c r="G2828" s="1248">
        <v>4</v>
      </c>
      <c r="H2828" s="1249">
        <v>1</v>
      </c>
      <c r="I2828" s="1246" t="s">
        <v>1491</v>
      </c>
      <c r="J2828" s="1246" t="s">
        <v>1399</v>
      </c>
      <c r="K2828" s="1284" t="str">
        <f t="shared" si="44"/>
        <v>30</v>
      </c>
      <c r="L2828" s="1246" t="s">
        <v>1526</v>
      </c>
      <c r="M2828" s="1250">
        <v>3</v>
      </c>
      <c r="N2828" s="1251">
        <v>2</v>
      </c>
      <c r="O2828" s="1252">
        <v>1</v>
      </c>
    </row>
    <row r="2829" spans="1:15">
      <c r="A2829" s="1246" t="s">
        <v>1490</v>
      </c>
      <c r="B2829" s="1246" t="s">
        <v>427</v>
      </c>
      <c r="C2829" s="1247">
        <v>0.45</v>
      </c>
      <c r="F2829" s="1248">
        <v>3</v>
      </c>
      <c r="G2829" s="1248">
        <v>1</v>
      </c>
      <c r="H2829" s="1249">
        <v>1</v>
      </c>
      <c r="I2829" s="1246" t="s">
        <v>1491</v>
      </c>
      <c r="J2829" s="1246" t="s">
        <v>1456</v>
      </c>
      <c r="K2829" s="1284" t="str">
        <f t="shared" si="44"/>
        <v>33</v>
      </c>
      <c r="L2829" s="1246" t="s">
        <v>1519</v>
      </c>
      <c r="M2829" s="1250">
        <v>2</v>
      </c>
      <c r="N2829" s="1251">
        <v>45</v>
      </c>
      <c r="O2829" s="1252">
        <v>15</v>
      </c>
    </row>
    <row r="2830" spans="1:15">
      <c r="A2830" s="1246" t="s">
        <v>1490</v>
      </c>
      <c r="B2830" s="1246" t="s">
        <v>427</v>
      </c>
      <c r="C2830" s="1247">
        <v>0.45</v>
      </c>
      <c r="E2830" s="1246" t="s">
        <v>370</v>
      </c>
      <c r="F2830" s="1248">
        <v>3</v>
      </c>
      <c r="G2830" s="1248">
        <v>1</v>
      </c>
      <c r="H2830" s="1249">
        <v>1</v>
      </c>
      <c r="I2830" s="1246" t="s">
        <v>1491</v>
      </c>
      <c r="J2830" s="1246" t="s">
        <v>1456</v>
      </c>
      <c r="K2830" s="1284" t="str">
        <f t="shared" si="44"/>
        <v>33</v>
      </c>
      <c r="L2830" s="1246" t="s">
        <v>1519</v>
      </c>
      <c r="M2830" s="1250">
        <v>2</v>
      </c>
      <c r="N2830" s="1251">
        <v>15</v>
      </c>
      <c r="O2830" s="1252">
        <v>5</v>
      </c>
    </row>
    <row r="2831" spans="1:15">
      <c r="A2831" s="1246" t="s">
        <v>1490</v>
      </c>
      <c r="B2831" s="1246" t="s">
        <v>427</v>
      </c>
      <c r="C2831" s="1247">
        <v>0.45</v>
      </c>
      <c r="F2831" s="1248">
        <v>3</v>
      </c>
      <c r="G2831" s="1248">
        <v>1</v>
      </c>
      <c r="H2831" s="1249">
        <v>3</v>
      </c>
      <c r="I2831" s="1246" t="s">
        <v>1491</v>
      </c>
      <c r="J2831" s="1246" t="s">
        <v>1456</v>
      </c>
      <c r="K2831" s="1284" t="str">
        <f t="shared" si="44"/>
        <v>33</v>
      </c>
      <c r="L2831" s="1246" t="s">
        <v>1519</v>
      </c>
      <c r="M2831" s="1250">
        <v>2</v>
      </c>
      <c r="N2831" s="1251">
        <v>3</v>
      </c>
      <c r="O2831" s="1252">
        <v>1</v>
      </c>
    </row>
    <row r="2832" spans="1:15">
      <c r="A2832" s="1246" t="s">
        <v>1490</v>
      </c>
      <c r="B2832" s="1246" t="s">
        <v>427</v>
      </c>
      <c r="C2832" s="1247">
        <v>0.45</v>
      </c>
      <c r="E2832" s="1246" t="s">
        <v>370</v>
      </c>
      <c r="F2832" s="1248">
        <v>3</v>
      </c>
      <c r="G2832" s="1248">
        <v>2</v>
      </c>
      <c r="H2832" s="1249">
        <v>1</v>
      </c>
      <c r="I2832" s="1246" t="s">
        <v>1491</v>
      </c>
      <c r="J2832" s="1246" t="s">
        <v>1399</v>
      </c>
      <c r="K2832" s="1284" t="str">
        <f t="shared" si="44"/>
        <v>30</v>
      </c>
      <c r="L2832" s="1246" t="s">
        <v>1509</v>
      </c>
      <c r="M2832" s="1250">
        <v>1</v>
      </c>
      <c r="N2832" s="1251">
        <v>3</v>
      </c>
      <c r="O2832" s="1252">
        <v>1</v>
      </c>
    </row>
    <row r="2833" spans="1:15">
      <c r="A2833" s="1246" t="s">
        <v>1490</v>
      </c>
      <c r="B2833" s="1246" t="s">
        <v>427</v>
      </c>
      <c r="C2833" s="1247">
        <v>0.45</v>
      </c>
      <c r="F2833" s="1248">
        <v>3</v>
      </c>
      <c r="G2833" s="1248">
        <v>2</v>
      </c>
      <c r="H2833" s="1249">
        <v>1</v>
      </c>
      <c r="I2833" s="1246" t="s">
        <v>1491</v>
      </c>
      <c r="J2833" s="1246" t="s">
        <v>1456</v>
      </c>
      <c r="K2833" s="1284" t="str">
        <f t="shared" si="44"/>
        <v>33</v>
      </c>
      <c r="L2833" s="1246" t="s">
        <v>1519</v>
      </c>
      <c r="M2833" s="1250">
        <v>2</v>
      </c>
      <c r="N2833" s="1251">
        <v>6</v>
      </c>
      <c r="O2833" s="1252">
        <v>2</v>
      </c>
    </row>
    <row r="2834" spans="1:15">
      <c r="A2834" s="1246" t="s">
        <v>1490</v>
      </c>
      <c r="B2834" s="1246" t="s">
        <v>427</v>
      </c>
      <c r="C2834" s="1247">
        <v>0.45</v>
      </c>
      <c r="E2834" s="1246" t="s">
        <v>370</v>
      </c>
      <c r="F2834" s="1248">
        <v>3</v>
      </c>
      <c r="G2834" s="1248">
        <v>2</v>
      </c>
      <c r="H2834" s="1249">
        <v>1</v>
      </c>
      <c r="I2834" s="1246" t="s">
        <v>1491</v>
      </c>
      <c r="J2834" s="1246" t="s">
        <v>1456</v>
      </c>
      <c r="K2834" s="1284" t="str">
        <f t="shared" si="44"/>
        <v>33</v>
      </c>
      <c r="L2834" s="1246" t="s">
        <v>1519</v>
      </c>
      <c r="M2834" s="1250">
        <v>2</v>
      </c>
      <c r="N2834" s="1251">
        <v>3</v>
      </c>
      <c r="O2834" s="1252">
        <v>1</v>
      </c>
    </row>
    <row r="2835" spans="1:15">
      <c r="A2835" s="1246" t="s">
        <v>1490</v>
      </c>
      <c r="B2835" s="1246" t="s">
        <v>427</v>
      </c>
      <c r="C2835" s="1247">
        <v>0.45</v>
      </c>
      <c r="F2835" s="1248">
        <v>3</v>
      </c>
      <c r="G2835" s="1248">
        <v>3</v>
      </c>
      <c r="H2835" s="1249">
        <v>1</v>
      </c>
      <c r="I2835" s="1246" t="s">
        <v>1491</v>
      </c>
      <c r="J2835" s="1246" t="s">
        <v>1460</v>
      </c>
      <c r="K2835" s="1284" t="str">
        <f t="shared" si="44"/>
        <v>30</v>
      </c>
      <c r="L2835" s="1246" t="s">
        <v>1497</v>
      </c>
      <c r="M2835" s="1250">
        <v>1</v>
      </c>
      <c r="N2835" s="1251">
        <v>9</v>
      </c>
      <c r="O2835" s="1252">
        <v>3</v>
      </c>
    </row>
    <row r="2836" spans="1:15">
      <c r="A2836" s="1246" t="s">
        <v>1490</v>
      </c>
      <c r="B2836" s="1246" t="s">
        <v>427</v>
      </c>
      <c r="C2836" s="1247">
        <v>0.45</v>
      </c>
      <c r="F2836" s="1248">
        <v>3</v>
      </c>
      <c r="G2836" s="1248">
        <v>3</v>
      </c>
      <c r="H2836" s="1249">
        <v>1</v>
      </c>
      <c r="I2836" s="1246" t="s">
        <v>1491</v>
      </c>
      <c r="J2836" s="1246" t="s">
        <v>1461</v>
      </c>
      <c r="K2836" s="1284" t="str">
        <f t="shared" si="44"/>
        <v>3C</v>
      </c>
      <c r="L2836" s="1246" t="s">
        <v>1502</v>
      </c>
      <c r="M2836" s="1250">
        <v>1</v>
      </c>
      <c r="N2836" s="1251">
        <v>3</v>
      </c>
      <c r="O2836" s="1252">
        <v>1</v>
      </c>
    </row>
    <row r="2837" spans="1:15">
      <c r="A2837" s="1246" t="s">
        <v>1490</v>
      </c>
      <c r="B2837" s="1246" t="s">
        <v>427</v>
      </c>
      <c r="C2837" s="1247">
        <v>0.45</v>
      </c>
      <c r="F2837" s="1248">
        <v>3</v>
      </c>
      <c r="G2837" s="1248">
        <v>3</v>
      </c>
      <c r="H2837" s="1249">
        <v>1</v>
      </c>
      <c r="I2837" s="1246" t="s">
        <v>1491</v>
      </c>
      <c r="J2837" s="1246" t="s">
        <v>1461</v>
      </c>
      <c r="K2837" s="1284" t="str">
        <f t="shared" si="44"/>
        <v>3C</v>
      </c>
      <c r="L2837" s="1246" t="s">
        <v>1502</v>
      </c>
      <c r="M2837" s="1250">
        <v>3</v>
      </c>
      <c r="N2837" s="1251">
        <v>18</v>
      </c>
      <c r="O2837" s="1252">
        <v>6</v>
      </c>
    </row>
    <row r="2838" spans="1:15">
      <c r="A2838" s="1246" t="s">
        <v>1490</v>
      </c>
      <c r="B2838" s="1246" t="s">
        <v>427</v>
      </c>
      <c r="C2838" s="1247">
        <v>0.45</v>
      </c>
      <c r="F2838" s="1248">
        <v>3</v>
      </c>
      <c r="G2838" s="1248">
        <v>3</v>
      </c>
      <c r="H2838" s="1249">
        <v>1</v>
      </c>
      <c r="I2838" s="1246" t="s">
        <v>1491</v>
      </c>
      <c r="J2838" s="1246" t="s">
        <v>1460</v>
      </c>
      <c r="K2838" s="1284" t="str">
        <f t="shared" si="44"/>
        <v>30</v>
      </c>
      <c r="L2838" s="1246" t="s">
        <v>1499</v>
      </c>
      <c r="M2838" s="1250">
        <v>5</v>
      </c>
      <c r="N2838" s="1251">
        <v>3</v>
      </c>
      <c r="O2838" s="1252">
        <v>1</v>
      </c>
    </row>
    <row r="2839" spans="1:15">
      <c r="A2839" s="1246" t="s">
        <v>1490</v>
      </c>
      <c r="B2839" s="1246" t="s">
        <v>427</v>
      </c>
      <c r="C2839" s="1247">
        <v>0.45</v>
      </c>
      <c r="E2839" s="1246" t="s">
        <v>370</v>
      </c>
      <c r="F2839" s="1248">
        <v>3</v>
      </c>
      <c r="G2839" s="1248">
        <v>3</v>
      </c>
      <c r="H2839" s="1249">
        <v>1</v>
      </c>
      <c r="I2839" s="1246" t="s">
        <v>1491</v>
      </c>
      <c r="J2839" s="1246" t="s">
        <v>1399</v>
      </c>
      <c r="K2839" s="1284" t="str">
        <f t="shared" si="44"/>
        <v>30</v>
      </c>
      <c r="L2839" s="1246" t="s">
        <v>1503</v>
      </c>
      <c r="M2839" s="1250">
        <v>1</v>
      </c>
      <c r="N2839" s="1251">
        <v>6</v>
      </c>
      <c r="O2839" s="1252">
        <v>2</v>
      </c>
    </row>
    <row r="2840" spans="1:15">
      <c r="A2840" s="1246" t="s">
        <v>1490</v>
      </c>
      <c r="B2840" s="1246" t="s">
        <v>427</v>
      </c>
      <c r="C2840" s="1247">
        <v>0.45</v>
      </c>
      <c r="F2840" s="1248">
        <v>3</v>
      </c>
      <c r="G2840" s="1248">
        <v>3</v>
      </c>
      <c r="H2840" s="1249">
        <v>1</v>
      </c>
      <c r="I2840" s="1246" t="s">
        <v>1491</v>
      </c>
      <c r="J2840" s="1246" t="s">
        <v>1454</v>
      </c>
      <c r="K2840" s="1284" t="str">
        <f t="shared" si="44"/>
        <v>31</v>
      </c>
      <c r="L2840" s="1246" t="s">
        <v>1506</v>
      </c>
      <c r="M2840" s="1250">
        <v>1</v>
      </c>
      <c r="N2840" s="1251">
        <v>72</v>
      </c>
      <c r="O2840" s="1252">
        <v>24</v>
      </c>
    </row>
    <row r="2841" spans="1:15">
      <c r="A2841" s="1246" t="s">
        <v>1490</v>
      </c>
      <c r="B2841" s="1246" t="s">
        <v>427</v>
      </c>
      <c r="C2841" s="1247">
        <v>0.45</v>
      </c>
      <c r="E2841" s="1246" t="s">
        <v>370</v>
      </c>
      <c r="F2841" s="1248">
        <v>3</v>
      </c>
      <c r="G2841" s="1248">
        <v>3</v>
      </c>
      <c r="H2841" s="1249">
        <v>1</v>
      </c>
      <c r="I2841" s="1246" t="s">
        <v>1491</v>
      </c>
      <c r="J2841" s="1246" t="s">
        <v>1454</v>
      </c>
      <c r="K2841" s="1284" t="str">
        <f t="shared" si="44"/>
        <v>31</v>
      </c>
      <c r="L2841" s="1246" t="s">
        <v>1506</v>
      </c>
      <c r="M2841" s="1250">
        <v>1</v>
      </c>
      <c r="N2841" s="1251">
        <v>45</v>
      </c>
      <c r="O2841" s="1252">
        <v>15</v>
      </c>
    </row>
    <row r="2842" spans="1:15">
      <c r="A2842" s="1246" t="s">
        <v>1490</v>
      </c>
      <c r="B2842" s="1246" t="s">
        <v>427</v>
      </c>
      <c r="C2842" s="1247">
        <v>0.45</v>
      </c>
      <c r="F2842" s="1248">
        <v>3</v>
      </c>
      <c r="G2842" s="1248">
        <v>3</v>
      </c>
      <c r="H2842" s="1249">
        <v>1</v>
      </c>
      <c r="I2842" s="1246" t="s">
        <v>1491</v>
      </c>
      <c r="J2842" s="1246" t="s">
        <v>1458</v>
      </c>
      <c r="K2842" s="1284" t="str">
        <f t="shared" si="44"/>
        <v>36</v>
      </c>
      <c r="L2842" s="1246" t="s">
        <v>1507</v>
      </c>
      <c r="M2842" s="1250">
        <v>1</v>
      </c>
      <c r="N2842" s="1251">
        <v>3</v>
      </c>
      <c r="O2842" s="1252">
        <v>1</v>
      </c>
    </row>
    <row r="2843" spans="1:15">
      <c r="A2843" s="1246" t="s">
        <v>1490</v>
      </c>
      <c r="B2843" s="1246" t="s">
        <v>427</v>
      </c>
      <c r="C2843" s="1247">
        <v>0.45</v>
      </c>
      <c r="F2843" s="1248">
        <v>3</v>
      </c>
      <c r="G2843" s="1248">
        <v>3</v>
      </c>
      <c r="H2843" s="1249">
        <v>1</v>
      </c>
      <c r="I2843" s="1246" t="s">
        <v>1491</v>
      </c>
      <c r="J2843" s="1246" t="s">
        <v>1399</v>
      </c>
      <c r="K2843" s="1284" t="str">
        <f t="shared" si="44"/>
        <v>30</v>
      </c>
      <c r="L2843" s="1246" t="s">
        <v>1508</v>
      </c>
      <c r="M2843" s="1250">
        <v>1</v>
      </c>
      <c r="N2843" s="1251">
        <v>12</v>
      </c>
      <c r="O2843" s="1252">
        <v>4</v>
      </c>
    </row>
    <row r="2844" spans="1:15">
      <c r="A2844" s="1246" t="s">
        <v>1490</v>
      </c>
      <c r="B2844" s="1246" t="s">
        <v>427</v>
      </c>
      <c r="C2844" s="1247">
        <v>0.45</v>
      </c>
      <c r="E2844" s="1246" t="s">
        <v>370</v>
      </c>
      <c r="F2844" s="1248">
        <v>3</v>
      </c>
      <c r="G2844" s="1248">
        <v>3</v>
      </c>
      <c r="H2844" s="1249">
        <v>1</v>
      </c>
      <c r="I2844" s="1246" t="s">
        <v>1491</v>
      </c>
      <c r="J2844" s="1246" t="s">
        <v>1399</v>
      </c>
      <c r="K2844" s="1284" t="str">
        <f t="shared" si="44"/>
        <v>30</v>
      </c>
      <c r="L2844" s="1246" t="s">
        <v>1508</v>
      </c>
      <c r="M2844" s="1250">
        <v>1</v>
      </c>
      <c r="N2844" s="1251">
        <v>6</v>
      </c>
      <c r="O2844" s="1252">
        <v>2</v>
      </c>
    </row>
    <row r="2845" spans="1:15">
      <c r="A2845" s="1246" t="s">
        <v>1490</v>
      </c>
      <c r="B2845" s="1246" t="s">
        <v>427</v>
      </c>
      <c r="C2845" s="1247">
        <v>0.45</v>
      </c>
      <c r="F2845" s="1248">
        <v>3</v>
      </c>
      <c r="G2845" s="1248">
        <v>3</v>
      </c>
      <c r="H2845" s="1249">
        <v>1</v>
      </c>
      <c r="I2845" s="1246" t="s">
        <v>1491</v>
      </c>
      <c r="J2845" s="1246" t="s">
        <v>1399</v>
      </c>
      <c r="K2845" s="1284" t="str">
        <f t="shared" si="44"/>
        <v>30</v>
      </c>
      <c r="L2845" s="1246" t="s">
        <v>1509</v>
      </c>
      <c r="M2845" s="1250">
        <v>1</v>
      </c>
      <c r="N2845" s="1251">
        <v>6</v>
      </c>
      <c r="O2845" s="1252">
        <v>2</v>
      </c>
    </row>
    <row r="2846" spans="1:15">
      <c r="A2846" s="1246" t="s">
        <v>1490</v>
      </c>
      <c r="B2846" s="1246" t="s">
        <v>427</v>
      </c>
      <c r="C2846" s="1247">
        <v>0.45</v>
      </c>
      <c r="E2846" s="1246" t="s">
        <v>370</v>
      </c>
      <c r="F2846" s="1248">
        <v>3</v>
      </c>
      <c r="G2846" s="1248">
        <v>3</v>
      </c>
      <c r="H2846" s="1249">
        <v>1</v>
      </c>
      <c r="I2846" s="1246" t="s">
        <v>1491</v>
      </c>
      <c r="J2846" s="1246" t="s">
        <v>1399</v>
      </c>
      <c r="K2846" s="1284" t="str">
        <f t="shared" si="44"/>
        <v>30</v>
      </c>
      <c r="L2846" s="1246" t="s">
        <v>1509</v>
      </c>
      <c r="M2846" s="1250">
        <v>1</v>
      </c>
      <c r="N2846" s="1251">
        <v>3</v>
      </c>
      <c r="O2846" s="1252">
        <v>1</v>
      </c>
    </row>
    <row r="2847" spans="1:15">
      <c r="A2847" s="1246" t="s">
        <v>1490</v>
      </c>
      <c r="B2847" s="1246" t="s">
        <v>427</v>
      </c>
      <c r="C2847" s="1247">
        <v>0.45</v>
      </c>
      <c r="F2847" s="1248">
        <v>3</v>
      </c>
      <c r="G2847" s="1248">
        <v>3</v>
      </c>
      <c r="H2847" s="1249">
        <v>1</v>
      </c>
      <c r="I2847" s="1246" t="s">
        <v>1491</v>
      </c>
      <c r="J2847" s="1246" t="s">
        <v>1457</v>
      </c>
      <c r="K2847" s="1284" t="str">
        <f t="shared" si="44"/>
        <v>35</v>
      </c>
      <c r="L2847" s="1246" t="s">
        <v>1501</v>
      </c>
      <c r="M2847" s="1250">
        <v>1</v>
      </c>
      <c r="N2847" s="1251">
        <v>27</v>
      </c>
      <c r="O2847" s="1252">
        <v>9</v>
      </c>
    </row>
    <row r="2848" spans="1:15">
      <c r="A2848" s="1246" t="s">
        <v>1490</v>
      </c>
      <c r="B2848" s="1246" t="s">
        <v>427</v>
      </c>
      <c r="C2848" s="1247">
        <v>0.45</v>
      </c>
      <c r="F2848" s="1248">
        <v>3</v>
      </c>
      <c r="G2848" s="1248">
        <v>3</v>
      </c>
      <c r="H2848" s="1249">
        <v>1</v>
      </c>
      <c r="I2848" s="1246" t="s">
        <v>1491</v>
      </c>
      <c r="J2848" s="1246" t="s">
        <v>1399</v>
      </c>
      <c r="K2848" s="1284" t="str">
        <f t="shared" si="44"/>
        <v>30</v>
      </c>
      <c r="L2848" s="1246" t="s">
        <v>1510</v>
      </c>
      <c r="M2848" s="1250">
        <v>1</v>
      </c>
      <c r="N2848" s="1251">
        <v>18</v>
      </c>
      <c r="O2848" s="1252">
        <v>6</v>
      </c>
    </row>
    <row r="2849" spans="1:15">
      <c r="A2849" s="1246" t="s">
        <v>1490</v>
      </c>
      <c r="B2849" s="1246" t="s">
        <v>427</v>
      </c>
      <c r="C2849" s="1247">
        <v>0.45</v>
      </c>
      <c r="F2849" s="1248">
        <v>3</v>
      </c>
      <c r="G2849" s="1248">
        <v>3</v>
      </c>
      <c r="H2849" s="1249">
        <v>1</v>
      </c>
      <c r="I2849" s="1246" t="s">
        <v>1491</v>
      </c>
      <c r="J2849" s="1246" t="s">
        <v>1399</v>
      </c>
      <c r="K2849" s="1284" t="str">
        <f t="shared" si="44"/>
        <v>30</v>
      </c>
      <c r="L2849" s="1246" t="s">
        <v>1511</v>
      </c>
      <c r="M2849" s="1250">
        <v>2</v>
      </c>
      <c r="N2849" s="1251">
        <v>3</v>
      </c>
      <c r="O2849" s="1252">
        <v>1</v>
      </c>
    </row>
    <row r="2850" spans="1:15">
      <c r="A2850" s="1246" t="s">
        <v>1490</v>
      </c>
      <c r="B2850" s="1246" t="s">
        <v>427</v>
      </c>
      <c r="C2850" s="1247">
        <v>0.45</v>
      </c>
      <c r="F2850" s="1248">
        <v>3</v>
      </c>
      <c r="G2850" s="1248">
        <v>3</v>
      </c>
      <c r="H2850" s="1249">
        <v>1</v>
      </c>
      <c r="I2850" s="1246" t="s">
        <v>1491</v>
      </c>
      <c r="J2850" s="1246" t="s">
        <v>1455</v>
      </c>
      <c r="K2850" s="1284" t="str">
        <f t="shared" si="44"/>
        <v>32</v>
      </c>
      <c r="L2850" s="1246" t="s">
        <v>1513</v>
      </c>
      <c r="M2850" s="1250">
        <v>2</v>
      </c>
      <c r="N2850" s="1251">
        <v>3</v>
      </c>
      <c r="O2850" s="1252">
        <v>1</v>
      </c>
    </row>
    <row r="2851" spans="1:15">
      <c r="A2851" s="1246" t="s">
        <v>1490</v>
      </c>
      <c r="B2851" s="1246" t="s">
        <v>427</v>
      </c>
      <c r="C2851" s="1247">
        <v>0.45</v>
      </c>
      <c r="F2851" s="1248">
        <v>3</v>
      </c>
      <c r="G2851" s="1248">
        <v>3</v>
      </c>
      <c r="H2851" s="1249">
        <v>1</v>
      </c>
      <c r="I2851" s="1246" t="s">
        <v>1491</v>
      </c>
      <c r="J2851" s="1246" t="s">
        <v>1454</v>
      </c>
      <c r="K2851" s="1284" t="str">
        <f t="shared" si="44"/>
        <v>31</v>
      </c>
      <c r="L2851" s="1246" t="s">
        <v>1500</v>
      </c>
      <c r="M2851" s="1250">
        <v>2</v>
      </c>
      <c r="N2851" s="1251">
        <v>36</v>
      </c>
      <c r="O2851" s="1252">
        <v>12</v>
      </c>
    </row>
    <row r="2852" spans="1:15">
      <c r="A2852" s="1246" t="s">
        <v>1490</v>
      </c>
      <c r="B2852" s="1246" t="s">
        <v>427</v>
      </c>
      <c r="C2852" s="1247">
        <v>0.45</v>
      </c>
      <c r="E2852" s="1246" t="s">
        <v>370</v>
      </c>
      <c r="F2852" s="1248">
        <v>3</v>
      </c>
      <c r="G2852" s="1248">
        <v>3</v>
      </c>
      <c r="H2852" s="1249">
        <v>1</v>
      </c>
      <c r="I2852" s="1246" t="s">
        <v>1491</v>
      </c>
      <c r="J2852" s="1246" t="s">
        <v>1454</v>
      </c>
      <c r="K2852" s="1284" t="str">
        <f t="shared" si="44"/>
        <v>31</v>
      </c>
      <c r="L2852" s="1246" t="s">
        <v>1500</v>
      </c>
      <c r="M2852" s="1250">
        <v>2</v>
      </c>
      <c r="N2852" s="1251">
        <v>18</v>
      </c>
      <c r="O2852" s="1252">
        <v>6</v>
      </c>
    </row>
    <row r="2853" spans="1:15">
      <c r="A2853" s="1246" t="s">
        <v>1490</v>
      </c>
      <c r="B2853" s="1246" t="s">
        <v>427</v>
      </c>
      <c r="C2853" s="1247">
        <v>0.45</v>
      </c>
      <c r="F2853" s="1248">
        <v>3</v>
      </c>
      <c r="G2853" s="1248">
        <v>3</v>
      </c>
      <c r="H2853" s="1249">
        <v>1</v>
      </c>
      <c r="I2853" s="1246" t="s">
        <v>1491</v>
      </c>
      <c r="J2853" s="1246" t="s">
        <v>1399</v>
      </c>
      <c r="K2853" s="1284" t="str">
        <f t="shared" si="44"/>
        <v>30</v>
      </c>
      <c r="L2853" s="1246" t="s">
        <v>1515</v>
      </c>
      <c r="M2853" s="1250">
        <v>2</v>
      </c>
      <c r="N2853" s="1251">
        <v>6</v>
      </c>
      <c r="O2853" s="1252">
        <v>2</v>
      </c>
    </row>
    <row r="2854" spans="1:15">
      <c r="A2854" s="1246" t="s">
        <v>1490</v>
      </c>
      <c r="B2854" s="1246" t="s">
        <v>427</v>
      </c>
      <c r="C2854" s="1247">
        <v>0.45</v>
      </c>
      <c r="E2854" s="1246" t="s">
        <v>370</v>
      </c>
      <c r="F2854" s="1248">
        <v>3</v>
      </c>
      <c r="G2854" s="1248">
        <v>3</v>
      </c>
      <c r="H2854" s="1249">
        <v>1</v>
      </c>
      <c r="I2854" s="1246" t="s">
        <v>1491</v>
      </c>
      <c r="J2854" s="1246" t="s">
        <v>1399</v>
      </c>
      <c r="K2854" s="1284" t="str">
        <f t="shared" si="44"/>
        <v>30</v>
      </c>
      <c r="L2854" s="1246" t="s">
        <v>1515</v>
      </c>
      <c r="M2854" s="1250">
        <v>2</v>
      </c>
      <c r="N2854" s="1251">
        <v>9</v>
      </c>
      <c r="O2854" s="1252">
        <v>3</v>
      </c>
    </row>
    <row r="2855" spans="1:15">
      <c r="A2855" s="1246" t="s">
        <v>1490</v>
      </c>
      <c r="B2855" s="1246" t="s">
        <v>427</v>
      </c>
      <c r="C2855" s="1247">
        <v>0.45</v>
      </c>
      <c r="F2855" s="1248">
        <v>3</v>
      </c>
      <c r="G2855" s="1248">
        <v>3</v>
      </c>
      <c r="H2855" s="1249">
        <v>1</v>
      </c>
      <c r="I2855" s="1246" t="s">
        <v>1491</v>
      </c>
      <c r="J2855" s="1246" t="s">
        <v>1399</v>
      </c>
      <c r="K2855" s="1284" t="str">
        <f t="shared" si="44"/>
        <v>30</v>
      </c>
      <c r="L2855" s="1246" t="s">
        <v>1516</v>
      </c>
      <c r="M2855" s="1250">
        <v>2</v>
      </c>
      <c r="N2855" s="1251">
        <v>3</v>
      </c>
      <c r="O2855" s="1252">
        <v>1</v>
      </c>
    </row>
    <row r="2856" spans="1:15">
      <c r="A2856" s="1246" t="s">
        <v>1490</v>
      </c>
      <c r="B2856" s="1246" t="s">
        <v>427</v>
      </c>
      <c r="C2856" s="1247">
        <v>0.45</v>
      </c>
      <c r="E2856" s="1246" t="s">
        <v>370</v>
      </c>
      <c r="F2856" s="1248">
        <v>3</v>
      </c>
      <c r="G2856" s="1248">
        <v>3</v>
      </c>
      <c r="H2856" s="1249">
        <v>1</v>
      </c>
      <c r="I2856" s="1246" t="s">
        <v>1491</v>
      </c>
      <c r="J2856" s="1246" t="s">
        <v>1399</v>
      </c>
      <c r="K2856" s="1284" t="str">
        <f t="shared" si="44"/>
        <v>30</v>
      </c>
      <c r="L2856" s="1246" t="s">
        <v>1516</v>
      </c>
      <c r="M2856" s="1250">
        <v>2</v>
      </c>
      <c r="N2856" s="1251">
        <v>3</v>
      </c>
      <c r="O2856" s="1252">
        <v>1</v>
      </c>
    </row>
    <row r="2857" spans="1:15">
      <c r="A2857" s="1246" t="s">
        <v>1490</v>
      </c>
      <c r="B2857" s="1246" t="s">
        <v>427</v>
      </c>
      <c r="C2857" s="1247">
        <v>0.45</v>
      </c>
      <c r="F2857" s="1248">
        <v>3</v>
      </c>
      <c r="G2857" s="1248">
        <v>3</v>
      </c>
      <c r="H2857" s="1249">
        <v>1</v>
      </c>
      <c r="I2857" s="1246" t="s">
        <v>1491</v>
      </c>
      <c r="J2857" s="1246" t="s">
        <v>1457</v>
      </c>
      <c r="K2857" s="1284" t="str">
        <f t="shared" si="44"/>
        <v>35</v>
      </c>
      <c r="L2857" s="1246" t="s">
        <v>1517</v>
      </c>
      <c r="M2857" s="1250">
        <v>2</v>
      </c>
      <c r="N2857" s="1251">
        <v>42</v>
      </c>
      <c r="O2857" s="1252">
        <v>14</v>
      </c>
    </row>
    <row r="2858" spans="1:15">
      <c r="A2858" s="1246" t="s">
        <v>1490</v>
      </c>
      <c r="B2858" s="1246" t="s">
        <v>427</v>
      </c>
      <c r="C2858" s="1247">
        <v>0.45</v>
      </c>
      <c r="F2858" s="1248">
        <v>3</v>
      </c>
      <c r="G2858" s="1248">
        <v>3</v>
      </c>
      <c r="H2858" s="1249">
        <v>1</v>
      </c>
      <c r="I2858" s="1246" t="s">
        <v>1491</v>
      </c>
      <c r="J2858" s="1246" t="s">
        <v>1399</v>
      </c>
      <c r="K2858" s="1284" t="str">
        <f t="shared" si="44"/>
        <v>30</v>
      </c>
      <c r="L2858" s="1246" t="s">
        <v>1518</v>
      </c>
      <c r="M2858" s="1250">
        <v>2</v>
      </c>
      <c r="N2858" s="1251">
        <v>18</v>
      </c>
      <c r="O2858" s="1252">
        <v>6</v>
      </c>
    </row>
    <row r="2859" spans="1:15">
      <c r="A2859" s="1246" t="s">
        <v>1490</v>
      </c>
      <c r="B2859" s="1246" t="s">
        <v>427</v>
      </c>
      <c r="C2859" s="1247">
        <v>0.45</v>
      </c>
      <c r="E2859" s="1246" t="s">
        <v>370</v>
      </c>
      <c r="F2859" s="1248">
        <v>3</v>
      </c>
      <c r="G2859" s="1248">
        <v>3</v>
      </c>
      <c r="H2859" s="1249">
        <v>1</v>
      </c>
      <c r="I2859" s="1246" t="s">
        <v>1491</v>
      </c>
      <c r="J2859" s="1246" t="s">
        <v>1399</v>
      </c>
      <c r="K2859" s="1284" t="str">
        <f t="shared" si="44"/>
        <v>30</v>
      </c>
      <c r="L2859" s="1246" t="s">
        <v>1518</v>
      </c>
      <c r="M2859" s="1250">
        <v>2</v>
      </c>
      <c r="N2859" s="1251">
        <v>3</v>
      </c>
      <c r="O2859" s="1252">
        <v>1</v>
      </c>
    </row>
    <row r="2860" spans="1:15">
      <c r="A2860" s="1246" t="s">
        <v>1490</v>
      </c>
      <c r="B2860" s="1246" t="s">
        <v>427</v>
      </c>
      <c r="C2860" s="1247">
        <v>0.45</v>
      </c>
      <c r="F2860" s="1248">
        <v>3</v>
      </c>
      <c r="G2860" s="1248">
        <v>3</v>
      </c>
      <c r="H2860" s="1249">
        <v>1</v>
      </c>
      <c r="I2860" s="1246" t="s">
        <v>1491</v>
      </c>
      <c r="J2860" s="1246" t="s">
        <v>1456</v>
      </c>
      <c r="K2860" s="1284" t="str">
        <f t="shared" si="44"/>
        <v>33</v>
      </c>
      <c r="L2860" s="1246" t="s">
        <v>1519</v>
      </c>
      <c r="M2860" s="1250">
        <v>2</v>
      </c>
      <c r="N2860" s="1251">
        <v>2568</v>
      </c>
      <c r="O2860" s="1252">
        <v>856</v>
      </c>
    </row>
    <row r="2861" spans="1:15">
      <c r="A2861" s="1246" t="s">
        <v>1490</v>
      </c>
      <c r="B2861" s="1246" t="s">
        <v>427</v>
      </c>
      <c r="C2861" s="1247">
        <v>0.45</v>
      </c>
      <c r="E2861" s="1246" t="s">
        <v>370</v>
      </c>
      <c r="F2861" s="1248">
        <v>3</v>
      </c>
      <c r="G2861" s="1248">
        <v>3</v>
      </c>
      <c r="H2861" s="1249">
        <v>1</v>
      </c>
      <c r="I2861" s="1246" t="s">
        <v>1491</v>
      </c>
      <c r="J2861" s="1246" t="s">
        <v>1456</v>
      </c>
      <c r="K2861" s="1284" t="str">
        <f t="shared" si="44"/>
        <v>33</v>
      </c>
      <c r="L2861" s="1246" t="s">
        <v>1519</v>
      </c>
      <c r="M2861" s="1250">
        <v>2</v>
      </c>
      <c r="N2861" s="1251">
        <v>1464</v>
      </c>
      <c r="O2861" s="1252">
        <v>488</v>
      </c>
    </row>
    <row r="2862" spans="1:15">
      <c r="A2862" s="1246" t="s">
        <v>1490</v>
      </c>
      <c r="B2862" s="1246" t="s">
        <v>427</v>
      </c>
      <c r="C2862" s="1247">
        <v>0.45</v>
      </c>
      <c r="F2862" s="1248">
        <v>3</v>
      </c>
      <c r="G2862" s="1248">
        <v>3</v>
      </c>
      <c r="H2862" s="1249">
        <v>1</v>
      </c>
      <c r="I2862" s="1246" t="s">
        <v>1491</v>
      </c>
      <c r="J2862" s="1246" t="s">
        <v>1399</v>
      </c>
      <c r="K2862" s="1284" t="str">
        <f t="shared" si="44"/>
        <v>30</v>
      </c>
      <c r="L2862" s="1246" t="s">
        <v>1520</v>
      </c>
      <c r="M2862" s="1250">
        <v>3</v>
      </c>
      <c r="N2862" s="1251">
        <v>9</v>
      </c>
      <c r="O2862" s="1252">
        <v>3</v>
      </c>
    </row>
    <row r="2863" spans="1:15">
      <c r="A2863" s="1246" t="s">
        <v>1490</v>
      </c>
      <c r="B2863" s="1246" t="s">
        <v>427</v>
      </c>
      <c r="C2863" s="1247">
        <v>0.45</v>
      </c>
      <c r="F2863" s="1248">
        <v>3</v>
      </c>
      <c r="G2863" s="1248">
        <v>3</v>
      </c>
      <c r="H2863" s="1249">
        <v>1</v>
      </c>
      <c r="I2863" s="1246" t="s">
        <v>1491</v>
      </c>
      <c r="J2863" s="1246" t="s">
        <v>1454</v>
      </c>
      <c r="K2863" s="1284" t="str">
        <f t="shared" si="44"/>
        <v>31</v>
      </c>
      <c r="L2863" s="1246" t="s">
        <v>1523</v>
      </c>
      <c r="M2863" s="1250">
        <v>3</v>
      </c>
      <c r="N2863" s="1251">
        <v>51</v>
      </c>
      <c r="O2863" s="1252">
        <v>17</v>
      </c>
    </row>
    <row r="2864" spans="1:15">
      <c r="A2864" s="1246" t="s">
        <v>1490</v>
      </c>
      <c r="B2864" s="1246" t="s">
        <v>427</v>
      </c>
      <c r="C2864" s="1247">
        <v>0.45</v>
      </c>
      <c r="E2864" s="1246" t="s">
        <v>370</v>
      </c>
      <c r="F2864" s="1248">
        <v>3</v>
      </c>
      <c r="G2864" s="1248">
        <v>3</v>
      </c>
      <c r="H2864" s="1249">
        <v>1</v>
      </c>
      <c r="I2864" s="1246" t="s">
        <v>1491</v>
      </c>
      <c r="J2864" s="1246" t="s">
        <v>1454</v>
      </c>
      <c r="K2864" s="1284" t="str">
        <f t="shared" si="44"/>
        <v>31</v>
      </c>
      <c r="L2864" s="1246" t="s">
        <v>1523</v>
      </c>
      <c r="M2864" s="1250">
        <v>3</v>
      </c>
      <c r="N2864" s="1251">
        <v>39</v>
      </c>
      <c r="O2864" s="1252">
        <v>13</v>
      </c>
    </row>
    <row r="2865" spans="1:15">
      <c r="A2865" s="1246" t="s">
        <v>1490</v>
      </c>
      <c r="B2865" s="1246" t="s">
        <v>427</v>
      </c>
      <c r="C2865" s="1247">
        <v>0.45</v>
      </c>
      <c r="F2865" s="1248">
        <v>3</v>
      </c>
      <c r="G2865" s="1248">
        <v>3</v>
      </c>
      <c r="H2865" s="1249">
        <v>1</v>
      </c>
      <c r="I2865" s="1246" t="s">
        <v>1491</v>
      </c>
      <c r="J2865" s="1246" t="s">
        <v>1458</v>
      </c>
      <c r="K2865" s="1284" t="str">
        <f t="shared" si="44"/>
        <v>36</v>
      </c>
      <c r="L2865" s="1246" t="s">
        <v>1524</v>
      </c>
      <c r="M2865" s="1250">
        <v>3</v>
      </c>
      <c r="N2865" s="1251">
        <v>9</v>
      </c>
      <c r="O2865" s="1252">
        <v>3</v>
      </c>
    </row>
    <row r="2866" spans="1:15">
      <c r="A2866" s="1246" t="s">
        <v>1490</v>
      </c>
      <c r="B2866" s="1246" t="s">
        <v>427</v>
      </c>
      <c r="C2866" s="1247">
        <v>0.45</v>
      </c>
      <c r="F2866" s="1248">
        <v>3</v>
      </c>
      <c r="G2866" s="1248">
        <v>3</v>
      </c>
      <c r="H2866" s="1249">
        <v>1</v>
      </c>
      <c r="I2866" s="1246" t="s">
        <v>1491</v>
      </c>
      <c r="J2866" s="1246" t="s">
        <v>1399</v>
      </c>
      <c r="K2866" s="1284" t="str">
        <f t="shared" si="44"/>
        <v>30</v>
      </c>
      <c r="L2866" s="1246" t="s">
        <v>1525</v>
      </c>
      <c r="M2866" s="1250">
        <v>3</v>
      </c>
      <c r="N2866" s="1251">
        <v>6</v>
      </c>
      <c r="O2866" s="1252">
        <v>2</v>
      </c>
    </row>
    <row r="2867" spans="1:15">
      <c r="A2867" s="1246" t="s">
        <v>1490</v>
      </c>
      <c r="B2867" s="1246" t="s">
        <v>427</v>
      </c>
      <c r="C2867" s="1247">
        <v>0.45</v>
      </c>
      <c r="F2867" s="1248">
        <v>3</v>
      </c>
      <c r="G2867" s="1248">
        <v>3</v>
      </c>
      <c r="H2867" s="1249">
        <v>1</v>
      </c>
      <c r="I2867" s="1246" t="s">
        <v>1491</v>
      </c>
      <c r="J2867" s="1246" t="s">
        <v>1399</v>
      </c>
      <c r="K2867" s="1284" t="str">
        <f t="shared" si="44"/>
        <v>30</v>
      </c>
      <c r="L2867" s="1246" t="s">
        <v>1526</v>
      </c>
      <c r="M2867" s="1250">
        <v>3</v>
      </c>
      <c r="N2867" s="1251">
        <v>3</v>
      </c>
      <c r="O2867" s="1252">
        <v>1</v>
      </c>
    </row>
    <row r="2868" spans="1:15">
      <c r="A2868" s="1246" t="s">
        <v>1490</v>
      </c>
      <c r="B2868" s="1246" t="s">
        <v>427</v>
      </c>
      <c r="C2868" s="1247">
        <v>0.45</v>
      </c>
      <c r="F2868" s="1248">
        <v>3</v>
      </c>
      <c r="G2868" s="1248">
        <v>3</v>
      </c>
      <c r="H2868" s="1249">
        <v>1</v>
      </c>
      <c r="I2868" s="1246" t="s">
        <v>1491</v>
      </c>
      <c r="J2868" s="1246" t="s">
        <v>1457</v>
      </c>
      <c r="K2868" s="1284" t="str">
        <f t="shared" si="44"/>
        <v>35</v>
      </c>
      <c r="L2868" s="1246" t="s">
        <v>1527</v>
      </c>
      <c r="M2868" s="1250">
        <v>3</v>
      </c>
      <c r="N2868" s="1251">
        <v>27</v>
      </c>
      <c r="O2868" s="1252">
        <v>9</v>
      </c>
    </row>
    <row r="2869" spans="1:15">
      <c r="A2869" s="1246" t="s">
        <v>1490</v>
      </c>
      <c r="B2869" s="1246" t="s">
        <v>427</v>
      </c>
      <c r="C2869" s="1247">
        <v>0.45</v>
      </c>
      <c r="F2869" s="1248">
        <v>3</v>
      </c>
      <c r="G2869" s="1248">
        <v>3</v>
      </c>
      <c r="H2869" s="1249">
        <v>1</v>
      </c>
      <c r="I2869" s="1246" t="s">
        <v>1491</v>
      </c>
      <c r="J2869" s="1246" t="s">
        <v>1399</v>
      </c>
      <c r="K2869" s="1284" t="str">
        <f t="shared" si="44"/>
        <v>30</v>
      </c>
      <c r="L2869" s="1246" t="s">
        <v>1528</v>
      </c>
      <c r="M2869" s="1250">
        <v>3</v>
      </c>
      <c r="N2869" s="1251">
        <v>27</v>
      </c>
      <c r="O2869" s="1252">
        <v>9</v>
      </c>
    </row>
    <row r="2870" spans="1:15">
      <c r="A2870" s="1246" t="s">
        <v>1490</v>
      </c>
      <c r="B2870" s="1246" t="s">
        <v>427</v>
      </c>
      <c r="C2870" s="1247">
        <v>0.45</v>
      </c>
      <c r="E2870" s="1246" t="s">
        <v>370</v>
      </c>
      <c r="F2870" s="1248">
        <v>3</v>
      </c>
      <c r="G2870" s="1248">
        <v>3</v>
      </c>
      <c r="H2870" s="1249">
        <v>1</v>
      </c>
      <c r="I2870" s="1246" t="s">
        <v>1491</v>
      </c>
      <c r="J2870" s="1246" t="s">
        <v>1399</v>
      </c>
      <c r="K2870" s="1284" t="str">
        <f t="shared" si="44"/>
        <v>30</v>
      </c>
      <c r="L2870" s="1246" t="s">
        <v>1528</v>
      </c>
      <c r="M2870" s="1250">
        <v>3</v>
      </c>
      <c r="N2870" s="1251">
        <v>12</v>
      </c>
      <c r="O2870" s="1252">
        <v>4</v>
      </c>
    </row>
    <row r="2871" spans="1:15">
      <c r="A2871" s="1246" t="s">
        <v>1490</v>
      </c>
      <c r="B2871" s="1246" t="s">
        <v>427</v>
      </c>
      <c r="C2871" s="1247">
        <v>0.45</v>
      </c>
      <c r="E2871" s="1246" t="s">
        <v>370</v>
      </c>
      <c r="F2871" s="1248">
        <v>3</v>
      </c>
      <c r="G2871" s="1248">
        <v>3</v>
      </c>
      <c r="H2871" s="1249">
        <v>2</v>
      </c>
      <c r="I2871" s="1246" t="s">
        <v>1491</v>
      </c>
      <c r="J2871" s="1246" t="s">
        <v>1456</v>
      </c>
      <c r="K2871" s="1284" t="str">
        <f t="shared" si="44"/>
        <v>33</v>
      </c>
      <c r="L2871" s="1246" t="s">
        <v>1519</v>
      </c>
      <c r="M2871" s="1250">
        <v>2</v>
      </c>
      <c r="N2871" s="1251">
        <v>3</v>
      </c>
      <c r="O2871" s="1252">
        <v>1</v>
      </c>
    </row>
    <row r="2872" spans="1:15">
      <c r="A2872" s="1246" t="s">
        <v>1490</v>
      </c>
      <c r="B2872" s="1246" t="s">
        <v>427</v>
      </c>
      <c r="C2872" s="1247">
        <v>0.45</v>
      </c>
      <c r="F2872" s="1248">
        <v>3</v>
      </c>
      <c r="G2872" s="1248">
        <v>3</v>
      </c>
      <c r="H2872" s="1249">
        <v>2</v>
      </c>
      <c r="I2872" s="1246" t="s">
        <v>1491</v>
      </c>
      <c r="J2872" s="1246" t="s">
        <v>1399</v>
      </c>
      <c r="K2872" s="1284" t="str">
        <f t="shared" si="44"/>
        <v>30</v>
      </c>
      <c r="L2872" s="1246" t="s">
        <v>1521</v>
      </c>
      <c r="M2872" s="1250">
        <v>3</v>
      </c>
      <c r="N2872" s="1251">
        <v>3</v>
      </c>
      <c r="O2872" s="1252">
        <v>1</v>
      </c>
    </row>
    <row r="2873" spans="1:15">
      <c r="A2873" s="1246" t="s">
        <v>1490</v>
      </c>
      <c r="B2873" s="1246" t="s">
        <v>427</v>
      </c>
      <c r="C2873" s="1247">
        <v>0.45</v>
      </c>
      <c r="F2873" s="1248">
        <v>3</v>
      </c>
      <c r="G2873" s="1248">
        <v>4</v>
      </c>
      <c r="H2873" s="1249">
        <v>1</v>
      </c>
      <c r="I2873" s="1246" t="s">
        <v>1491</v>
      </c>
      <c r="J2873" s="1246" t="s">
        <v>1456</v>
      </c>
      <c r="K2873" s="1284" t="str">
        <f t="shared" si="44"/>
        <v>33</v>
      </c>
      <c r="L2873" s="1246" t="s">
        <v>1519</v>
      </c>
      <c r="M2873" s="1250">
        <v>2</v>
      </c>
      <c r="N2873" s="1251">
        <v>6</v>
      </c>
      <c r="O2873" s="1252">
        <v>2</v>
      </c>
    </row>
    <row r="2874" spans="1:15">
      <c r="A2874" s="1246" t="s">
        <v>1490</v>
      </c>
      <c r="B2874" s="1246" t="s">
        <v>427</v>
      </c>
      <c r="C2874" s="1247">
        <v>0.45</v>
      </c>
      <c r="E2874" s="1246" t="s">
        <v>370</v>
      </c>
      <c r="F2874" s="1248">
        <v>3</v>
      </c>
      <c r="G2874" s="1248">
        <v>6</v>
      </c>
      <c r="H2874" s="1249">
        <v>1</v>
      </c>
      <c r="I2874" s="1246" t="s">
        <v>1491</v>
      </c>
      <c r="J2874" s="1246" t="s">
        <v>1399</v>
      </c>
      <c r="K2874" s="1284" t="str">
        <f t="shared" si="44"/>
        <v>30</v>
      </c>
      <c r="L2874" s="1246" t="s">
        <v>1526</v>
      </c>
      <c r="M2874" s="1250">
        <v>3</v>
      </c>
      <c r="N2874" s="1251">
        <v>3</v>
      </c>
      <c r="O2874" s="1252">
        <v>1</v>
      </c>
    </row>
    <row r="2875" spans="1:15">
      <c r="A2875" s="1246" t="s">
        <v>1490</v>
      </c>
      <c r="B2875" s="1246" t="s">
        <v>427</v>
      </c>
      <c r="C2875" s="1247">
        <v>0.45</v>
      </c>
      <c r="E2875" s="1246" t="s">
        <v>370</v>
      </c>
      <c r="F2875" s="1248">
        <v>4</v>
      </c>
      <c r="G2875" s="1248">
        <v>1</v>
      </c>
      <c r="H2875" s="1249">
        <v>1</v>
      </c>
      <c r="I2875" s="1246" t="s">
        <v>1491</v>
      </c>
      <c r="J2875" s="1246" t="s">
        <v>1456</v>
      </c>
      <c r="K2875" s="1284" t="str">
        <f t="shared" si="44"/>
        <v>33</v>
      </c>
      <c r="L2875" s="1246" t="s">
        <v>1519</v>
      </c>
      <c r="M2875" s="1250">
        <v>2</v>
      </c>
      <c r="N2875" s="1251">
        <v>4</v>
      </c>
      <c r="O2875" s="1252">
        <v>1</v>
      </c>
    </row>
    <row r="2876" spans="1:15">
      <c r="A2876" s="1246" t="s">
        <v>1490</v>
      </c>
      <c r="B2876" s="1246" t="s">
        <v>427</v>
      </c>
      <c r="C2876" s="1247">
        <v>0.45</v>
      </c>
      <c r="F2876" s="1248">
        <v>4</v>
      </c>
      <c r="G2876" s="1248">
        <v>4</v>
      </c>
      <c r="H2876" s="1249">
        <v>1</v>
      </c>
      <c r="I2876" s="1246" t="s">
        <v>1491</v>
      </c>
      <c r="J2876" s="1246" t="s">
        <v>1399</v>
      </c>
      <c r="K2876" s="1284" t="str">
        <f t="shared" si="44"/>
        <v>30</v>
      </c>
      <c r="L2876" s="1246" t="s">
        <v>1510</v>
      </c>
      <c r="M2876" s="1250">
        <v>1</v>
      </c>
      <c r="N2876" s="1251">
        <v>4</v>
      </c>
      <c r="O2876" s="1252">
        <v>1</v>
      </c>
    </row>
    <row r="2877" spans="1:15">
      <c r="A2877" s="1246" t="s">
        <v>1490</v>
      </c>
      <c r="B2877" s="1246" t="s">
        <v>427</v>
      </c>
      <c r="C2877" s="1247">
        <v>0.45</v>
      </c>
      <c r="E2877" s="1246" t="s">
        <v>370</v>
      </c>
      <c r="F2877" s="1248">
        <v>4</v>
      </c>
      <c r="G2877" s="1248">
        <v>4</v>
      </c>
      <c r="H2877" s="1249">
        <v>1</v>
      </c>
      <c r="I2877" s="1246" t="s">
        <v>1491</v>
      </c>
      <c r="J2877" s="1246" t="s">
        <v>1399</v>
      </c>
      <c r="K2877" s="1284" t="str">
        <f t="shared" si="44"/>
        <v>30</v>
      </c>
      <c r="L2877" s="1246" t="s">
        <v>1510</v>
      </c>
      <c r="M2877" s="1250">
        <v>1</v>
      </c>
      <c r="N2877" s="1251">
        <v>4</v>
      </c>
      <c r="O2877" s="1252">
        <v>1</v>
      </c>
    </row>
    <row r="2878" spans="1:15">
      <c r="A2878" s="1246" t="s">
        <v>1490</v>
      </c>
      <c r="B2878" s="1246" t="s">
        <v>427</v>
      </c>
      <c r="C2878" s="1247">
        <v>0.45</v>
      </c>
      <c r="F2878" s="1248">
        <v>4</v>
      </c>
      <c r="G2878" s="1248">
        <v>4</v>
      </c>
      <c r="H2878" s="1249">
        <v>1</v>
      </c>
      <c r="I2878" s="1246" t="s">
        <v>1491</v>
      </c>
      <c r="J2878" s="1246" t="s">
        <v>1399</v>
      </c>
      <c r="K2878" s="1284" t="str">
        <f t="shared" si="44"/>
        <v>30</v>
      </c>
      <c r="L2878" s="1246" t="s">
        <v>1511</v>
      </c>
      <c r="M2878" s="1250">
        <v>2</v>
      </c>
      <c r="N2878" s="1251">
        <v>4</v>
      </c>
      <c r="O2878" s="1252">
        <v>1</v>
      </c>
    </row>
    <row r="2879" spans="1:15">
      <c r="A2879" s="1246" t="s">
        <v>1490</v>
      </c>
      <c r="B2879" s="1246" t="s">
        <v>427</v>
      </c>
      <c r="C2879" s="1247">
        <v>0.45</v>
      </c>
      <c r="F2879" s="1248">
        <v>4</v>
      </c>
      <c r="G2879" s="1248">
        <v>4</v>
      </c>
      <c r="H2879" s="1249">
        <v>1</v>
      </c>
      <c r="I2879" s="1246" t="s">
        <v>1491</v>
      </c>
      <c r="J2879" s="1246" t="s">
        <v>1456</v>
      </c>
      <c r="K2879" s="1284" t="str">
        <f t="shared" si="44"/>
        <v>33</v>
      </c>
      <c r="L2879" s="1246" t="s">
        <v>1519</v>
      </c>
      <c r="M2879" s="1250">
        <v>2</v>
      </c>
      <c r="N2879" s="1251">
        <v>28</v>
      </c>
      <c r="O2879" s="1252">
        <v>7</v>
      </c>
    </row>
    <row r="2880" spans="1:15">
      <c r="A2880" s="1246" t="s">
        <v>1490</v>
      </c>
      <c r="B2880" s="1246" t="s">
        <v>427</v>
      </c>
      <c r="C2880" s="1247">
        <v>0.45</v>
      </c>
      <c r="E2880" s="1246" t="s">
        <v>370</v>
      </c>
      <c r="F2880" s="1248">
        <v>4</v>
      </c>
      <c r="G2880" s="1248">
        <v>4</v>
      </c>
      <c r="H2880" s="1249">
        <v>1</v>
      </c>
      <c r="I2880" s="1246" t="s">
        <v>1491</v>
      </c>
      <c r="J2880" s="1246" t="s">
        <v>1456</v>
      </c>
      <c r="K2880" s="1284" t="str">
        <f t="shared" si="44"/>
        <v>33</v>
      </c>
      <c r="L2880" s="1246" t="s">
        <v>1519</v>
      </c>
      <c r="M2880" s="1250">
        <v>2</v>
      </c>
      <c r="N2880" s="1251">
        <v>20</v>
      </c>
      <c r="O2880" s="1252">
        <v>5</v>
      </c>
    </row>
    <row r="2881" spans="1:15">
      <c r="A2881" s="1246" t="s">
        <v>1490</v>
      </c>
      <c r="B2881" s="1246" t="s">
        <v>427</v>
      </c>
      <c r="C2881" s="1247">
        <v>0.45</v>
      </c>
      <c r="F2881" s="1248">
        <v>4</v>
      </c>
      <c r="G2881" s="1248">
        <v>4</v>
      </c>
      <c r="H2881" s="1249">
        <v>1</v>
      </c>
      <c r="I2881" s="1246" t="s">
        <v>1491</v>
      </c>
      <c r="J2881" s="1246" t="s">
        <v>1399</v>
      </c>
      <c r="K2881" s="1284" t="str">
        <f t="shared" si="44"/>
        <v>30</v>
      </c>
      <c r="L2881" s="1246" t="s">
        <v>1520</v>
      </c>
      <c r="M2881" s="1250">
        <v>3</v>
      </c>
      <c r="N2881" s="1251">
        <v>8</v>
      </c>
      <c r="O2881" s="1252">
        <v>2</v>
      </c>
    </row>
    <row r="2882" spans="1:15">
      <c r="A2882" s="1246" t="s">
        <v>1490</v>
      </c>
      <c r="B2882" s="1246" t="s">
        <v>427</v>
      </c>
      <c r="C2882" s="1247">
        <v>0.45</v>
      </c>
      <c r="E2882" s="1246" t="s">
        <v>370</v>
      </c>
      <c r="F2882" s="1248">
        <v>4</v>
      </c>
      <c r="G2882" s="1248">
        <v>4</v>
      </c>
      <c r="H2882" s="1249">
        <v>1</v>
      </c>
      <c r="I2882" s="1246" t="s">
        <v>1491</v>
      </c>
      <c r="J2882" s="1246" t="s">
        <v>1399</v>
      </c>
      <c r="K2882" s="1284" t="str">
        <f t="shared" ref="K2882:K2945" si="45">IF(J2882="1B","10", IF(J2882="2B","20",IF(J2882="3B","30",IF(J2882="7B",70,J2882))))</f>
        <v>30</v>
      </c>
      <c r="L2882" s="1246" t="s">
        <v>1520</v>
      </c>
      <c r="M2882" s="1250">
        <v>3</v>
      </c>
      <c r="N2882" s="1251">
        <v>4</v>
      </c>
      <c r="O2882" s="1252">
        <v>1</v>
      </c>
    </row>
    <row r="2883" spans="1:15">
      <c r="A2883" s="1246" t="s">
        <v>1490</v>
      </c>
      <c r="B2883" s="1246" t="s">
        <v>427</v>
      </c>
      <c r="C2883" s="1247">
        <v>0.45</v>
      </c>
      <c r="F2883" s="1248">
        <v>4</v>
      </c>
      <c r="G2883" s="1248">
        <v>4</v>
      </c>
      <c r="H2883" s="1249">
        <v>1</v>
      </c>
      <c r="I2883" s="1246" t="s">
        <v>1491</v>
      </c>
      <c r="J2883" s="1246" t="s">
        <v>1454</v>
      </c>
      <c r="K2883" s="1284" t="str">
        <f t="shared" si="45"/>
        <v>31</v>
      </c>
      <c r="L2883" s="1246" t="s">
        <v>1523</v>
      </c>
      <c r="M2883" s="1250">
        <v>3</v>
      </c>
      <c r="N2883" s="1251">
        <v>4</v>
      </c>
      <c r="O2883" s="1252">
        <v>1</v>
      </c>
    </row>
    <row r="2884" spans="1:15">
      <c r="A2884" s="1246" t="s">
        <v>1493</v>
      </c>
      <c r="B2884" s="1246" t="s">
        <v>427</v>
      </c>
      <c r="C2884" s="1247">
        <v>0.45</v>
      </c>
      <c r="E2884" s="1246" t="s">
        <v>1535</v>
      </c>
      <c r="F2884" s="1248">
        <v>4</v>
      </c>
      <c r="G2884" s="1248">
        <v>4</v>
      </c>
      <c r="H2884" s="1249">
        <v>1</v>
      </c>
      <c r="I2884" s="1246" t="s">
        <v>1491</v>
      </c>
      <c r="J2884" s="1246" t="s">
        <v>1436</v>
      </c>
      <c r="K2884" s="1284" t="str">
        <f t="shared" si="45"/>
        <v>11</v>
      </c>
      <c r="L2884" s="1246" t="s">
        <v>1495</v>
      </c>
      <c r="M2884" s="1250">
        <v>9</v>
      </c>
      <c r="N2884" s="1251">
        <v>4</v>
      </c>
      <c r="O2884" s="1252">
        <v>1</v>
      </c>
    </row>
    <row r="2885" spans="1:15">
      <c r="A2885" s="1246" t="s">
        <v>1493</v>
      </c>
      <c r="B2885" s="1246" t="s">
        <v>427</v>
      </c>
      <c r="C2885" s="1247">
        <v>0.45</v>
      </c>
      <c r="E2885" s="1246" t="s">
        <v>1535</v>
      </c>
      <c r="F2885" s="1248">
        <v>4</v>
      </c>
      <c r="G2885" s="1248">
        <v>4</v>
      </c>
      <c r="H2885" s="1249">
        <v>2</v>
      </c>
      <c r="I2885" s="1246" t="s">
        <v>1491</v>
      </c>
      <c r="J2885" s="1246" t="s">
        <v>1438</v>
      </c>
      <c r="K2885" s="1284" t="str">
        <f t="shared" si="45"/>
        <v>13</v>
      </c>
      <c r="L2885" s="1246" t="s">
        <v>1533</v>
      </c>
      <c r="M2885" s="1250">
        <v>9</v>
      </c>
      <c r="N2885" s="1251">
        <v>4</v>
      </c>
      <c r="O2885" s="1252">
        <v>1</v>
      </c>
    </row>
    <row r="2886" spans="1:15">
      <c r="A2886" s="1246" t="s">
        <v>1490</v>
      </c>
      <c r="B2886" s="1246" t="s">
        <v>427</v>
      </c>
      <c r="C2886" s="1247">
        <v>0.45</v>
      </c>
      <c r="F2886" s="1248">
        <v>5</v>
      </c>
      <c r="G2886" s="1248">
        <v>5</v>
      </c>
      <c r="H2886" s="1249">
        <v>1</v>
      </c>
      <c r="I2886" s="1246" t="s">
        <v>1491</v>
      </c>
      <c r="J2886" s="1246" t="s">
        <v>1399</v>
      </c>
      <c r="K2886" s="1284" t="str">
        <f t="shared" si="45"/>
        <v>30</v>
      </c>
      <c r="L2886" s="1246" t="s">
        <v>1508</v>
      </c>
      <c r="M2886" s="1250">
        <v>1</v>
      </c>
      <c r="N2886" s="1251">
        <v>5</v>
      </c>
      <c r="O2886" s="1252">
        <v>1</v>
      </c>
    </row>
    <row r="2887" spans="1:15">
      <c r="A2887" s="1246" t="s">
        <v>1490</v>
      </c>
      <c r="B2887" s="1246" t="s">
        <v>427</v>
      </c>
      <c r="C2887" s="1247">
        <v>0.45</v>
      </c>
      <c r="E2887" s="1246" t="s">
        <v>370</v>
      </c>
      <c r="F2887" s="1248">
        <v>5</v>
      </c>
      <c r="G2887" s="1248">
        <v>5</v>
      </c>
      <c r="H2887" s="1249">
        <v>1</v>
      </c>
      <c r="I2887" s="1246" t="s">
        <v>1491</v>
      </c>
      <c r="J2887" s="1246" t="s">
        <v>1456</v>
      </c>
      <c r="K2887" s="1284" t="str">
        <f t="shared" si="45"/>
        <v>33</v>
      </c>
      <c r="L2887" s="1246" t="s">
        <v>1519</v>
      </c>
      <c r="M2887" s="1250">
        <v>2</v>
      </c>
      <c r="N2887" s="1251">
        <v>10</v>
      </c>
      <c r="O2887" s="1252">
        <v>2</v>
      </c>
    </row>
    <row r="2888" spans="1:15">
      <c r="A2888" s="1246" t="s">
        <v>1490</v>
      </c>
      <c r="B2888" s="1246" t="s">
        <v>427</v>
      </c>
      <c r="C2888" s="1247">
        <v>0.45</v>
      </c>
      <c r="E2888" s="1246" t="s">
        <v>370</v>
      </c>
      <c r="F2888" s="1248">
        <v>5</v>
      </c>
      <c r="G2888" s="1248">
        <v>5</v>
      </c>
      <c r="H2888" s="1249">
        <v>1</v>
      </c>
      <c r="I2888" s="1246" t="s">
        <v>1491</v>
      </c>
      <c r="J2888" s="1246" t="s">
        <v>1454</v>
      </c>
      <c r="K2888" s="1284" t="str">
        <f t="shared" si="45"/>
        <v>31</v>
      </c>
      <c r="L2888" s="1246" t="s">
        <v>1523</v>
      </c>
      <c r="M2888" s="1250">
        <v>3</v>
      </c>
      <c r="N2888" s="1251">
        <v>5</v>
      </c>
      <c r="O2888" s="1252">
        <v>1</v>
      </c>
    </row>
    <row r="2889" spans="1:15">
      <c r="A2889" s="1246" t="s">
        <v>1490</v>
      </c>
      <c r="B2889" s="1246" t="s">
        <v>427</v>
      </c>
      <c r="C2889" s="1247">
        <v>0.45</v>
      </c>
      <c r="E2889" s="1246" t="s">
        <v>370</v>
      </c>
      <c r="F2889" s="1248">
        <v>6</v>
      </c>
      <c r="G2889" s="1248">
        <v>6</v>
      </c>
      <c r="H2889" s="1249">
        <v>1</v>
      </c>
      <c r="I2889" s="1246" t="s">
        <v>1491</v>
      </c>
      <c r="J2889" s="1246" t="s">
        <v>1454</v>
      </c>
      <c r="K2889" s="1284" t="str">
        <f t="shared" si="45"/>
        <v>31</v>
      </c>
      <c r="L2889" s="1246" t="s">
        <v>1500</v>
      </c>
      <c r="M2889" s="1250">
        <v>2</v>
      </c>
      <c r="N2889" s="1251">
        <v>6</v>
      </c>
      <c r="O2889" s="1252">
        <v>1</v>
      </c>
    </row>
    <row r="2890" spans="1:15">
      <c r="A2890" s="1246" t="s">
        <v>1490</v>
      </c>
      <c r="B2890" s="1246" t="s">
        <v>427</v>
      </c>
      <c r="C2890" s="1247">
        <v>0.45</v>
      </c>
      <c r="F2890" s="1248">
        <v>6</v>
      </c>
      <c r="G2890" s="1248">
        <v>6</v>
      </c>
      <c r="H2890" s="1249">
        <v>1</v>
      </c>
      <c r="I2890" s="1246" t="s">
        <v>1491</v>
      </c>
      <c r="J2890" s="1246" t="s">
        <v>1456</v>
      </c>
      <c r="K2890" s="1284" t="str">
        <f t="shared" si="45"/>
        <v>33</v>
      </c>
      <c r="L2890" s="1246" t="s">
        <v>1519</v>
      </c>
      <c r="M2890" s="1250">
        <v>2</v>
      </c>
      <c r="N2890" s="1251">
        <v>6</v>
      </c>
      <c r="O2890" s="1252">
        <v>1</v>
      </c>
    </row>
    <row r="2891" spans="1:15">
      <c r="A2891" s="1246" t="s">
        <v>1490</v>
      </c>
      <c r="B2891" s="1246" t="s">
        <v>427</v>
      </c>
      <c r="C2891" s="1247">
        <v>0.48</v>
      </c>
      <c r="F2891" s="1248">
        <v>1</v>
      </c>
      <c r="G2891" s="1248">
        <v>1</v>
      </c>
      <c r="H2891" s="1249">
        <v>1</v>
      </c>
      <c r="I2891" s="1246" t="s">
        <v>1491</v>
      </c>
      <c r="J2891" s="1246" t="s">
        <v>1454</v>
      </c>
      <c r="K2891" s="1284" t="str">
        <f t="shared" si="45"/>
        <v>31</v>
      </c>
      <c r="L2891" s="1246" t="s">
        <v>1506</v>
      </c>
      <c r="M2891" s="1250">
        <v>1</v>
      </c>
      <c r="N2891" s="1251">
        <v>6</v>
      </c>
      <c r="O2891" s="1252">
        <v>6</v>
      </c>
    </row>
    <row r="2892" spans="1:15">
      <c r="A2892" s="1246" t="s">
        <v>1490</v>
      </c>
      <c r="B2892" s="1246" t="s">
        <v>427</v>
      </c>
      <c r="C2892" s="1247">
        <v>0.48</v>
      </c>
      <c r="F2892" s="1248">
        <v>1</v>
      </c>
      <c r="G2892" s="1248">
        <v>1</v>
      </c>
      <c r="H2892" s="1249">
        <v>1</v>
      </c>
      <c r="I2892" s="1246" t="s">
        <v>1491</v>
      </c>
      <c r="J2892" s="1246" t="s">
        <v>1454</v>
      </c>
      <c r="K2892" s="1284" t="str">
        <f t="shared" si="45"/>
        <v>31</v>
      </c>
      <c r="L2892" s="1246" t="s">
        <v>1500</v>
      </c>
      <c r="M2892" s="1250">
        <v>2</v>
      </c>
      <c r="N2892" s="1251">
        <v>6</v>
      </c>
      <c r="O2892" s="1252">
        <v>6</v>
      </c>
    </row>
    <row r="2893" spans="1:15">
      <c r="A2893" s="1246" t="s">
        <v>1490</v>
      </c>
      <c r="B2893" s="1246" t="s">
        <v>427</v>
      </c>
      <c r="C2893" s="1247">
        <v>0.48</v>
      </c>
      <c r="F2893" s="1248">
        <v>1</v>
      </c>
      <c r="G2893" s="1248">
        <v>1</v>
      </c>
      <c r="H2893" s="1249">
        <v>1</v>
      </c>
      <c r="I2893" s="1246" t="s">
        <v>1491</v>
      </c>
      <c r="J2893" s="1246" t="s">
        <v>1454</v>
      </c>
      <c r="K2893" s="1284" t="str">
        <f t="shared" si="45"/>
        <v>31</v>
      </c>
      <c r="L2893" s="1246" t="s">
        <v>1523</v>
      </c>
      <c r="M2893" s="1250">
        <v>3</v>
      </c>
      <c r="N2893" s="1251">
        <v>3</v>
      </c>
      <c r="O2893" s="1252">
        <v>3</v>
      </c>
    </row>
    <row r="2894" spans="1:15">
      <c r="A2894" s="1246" t="s">
        <v>1493</v>
      </c>
      <c r="B2894" s="1246" t="s">
        <v>427</v>
      </c>
      <c r="C2894" s="1247">
        <v>0.48</v>
      </c>
      <c r="E2894" s="1246" t="s">
        <v>1535</v>
      </c>
      <c r="F2894" s="1248">
        <v>1</v>
      </c>
      <c r="G2894" s="1248">
        <v>1</v>
      </c>
      <c r="H2894" s="1249">
        <v>1</v>
      </c>
      <c r="I2894" s="1246" t="s">
        <v>1491</v>
      </c>
      <c r="J2894" s="1246" t="s">
        <v>1462</v>
      </c>
      <c r="K2894" s="1284" t="str">
        <f t="shared" si="45"/>
        <v>71</v>
      </c>
      <c r="L2894" s="1246" t="s">
        <v>1495</v>
      </c>
      <c r="M2894" s="1250">
        <v>9</v>
      </c>
      <c r="N2894" s="1251">
        <v>1</v>
      </c>
      <c r="O2894" s="1252">
        <v>1</v>
      </c>
    </row>
    <row r="2895" spans="1:15">
      <c r="A2895" s="1246" t="s">
        <v>1490</v>
      </c>
      <c r="B2895" s="1246" t="s">
        <v>436</v>
      </c>
      <c r="C2895" s="1247">
        <v>0.45</v>
      </c>
      <c r="F2895" s="1248">
        <v>1</v>
      </c>
      <c r="G2895" s="1248">
        <v>1</v>
      </c>
      <c r="H2895" s="1249">
        <v>1</v>
      </c>
      <c r="I2895" s="1246" t="s">
        <v>1491</v>
      </c>
      <c r="J2895" s="1246" t="s">
        <v>1460</v>
      </c>
      <c r="K2895" s="1284" t="str">
        <f t="shared" si="45"/>
        <v>30</v>
      </c>
      <c r="L2895" s="1246" t="s">
        <v>1497</v>
      </c>
      <c r="M2895" s="1250">
        <v>1</v>
      </c>
      <c r="N2895" s="1251">
        <v>1</v>
      </c>
      <c r="O2895" s="1252">
        <v>1</v>
      </c>
    </row>
    <row r="2896" spans="1:15">
      <c r="A2896" s="1246" t="s">
        <v>1493</v>
      </c>
      <c r="B2896" s="1246" t="s">
        <v>436</v>
      </c>
      <c r="C2896" s="1247">
        <v>0.45</v>
      </c>
      <c r="E2896" s="1246" t="s">
        <v>1535</v>
      </c>
      <c r="F2896" s="1248">
        <v>1</v>
      </c>
      <c r="G2896" s="1248">
        <v>1</v>
      </c>
      <c r="H2896" s="1249">
        <v>1</v>
      </c>
      <c r="I2896" s="1246" t="s">
        <v>1491</v>
      </c>
      <c r="J2896" s="1246" t="s">
        <v>1442</v>
      </c>
      <c r="K2896" s="1284" t="str">
        <f t="shared" si="45"/>
        <v>10</v>
      </c>
      <c r="L2896" s="1246" t="s">
        <v>1534</v>
      </c>
      <c r="M2896" s="1250">
        <v>4</v>
      </c>
      <c r="N2896" s="1251">
        <v>1</v>
      </c>
      <c r="O2896" s="1252">
        <v>1</v>
      </c>
    </row>
    <row r="2897" spans="1:15">
      <c r="A2897" s="1246" t="s">
        <v>1490</v>
      </c>
      <c r="B2897" s="1246" t="s">
        <v>436</v>
      </c>
      <c r="C2897" s="1247">
        <v>0.45</v>
      </c>
      <c r="F2897" s="1248">
        <v>1</v>
      </c>
      <c r="G2897" s="1248">
        <v>1</v>
      </c>
      <c r="H2897" s="1249">
        <v>1</v>
      </c>
      <c r="I2897" s="1246" t="s">
        <v>1491</v>
      </c>
      <c r="J2897" s="1246" t="s">
        <v>1460</v>
      </c>
      <c r="K2897" s="1284" t="str">
        <f t="shared" si="45"/>
        <v>30</v>
      </c>
      <c r="L2897" s="1246" t="s">
        <v>1499</v>
      </c>
      <c r="M2897" s="1250">
        <v>5</v>
      </c>
      <c r="N2897" s="1251">
        <v>2</v>
      </c>
      <c r="O2897" s="1252">
        <v>2</v>
      </c>
    </row>
    <row r="2898" spans="1:15">
      <c r="A2898" s="1246" t="s">
        <v>1490</v>
      </c>
      <c r="B2898" s="1246" t="s">
        <v>436</v>
      </c>
      <c r="C2898" s="1247">
        <v>0.45</v>
      </c>
      <c r="F2898" s="1248">
        <v>1</v>
      </c>
      <c r="G2898" s="1248">
        <v>1</v>
      </c>
      <c r="H2898" s="1249">
        <v>1</v>
      </c>
      <c r="I2898" s="1246" t="s">
        <v>1491</v>
      </c>
      <c r="J2898" s="1246" t="s">
        <v>1454</v>
      </c>
      <c r="K2898" s="1284" t="str">
        <f t="shared" si="45"/>
        <v>31</v>
      </c>
      <c r="L2898" s="1246" t="s">
        <v>1506</v>
      </c>
      <c r="M2898" s="1250">
        <v>1</v>
      </c>
      <c r="N2898" s="1251">
        <v>1</v>
      </c>
      <c r="O2898" s="1252">
        <v>1</v>
      </c>
    </row>
    <row r="2899" spans="1:15">
      <c r="A2899" s="1246" t="s">
        <v>1490</v>
      </c>
      <c r="B2899" s="1246" t="s">
        <v>436</v>
      </c>
      <c r="C2899" s="1247">
        <v>0.45</v>
      </c>
      <c r="F2899" s="1248">
        <v>1</v>
      </c>
      <c r="G2899" s="1248">
        <v>1</v>
      </c>
      <c r="H2899" s="1249">
        <v>1</v>
      </c>
      <c r="I2899" s="1246" t="s">
        <v>1491</v>
      </c>
      <c r="J2899" s="1246" t="s">
        <v>1454</v>
      </c>
      <c r="K2899" s="1284" t="str">
        <f t="shared" si="45"/>
        <v>31</v>
      </c>
      <c r="L2899" s="1246" t="s">
        <v>1523</v>
      </c>
      <c r="M2899" s="1250">
        <v>3</v>
      </c>
      <c r="N2899" s="1251">
        <v>4</v>
      </c>
      <c r="O2899" s="1252">
        <v>4</v>
      </c>
    </row>
    <row r="2900" spans="1:15">
      <c r="A2900" s="1246" t="s">
        <v>1493</v>
      </c>
      <c r="B2900" s="1246" t="s">
        <v>436</v>
      </c>
      <c r="C2900" s="1247">
        <v>0.45</v>
      </c>
      <c r="E2900" s="1246" t="s">
        <v>1535</v>
      </c>
      <c r="F2900" s="1248">
        <v>1</v>
      </c>
      <c r="G2900" s="1248">
        <v>1</v>
      </c>
      <c r="H2900" s="1249">
        <v>1</v>
      </c>
      <c r="I2900" s="1246" t="s">
        <v>1491</v>
      </c>
      <c r="J2900" s="1246" t="s">
        <v>1437</v>
      </c>
      <c r="K2900" s="1284" t="str">
        <f t="shared" si="45"/>
        <v>12</v>
      </c>
      <c r="L2900" s="1246" t="s">
        <v>1529</v>
      </c>
      <c r="M2900" s="1250">
        <v>9</v>
      </c>
      <c r="N2900" s="1251">
        <v>1</v>
      </c>
      <c r="O2900" s="1252">
        <v>1</v>
      </c>
    </row>
    <row r="2901" spans="1:15">
      <c r="A2901" s="1246" t="s">
        <v>1493</v>
      </c>
      <c r="B2901" s="1246" t="s">
        <v>436</v>
      </c>
      <c r="C2901" s="1247">
        <v>0.45</v>
      </c>
      <c r="E2901" s="1246" t="s">
        <v>1535</v>
      </c>
      <c r="F2901" s="1248">
        <v>1</v>
      </c>
      <c r="G2901" s="1248">
        <v>1</v>
      </c>
      <c r="H2901" s="1249">
        <v>1</v>
      </c>
      <c r="I2901" s="1246" t="s">
        <v>1491</v>
      </c>
      <c r="J2901" s="1246" t="s">
        <v>1436</v>
      </c>
      <c r="K2901" s="1284" t="str">
        <f t="shared" si="45"/>
        <v>11</v>
      </c>
      <c r="L2901" s="1246" t="s">
        <v>1495</v>
      </c>
      <c r="M2901" s="1250">
        <v>9</v>
      </c>
      <c r="N2901" s="1251">
        <v>58</v>
      </c>
      <c r="O2901" s="1252">
        <v>58</v>
      </c>
    </row>
    <row r="2902" spans="1:15">
      <c r="A2902" s="1246" t="s">
        <v>683</v>
      </c>
      <c r="B2902" s="1246" t="s">
        <v>436</v>
      </c>
      <c r="C2902" s="1247">
        <v>0.45</v>
      </c>
      <c r="E2902" s="1246" t="s">
        <v>1535</v>
      </c>
      <c r="F2902" s="1248">
        <v>1</v>
      </c>
      <c r="G2902" s="1248">
        <v>1</v>
      </c>
      <c r="H2902" s="1249">
        <v>1</v>
      </c>
      <c r="I2902" s="1246" t="s">
        <v>1491</v>
      </c>
      <c r="J2902" s="1246" t="s">
        <v>1436</v>
      </c>
      <c r="K2902" s="1284" t="str">
        <f t="shared" si="45"/>
        <v>11</v>
      </c>
      <c r="L2902" s="1246" t="s">
        <v>1495</v>
      </c>
      <c r="M2902" s="1250">
        <v>9</v>
      </c>
      <c r="N2902" s="1251">
        <v>1</v>
      </c>
      <c r="O2902" s="1252">
        <v>1</v>
      </c>
    </row>
    <row r="2903" spans="1:15">
      <c r="A2903" s="1246" t="s">
        <v>1493</v>
      </c>
      <c r="B2903" s="1246" t="s">
        <v>436</v>
      </c>
      <c r="C2903" s="1247">
        <v>0.45</v>
      </c>
      <c r="E2903" s="1246" t="s">
        <v>1535</v>
      </c>
      <c r="F2903" s="1248">
        <v>1</v>
      </c>
      <c r="G2903" s="1248">
        <v>1</v>
      </c>
      <c r="H2903" s="1249">
        <v>1</v>
      </c>
      <c r="I2903" s="1246" t="s">
        <v>1491</v>
      </c>
      <c r="J2903" s="1246" t="s">
        <v>1440</v>
      </c>
      <c r="K2903" s="1284" t="str">
        <f t="shared" si="45"/>
        <v>16</v>
      </c>
      <c r="L2903" s="1246" t="s">
        <v>1538</v>
      </c>
      <c r="M2903" s="1250">
        <v>9</v>
      </c>
      <c r="N2903" s="1251">
        <v>1</v>
      </c>
      <c r="O2903" s="1252">
        <v>1</v>
      </c>
    </row>
    <row r="2904" spans="1:15">
      <c r="A2904" s="1246" t="s">
        <v>1493</v>
      </c>
      <c r="B2904" s="1246" t="s">
        <v>436</v>
      </c>
      <c r="C2904" s="1247">
        <v>0.45</v>
      </c>
      <c r="E2904" s="1246" t="s">
        <v>1535</v>
      </c>
      <c r="F2904" s="1248">
        <v>1</v>
      </c>
      <c r="G2904" s="1248">
        <v>1</v>
      </c>
      <c r="H2904" s="1249">
        <v>1</v>
      </c>
      <c r="I2904" s="1246" t="s">
        <v>1491</v>
      </c>
      <c r="J2904" s="1246" t="s">
        <v>1439</v>
      </c>
      <c r="K2904" s="1284" t="str">
        <f t="shared" si="45"/>
        <v>15</v>
      </c>
      <c r="L2904" s="1246" t="s">
        <v>1530</v>
      </c>
      <c r="M2904" s="1250">
        <v>9</v>
      </c>
      <c r="N2904" s="1251">
        <v>2</v>
      </c>
      <c r="O2904" s="1252">
        <v>2</v>
      </c>
    </row>
    <row r="2905" spans="1:15">
      <c r="A2905" s="1246" t="s">
        <v>1493</v>
      </c>
      <c r="B2905" s="1246" t="s">
        <v>436</v>
      </c>
      <c r="C2905" s="1247">
        <v>0.45</v>
      </c>
      <c r="E2905" s="1246" t="s">
        <v>1535</v>
      </c>
      <c r="F2905" s="1248">
        <v>1</v>
      </c>
      <c r="G2905" s="1248">
        <v>1</v>
      </c>
      <c r="H2905" s="1249">
        <v>1</v>
      </c>
      <c r="I2905" s="1246" t="s">
        <v>1491</v>
      </c>
      <c r="J2905" s="1246" t="s">
        <v>1441</v>
      </c>
      <c r="K2905" s="1284" t="str">
        <f t="shared" si="45"/>
        <v>1A</v>
      </c>
      <c r="L2905" s="1246" t="s">
        <v>1531</v>
      </c>
      <c r="M2905" s="1250">
        <v>9</v>
      </c>
      <c r="N2905" s="1251">
        <v>1</v>
      </c>
      <c r="O2905" s="1252">
        <v>1</v>
      </c>
    </row>
    <row r="2906" spans="1:15">
      <c r="A2906" s="1246" t="s">
        <v>1493</v>
      </c>
      <c r="B2906" s="1246" t="s">
        <v>436</v>
      </c>
      <c r="C2906" s="1247">
        <v>0.45</v>
      </c>
      <c r="E2906" s="1246" t="s">
        <v>376</v>
      </c>
      <c r="F2906" s="1248">
        <v>1</v>
      </c>
      <c r="G2906" s="1248">
        <v>1</v>
      </c>
      <c r="H2906" s="1249">
        <v>1</v>
      </c>
      <c r="I2906" s="1246" t="s">
        <v>1491</v>
      </c>
      <c r="J2906" s="1246" t="s">
        <v>1438</v>
      </c>
      <c r="K2906" s="1284" t="str">
        <f t="shared" si="45"/>
        <v>13</v>
      </c>
      <c r="L2906" s="1246" t="s">
        <v>1533</v>
      </c>
      <c r="M2906" s="1250">
        <v>9</v>
      </c>
      <c r="N2906" s="1251">
        <v>1</v>
      </c>
      <c r="O2906" s="1252">
        <v>1</v>
      </c>
    </row>
    <row r="2907" spans="1:15">
      <c r="A2907" s="1246" t="s">
        <v>1493</v>
      </c>
      <c r="B2907" s="1246" t="s">
        <v>436</v>
      </c>
      <c r="C2907" s="1247">
        <v>0.45</v>
      </c>
      <c r="E2907" s="1246" t="s">
        <v>376</v>
      </c>
      <c r="F2907" s="1248">
        <v>1</v>
      </c>
      <c r="G2907" s="1248">
        <v>1</v>
      </c>
      <c r="H2907" s="1249">
        <v>1</v>
      </c>
      <c r="I2907" s="1246" t="s">
        <v>1491</v>
      </c>
      <c r="J2907" s="1246" t="s">
        <v>1436</v>
      </c>
      <c r="K2907" s="1284" t="str">
        <f t="shared" si="45"/>
        <v>11</v>
      </c>
      <c r="L2907" s="1246" t="s">
        <v>1496</v>
      </c>
      <c r="M2907" s="1250">
        <v>9</v>
      </c>
      <c r="N2907" s="1251">
        <v>26</v>
      </c>
      <c r="O2907" s="1252">
        <v>26</v>
      </c>
    </row>
    <row r="2908" spans="1:15">
      <c r="A2908" s="1246" t="s">
        <v>1493</v>
      </c>
      <c r="B2908" s="1246" t="s">
        <v>436</v>
      </c>
      <c r="C2908" s="1247">
        <v>0.45</v>
      </c>
      <c r="E2908" s="1246" t="s">
        <v>376</v>
      </c>
      <c r="F2908" s="1248">
        <v>1</v>
      </c>
      <c r="G2908" s="1248">
        <v>1</v>
      </c>
      <c r="H2908" s="1249">
        <v>1</v>
      </c>
      <c r="I2908" s="1246" t="s">
        <v>1491</v>
      </c>
      <c r="J2908" s="1246" t="s">
        <v>1462</v>
      </c>
      <c r="K2908" s="1284" t="str">
        <f t="shared" si="45"/>
        <v>71</v>
      </c>
      <c r="L2908" s="1246" t="s">
        <v>1496</v>
      </c>
      <c r="M2908" s="1250">
        <v>9</v>
      </c>
      <c r="N2908" s="1251">
        <v>1</v>
      </c>
      <c r="O2908" s="1252">
        <v>1</v>
      </c>
    </row>
    <row r="2909" spans="1:15">
      <c r="A2909" s="1246" t="s">
        <v>1493</v>
      </c>
      <c r="B2909" s="1246" t="s">
        <v>436</v>
      </c>
      <c r="C2909" s="1247">
        <v>0.45</v>
      </c>
      <c r="E2909" s="1246" t="s">
        <v>1535</v>
      </c>
      <c r="F2909" s="1248">
        <v>1</v>
      </c>
      <c r="G2909" s="1248">
        <v>1</v>
      </c>
      <c r="H2909" s="1249">
        <v>2</v>
      </c>
      <c r="I2909" s="1246" t="s">
        <v>1491</v>
      </c>
      <c r="J2909" s="1246" t="s">
        <v>1437</v>
      </c>
      <c r="K2909" s="1284" t="str">
        <f t="shared" si="45"/>
        <v>12</v>
      </c>
      <c r="L2909" s="1246" t="s">
        <v>1529</v>
      </c>
      <c r="M2909" s="1250">
        <v>9</v>
      </c>
      <c r="N2909" s="1251">
        <v>4</v>
      </c>
      <c r="O2909" s="1252">
        <v>4</v>
      </c>
    </row>
    <row r="2910" spans="1:15">
      <c r="A2910" s="1246" t="s">
        <v>1493</v>
      </c>
      <c r="B2910" s="1246" t="s">
        <v>436</v>
      </c>
      <c r="C2910" s="1247">
        <v>0.45</v>
      </c>
      <c r="E2910" s="1246" t="s">
        <v>376</v>
      </c>
      <c r="F2910" s="1248">
        <v>1</v>
      </c>
      <c r="G2910" s="1248">
        <v>1</v>
      </c>
      <c r="H2910" s="1249">
        <v>2</v>
      </c>
      <c r="I2910" s="1246" t="s">
        <v>1491</v>
      </c>
      <c r="J2910" s="1246" t="s">
        <v>1437</v>
      </c>
      <c r="K2910" s="1284" t="str">
        <f t="shared" si="45"/>
        <v>12</v>
      </c>
      <c r="L2910" s="1246" t="s">
        <v>1529</v>
      </c>
      <c r="M2910" s="1250">
        <v>9</v>
      </c>
      <c r="N2910" s="1251">
        <v>2</v>
      </c>
      <c r="O2910" s="1252">
        <v>2</v>
      </c>
    </row>
    <row r="2911" spans="1:15">
      <c r="A2911" s="1246" t="s">
        <v>1493</v>
      </c>
      <c r="B2911" s="1246" t="s">
        <v>436</v>
      </c>
      <c r="C2911" s="1247">
        <v>0.45</v>
      </c>
      <c r="E2911" s="1246" t="s">
        <v>1535</v>
      </c>
      <c r="F2911" s="1248">
        <v>1</v>
      </c>
      <c r="G2911" s="1248">
        <v>1</v>
      </c>
      <c r="H2911" s="1249">
        <v>2</v>
      </c>
      <c r="I2911" s="1246" t="s">
        <v>1491</v>
      </c>
      <c r="J2911" s="1246" t="s">
        <v>1397</v>
      </c>
      <c r="K2911" s="1284" t="str">
        <f t="shared" si="45"/>
        <v>10</v>
      </c>
      <c r="L2911" s="1246" t="s">
        <v>1536</v>
      </c>
      <c r="M2911" s="1250">
        <v>9</v>
      </c>
      <c r="N2911" s="1251">
        <v>1</v>
      </c>
      <c r="O2911" s="1252">
        <v>1</v>
      </c>
    </row>
    <row r="2912" spans="1:15">
      <c r="A2912" s="1246" t="s">
        <v>1493</v>
      </c>
      <c r="B2912" s="1246" t="s">
        <v>436</v>
      </c>
      <c r="C2912" s="1247">
        <v>0.45</v>
      </c>
      <c r="E2912" s="1246" t="s">
        <v>376</v>
      </c>
      <c r="F2912" s="1248">
        <v>1</v>
      </c>
      <c r="G2912" s="1248">
        <v>1</v>
      </c>
      <c r="H2912" s="1249">
        <v>2</v>
      </c>
      <c r="I2912" s="1246" t="s">
        <v>1491</v>
      </c>
      <c r="J2912" s="1246" t="s">
        <v>1397</v>
      </c>
      <c r="K2912" s="1284" t="str">
        <f t="shared" si="45"/>
        <v>10</v>
      </c>
      <c r="L2912" s="1246" t="s">
        <v>1532</v>
      </c>
      <c r="M2912" s="1250">
        <v>9</v>
      </c>
      <c r="N2912" s="1251">
        <v>9</v>
      </c>
      <c r="O2912" s="1252">
        <v>9</v>
      </c>
    </row>
    <row r="2913" spans="1:15">
      <c r="A2913" s="1246" t="s">
        <v>1493</v>
      </c>
      <c r="B2913" s="1246" t="s">
        <v>436</v>
      </c>
      <c r="C2913" s="1247">
        <v>0.45</v>
      </c>
      <c r="E2913" s="1246" t="s">
        <v>1535</v>
      </c>
      <c r="F2913" s="1248">
        <v>1</v>
      </c>
      <c r="G2913" s="1248">
        <v>1</v>
      </c>
      <c r="H2913" s="1249">
        <v>2</v>
      </c>
      <c r="I2913" s="1246" t="s">
        <v>1491</v>
      </c>
      <c r="J2913" s="1246" t="s">
        <v>1397</v>
      </c>
      <c r="K2913" s="1284" t="str">
        <f t="shared" si="45"/>
        <v>10</v>
      </c>
      <c r="L2913" s="1246" t="s">
        <v>1532</v>
      </c>
      <c r="M2913" s="1250">
        <v>9</v>
      </c>
      <c r="N2913" s="1251">
        <v>4</v>
      </c>
      <c r="O2913" s="1252">
        <v>4</v>
      </c>
    </row>
    <row r="2914" spans="1:15">
      <c r="A2914" s="1246" t="s">
        <v>1493</v>
      </c>
      <c r="B2914" s="1246" t="s">
        <v>436</v>
      </c>
      <c r="C2914" s="1247">
        <v>0.45</v>
      </c>
      <c r="E2914" s="1246" t="s">
        <v>376</v>
      </c>
      <c r="F2914" s="1248">
        <v>1</v>
      </c>
      <c r="G2914" s="1248">
        <v>1</v>
      </c>
      <c r="H2914" s="1249">
        <v>2</v>
      </c>
      <c r="I2914" s="1246" t="s">
        <v>1491</v>
      </c>
      <c r="J2914" s="1246" t="s">
        <v>1438</v>
      </c>
      <c r="K2914" s="1284" t="str">
        <f t="shared" si="45"/>
        <v>13</v>
      </c>
      <c r="L2914" s="1246" t="s">
        <v>1533</v>
      </c>
      <c r="M2914" s="1250">
        <v>9</v>
      </c>
      <c r="N2914" s="1251">
        <v>5</v>
      </c>
      <c r="O2914" s="1252">
        <v>5</v>
      </c>
    </row>
    <row r="2915" spans="1:15">
      <c r="A2915" s="1246" t="s">
        <v>1493</v>
      </c>
      <c r="B2915" s="1246" t="s">
        <v>436</v>
      </c>
      <c r="C2915" s="1247">
        <v>0.45</v>
      </c>
      <c r="E2915" s="1246" t="s">
        <v>1535</v>
      </c>
      <c r="F2915" s="1248">
        <v>1</v>
      </c>
      <c r="G2915" s="1248">
        <v>1</v>
      </c>
      <c r="H2915" s="1249">
        <v>2</v>
      </c>
      <c r="I2915" s="1246" t="s">
        <v>1491</v>
      </c>
      <c r="J2915" s="1246" t="s">
        <v>1438</v>
      </c>
      <c r="K2915" s="1284" t="str">
        <f t="shared" si="45"/>
        <v>13</v>
      </c>
      <c r="L2915" s="1246" t="s">
        <v>1533</v>
      </c>
      <c r="M2915" s="1250">
        <v>9</v>
      </c>
      <c r="N2915" s="1251">
        <v>5</v>
      </c>
      <c r="O2915" s="1252">
        <v>5</v>
      </c>
    </row>
    <row r="2916" spans="1:15">
      <c r="A2916" s="1246" t="s">
        <v>1493</v>
      </c>
      <c r="B2916" s="1246" t="s">
        <v>436</v>
      </c>
      <c r="C2916" s="1247">
        <v>0.45</v>
      </c>
      <c r="E2916" s="1246" t="s">
        <v>376</v>
      </c>
      <c r="F2916" s="1248">
        <v>1</v>
      </c>
      <c r="G2916" s="1248">
        <v>2</v>
      </c>
      <c r="H2916" s="1249">
        <v>1</v>
      </c>
      <c r="I2916" s="1246" t="s">
        <v>1491</v>
      </c>
      <c r="J2916" s="1246" t="s">
        <v>1436</v>
      </c>
      <c r="K2916" s="1284" t="str">
        <f t="shared" si="45"/>
        <v>11</v>
      </c>
      <c r="L2916" s="1246" t="s">
        <v>1496</v>
      </c>
      <c r="M2916" s="1250">
        <v>9</v>
      </c>
      <c r="N2916" s="1251">
        <v>1</v>
      </c>
      <c r="O2916" s="1252">
        <v>1</v>
      </c>
    </row>
    <row r="2917" spans="1:15">
      <c r="A2917" s="1246" t="s">
        <v>1493</v>
      </c>
      <c r="B2917" s="1246" t="s">
        <v>436</v>
      </c>
      <c r="C2917" s="1247">
        <v>0.45</v>
      </c>
      <c r="E2917" s="1246" t="s">
        <v>376</v>
      </c>
      <c r="F2917" s="1248">
        <v>1</v>
      </c>
      <c r="G2917" s="1248">
        <v>2</v>
      </c>
      <c r="H2917" s="1249">
        <v>2</v>
      </c>
      <c r="I2917" s="1246" t="s">
        <v>1491</v>
      </c>
      <c r="J2917" s="1246" t="s">
        <v>1443</v>
      </c>
      <c r="K2917" s="1284" t="str">
        <f t="shared" si="45"/>
        <v>1C</v>
      </c>
      <c r="L2917" s="1246" t="s">
        <v>1502</v>
      </c>
      <c r="M2917" s="1250">
        <v>4</v>
      </c>
      <c r="N2917" s="1251">
        <v>2</v>
      </c>
      <c r="O2917" s="1252">
        <v>2</v>
      </c>
    </row>
    <row r="2918" spans="1:15">
      <c r="A2918" s="1246" t="s">
        <v>1493</v>
      </c>
      <c r="B2918" s="1246" t="s">
        <v>436</v>
      </c>
      <c r="C2918" s="1247">
        <v>0.45</v>
      </c>
      <c r="E2918" s="1246" t="s">
        <v>1535</v>
      </c>
      <c r="F2918" s="1248">
        <v>1</v>
      </c>
      <c r="G2918" s="1248">
        <v>2</v>
      </c>
      <c r="H2918" s="1249">
        <v>2</v>
      </c>
      <c r="I2918" s="1246" t="s">
        <v>1491</v>
      </c>
      <c r="J2918" s="1246" t="s">
        <v>1443</v>
      </c>
      <c r="K2918" s="1284" t="str">
        <f t="shared" si="45"/>
        <v>1C</v>
      </c>
      <c r="L2918" s="1246" t="s">
        <v>1502</v>
      </c>
      <c r="M2918" s="1250">
        <v>4</v>
      </c>
      <c r="N2918" s="1251">
        <v>4</v>
      </c>
      <c r="O2918" s="1252">
        <v>4</v>
      </c>
    </row>
    <row r="2919" spans="1:15">
      <c r="A2919" s="1246" t="s">
        <v>1493</v>
      </c>
      <c r="B2919" s="1246" t="s">
        <v>436</v>
      </c>
      <c r="C2919" s="1247">
        <v>0.45</v>
      </c>
      <c r="E2919" s="1246" t="s">
        <v>1535</v>
      </c>
      <c r="F2919" s="1248">
        <v>1</v>
      </c>
      <c r="G2919" s="1248">
        <v>2</v>
      </c>
      <c r="H2919" s="1249">
        <v>2</v>
      </c>
      <c r="I2919" s="1246" t="s">
        <v>1491</v>
      </c>
      <c r="J2919" s="1246" t="s">
        <v>1470</v>
      </c>
      <c r="K2919" s="1284" t="str">
        <f t="shared" si="45"/>
        <v>7C</v>
      </c>
      <c r="L2919" s="1246" t="s">
        <v>1502</v>
      </c>
      <c r="M2919" s="1250">
        <v>4</v>
      </c>
      <c r="N2919" s="1251">
        <v>1</v>
      </c>
      <c r="O2919" s="1252">
        <v>1</v>
      </c>
    </row>
    <row r="2920" spans="1:15">
      <c r="A2920" s="1246" t="s">
        <v>1493</v>
      </c>
      <c r="B2920" s="1246" t="s">
        <v>436</v>
      </c>
      <c r="C2920" s="1247">
        <v>0.45</v>
      </c>
      <c r="E2920" s="1246" t="s">
        <v>1535</v>
      </c>
      <c r="F2920" s="1248">
        <v>1</v>
      </c>
      <c r="G2920" s="1248">
        <v>5</v>
      </c>
      <c r="H2920" s="1249">
        <v>1</v>
      </c>
      <c r="I2920" s="1246" t="s">
        <v>1491</v>
      </c>
      <c r="J2920" s="1246" t="s">
        <v>1436</v>
      </c>
      <c r="K2920" s="1284" t="str">
        <f t="shared" si="45"/>
        <v>11</v>
      </c>
      <c r="L2920" s="1246" t="s">
        <v>1495</v>
      </c>
      <c r="M2920" s="1250">
        <v>9</v>
      </c>
      <c r="N2920" s="1251">
        <v>1</v>
      </c>
      <c r="O2920" s="1252">
        <v>1</v>
      </c>
    </row>
    <row r="2921" spans="1:15">
      <c r="A2921" s="1246" t="s">
        <v>1493</v>
      </c>
      <c r="B2921" s="1246" t="s">
        <v>436</v>
      </c>
      <c r="C2921" s="1247">
        <v>0.45</v>
      </c>
      <c r="E2921" s="1246" t="s">
        <v>1535</v>
      </c>
      <c r="F2921" s="1248">
        <v>2</v>
      </c>
      <c r="G2921" s="1248">
        <v>2</v>
      </c>
      <c r="H2921" s="1249">
        <v>1</v>
      </c>
      <c r="I2921" s="1246" t="s">
        <v>1491</v>
      </c>
      <c r="J2921" s="1246" t="s">
        <v>1443</v>
      </c>
      <c r="K2921" s="1284" t="str">
        <f t="shared" si="45"/>
        <v>1C</v>
      </c>
      <c r="L2921" s="1246" t="s">
        <v>1502</v>
      </c>
      <c r="M2921" s="1250">
        <v>4</v>
      </c>
      <c r="N2921" s="1251">
        <v>2</v>
      </c>
      <c r="O2921" s="1252">
        <v>1</v>
      </c>
    </row>
    <row r="2922" spans="1:15">
      <c r="A2922" s="1246" t="s">
        <v>1493</v>
      </c>
      <c r="B2922" s="1246" t="s">
        <v>436</v>
      </c>
      <c r="C2922" s="1247">
        <v>0.45</v>
      </c>
      <c r="E2922" s="1246" t="s">
        <v>376</v>
      </c>
      <c r="F2922" s="1248">
        <v>2</v>
      </c>
      <c r="G2922" s="1248">
        <v>2</v>
      </c>
      <c r="H2922" s="1249">
        <v>1</v>
      </c>
      <c r="I2922" s="1246" t="s">
        <v>1491</v>
      </c>
      <c r="J2922" s="1246" t="s">
        <v>1436</v>
      </c>
      <c r="K2922" s="1284" t="str">
        <f t="shared" si="45"/>
        <v>11</v>
      </c>
      <c r="L2922" s="1246" t="s">
        <v>1495</v>
      </c>
      <c r="M2922" s="1250">
        <v>9</v>
      </c>
      <c r="N2922" s="1251">
        <v>2</v>
      </c>
      <c r="O2922" s="1252">
        <v>1</v>
      </c>
    </row>
    <row r="2923" spans="1:15">
      <c r="A2923" s="1246" t="s">
        <v>1493</v>
      </c>
      <c r="B2923" s="1246" t="s">
        <v>436</v>
      </c>
      <c r="C2923" s="1247">
        <v>0.45</v>
      </c>
      <c r="E2923" s="1246" t="s">
        <v>1535</v>
      </c>
      <c r="F2923" s="1248">
        <v>2</v>
      </c>
      <c r="G2923" s="1248">
        <v>2</v>
      </c>
      <c r="H2923" s="1249">
        <v>1</v>
      </c>
      <c r="I2923" s="1246" t="s">
        <v>1491</v>
      </c>
      <c r="J2923" s="1246" t="s">
        <v>1436</v>
      </c>
      <c r="K2923" s="1284" t="str">
        <f t="shared" si="45"/>
        <v>11</v>
      </c>
      <c r="L2923" s="1246" t="s">
        <v>1495</v>
      </c>
      <c r="M2923" s="1250">
        <v>9</v>
      </c>
      <c r="N2923" s="1251">
        <v>52</v>
      </c>
      <c r="O2923" s="1252">
        <v>26</v>
      </c>
    </row>
    <row r="2924" spans="1:15">
      <c r="A2924" s="1246" t="s">
        <v>1493</v>
      </c>
      <c r="B2924" s="1246" t="s">
        <v>436</v>
      </c>
      <c r="C2924" s="1247">
        <v>0.45</v>
      </c>
      <c r="E2924" s="1246" t="s">
        <v>1535</v>
      </c>
      <c r="F2924" s="1248">
        <v>2</v>
      </c>
      <c r="G2924" s="1248">
        <v>2</v>
      </c>
      <c r="H2924" s="1249">
        <v>1</v>
      </c>
      <c r="I2924" s="1246" t="s">
        <v>1491</v>
      </c>
      <c r="J2924" s="1246" t="s">
        <v>1462</v>
      </c>
      <c r="K2924" s="1284" t="str">
        <f t="shared" si="45"/>
        <v>71</v>
      </c>
      <c r="L2924" s="1246" t="s">
        <v>1495</v>
      </c>
      <c r="M2924" s="1250">
        <v>9</v>
      </c>
      <c r="N2924" s="1251">
        <v>2</v>
      </c>
      <c r="O2924" s="1252">
        <v>1</v>
      </c>
    </row>
    <row r="2925" spans="1:15">
      <c r="A2925" s="1246" t="s">
        <v>1493</v>
      </c>
      <c r="B2925" s="1246" t="s">
        <v>436</v>
      </c>
      <c r="C2925" s="1247">
        <v>0.45</v>
      </c>
      <c r="E2925" s="1246" t="s">
        <v>1535</v>
      </c>
      <c r="F2925" s="1248">
        <v>2</v>
      </c>
      <c r="G2925" s="1248">
        <v>2</v>
      </c>
      <c r="H2925" s="1249">
        <v>1</v>
      </c>
      <c r="I2925" s="1246" t="s">
        <v>1491</v>
      </c>
      <c r="J2925" s="1246" t="s">
        <v>1397</v>
      </c>
      <c r="K2925" s="1284" t="str">
        <f t="shared" si="45"/>
        <v>10</v>
      </c>
      <c r="L2925" s="1246" t="s">
        <v>1536</v>
      </c>
      <c r="M2925" s="1250">
        <v>9</v>
      </c>
      <c r="N2925" s="1251">
        <v>2</v>
      </c>
      <c r="O2925" s="1252">
        <v>1</v>
      </c>
    </row>
    <row r="2926" spans="1:15">
      <c r="A2926" s="1246" t="s">
        <v>1493</v>
      </c>
      <c r="B2926" s="1246" t="s">
        <v>436</v>
      </c>
      <c r="C2926" s="1247">
        <v>0.45</v>
      </c>
      <c r="E2926" s="1246" t="s">
        <v>376</v>
      </c>
      <c r="F2926" s="1248">
        <v>2</v>
      </c>
      <c r="G2926" s="1248">
        <v>2</v>
      </c>
      <c r="H2926" s="1249">
        <v>1</v>
      </c>
      <c r="I2926" s="1246" t="s">
        <v>1491</v>
      </c>
      <c r="J2926" s="1246" t="s">
        <v>1436</v>
      </c>
      <c r="K2926" s="1284" t="str">
        <f t="shared" si="45"/>
        <v>11</v>
      </c>
      <c r="L2926" s="1246" t="s">
        <v>1496</v>
      </c>
      <c r="M2926" s="1250">
        <v>9</v>
      </c>
      <c r="N2926" s="1251">
        <v>36</v>
      </c>
      <c r="O2926" s="1252">
        <v>18</v>
      </c>
    </row>
    <row r="2927" spans="1:15">
      <c r="A2927" s="1246" t="s">
        <v>1493</v>
      </c>
      <c r="B2927" s="1246" t="s">
        <v>436</v>
      </c>
      <c r="C2927" s="1247">
        <v>0.45</v>
      </c>
      <c r="E2927" s="1246" t="s">
        <v>1535</v>
      </c>
      <c r="F2927" s="1248">
        <v>2</v>
      </c>
      <c r="G2927" s="1248">
        <v>2</v>
      </c>
      <c r="H2927" s="1249">
        <v>2</v>
      </c>
      <c r="I2927" s="1246" t="s">
        <v>1491</v>
      </c>
      <c r="J2927" s="1246" t="s">
        <v>1397</v>
      </c>
      <c r="K2927" s="1284" t="str">
        <f t="shared" si="45"/>
        <v>10</v>
      </c>
      <c r="L2927" s="1246" t="s">
        <v>1537</v>
      </c>
      <c r="M2927" s="1250">
        <v>9</v>
      </c>
      <c r="N2927" s="1251">
        <v>2</v>
      </c>
      <c r="O2927" s="1252">
        <v>1</v>
      </c>
    </row>
    <row r="2928" spans="1:15">
      <c r="A2928" s="1246" t="s">
        <v>1493</v>
      </c>
      <c r="B2928" s="1246" t="s">
        <v>436</v>
      </c>
      <c r="C2928" s="1247">
        <v>0.45</v>
      </c>
      <c r="E2928" s="1246" t="s">
        <v>1535</v>
      </c>
      <c r="F2928" s="1248">
        <v>2</v>
      </c>
      <c r="G2928" s="1248">
        <v>2</v>
      </c>
      <c r="H2928" s="1249">
        <v>2</v>
      </c>
      <c r="I2928" s="1246" t="s">
        <v>1491</v>
      </c>
      <c r="J2928" s="1246" t="s">
        <v>1400</v>
      </c>
      <c r="K2928" s="1284" t="str">
        <f t="shared" si="45"/>
        <v>70</v>
      </c>
      <c r="L2928" s="1246" t="s">
        <v>1532</v>
      </c>
      <c r="M2928" s="1250">
        <v>9</v>
      </c>
      <c r="N2928" s="1251">
        <v>2</v>
      </c>
      <c r="O2928" s="1252">
        <v>1</v>
      </c>
    </row>
    <row r="2929" spans="1:15">
      <c r="A2929" s="1246" t="s">
        <v>1493</v>
      </c>
      <c r="B2929" s="1246" t="s">
        <v>436</v>
      </c>
      <c r="C2929" s="1247">
        <v>0.45</v>
      </c>
      <c r="E2929" s="1246" t="s">
        <v>376</v>
      </c>
      <c r="F2929" s="1248">
        <v>2</v>
      </c>
      <c r="G2929" s="1248">
        <v>2</v>
      </c>
      <c r="H2929" s="1249">
        <v>2</v>
      </c>
      <c r="I2929" s="1246" t="s">
        <v>1491</v>
      </c>
      <c r="J2929" s="1246" t="s">
        <v>1438</v>
      </c>
      <c r="K2929" s="1284" t="str">
        <f t="shared" si="45"/>
        <v>13</v>
      </c>
      <c r="L2929" s="1246" t="s">
        <v>1533</v>
      </c>
      <c r="M2929" s="1250">
        <v>9</v>
      </c>
      <c r="N2929" s="1251">
        <v>8</v>
      </c>
      <c r="O2929" s="1252">
        <v>4</v>
      </c>
    </row>
    <row r="2930" spans="1:15">
      <c r="A2930" s="1246" t="s">
        <v>1493</v>
      </c>
      <c r="B2930" s="1246" t="s">
        <v>436</v>
      </c>
      <c r="C2930" s="1247">
        <v>0.45</v>
      </c>
      <c r="E2930" s="1246" t="s">
        <v>1535</v>
      </c>
      <c r="F2930" s="1248">
        <v>2</v>
      </c>
      <c r="G2930" s="1248">
        <v>2</v>
      </c>
      <c r="H2930" s="1249">
        <v>2</v>
      </c>
      <c r="I2930" s="1246" t="s">
        <v>1491</v>
      </c>
      <c r="J2930" s="1246" t="s">
        <v>1438</v>
      </c>
      <c r="K2930" s="1284" t="str">
        <f t="shared" si="45"/>
        <v>13</v>
      </c>
      <c r="L2930" s="1246" t="s">
        <v>1533</v>
      </c>
      <c r="M2930" s="1250">
        <v>9</v>
      </c>
      <c r="N2930" s="1251">
        <v>4</v>
      </c>
      <c r="O2930" s="1252">
        <v>2</v>
      </c>
    </row>
    <row r="2931" spans="1:15">
      <c r="A2931" s="1246" t="s">
        <v>1493</v>
      </c>
      <c r="B2931" s="1246" t="s">
        <v>436</v>
      </c>
      <c r="C2931" s="1247">
        <v>0.45</v>
      </c>
      <c r="E2931" s="1246" t="s">
        <v>1535</v>
      </c>
      <c r="F2931" s="1248">
        <v>3</v>
      </c>
      <c r="G2931" s="1248">
        <v>3</v>
      </c>
      <c r="H2931" s="1249">
        <v>1</v>
      </c>
      <c r="I2931" s="1246" t="s">
        <v>1491</v>
      </c>
      <c r="J2931" s="1246" t="s">
        <v>1436</v>
      </c>
      <c r="K2931" s="1284" t="str">
        <f t="shared" si="45"/>
        <v>11</v>
      </c>
      <c r="L2931" s="1246" t="s">
        <v>1495</v>
      </c>
      <c r="M2931" s="1250">
        <v>9</v>
      </c>
      <c r="N2931" s="1251">
        <v>15</v>
      </c>
      <c r="O2931" s="1252">
        <v>5</v>
      </c>
    </row>
    <row r="2932" spans="1:15">
      <c r="A2932" s="1246" t="s">
        <v>1493</v>
      </c>
      <c r="B2932" s="1246" t="s">
        <v>436</v>
      </c>
      <c r="C2932" s="1247">
        <v>0.45</v>
      </c>
      <c r="E2932" s="1246" t="s">
        <v>376</v>
      </c>
      <c r="F2932" s="1248">
        <v>3</v>
      </c>
      <c r="G2932" s="1248">
        <v>3</v>
      </c>
      <c r="H2932" s="1249">
        <v>1</v>
      </c>
      <c r="I2932" s="1246" t="s">
        <v>1491</v>
      </c>
      <c r="J2932" s="1246" t="s">
        <v>1462</v>
      </c>
      <c r="K2932" s="1284" t="str">
        <f t="shared" si="45"/>
        <v>71</v>
      </c>
      <c r="L2932" s="1246" t="s">
        <v>1496</v>
      </c>
      <c r="M2932" s="1250">
        <v>9</v>
      </c>
      <c r="N2932" s="1251">
        <v>3</v>
      </c>
      <c r="O2932" s="1252">
        <v>1</v>
      </c>
    </row>
    <row r="2933" spans="1:15">
      <c r="A2933" s="1246" t="s">
        <v>1493</v>
      </c>
      <c r="B2933" s="1246" t="s">
        <v>436</v>
      </c>
      <c r="C2933" s="1247">
        <v>0.45</v>
      </c>
      <c r="E2933" s="1246" t="s">
        <v>376</v>
      </c>
      <c r="F2933" s="1248">
        <v>3</v>
      </c>
      <c r="G2933" s="1248">
        <v>3</v>
      </c>
      <c r="H2933" s="1249">
        <v>1</v>
      </c>
      <c r="I2933" s="1246" t="s">
        <v>1491</v>
      </c>
      <c r="J2933" s="1246" t="s">
        <v>1436</v>
      </c>
      <c r="K2933" s="1284" t="str">
        <f t="shared" si="45"/>
        <v>11</v>
      </c>
      <c r="L2933" s="1246" t="s">
        <v>1496</v>
      </c>
      <c r="M2933" s="1250">
        <v>9</v>
      </c>
      <c r="N2933" s="1251">
        <v>18</v>
      </c>
      <c r="O2933" s="1252">
        <v>6</v>
      </c>
    </row>
    <row r="2934" spans="1:15">
      <c r="A2934" s="1246" t="s">
        <v>1493</v>
      </c>
      <c r="B2934" s="1246" t="s">
        <v>436</v>
      </c>
      <c r="C2934" s="1247">
        <v>0.45</v>
      </c>
      <c r="E2934" s="1246" t="s">
        <v>376</v>
      </c>
      <c r="F2934" s="1248">
        <v>3</v>
      </c>
      <c r="G2934" s="1248">
        <v>3</v>
      </c>
      <c r="H2934" s="1249">
        <v>2</v>
      </c>
      <c r="I2934" s="1246" t="s">
        <v>1491</v>
      </c>
      <c r="J2934" s="1246" t="s">
        <v>1437</v>
      </c>
      <c r="K2934" s="1284" t="str">
        <f t="shared" si="45"/>
        <v>12</v>
      </c>
      <c r="L2934" s="1246" t="s">
        <v>1529</v>
      </c>
      <c r="M2934" s="1250">
        <v>9</v>
      </c>
      <c r="N2934" s="1251">
        <v>3</v>
      </c>
      <c r="O2934" s="1252">
        <v>1</v>
      </c>
    </row>
    <row r="2935" spans="1:15">
      <c r="A2935" s="1246" t="s">
        <v>1493</v>
      </c>
      <c r="B2935" s="1246" t="s">
        <v>436</v>
      </c>
      <c r="C2935" s="1247">
        <v>0.45</v>
      </c>
      <c r="E2935" s="1246" t="s">
        <v>1535</v>
      </c>
      <c r="F2935" s="1248">
        <v>3</v>
      </c>
      <c r="G2935" s="1248">
        <v>3</v>
      </c>
      <c r="H2935" s="1249">
        <v>2</v>
      </c>
      <c r="I2935" s="1246" t="s">
        <v>1491</v>
      </c>
      <c r="J2935" s="1246" t="s">
        <v>1437</v>
      </c>
      <c r="K2935" s="1284" t="str">
        <f t="shared" si="45"/>
        <v>12</v>
      </c>
      <c r="L2935" s="1246" t="s">
        <v>1529</v>
      </c>
      <c r="M2935" s="1250">
        <v>9</v>
      </c>
      <c r="N2935" s="1251">
        <v>6</v>
      </c>
      <c r="O2935" s="1252">
        <v>2</v>
      </c>
    </row>
    <row r="2936" spans="1:15">
      <c r="A2936" s="1246" t="s">
        <v>1493</v>
      </c>
      <c r="B2936" s="1246" t="s">
        <v>436</v>
      </c>
      <c r="C2936" s="1247">
        <v>0.45</v>
      </c>
      <c r="E2936" s="1246" t="s">
        <v>1535</v>
      </c>
      <c r="F2936" s="1248">
        <v>3</v>
      </c>
      <c r="G2936" s="1248">
        <v>3</v>
      </c>
      <c r="H2936" s="1249">
        <v>2</v>
      </c>
      <c r="I2936" s="1246" t="s">
        <v>1491</v>
      </c>
      <c r="J2936" s="1246" t="s">
        <v>1438</v>
      </c>
      <c r="K2936" s="1284" t="str">
        <f t="shared" si="45"/>
        <v>13</v>
      </c>
      <c r="L2936" s="1246" t="s">
        <v>1533</v>
      </c>
      <c r="M2936" s="1250">
        <v>9</v>
      </c>
      <c r="N2936" s="1251">
        <v>3</v>
      </c>
      <c r="O2936" s="1252">
        <v>1</v>
      </c>
    </row>
    <row r="2937" spans="1:15">
      <c r="A2937" s="1246" t="s">
        <v>1493</v>
      </c>
      <c r="B2937" s="1246" t="s">
        <v>436</v>
      </c>
      <c r="C2937" s="1247">
        <v>0.45</v>
      </c>
      <c r="E2937" s="1246" t="s">
        <v>1535</v>
      </c>
      <c r="F2937" s="1248">
        <v>4</v>
      </c>
      <c r="G2937" s="1248">
        <v>4</v>
      </c>
      <c r="H2937" s="1249">
        <v>1</v>
      </c>
      <c r="I2937" s="1246" t="s">
        <v>1491</v>
      </c>
      <c r="J2937" s="1246" t="s">
        <v>1436</v>
      </c>
      <c r="K2937" s="1284" t="str">
        <f t="shared" si="45"/>
        <v>11</v>
      </c>
      <c r="L2937" s="1246" t="s">
        <v>1495</v>
      </c>
      <c r="M2937" s="1250">
        <v>9</v>
      </c>
      <c r="N2937" s="1251">
        <v>8</v>
      </c>
      <c r="O2937" s="1252">
        <v>2</v>
      </c>
    </row>
    <row r="2938" spans="1:15">
      <c r="A2938" s="1246" t="s">
        <v>1493</v>
      </c>
      <c r="B2938" s="1246" t="s">
        <v>436</v>
      </c>
      <c r="C2938" s="1247">
        <v>0.45</v>
      </c>
      <c r="E2938" s="1246" t="s">
        <v>1535</v>
      </c>
      <c r="F2938" s="1248">
        <v>4</v>
      </c>
      <c r="G2938" s="1248">
        <v>4</v>
      </c>
      <c r="H2938" s="1249">
        <v>1</v>
      </c>
      <c r="I2938" s="1246" t="s">
        <v>1491</v>
      </c>
      <c r="J2938" s="1246" t="s">
        <v>1439</v>
      </c>
      <c r="K2938" s="1284" t="str">
        <f t="shared" si="45"/>
        <v>15</v>
      </c>
      <c r="L2938" s="1246" t="s">
        <v>1530</v>
      </c>
      <c r="M2938" s="1250">
        <v>9</v>
      </c>
      <c r="N2938" s="1251">
        <v>4</v>
      </c>
      <c r="O2938" s="1252">
        <v>1</v>
      </c>
    </row>
    <row r="2939" spans="1:15">
      <c r="A2939" s="1246" t="s">
        <v>1493</v>
      </c>
      <c r="B2939" s="1246" t="s">
        <v>436</v>
      </c>
      <c r="C2939" s="1247">
        <v>0.45</v>
      </c>
      <c r="E2939" s="1246" t="s">
        <v>376</v>
      </c>
      <c r="F2939" s="1248">
        <v>4</v>
      </c>
      <c r="G2939" s="1248">
        <v>4</v>
      </c>
      <c r="H2939" s="1249">
        <v>1</v>
      </c>
      <c r="I2939" s="1246" t="s">
        <v>1491</v>
      </c>
      <c r="J2939" s="1246" t="s">
        <v>1436</v>
      </c>
      <c r="K2939" s="1284" t="str">
        <f t="shared" si="45"/>
        <v>11</v>
      </c>
      <c r="L2939" s="1246" t="s">
        <v>1496</v>
      </c>
      <c r="M2939" s="1250">
        <v>9</v>
      </c>
      <c r="N2939" s="1251">
        <v>8</v>
      </c>
      <c r="O2939" s="1252">
        <v>2</v>
      </c>
    </row>
    <row r="2940" spans="1:15">
      <c r="A2940" s="1246" t="s">
        <v>683</v>
      </c>
      <c r="B2940" s="1246" t="s">
        <v>436</v>
      </c>
      <c r="C2940" s="1247">
        <v>0.45</v>
      </c>
      <c r="E2940" s="1246" t="s">
        <v>376</v>
      </c>
      <c r="F2940" s="1248">
        <v>4</v>
      </c>
      <c r="G2940" s="1248">
        <v>4</v>
      </c>
      <c r="H2940" s="1249">
        <v>1</v>
      </c>
      <c r="I2940" s="1246" t="s">
        <v>1491</v>
      </c>
      <c r="J2940" s="1246" t="s">
        <v>1436</v>
      </c>
      <c r="K2940" s="1284" t="str">
        <f t="shared" si="45"/>
        <v>11</v>
      </c>
      <c r="L2940" s="1246" t="s">
        <v>1496</v>
      </c>
      <c r="M2940" s="1250">
        <v>9</v>
      </c>
      <c r="N2940" s="1251">
        <v>4</v>
      </c>
      <c r="O2940" s="1252">
        <v>1</v>
      </c>
    </row>
    <row r="2941" spans="1:15">
      <c r="A2941" s="1246" t="s">
        <v>1493</v>
      </c>
      <c r="B2941" s="1246" t="s">
        <v>436</v>
      </c>
      <c r="C2941" s="1247">
        <v>0.45</v>
      </c>
      <c r="E2941" s="1246" t="s">
        <v>1535</v>
      </c>
      <c r="F2941" s="1248">
        <v>4</v>
      </c>
      <c r="G2941" s="1248">
        <v>4</v>
      </c>
      <c r="H2941" s="1249">
        <v>2</v>
      </c>
      <c r="I2941" s="1246" t="s">
        <v>1491</v>
      </c>
      <c r="J2941" s="1246" t="s">
        <v>1438</v>
      </c>
      <c r="K2941" s="1284" t="str">
        <f t="shared" si="45"/>
        <v>13</v>
      </c>
      <c r="L2941" s="1246" t="s">
        <v>1533</v>
      </c>
      <c r="M2941" s="1250">
        <v>9</v>
      </c>
      <c r="N2941" s="1251">
        <v>4</v>
      </c>
      <c r="O2941" s="1252">
        <v>1</v>
      </c>
    </row>
    <row r="2942" spans="1:15">
      <c r="A2942" s="1246" t="s">
        <v>1493</v>
      </c>
      <c r="B2942" s="1246" t="s">
        <v>436</v>
      </c>
      <c r="C2942" s="1247">
        <v>0.45</v>
      </c>
      <c r="E2942" s="1246" t="s">
        <v>376</v>
      </c>
      <c r="F2942" s="1248">
        <v>5</v>
      </c>
      <c r="G2942" s="1248">
        <v>5</v>
      </c>
      <c r="H2942" s="1249">
        <v>1</v>
      </c>
      <c r="I2942" s="1246" t="s">
        <v>1491</v>
      </c>
      <c r="J2942" s="1246" t="s">
        <v>1443</v>
      </c>
      <c r="K2942" s="1284" t="str">
        <f t="shared" si="45"/>
        <v>1C</v>
      </c>
      <c r="L2942" s="1246" t="s">
        <v>1502</v>
      </c>
      <c r="M2942" s="1250">
        <v>4</v>
      </c>
      <c r="N2942" s="1251">
        <v>5</v>
      </c>
      <c r="O2942" s="1252">
        <v>1</v>
      </c>
    </row>
    <row r="2943" spans="1:15">
      <c r="A2943" s="1246" t="s">
        <v>1493</v>
      </c>
      <c r="B2943" s="1246" t="s">
        <v>436</v>
      </c>
      <c r="C2943" s="1247">
        <v>0.45</v>
      </c>
      <c r="E2943" s="1246" t="s">
        <v>1535</v>
      </c>
      <c r="F2943" s="1248">
        <v>5</v>
      </c>
      <c r="G2943" s="1248">
        <v>5</v>
      </c>
      <c r="H2943" s="1249">
        <v>1</v>
      </c>
      <c r="I2943" s="1246" t="s">
        <v>1491</v>
      </c>
      <c r="J2943" s="1246" t="s">
        <v>1436</v>
      </c>
      <c r="K2943" s="1284" t="str">
        <f t="shared" si="45"/>
        <v>11</v>
      </c>
      <c r="L2943" s="1246" t="s">
        <v>1495</v>
      </c>
      <c r="M2943" s="1250">
        <v>9</v>
      </c>
      <c r="N2943" s="1251">
        <v>5</v>
      </c>
      <c r="O2943" s="1252">
        <v>1</v>
      </c>
    </row>
    <row r="2944" spans="1:15">
      <c r="A2944" s="1246" t="s">
        <v>1493</v>
      </c>
      <c r="B2944" s="1246" t="s">
        <v>436</v>
      </c>
      <c r="C2944" s="1247">
        <v>0.45</v>
      </c>
      <c r="E2944" s="1246" t="s">
        <v>376</v>
      </c>
      <c r="F2944" s="1248">
        <v>5</v>
      </c>
      <c r="G2944" s="1248">
        <v>5</v>
      </c>
      <c r="H2944" s="1249">
        <v>1</v>
      </c>
      <c r="I2944" s="1246" t="s">
        <v>1491</v>
      </c>
      <c r="J2944" s="1246" t="s">
        <v>1436</v>
      </c>
      <c r="K2944" s="1284" t="str">
        <f t="shared" si="45"/>
        <v>11</v>
      </c>
      <c r="L2944" s="1246" t="s">
        <v>1496</v>
      </c>
      <c r="M2944" s="1250">
        <v>9</v>
      </c>
      <c r="N2944" s="1251">
        <v>5</v>
      </c>
      <c r="O2944" s="1252">
        <v>1</v>
      </c>
    </row>
    <row r="2945" spans="1:15">
      <c r="A2945" s="1246" t="s">
        <v>1493</v>
      </c>
      <c r="B2945" s="1246" t="s">
        <v>436</v>
      </c>
      <c r="C2945" s="1247">
        <v>0.45</v>
      </c>
      <c r="E2945" s="1246" t="s">
        <v>1535</v>
      </c>
      <c r="F2945" s="1248">
        <v>5</v>
      </c>
      <c r="G2945" s="1248">
        <v>5</v>
      </c>
      <c r="H2945" s="1249">
        <v>2</v>
      </c>
      <c r="I2945" s="1246" t="s">
        <v>1491</v>
      </c>
      <c r="J2945" s="1246" t="s">
        <v>1397</v>
      </c>
      <c r="K2945" s="1284" t="str">
        <f t="shared" si="45"/>
        <v>10</v>
      </c>
      <c r="L2945" s="1246" t="s">
        <v>1540</v>
      </c>
      <c r="M2945" s="1250">
        <v>9</v>
      </c>
      <c r="N2945" s="1251">
        <v>5</v>
      </c>
      <c r="O2945" s="1252">
        <v>1</v>
      </c>
    </row>
    <row r="2946" spans="1:15">
      <c r="A2946" s="1246" t="s">
        <v>1493</v>
      </c>
      <c r="B2946" s="1246" t="s">
        <v>436</v>
      </c>
      <c r="C2946" s="1247">
        <v>0.45</v>
      </c>
      <c r="E2946" s="1246" t="s">
        <v>376</v>
      </c>
      <c r="F2946" s="1248">
        <v>5</v>
      </c>
      <c r="G2946" s="1248">
        <v>5</v>
      </c>
      <c r="H2946" s="1249">
        <v>2</v>
      </c>
      <c r="I2946" s="1246" t="s">
        <v>1491</v>
      </c>
      <c r="J2946" s="1246" t="s">
        <v>1397</v>
      </c>
      <c r="K2946" s="1284" t="str">
        <f t="shared" ref="K2946:K2953" si="46">IF(J2946="1B","10", IF(J2946="2B","20",IF(J2946="3B","30",IF(J2946="7B",70,J2946))))</f>
        <v>10</v>
      </c>
      <c r="L2946" s="1246" t="s">
        <v>1532</v>
      </c>
      <c r="M2946" s="1250">
        <v>9</v>
      </c>
      <c r="N2946" s="1251">
        <v>5</v>
      </c>
      <c r="O2946" s="1252">
        <v>1</v>
      </c>
    </row>
    <row r="2947" spans="1:15">
      <c r="A2947" s="1246" t="s">
        <v>1493</v>
      </c>
      <c r="B2947" s="1246" t="s">
        <v>436</v>
      </c>
      <c r="C2947" s="1247">
        <v>0.45</v>
      </c>
      <c r="E2947" s="1246" t="s">
        <v>376</v>
      </c>
      <c r="F2947" s="1248">
        <v>6</v>
      </c>
      <c r="G2947" s="1248">
        <v>6</v>
      </c>
      <c r="H2947" s="1249">
        <v>1</v>
      </c>
      <c r="I2947" s="1246" t="s">
        <v>1491</v>
      </c>
      <c r="J2947" s="1246" t="s">
        <v>1436</v>
      </c>
      <c r="K2947" s="1284" t="str">
        <f t="shared" si="46"/>
        <v>11</v>
      </c>
      <c r="L2947" s="1246" t="s">
        <v>1496</v>
      </c>
      <c r="M2947" s="1250">
        <v>9</v>
      </c>
      <c r="N2947" s="1251">
        <v>12</v>
      </c>
      <c r="O2947" s="1252">
        <v>2</v>
      </c>
    </row>
    <row r="2948" spans="1:15">
      <c r="A2948" s="1246" t="s">
        <v>1493</v>
      </c>
      <c r="B2948" s="1246" t="s">
        <v>436</v>
      </c>
      <c r="C2948" s="1247">
        <v>0.45</v>
      </c>
      <c r="E2948" s="1246" t="s">
        <v>1535</v>
      </c>
      <c r="F2948" s="1248">
        <v>6</v>
      </c>
      <c r="G2948" s="1248">
        <v>6</v>
      </c>
      <c r="H2948" s="1249">
        <v>2</v>
      </c>
      <c r="I2948" s="1246" t="s">
        <v>1491</v>
      </c>
      <c r="J2948" s="1246" t="s">
        <v>1438</v>
      </c>
      <c r="K2948" s="1284" t="str">
        <f t="shared" si="46"/>
        <v>13</v>
      </c>
      <c r="L2948" s="1246" t="s">
        <v>1533</v>
      </c>
      <c r="M2948" s="1250">
        <v>9</v>
      </c>
      <c r="N2948" s="1251">
        <v>6</v>
      </c>
      <c r="O2948" s="1252">
        <v>1</v>
      </c>
    </row>
    <row r="2949" spans="1:15">
      <c r="A2949" s="1246" t="s">
        <v>1493</v>
      </c>
      <c r="B2949" s="1246" t="s">
        <v>436</v>
      </c>
      <c r="C2949" s="1247">
        <v>0.45</v>
      </c>
      <c r="E2949" s="1246" t="s">
        <v>1535</v>
      </c>
      <c r="F2949" s="1248">
        <v>7</v>
      </c>
      <c r="G2949" s="1248">
        <v>7</v>
      </c>
      <c r="H2949" s="1249">
        <v>1</v>
      </c>
      <c r="I2949" s="1246" t="s">
        <v>1491</v>
      </c>
      <c r="J2949" s="1246" t="s">
        <v>1436</v>
      </c>
      <c r="K2949" s="1284" t="str">
        <f t="shared" si="46"/>
        <v>11</v>
      </c>
      <c r="L2949" s="1246" t="s">
        <v>1495</v>
      </c>
      <c r="M2949" s="1250">
        <v>9</v>
      </c>
      <c r="N2949" s="1251">
        <v>7</v>
      </c>
      <c r="O2949" s="1252">
        <v>1</v>
      </c>
    </row>
    <row r="2950" spans="1:15">
      <c r="A2950" s="1246" t="s">
        <v>1493</v>
      </c>
      <c r="B2950" s="1246" t="s">
        <v>436</v>
      </c>
      <c r="C2950" s="1247">
        <v>0.45</v>
      </c>
      <c r="E2950" s="1246" t="s">
        <v>376</v>
      </c>
      <c r="F2950" s="1248">
        <v>7</v>
      </c>
      <c r="G2950" s="1248">
        <v>14</v>
      </c>
      <c r="H2950" s="1249">
        <v>2</v>
      </c>
      <c r="I2950" s="1246" t="s">
        <v>1491</v>
      </c>
      <c r="J2950" s="1246" t="s">
        <v>1443</v>
      </c>
      <c r="K2950" s="1284" t="str">
        <f t="shared" si="46"/>
        <v>1C</v>
      </c>
      <c r="L2950" s="1246" t="s">
        <v>1502</v>
      </c>
      <c r="M2950" s="1250">
        <v>4</v>
      </c>
      <c r="N2950" s="1251">
        <v>7</v>
      </c>
      <c r="O2950" s="1252">
        <v>1</v>
      </c>
    </row>
    <row r="2951" spans="1:15">
      <c r="A2951" s="1246" t="s">
        <v>1493</v>
      </c>
      <c r="B2951" s="1246" t="s">
        <v>436</v>
      </c>
      <c r="C2951" s="1247">
        <v>0.45</v>
      </c>
      <c r="E2951" s="1246" t="s">
        <v>1535</v>
      </c>
      <c r="F2951" s="1248">
        <v>9</v>
      </c>
      <c r="G2951" s="1248">
        <v>9</v>
      </c>
      <c r="H2951" s="1249">
        <v>2</v>
      </c>
      <c r="I2951" s="1246" t="s">
        <v>1491</v>
      </c>
      <c r="J2951" s="1246" t="s">
        <v>1437</v>
      </c>
      <c r="K2951" s="1284" t="str">
        <f t="shared" si="46"/>
        <v>12</v>
      </c>
      <c r="L2951" s="1246" t="s">
        <v>1529</v>
      </c>
      <c r="M2951" s="1250">
        <v>9</v>
      </c>
      <c r="N2951" s="1251">
        <v>9</v>
      </c>
      <c r="O2951" s="1252">
        <v>1</v>
      </c>
    </row>
    <row r="2952" spans="1:15">
      <c r="A2952" s="1246" t="s">
        <v>1493</v>
      </c>
      <c r="B2952" s="1246" t="s">
        <v>436</v>
      </c>
      <c r="C2952" s="1247">
        <v>0.45</v>
      </c>
      <c r="E2952" s="1246" t="s">
        <v>376</v>
      </c>
      <c r="F2952" s="1248">
        <v>10</v>
      </c>
      <c r="G2952" s="1248">
        <v>10</v>
      </c>
      <c r="H2952" s="1249">
        <v>1</v>
      </c>
      <c r="I2952" s="1246" t="s">
        <v>1491</v>
      </c>
      <c r="J2952" s="1246" t="s">
        <v>1436</v>
      </c>
      <c r="K2952" s="1284" t="str">
        <f t="shared" si="46"/>
        <v>11</v>
      </c>
      <c r="L2952" s="1246" t="s">
        <v>1496</v>
      </c>
      <c r="M2952" s="1250">
        <v>9</v>
      </c>
      <c r="N2952" s="1251">
        <v>10</v>
      </c>
      <c r="O2952" s="1252">
        <v>1</v>
      </c>
    </row>
    <row r="2953" spans="1:15">
      <c r="A2953" s="1246" t="s">
        <v>1493</v>
      </c>
      <c r="B2953" s="1246" t="s">
        <v>436</v>
      </c>
      <c r="C2953" s="1247">
        <v>0.45</v>
      </c>
      <c r="E2953" s="1246" t="s">
        <v>1535</v>
      </c>
      <c r="F2953" s="1248">
        <v>15</v>
      </c>
      <c r="G2953" s="1248">
        <v>15</v>
      </c>
      <c r="H2953" s="1249">
        <v>1</v>
      </c>
      <c r="I2953" s="1246" t="s">
        <v>1491</v>
      </c>
      <c r="J2953" s="1246" t="s">
        <v>1436</v>
      </c>
      <c r="K2953" s="1284" t="str">
        <f t="shared" si="46"/>
        <v>11</v>
      </c>
      <c r="L2953" s="1246" t="s">
        <v>1495</v>
      </c>
      <c r="M2953" s="1250">
        <v>9</v>
      </c>
      <c r="N2953" s="1251">
        <v>15</v>
      </c>
      <c r="O2953" s="1252">
        <v>1</v>
      </c>
    </row>
  </sheetData>
  <autoFilter ref="A1:O2953"/>
  <pageMargins left="0.7" right="0.7" top="0.75" bottom="0.75" header="0.3" footer="0.3"/>
  <pageSetup scale="1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G103"/>
  <sheetViews>
    <sheetView topLeftCell="A33" workbookViewId="0">
      <selection activeCell="B41" sqref="B41"/>
    </sheetView>
  </sheetViews>
  <sheetFormatPr defaultRowHeight="11.25"/>
  <cols>
    <col min="1" max="1" width="7.6640625" bestFit="1" customWidth="1"/>
    <col min="2" max="2" width="25.83203125" bestFit="1" customWidth="1"/>
    <col min="3" max="4" width="11.33203125" bestFit="1" customWidth="1"/>
    <col min="5" max="5" width="10.1640625" bestFit="1" customWidth="1"/>
    <col min="6" max="6" width="11.33203125" bestFit="1" customWidth="1"/>
    <col min="7" max="7" width="10" bestFit="1" customWidth="1"/>
    <col min="8" max="11" width="9" bestFit="1" customWidth="1"/>
    <col min="12" max="12" width="9.6640625" bestFit="1" customWidth="1"/>
    <col min="13" max="13" width="11.5" bestFit="1" customWidth="1"/>
    <col min="14" max="14" width="12" bestFit="1" customWidth="1"/>
    <col min="15" max="15" width="13" bestFit="1" customWidth="1"/>
    <col min="16" max="16" width="11.5" style="775" bestFit="1" customWidth="1"/>
    <col min="18" max="18" width="7.6640625" bestFit="1" customWidth="1"/>
    <col min="19" max="19" width="7" bestFit="1" customWidth="1"/>
    <col min="20" max="20" width="25.83203125" bestFit="1" customWidth="1"/>
    <col min="21" max="21" width="9" bestFit="1" customWidth="1"/>
    <col min="22" max="22" width="9.6640625" bestFit="1" customWidth="1"/>
    <col min="23" max="23" width="10.5" bestFit="1" customWidth="1"/>
    <col min="24" max="24" width="10.1640625" bestFit="1" customWidth="1"/>
    <col min="25" max="26" width="11.33203125" bestFit="1" customWidth="1"/>
    <col min="27" max="27" width="10.1640625" bestFit="1" customWidth="1"/>
    <col min="28" max="28" width="11.33203125" bestFit="1" customWidth="1"/>
    <col min="29" max="29" width="10" bestFit="1" customWidth="1"/>
    <col min="30" max="30" width="9.1640625" bestFit="1" customWidth="1"/>
    <col min="31" max="32" width="11.5" bestFit="1" customWidth="1"/>
    <col min="33" max="33" width="12" bestFit="1" customWidth="1"/>
  </cols>
  <sheetData>
    <row r="1" spans="1:33">
      <c r="A1" t="s">
        <v>717</v>
      </c>
      <c r="B1" t="s">
        <v>718</v>
      </c>
      <c r="C1" t="s">
        <v>719</v>
      </c>
      <c r="N1" t="s">
        <v>751</v>
      </c>
      <c r="O1" t="s">
        <v>1355</v>
      </c>
      <c r="P1" s="775" t="s">
        <v>752</v>
      </c>
    </row>
    <row r="2" spans="1:33">
      <c r="A2" t="s">
        <v>1133</v>
      </c>
      <c r="B2" t="s">
        <v>1134</v>
      </c>
      <c r="M2" t="s">
        <v>1356</v>
      </c>
      <c r="N2" t="s">
        <v>1357</v>
      </c>
      <c r="O2">
        <v>6</v>
      </c>
    </row>
    <row r="3" spans="1:33">
      <c r="A3" t="s">
        <v>753</v>
      </c>
      <c r="B3" t="s">
        <v>754</v>
      </c>
      <c r="M3" t="s">
        <v>755</v>
      </c>
      <c r="N3" t="s">
        <v>756</v>
      </c>
    </row>
    <row r="4" spans="1:33">
      <c r="A4" t="s">
        <v>1136</v>
      </c>
      <c r="B4">
        <v>30</v>
      </c>
      <c r="C4">
        <v>2014</v>
      </c>
      <c r="N4" t="s">
        <v>683</v>
      </c>
    </row>
    <row r="5" spans="1:33">
      <c r="A5" t="s">
        <v>757</v>
      </c>
      <c r="B5" t="s">
        <v>758</v>
      </c>
      <c r="C5" s="1055" t="s">
        <v>738</v>
      </c>
      <c r="D5" s="1055" t="s">
        <v>739</v>
      </c>
      <c r="E5" s="1055" t="s">
        <v>740</v>
      </c>
      <c r="F5" s="1055" t="s">
        <v>741</v>
      </c>
      <c r="G5" s="1055" t="s">
        <v>742</v>
      </c>
      <c r="H5" s="1055" t="s">
        <v>731</v>
      </c>
      <c r="I5" s="1055" t="s">
        <v>732</v>
      </c>
      <c r="J5" s="1055" t="s">
        <v>733</v>
      </c>
      <c r="K5" s="1055" t="s">
        <v>734</v>
      </c>
      <c r="L5" s="1055" t="s">
        <v>735</v>
      </c>
      <c r="M5" s="1055" t="s">
        <v>736</v>
      </c>
      <c r="N5" s="1055" t="s">
        <v>737</v>
      </c>
      <c r="O5" s="1032" t="s">
        <v>738</v>
      </c>
      <c r="P5" s="1124" t="s">
        <v>991</v>
      </c>
      <c r="AG5" s="1032"/>
    </row>
    <row r="6" spans="1:33">
      <c r="A6" t="s">
        <v>744</v>
      </c>
      <c r="B6" t="s">
        <v>759</v>
      </c>
      <c r="C6" s="1056" t="s">
        <v>746</v>
      </c>
      <c r="D6" s="1056" t="s">
        <v>746</v>
      </c>
      <c r="E6" s="1056" t="s">
        <v>746</v>
      </c>
      <c r="F6" s="1056" t="s">
        <v>746</v>
      </c>
      <c r="G6" s="1056" t="s">
        <v>746</v>
      </c>
      <c r="H6" s="1056" t="s">
        <v>746</v>
      </c>
      <c r="I6" s="1056" t="s">
        <v>746</v>
      </c>
      <c r="J6" s="1056" t="s">
        <v>746</v>
      </c>
      <c r="K6" s="1056" t="s">
        <v>746</v>
      </c>
      <c r="L6" s="1056" t="s">
        <v>746</v>
      </c>
      <c r="M6" s="1056" t="s">
        <v>746</v>
      </c>
      <c r="N6" s="1056" t="s">
        <v>746</v>
      </c>
      <c r="O6" s="1032" t="s">
        <v>746</v>
      </c>
      <c r="AG6" s="1032"/>
    </row>
    <row r="7" spans="1:33">
      <c r="B7" t="s">
        <v>760</v>
      </c>
      <c r="O7" s="1032"/>
      <c r="AG7" s="1032"/>
    </row>
    <row r="8" spans="1:33">
      <c r="A8">
        <v>90015</v>
      </c>
      <c r="B8" t="s">
        <v>847</v>
      </c>
      <c r="C8">
        <v>23</v>
      </c>
      <c r="D8">
        <v>22.25</v>
      </c>
      <c r="E8">
        <v>21</v>
      </c>
      <c r="F8">
        <v>24</v>
      </c>
      <c r="G8">
        <v>23</v>
      </c>
      <c r="H8">
        <v>22.25</v>
      </c>
      <c r="I8">
        <v>24</v>
      </c>
      <c r="J8">
        <v>22</v>
      </c>
      <c r="K8">
        <v>23.25</v>
      </c>
      <c r="L8">
        <v>24</v>
      </c>
      <c r="M8">
        <v>21.25</v>
      </c>
      <c r="N8">
        <v>24</v>
      </c>
      <c r="O8" s="1032">
        <v>23</v>
      </c>
      <c r="P8" s="775">
        <f>SUM(C8:N8)</f>
        <v>274</v>
      </c>
      <c r="AG8" s="1032"/>
    </row>
    <row r="9" spans="1:33">
      <c r="A9">
        <v>11001</v>
      </c>
      <c r="B9" t="s">
        <v>848</v>
      </c>
      <c r="C9">
        <v>675</v>
      </c>
      <c r="D9">
        <v>702</v>
      </c>
      <c r="E9">
        <v>637</v>
      </c>
      <c r="F9">
        <v>728</v>
      </c>
      <c r="G9">
        <v>710</v>
      </c>
      <c r="H9">
        <v>691</v>
      </c>
      <c r="I9">
        <v>746</v>
      </c>
      <c r="J9">
        <v>694</v>
      </c>
      <c r="K9">
        <v>756</v>
      </c>
      <c r="L9">
        <v>782</v>
      </c>
      <c r="M9">
        <v>687</v>
      </c>
      <c r="N9">
        <v>740</v>
      </c>
      <c r="O9" s="1032">
        <v>712</v>
      </c>
      <c r="P9" s="775">
        <f t="shared" ref="P9:P72" si="0">SUM(C9:N9)</f>
        <v>8548</v>
      </c>
      <c r="AG9" s="1032"/>
    </row>
    <row r="10" spans="1:33">
      <c r="A10">
        <v>11001</v>
      </c>
      <c r="B10" t="s">
        <v>849</v>
      </c>
      <c r="C10">
        <v>209</v>
      </c>
      <c r="D10">
        <v>190</v>
      </c>
      <c r="E10">
        <v>192</v>
      </c>
      <c r="F10">
        <v>201</v>
      </c>
      <c r="G10">
        <v>213</v>
      </c>
      <c r="H10">
        <v>220</v>
      </c>
      <c r="I10">
        <v>217</v>
      </c>
      <c r="J10">
        <v>176</v>
      </c>
      <c r="K10">
        <v>200</v>
      </c>
      <c r="L10">
        <v>186</v>
      </c>
      <c r="M10">
        <v>151</v>
      </c>
      <c r="N10">
        <v>158</v>
      </c>
      <c r="O10" s="1032">
        <v>150</v>
      </c>
      <c r="P10" s="775">
        <f t="shared" si="0"/>
        <v>2313</v>
      </c>
      <c r="AG10" s="1032"/>
    </row>
    <row r="11" spans="1:33">
      <c r="A11">
        <v>11001</v>
      </c>
      <c r="B11" t="s">
        <v>850</v>
      </c>
      <c r="C11">
        <v>39</v>
      </c>
      <c r="D11">
        <v>22</v>
      </c>
      <c r="E11">
        <v>24</v>
      </c>
      <c r="F11">
        <v>35</v>
      </c>
      <c r="G11">
        <v>16</v>
      </c>
      <c r="H11">
        <v>25</v>
      </c>
      <c r="I11">
        <v>47</v>
      </c>
      <c r="J11">
        <v>28</v>
      </c>
      <c r="K11">
        <v>35</v>
      </c>
      <c r="L11">
        <v>37</v>
      </c>
      <c r="M11">
        <v>26</v>
      </c>
      <c r="N11">
        <v>22</v>
      </c>
      <c r="O11" s="1032">
        <v>25</v>
      </c>
      <c r="P11" s="775">
        <f t="shared" si="0"/>
        <v>356</v>
      </c>
      <c r="AG11" s="1032"/>
    </row>
    <row r="12" spans="1:33">
      <c r="A12">
        <v>11001</v>
      </c>
      <c r="B12" t="s">
        <v>851</v>
      </c>
      <c r="C12">
        <v>360</v>
      </c>
      <c r="D12">
        <v>306</v>
      </c>
      <c r="E12">
        <v>265</v>
      </c>
      <c r="F12">
        <v>306</v>
      </c>
      <c r="G12">
        <v>310</v>
      </c>
      <c r="H12">
        <v>295</v>
      </c>
      <c r="I12">
        <v>352</v>
      </c>
      <c r="J12">
        <v>300</v>
      </c>
      <c r="K12">
        <v>331</v>
      </c>
      <c r="L12">
        <v>337</v>
      </c>
      <c r="M12">
        <v>286</v>
      </c>
      <c r="N12">
        <v>295</v>
      </c>
      <c r="O12" s="1032">
        <v>269</v>
      </c>
      <c r="P12" s="775">
        <f t="shared" si="0"/>
        <v>3743</v>
      </c>
      <c r="AG12" s="1032"/>
    </row>
    <row r="13" spans="1:33">
      <c r="A13">
        <v>11001</v>
      </c>
      <c r="B13" t="s">
        <v>852</v>
      </c>
      <c r="C13">
        <v>0</v>
      </c>
      <c r="D13">
        <v>0</v>
      </c>
      <c r="E13">
        <v>0</v>
      </c>
      <c r="F13">
        <v>0</v>
      </c>
      <c r="G13">
        <v>0</v>
      </c>
      <c r="H13">
        <v>0</v>
      </c>
      <c r="I13">
        <v>0</v>
      </c>
      <c r="J13">
        <v>0</v>
      </c>
      <c r="K13">
        <v>0</v>
      </c>
      <c r="L13">
        <v>0</v>
      </c>
      <c r="M13">
        <v>0</v>
      </c>
      <c r="N13">
        <v>0</v>
      </c>
      <c r="O13" s="1032">
        <v>0</v>
      </c>
      <c r="P13" s="775">
        <f t="shared" si="0"/>
        <v>0</v>
      </c>
      <c r="AG13" s="1032"/>
    </row>
    <row r="14" spans="1:33">
      <c r="B14" t="s">
        <v>853</v>
      </c>
      <c r="C14">
        <v>1283</v>
      </c>
      <c r="D14">
        <v>1220</v>
      </c>
      <c r="E14">
        <v>1118</v>
      </c>
      <c r="F14">
        <v>1270</v>
      </c>
      <c r="G14">
        <v>1249</v>
      </c>
      <c r="H14">
        <v>1231</v>
      </c>
      <c r="I14">
        <v>1362</v>
      </c>
      <c r="J14">
        <v>1198</v>
      </c>
      <c r="K14">
        <v>1322</v>
      </c>
      <c r="L14">
        <v>1342</v>
      </c>
      <c r="M14">
        <v>1150</v>
      </c>
      <c r="N14">
        <v>1215</v>
      </c>
      <c r="O14" s="1032">
        <v>1156</v>
      </c>
      <c r="P14" s="775">
        <f t="shared" si="0"/>
        <v>14960</v>
      </c>
      <c r="AG14" s="1032"/>
    </row>
    <row r="15" spans="1:33">
      <c r="A15">
        <v>11003</v>
      </c>
      <c r="B15" t="s">
        <v>854</v>
      </c>
      <c r="C15">
        <v>2055</v>
      </c>
      <c r="D15">
        <v>2008</v>
      </c>
      <c r="E15">
        <v>1772</v>
      </c>
      <c r="F15">
        <v>1827</v>
      </c>
      <c r="G15">
        <v>1973</v>
      </c>
      <c r="H15">
        <v>1959</v>
      </c>
      <c r="I15">
        <v>2214</v>
      </c>
      <c r="J15">
        <v>2016</v>
      </c>
      <c r="K15">
        <v>2216</v>
      </c>
      <c r="L15">
        <v>2212</v>
      </c>
      <c r="M15">
        <v>1871</v>
      </c>
      <c r="N15">
        <v>1914</v>
      </c>
      <c r="O15" s="1032">
        <v>1800</v>
      </c>
      <c r="P15" s="775">
        <f t="shared" si="0"/>
        <v>24037</v>
      </c>
      <c r="AG15" s="1032"/>
    </row>
    <row r="16" spans="1:33">
      <c r="A16">
        <v>11012</v>
      </c>
      <c r="B16" t="s">
        <v>855</v>
      </c>
      <c r="C16">
        <v>1827</v>
      </c>
      <c r="D16">
        <v>1869</v>
      </c>
      <c r="E16">
        <v>1648</v>
      </c>
      <c r="F16">
        <v>1919</v>
      </c>
      <c r="G16">
        <v>2052</v>
      </c>
      <c r="H16">
        <v>2033</v>
      </c>
      <c r="I16">
        <v>2221</v>
      </c>
      <c r="J16">
        <v>2044</v>
      </c>
      <c r="K16">
        <v>2174</v>
      </c>
      <c r="L16">
        <v>2109</v>
      </c>
      <c r="M16">
        <v>1798</v>
      </c>
      <c r="N16">
        <v>1823</v>
      </c>
      <c r="O16" s="1032">
        <v>1754</v>
      </c>
      <c r="P16" s="775">
        <f t="shared" si="0"/>
        <v>23517</v>
      </c>
      <c r="AG16" s="1032"/>
    </row>
    <row r="17" spans="1:33">
      <c r="A17">
        <v>11018</v>
      </c>
      <c r="B17" t="s">
        <v>856</v>
      </c>
      <c r="C17">
        <v>34812</v>
      </c>
      <c r="D17">
        <v>33347</v>
      </c>
      <c r="E17">
        <v>28036</v>
      </c>
      <c r="F17">
        <v>34616</v>
      </c>
      <c r="G17">
        <v>32852</v>
      </c>
      <c r="H17">
        <v>34229</v>
      </c>
      <c r="I17">
        <v>38213</v>
      </c>
      <c r="J17">
        <v>36154</v>
      </c>
      <c r="K17">
        <v>39017</v>
      </c>
      <c r="L17">
        <v>38740</v>
      </c>
      <c r="M17">
        <v>33381</v>
      </c>
      <c r="N17">
        <v>33380</v>
      </c>
      <c r="O17" s="1032">
        <v>33379</v>
      </c>
      <c r="P17" s="775">
        <f t="shared" si="0"/>
        <v>416777</v>
      </c>
      <c r="AG17" s="1032"/>
    </row>
    <row r="18" spans="1:33">
      <c r="A18">
        <v>90010</v>
      </c>
      <c r="B18" t="s">
        <v>857</v>
      </c>
      <c r="C18">
        <v>7918</v>
      </c>
      <c r="D18">
        <v>7674</v>
      </c>
      <c r="E18">
        <v>6879</v>
      </c>
      <c r="F18">
        <v>7736</v>
      </c>
      <c r="G18">
        <v>7810</v>
      </c>
      <c r="H18">
        <v>8086</v>
      </c>
      <c r="I18">
        <v>8306</v>
      </c>
      <c r="J18">
        <v>7647</v>
      </c>
      <c r="K18">
        <v>8573</v>
      </c>
      <c r="L18">
        <v>8466</v>
      </c>
      <c r="M18">
        <v>7699</v>
      </c>
      <c r="N18">
        <v>7002</v>
      </c>
      <c r="O18" s="1032">
        <v>7683</v>
      </c>
      <c r="P18" s="775">
        <f t="shared" si="0"/>
        <v>93796</v>
      </c>
      <c r="AG18" s="1032"/>
    </row>
    <row r="19" spans="1:33">
      <c r="B19" t="s">
        <v>858</v>
      </c>
      <c r="C19">
        <v>10</v>
      </c>
      <c r="D19">
        <v>10</v>
      </c>
      <c r="E19">
        <v>10</v>
      </c>
      <c r="F19">
        <v>12</v>
      </c>
      <c r="G19">
        <v>12</v>
      </c>
      <c r="H19">
        <v>12</v>
      </c>
      <c r="I19">
        <v>12</v>
      </c>
      <c r="J19">
        <v>12</v>
      </c>
      <c r="K19">
        <v>12</v>
      </c>
      <c r="L19">
        <v>11</v>
      </c>
      <c r="M19">
        <v>10</v>
      </c>
      <c r="N19">
        <v>10</v>
      </c>
      <c r="O19" s="1032">
        <v>11</v>
      </c>
      <c r="P19" s="775">
        <f t="shared" si="0"/>
        <v>133</v>
      </c>
      <c r="AG19" s="1032"/>
    </row>
    <row r="20" spans="1:33">
      <c r="A20">
        <v>11002</v>
      </c>
      <c r="B20" t="s">
        <v>859</v>
      </c>
      <c r="C20">
        <v>10</v>
      </c>
      <c r="D20">
        <v>9</v>
      </c>
      <c r="E20">
        <v>9</v>
      </c>
      <c r="F20">
        <v>9</v>
      </c>
      <c r="G20">
        <v>9</v>
      </c>
      <c r="H20">
        <v>9</v>
      </c>
      <c r="I20">
        <v>9</v>
      </c>
      <c r="J20">
        <v>9</v>
      </c>
      <c r="K20">
        <v>9</v>
      </c>
      <c r="L20">
        <v>9</v>
      </c>
      <c r="M20">
        <v>9</v>
      </c>
      <c r="N20">
        <v>9</v>
      </c>
      <c r="O20" s="1032">
        <v>9</v>
      </c>
      <c r="P20" s="775">
        <f t="shared" si="0"/>
        <v>109</v>
      </c>
      <c r="AG20" s="1032"/>
    </row>
    <row r="21" spans="1:33">
      <c r="A21">
        <v>81100</v>
      </c>
      <c r="B21" t="s">
        <v>860</v>
      </c>
      <c r="C21">
        <v>10</v>
      </c>
      <c r="D21">
        <v>10</v>
      </c>
      <c r="E21">
        <v>9</v>
      </c>
      <c r="F21">
        <v>9</v>
      </c>
      <c r="G21">
        <v>10</v>
      </c>
      <c r="H21">
        <v>10</v>
      </c>
      <c r="I21">
        <v>10</v>
      </c>
      <c r="J21">
        <v>10</v>
      </c>
      <c r="K21">
        <v>10</v>
      </c>
      <c r="L21">
        <v>9</v>
      </c>
      <c r="M21">
        <v>11</v>
      </c>
      <c r="N21">
        <v>10</v>
      </c>
      <c r="O21" s="1032">
        <v>9</v>
      </c>
      <c r="P21" s="775">
        <f t="shared" si="0"/>
        <v>118</v>
      </c>
      <c r="AG21" s="1032"/>
    </row>
    <row r="22" spans="1:33">
      <c r="A22">
        <v>81101</v>
      </c>
      <c r="B22" t="s">
        <v>861</v>
      </c>
      <c r="C22">
        <v>0</v>
      </c>
      <c r="D22">
        <v>0</v>
      </c>
      <c r="E22">
        <v>0</v>
      </c>
      <c r="F22">
        <v>0</v>
      </c>
      <c r="G22">
        <v>0</v>
      </c>
      <c r="H22">
        <v>0</v>
      </c>
      <c r="I22">
        <v>0</v>
      </c>
      <c r="J22">
        <v>0</v>
      </c>
      <c r="K22">
        <v>0</v>
      </c>
      <c r="L22">
        <v>0</v>
      </c>
      <c r="M22">
        <v>0</v>
      </c>
      <c r="N22">
        <v>0</v>
      </c>
      <c r="O22" s="1032">
        <v>0</v>
      </c>
      <c r="P22" s="775">
        <f t="shared" si="0"/>
        <v>0</v>
      </c>
      <c r="AG22" s="1032"/>
    </row>
    <row r="23" spans="1:33">
      <c r="O23" s="1032"/>
      <c r="AG23" s="1032"/>
    </row>
    <row r="24" spans="1:33">
      <c r="B24" t="s">
        <v>862</v>
      </c>
      <c r="C24">
        <v>31.04</v>
      </c>
      <c r="D24">
        <v>32.54</v>
      </c>
      <c r="E24">
        <v>31.48</v>
      </c>
      <c r="F24">
        <v>31.79</v>
      </c>
      <c r="G24">
        <v>31.57</v>
      </c>
      <c r="H24">
        <v>32.18</v>
      </c>
      <c r="I24">
        <v>33.04</v>
      </c>
      <c r="J24">
        <v>32.82</v>
      </c>
      <c r="K24">
        <v>34.020000000000003</v>
      </c>
      <c r="L24">
        <v>34.130000000000003</v>
      </c>
      <c r="M24">
        <v>33.549999999999997</v>
      </c>
      <c r="N24">
        <v>31.75</v>
      </c>
      <c r="O24" s="1032">
        <v>32.04</v>
      </c>
      <c r="P24" s="775">
        <f t="shared" si="0"/>
        <v>389.90999999999997</v>
      </c>
      <c r="AG24" s="1032"/>
    </row>
    <row r="25" spans="1:33">
      <c r="B25" t="s">
        <v>863</v>
      </c>
      <c r="C25">
        <v>24.74</v>
      </c>
      <c r="D25">
        <v>22.29</v>
      </c>
      <c r="E25">
        <v>21.76</v>
      </c>
      <c r="F25">
        <v>21.13</v>
      </c>
      <c r="G25">
        <v>22.74</v>
      </c>
      <c r="H25">
        <v>23.15</v>
      </c>
      <c r="I25">
        <v>23.71</v>
      </c>
      <c r="J25">
        <v>21.64</v>
      </c>
      <c r="K25">
        <v>22.84</v>
      </c>
      <c r="L25">
        <v>21.79</v>
      </c>
      <c r="M25">
        <v>20.56</v>
      </c>
      <c r="N25">
        <v>18.88</v>
      </c>
      <c r="O25" s="1032">
        <v>18.22</v>
      </c>
      <c r="P25" s="775">
        <f t="shared" si="0"/>
        <v>265.23</v>
      </c>
      <c r="AG25" s="1032"/>
    </row>
    <row r="26" spans="1:33">
      <c r="B26" t="s">
        <v>864</v>
      </c>
      <c r="C26">
        <v>55.78</v>
      </c>
      <c r="D26">
        <v>54.83</v>
      </c>
      <c r="E26">
        <v>53.24</v>
      </c>
      <c r="F26">
        <v>52.92</v>
      </c>
      <c r="G26">
        <v>54.3</v>
      </c>
      <c r="H26">
        <v>55.33</v>
      </c>
      <c r="I26">
        <v>56.75</v>
      </c>
      <c r="J26">
        <v>54.45</v>
      </c>
      <c r="K26">
        <v>56.86</v>
      </c>
      <c r="L26">
        <v>55.92</v>
      </c>
      <c r="M26">
        <v>54.12</v>
      </c>
      <c r="N26">
        <v>50.63</v>
      </c>
      <c r="O26" s="1032">
        <v>50.26</v>
      </c>
      <c r="P26" s="775">
        <f t="shared" si="0"/>
        <v>655.13</v>
      </c>
      <c r="AG26" s="1032"/>
    </row>
    <row r="27" spans="1:33">
      <c r="B27" t="s">
        <v>865</v>
      </c>
      <c r="C27">
        <v>0</v>
      </c>
      <c r="D27">
        <v>0</v>
      </c>
      <c r="E27">
        <v>0</v>
      </c>
      <c r="F27">
        <v>0</v>
      </c>
      <c r="G27">
        <v>0</v>
      </c>
      <c r="H27">
        <v>0</v>
      </c>
      <c r="I27">
        <v>0</v>
      </c>
      <c r="J27">
        <v>0</v>
      </c>
      <c r="K27">
        <v>0</v>
      </c>
      <c r="L27">
        <v>0</v>
      </c>
      <c r="M27">
        <v>0</v>
      </c>
      <c r="N27">
        <v>0</v>
      </c>
      <c r="O27" s="1032">
        <v>0</v>
      </c>
      <c r="P27" s="775">
        <f t="shared" si="0"/>
        <v>0</v>
      </c>
      <c r="AG27" s="1032"/>
    </row>
    <row r="28" spans="1:33">
      <c r="B28" t="s">
        <v>866</v>
      </c>
      <c r="C28">
        <v>5.58</v>
      </c>
      <c r="D28">
        <v>6.09</v>
      </c>
      <c r="E28">
        <v>5.92</v>
      </c>
      <c r="F28">
        <v>5.88</v>
      </c>
      <c r="G28">
        <v>6.03</v>
      </c>
      <c r="H28">
        <v>6.15</v>
      </c>
      <c r="I28">
        <v>6.31</v>
      </c>
      <c r="J28">
        <v>6.05</v>
      </c>
      <c r="K28">
        <v>6.32</v>
      </c>
      <c r="L28">
        <v>6.21</v>
      </c>
      <c r="M28">
        <v>6.01</v>
      </c>
      <c r="N28">
        <v>5.63</v>
      </c>
      <c r="O28" s="1032">
        <v>5.58</v>
      </c>
      <c r="P28" s="775">
        <f t="shared" si="0"/>
        <v>72.179999999999993</v>
      </c>
      <c r="AG28" s="1032"/>
    </row>
    <row r="29" spans="1:33">
      <c r="B29" t="s">
        <v>867</v>
      </c>
      <c r="C29">
        <v>96.09</v>
      </c>
      <c r="D29">
        <v>98.73</v>
      </c>
      <c r="E29">
        <v>95.07</v>
      </c>
      <c r="F29">
        <v>86.34</v>
      </c>
      <c r="G29">
        <v>94.78</v>
      </c>
      <c r="H29">
        <v>95.46</v>
      </c>
      <c r="I29">
        <v>97.55</v>
      </c>
      <c r="J29">
        <v>100.96</v>
      </c>
      <c r="K29">
        <v>100.55</v>
      </c>
      <c r="L29">
        <v>98.91</v>
      </c>
      <c r="M29">
        <v>97.6</v>
      </c>
      <c r="N29">
        <v>94.54</v>
      </c>
      <c r="O29" s="1032">
        <v>93.44</v>
      </c>
      <c r="P29" s="775">
        <f t="shared" si="0"/>
        <v>1156.58</v>
      </c>
      <c r="AG29" s="1032"/>
    </row>
    <row r="30" spans="1:33">
      <c r="B30" t="s">
        <v>868</v>
      </c>
      <c r="C30">
        <v>27.13</v>
      </c>
      <c r="D30">
        <v>27.33</v>
      </c>
      <c r="E30">
        <v>25.08</v>
      </c>
      <c r="F30">
        <v>27.26</v>
      </c>
      <c r="G30">
        <v>26.3</v>
      </c>
      <c r="H30">
        <v>27.81</v>
      </c>
      <c r="I30">
        <v>28.06</v>
      </c>
      <c r="J30">
        <v>30.18</v>
      </c>
      <c r="K30">
        <v>29.51</v>
      </c>
      <c r="L30">
        <v>28.87</v>
      </c>
      <c r="M30">
        <v>29.03</v>
      </c>
      <c r="N30">
        <v>27.47</v>
      </c>
      <c r="O30" s="1032">
        <v>28.87</v>
      </c>
      <c r="P30" s="775">
        <f t="shared" si="0"/>
        <v>334.03</v>
      </c>
      <c r="AG30" s="1032"/>
    </row>
    <row r="31" spans="1:33">
      <c r="B31" t="s">
        <v>869</v>
      </c>
      <c r="C31">
        <v>89.34</v>
      </c>
      <c r="D31">
        <v>90.23</v>
      </c>
      <c r="E31">
        <v>84.36</v>
      </c>
      <c r="F31">
        <v>76.14</v>
      </c>
      <c r="G31">
        <v>85.78</v>
      </c>
      <c r="H31">
        <v>88.02</v>
      </c>
      <c r="I31">
        <v>92.26</v>
      </c>
      <c r="J31">
        <v>91.63</v>
      </c>
      <c r="K31">
        <v>95.29</v>
      </c>
      <c r="L31">
        <v>92.18</v>
      </c>
      <c r="M31">
        <v>88.03</v>
      </c>
      <c r="N31">
        <v>79.77</v>
      </c>
      <c r="O31" s="1032">
        <v>78.27</v>
      </c>
      <c r="P31" s="775">
        <f t="shared" si="0"/>
        <v>1053.03</v>
      </c>
      <c r="AG31" s="1032"/>
    </row>
    <row r="32" spans="1:33">
      <c r="B32" t="s">
        <v>870</v>
      </c>
      <c r="C32">
        <v>8.93</v>
      </c>
      <c r="D32">
        <v>10.029999999999999</v>
      </c>
      <c r="E32">
        <v>9.3699999999999992</v>
      </c>
      <c r="F32">
        <v>8.4600000000000009</v>
      </c>
      <c r="G32">
        <v>9.5299999999999994</v>
      </c>
      <c r="H32">
        <v>9.7799999999999994</v>
      </c>
      <c r="I32">
        <v>10.25</v>
      </c>
      <c r="J32">
        <v>10.18</v>
      </c>
      <c r="K32">
        <v>10.59</v>
      </c>
      <c r="L32">
        <v>10.24</v>
      </c>
      <c r="M32">
        <v>9.7799999999999994</v>
      </c>
      <c r="N32">
        <v>8.86</v>
      </c>
      <c r="O32" s="1032">
        <v>8.6999999999999993</v>
      </c>
      <c r="P32" s="775">
        <f t="shared" si="0"/>
        <v>116</v>
      </c>
      <c r="AG32" s="1032"/>
    </row>
    <row r="33" spans="1:33">
      <c r="O33" s="1032"/>
      <c r="AG33" s="1032"/>
    </row>
    <row r="34" spans="1:33">
      <c r="B34" t="s">
        <v>761</v>
      </c>
      <c r="O34" s="1032"/>
      <c r="AG34" s="1032"/>
    </row>
    <row r="35" spans="1:33">
      <c r="B35" t="s">
        <v>871</v>
      </c>
      <c r="C35">
        <v>509.41</v>
      </c>
      <c r="D35">
        <v>496.33</v>
      </c>
      <c r="E35">
        <v>514.73</v>
      </c>
      <c r="F35">
        <v>497.8</v>
      </c>
      <c r="G35">
        <v>489.53</v>
      </c>
      <c r="H35">
        <v>506.91</v>
      </c>
      <c r="I35">
        <v>500.06</v>
      </c>
      <c r="J35">
        <v>500.44</v>
      </c>
      <c r="K35">
        <v>487.62</v>
      </c>
      <c r="L35">
        <v>490.07</v>
      </c>
      <c r="M35">
        <v>509.2</v>
      </c>
      <c r="N35">
        <v>518.20000000000005</v>
      </c>
      <c r="O35" s="1032">
        <v>521.36</v>
      </c>
      <c r="P35" s="775">
        <f t="shared" si="0"/>
        <v>6020.2999999999993</v>
      </c>
      <c r="AG35" s="1032"/>
    </row>
    <row r="36" spans="1:33">
      <c r="B36" t="s">
        <v>872</v>
      </c>
      <c r="C36">
        <v>490.58</v>
      </c>
      <c r="D36">
        <v>477.48</v>
      </c>
      <c r="E36">
        <v>495.4</v>
      </c>
      <c r="F36">
        <v>480.51</v>
      </c>
      <c r="G36">
        <v>469.2</v>
      </c>
      <c r="H36">
        <v>486.14</v>
      </c>
      <c r="I36">
        <v>479.99</v>
      </c>
      <c r="J36">
        <v>482.73</v>
      </c>
      <c r="K36">
        <v>470.62</v>
      </c>
      <c r="L36">
        <v>472.93</v>
      </c>
      <c r="M36">
        <v>492.1</v>
      </c>
      <c r="N36">
        <v>501.65</v>
      </c>
      <c r="O36" s="1032">
        <v>503.96</v>
      </c>
      <c r="P36" s="775">
        <f t="shared" si="0"/>
        <v>5799.3300000000008</v>
      </c>
      <c r="AG36" s="1032"/>
    </row>
    <row r="37" spans="1:33">
      <c r="B37" t="s">
        <v>873</v>
      </c>
      <c r="C37">
        <v>492.04</v>
      </c>
      <c r="D37">
        <v>485.68</v>
      </c>
      <c r="E37">
        <v>497.3</v>
      </c>
      <c r="F37">
        <v>480.56</v>
      </c>
      <c r="G37">
        <v>477.21</v>
      </c>
      <c r="H37">
        <v>483.16</v>
      </c>
      <c r="I37">
        <v>487.52</v>
      </c>
      <c r="J37">
        <v>489.59</v>
      </c>
      <c r="K37">
        <v>483.59</v>
      </c>
      <c r="L37">
        <v>480.94</v>
      </c>
      <c r="M37">
        <v>488.6</v>
      </c>
      <c r="N37">
        <v>504.55</v>
      </c>
      <c r="O37" s="1032">
        <v>503.18</v>
      </c>
      <c r="P37" s="775">
        <f t="shared" si="0"/>
        <v>5850.74</v>
      </c>
      <c r="AG37" s="1032"/>
    </row>
    <row r="38" spans="1:33">
      <c r="B38" t="s">
        <v>874</v>
      </c>
      <c r="C38">
        <v>475.61</v>
      </c>
      <c r="D38">
        <v>446.63</v>
      </c>
      <c r="E38">
        <v>481.77</v>
      </c>
      <c r="F38">
        <v>471.63</v>
      </c>
      <c r="G38">
        <v>437.01</v>
      </c>
      <c r="H38">
        <v>486.06</v>
      </c>
      <c r="I38">
        <v>453.25</v>
      </c>
      <c r="J38">
        <v>455.64</v>
      </c>
      <c r="K38">
        <v>427.49</v>
      </c>
      <c r="L38">
        <v>442.9</v>
      </c>
      <c r="M38">
        <v>492.1</v>
      </c>
      <c r="N38">
        <v>483.42</v>
      </c>
      <c r="O38" s="1032">
        <v>497.67</v>
      </c>
      <c r="P38" s="775">
        <f t="shared" si="0"/>
        <v>5553.5099999999993</v>
      </c>
      <c r="AG38" s="1032"/>
    </row>
    <row r="39" spans="1:33">
      <c r="B39" t="s">
        <v>875</v>
      </c>
      <c r="C39">
        <v>0.13</v>
      </c>
      <c r="D39">
        <v>0.13</v>
      </c>
      <c r="E39">
        <v>0.14000000000000001</v>
      </c>
      <c r="F39">
        <v>0.11</v>
      </c>
      <c r="G39">
        <v>0.11</v>
      </c>
      <c r="H39">
        <v>0.11</v>
      </c>
      <c r="I39">
        <v>0.11</v>
      </c>
      <c r="J39">
        <v>0.12</v>
      </c>
      <c r="K39">
        <v>0.11</v>
      </c>
      <c r="L39">
        <v>0.1</v>
      </c>
      <c r="M39">
        <v>0.12</v>
      </c>
      <c r="N39">
        <v>0.11</v>
      </c>
      <c r="O39" s="1032">
        <v>0.12</v>
      </c>
      <c r="P39" s="775">
        <f t="shared" si="0"/>
        <v>1.4000000000000001</v>
      </c>
      <c r="AG39" s="1032"/>
    </row>
    <row r="40" spans="1:33">
      <c r="B40" t="s">
        <v>876</v>
      </c>
      <c r="C40">
        <v>5.64</v>
      </c>
      <c r="D40">
        <v>6.51</v>
      </c>
      <c r="E40">
        <v>6.87</v>
      </c>
      <c r="F40">
        <v>6.23</v>
      </c>
      <c r="G40">
        <v>6.82</v>
      </c>
      <c r="H40">
        <v>7.19</v>
      </c>
      <c r="I40">
        <v>6.17</v>
      </c>
      <c r="J40">
        <v>7.63</v>
      </c>
      <c r="K40">
        <v>6.67</v>
      </c>
      <c r="L40">
        <v>6.42</v>
      </c>
      <c r="M40">
        <v>7.94</v>
      </c>
      <c r="N40">
        <v>7.1</v>
      </c>
      <c r="O40" s="1032">
        <v>6.86</v>
      </c>
      <c r="P40" s="775">
        <f t="shared" si="0"/>
        <v>81.19</v>
      </c>
      <c r="AG40" s="1032"/>
    </row>
    <row r="41" spans="1:33">
      <c r="B41" t="s">
        <v>877</v>
      </c>
      <c r="C41">
        <v>1.84</v>
      </c>
      <c r="D41">
        <v>1.84</v>
      </c>
      <c r="E41">
        <v>1.88</v>
      </c>
      <c r="F41">
        <v>1.75</v>
      </c>
      <c r="G41">
        <v>1.86</v>
      </c>
      <c r="H41">
        <v>1.95</v>
      </c>
      <c r="I41">
        <v>1.88</v>
      </c>
      <c r="J41">
        <v>2.17</v>
      </c>
      <c r="K41">
        <v>1.92</v>
      </c>
      <c r="L41">
        <v>1.86</v>
      </c>
      <c r="M41">
        <v>2.2400000000000002</v>
      </c>
      <c r="N41">
        <v>1.94</v>
      </c>
      <c r="O41" s="1032">
        <v>1.83</v>
      </c>
      <c r="P41" s="775">
        <f t="shared" si="0"/>
        <v>23.13</v>
      </c>
      <c r="AG41" s="1032"/>
    </row>
    <row r="42" spans="1:33">
      <c r="B42" t="s">
        <v>878</v>
      </c>
      <c r="C42">
        <v>0.62</v>
      </c>
      <c r="D42">
        <v>0.35</v>
      </c>
      <c r="E42">
        <v>0.46</v>
      </c>
      <c r="F42">
        <v>0.56999999999999995</v>
      </c>
      <c r="G42">
        <v>0.43</v>
      </c>
      <c r="H42">
        <v>0.54</v>
      </c>
      <c r="I42">
        <v>0.35</v>
      </c>
      <c r="J42">
        <v>0.39</v>
      </c>
      <c r="K42">
        <v>0.36</v>
      </c>
      <c r="L42">
        <v>0.35</v>
      </c>
      <c r="M42">
        <v>0.32</v>
      </c>
      <c r="N42">
        <v>0.32</v>
      </c>
      <c r="O42" s="1032">
        <v>0.28999999999999998</v>
      </c>
      <c r="P42" s="775">
        <f t="shared" si="0"/>
        <v>5.0600000000000005</v>
      </c>
      <c r="AG42" s="1032"/>
    </row>
    <row r="43" spans="1:33">
      <c r="B43" t="s">
        <v>879</v>
      </c>
      <c r="C43">
        <v>23.71</v>
      </c>
      <c r="D43">
        <v>21.95</v>
      </c>
      <c r="E43">
        <v>19.46</v>
      </c>
      <c r="F43">
        <v>18.38</v>
      </c>
      <c r="G43">
        <v>22.13</v>
      </c>
      <c r="H43">
        <v>22.89</v>
      </c>
      <c r="I43">
        <v>21.93</v>
      </c>
      <c r="J43">
        <v>23.52</v>
      </c>
      <c r="K43">
        <v>17.399999999999999</v>
      </c>
      <c r="L43">
        <v>20.149999999999999</v>
      </c>
      <c r="M43">
        <v>20.11</v>
      </c>
      <c r="N43">
        <v>23.18</v>
      </c>
      <c r="O43" s="1032">
        <v>22.95</v>
      </c>
      <c r="P43" s="775">
        <f t="shared" si="0"/>
        <v>254.81</v>
      </c>
      <c r="AG43" s="1032"/>
    </row>
    <row r="44" spans="1:33">
      <c r="B44" t="s">
        <v>880</v>
      </c>
      <c r="C44">
        <v>7.8</v>
      </c>
      <c r="D44">
        <v>6.16</v>
      </c>
      <c r="E44">
        <v>5.37</v>
      </c>
      <c r="F44">
        <v>5.35</v>
      </c>
      <c r="G44">
        <v>6.09</v>
      </c>
      <c r="H44">
        <v>6.35</v>
      </c>
      <c r="I44">
        <v>6.67</v>
      </c>
      <c r="J44">
        <v>6.72</v>
      </c>
      <c r="K44">
        <v>5.08</v>
      </c>
      <c r="L44">
        <v>5.87</v>
      </c>
      <c r="M44">
        <v>5.69</v>
      </c>
      <c r="N44">
        <v>6.29</v>
      </c>
      <c r="O44" s="1032">
        <v>6.05</v>
      </c>
      <c r="P44" s="775">
        <f t="shared" si="0"/>
        <v>73.44</v>
      </c>
      <c r="AG44" s="1032"/>
    </row>
    <row r="45" spans="1:33">
      <c r="B45" t="s">
        <v>881</v>
      </c>
      <c r="C45">
        <v>215.71</v>
      </c>
      <c r="D45">
        <v>220.58</v>
      </c>
      <c r="E45">
        <v>226.86</v>
      </c>
      <c r="F45">
        <v>209.9</v>
      </c>
      <c r="G45">
        <v>203.42</v>
      </c>
      <c r="H45">
        <v>213.97</v>
      </c>
      <c r="I45">
        <v>197.23</v>
      </c>
      <c r="J45">
        <v>204.72</v>
      </c>
      <c r="K45">
        <v>200.81</v>
      </c>
      <c r="L45">
        <v>187.76</v>
      </c>
      <c r="M45">
        <v>206.73</v>
      </c>
      <c r="N45">
        <v>207.78</v>
      </c>
      <c r="O45" s="1032">
        <v>199.91</v>
      </c>
      <c r="P45" s="775">
        <f t="shared" si="0"/>
        <v>2495.4700000000003</v>
      </c>
      <c r="AG45" s="1032"/>
    </row>
    <row r="46" spans="1:33">
      <c r="O46" s="1032"/>
      <c r="AG46" s="1032"/>
    </row>
    <row r="47" spans="1:33">
      <c r="B47" t="s">
        <v>762</v>
      </c>
      <c r="O47" s="1032"/>
      <c r="AG47" s="1032"/>
    </row>
    <row r="48" spans="1:33">
      <c r="A48">
        <v>10300</v>
      </c>
      <c r="B48" t="s">
        <v>882</v>
      </c>
      <c r="C48">
        <v>2165</v>
      </c>
      <c r="D48">
        <v>2111</v>
      </c>
      <c r="E48">
        <v>1921</v>
      </c>
      <c r="F48">
        <v>2217</v>
      </c>
      <c r="G48">
        <v>2125</v>
      </c>
      <c r="H48">
        <v>2165</v>
      </c>
      <c r="I48">
        <v>2391</v>
      </c>
      <c r="J48">
        <v>2198</v>
      </c>
      <c r="K48">
        <v>2374</v>
      </c>
      <c r="L48">
        <v>2460</v>
      </c>
      <c r="M48">
        <v>2221</v>
      </c>
      <c r="N48">
        <v>2325</v>
      </c>
      <c r="O48" s="1032">
        <v>2187</v>
      </c>
      <c r="P48" s="775">
        <f t="shared" si="0"/>
        <v>26673</v>
      </c>
      <c r="AG48" s="1032"/>
    </row>
    <row r="49" spans="1:33">
      <c r="B49" t="s">
        <v>883</v>
      </c>
      <c r="C49">
        <v>94.12</v>
      </c>
      <c r="D49">
        <v>94.87</v>
      </c>
      <c r="E49">
        <v>91.48</v>
      </c>
      <c r="F49">
        <v>92.38</v>
      </c>
      <c r="G49">
        <v>92.37</v>
      </c>
      <c r="H49">
        <v>97.3</v>
      </c>
      <c r="I49">
        <v>99.62</v>
      </c>
      <c r="J49">
        <v>99.93</v>
      </c>
      <c r="K49">
        <v>102.12</v>
      </c>
      <c r="L49">
        <v>102.5</v>
      </c>
      <c r="M49">
        <v>104.49</v>
      </c>
      <c r="N49">
        <v>96.86</v>
      </c>
      <c r="O49" s="1032">
        <v>95.07</v>
      </c>
      <c r="P49" s="775">
        <f t="shared" si="0"/>
        <v>1168.0399999999997</v>
      </c>
      <c r="AG49" s="1032"/>
    </row>
    <row r="50" spans="1:33">
      <c r="B50" t="s">
        <v>884</v>
      </c>
      <c r="C50">
        <v>9823.66</v>
      </c>
      <c r="D50">
        <v>9763.5499999999993</v>
      </c>
      <c r="E50">
        <v>9929.92</v>
      </c>
      <c r="F50">
        <v>9743.33</v>
      </c>
      <c r="G50">
        <v>10218.67</v>
      </c>
      <c r="H50">
        <v>10084.799999999999</v>
      </c>
      <c r="I50">
        <v>10700.75</v>
      </c>
      <c r="J50">
        <v>10460.870000000001</v>
      </c>
      <c r="K50">
        <v>10619.08</v>
      </c>
      <c r="L50">
        <v>10581.62</v>
      </c>
      <c r="M50">
        <v>10776.28</v>
      </c>
      <c r="N50">
        <v>10140.48</v>
      </c>
      <c r="O50" s="1032">
        <v>10113.200000000001</v>
      </c>
      <c r="P50" s="775">
        <f t="shared" si="0"/>
        <v>122843.00999999998</v>
      </c>
      <c r="AG50" s="1032"/>
    </row>
    <row r="51" spans="1:33">
      <c r="B51" t="s">
        <v>885</v>
      </c>
      <c r="C51">
        <v>104.36</v>
      </c>
      <c r="D51">
        <v>102.91</v>
      </c>
      <c r="E51">
        <v>108.55</v>
      </c>
      <c r="F51">
        <v>105.48</v>
      </c>
      <c r="G51">
        <v>110.6</v>
      </c>
      <c r="H51">
        <v>103.64</v>
      </c>
      <c r="I51">
        <v>107.41</v>
      </c>
      <c r="J51">
        <v>104.7</v>
      </c>
      <c r="K51">
        <v>104</v>
      </c>
      <c r="L51">
        <v>103.24</v>
      </c>
      <c r="M51">
        <v>103.1</v>
      </c>
      <c r="N51">
        <v>104.68</v>
      </c>
      <c r="O51" s="1032">
        <v>106.36</v>
      </c>
      <c r="P51" s="775">
        <f t="shared" si="0"/>
        <v>1262.6699999999998</v>
      </c>
      <c r="AG51" s="1032"/>
    </row>
    <row r="52" spans="1:33">
      <c r="B52" t="s">
        <v>886</v>
      </c>
      <c r="C52">
        <v>1</v>
      </c>
      <c r="D52">
        <v>1</v>
      </c>
      <c r="E52">
        <v>1</v>
      </c>
      <c r="F52">
        <v>1</v>
      </c>
      <c r="G52">
        <v>1</v>
      </c>
      <c r="H52">
        <v>1</v>
      </c>
      <c r="I52">
        <v>0.95</v>
      </c>
      <c r="J52">
        <v>1</v>
      </c>
      <c r="K52">
        <v>1</v>
      </c>
      <c r="L52">
        <v>1</v>
      </c>
      <c r="M52">
        <v>1</v>
      </c>
      <c r="N52">
        <v>1</v>
      </c>
      <c r="O52" s="1032">
        <v>1</v>
      </c>
      <c r="P52" s="775">
        <f t="shared" si="0"/>
        <v>11.95</v>
      </c>
      <c r="AG52" s="1032"/>
    </row>
    <row r="53" spans="1:33">
      <c r="A53">
        <v>10305</v>
      </c>
      <c r="B53" t="s">
        <v>887</v>
      </c>
      <c r="C53">
        <v>0</v>
      </c>
      <c r="D53">
        <v>0</v>
      </c>
      <c r="E53">
        <v>0</v>
      </c>
      <c r="F53">
        <v>0</v>
      </c>
      <c r="G53">
        <v>0</v>
      </c>
      <c r="H53">
        <v>0</v>
      </c>
      <c r="I53">
        <v>113</v>
      </c>
      <c r="J53">
        <v>0</v>
      </c>
      <c r="K53">
        <v>0</v>
      </c>
      <c r="L53">
        <v>0</v>
      </c>
      <c r="M53">
        <v>0</v>
      </c>
      <c r="N53">
        <v>0</v>
      </c>
      <c r="O53" s="1032">
        <v>0</v>
      </c>
      <c r="P53" s="775">
        <f t="shared" si="0"/>
        <v>113</v>
      </c>
      <c r="AG53" s="1032"/>
    </row>
    <row r="54" spans="1:33">
      <c r="B54" t="s">
        <v>888</v>
      </c>
      <c r="C54">
        <v>0.02</v>
      </c>
      <c r="D54">
        <v>0.02</v>
      </c>
      <c r="E54">
        <v>0</v>
      </c>
      <c r="F54">
        <v>0</v>
      </c>
      <c r="G54">
        <v>0</v>
      </c>
      <c r="H54">
        <v>0</v>
      </c>
      <c r="I54">
        <v>4.71</v>
      </c>
      <c r="J54">
        <v>0</v>
      </c>
      <c r="K54">
        <v>0</v>
      </c>
      <c r="L54">
        <v>0</v>
      </c>
      <c r="M54">
        <v>0</v>
      </c>
      <c r="N54">
        <v>0</v>
      </c>
      <c r="O54" s="1032">
        <v>0</v>
      </c>
      <c r="P54" s="775">
        <f t="shared" si="0"/>
        <v>4.75</v>
      </c>
      <c r="AG54" s="1032"/>
    </row>
    <row r="55" spans="1:33">
      <c r="B55" t="s">
        <v>889</v>
      </c>
      <c r="C55">
        <v>0</v>
      </c>
      <c r="D55">
        <v>0</v>
      </c>
      <c r="E55">
        <v>0</v>
      </c>
      <c r="F55">
        <v>0</v>
      </c>
      <c r="G55">
        <v>0</v>
      </c>
      <c r="H55">
        <v>0</v>
      </c>
      <c r="I55">
        <v>0</v>
      </c>
      <c r="J55">
        <v>0</v>
      </c>
      <c r="K55">
        <v>0</v>
      </c>
      <c r="L55">
        <v>0</v>
      </c>
      <c r="M55">
        <v>0</v>
      </c>
      <c r="N55">
        <v>0</v>
      </c>
      <c r="O55" s="1032">
        <v>0</v>
      </c>
      <c r="P55" s="775">
        <f t="shared" si="0"/>
        <v>0</v>
      </c>
      <c r="AG55" s="1032"/>
    </row>
    <row r="56" spans="1:33">
      <c r="B56" t="s">
        <v>890</v>
      </c>
      <c r="C56">
        <v>0</v>
      </c>
      <c r="D56">
        <v>0</v>
      </c>
      <c r="E56">
        <v>0</v>
      </c>
      <c r="F56">
        <v>0</v>
      </c>
      <c r="G56">
        <v>0</v>
      </c>
      <c r="H56">
        <v>0</v>
      </c>
      <c r="I56">
        <v>0</v>
      </c>
      <c r="J56">
        <v>0</v>
      </c>
      <c r="K56">
        <v>0</v>
      </c>
      <c r="L56">
        <v>0</v>
      </c>
      <c r="M56">
        <v>0</v>
      </c>
      <c r="N56">
        <v>0</v>
      </c>
      <c r="O56" s="1032">
        <v>0</v>
      </c>
      <c r="P56" s="775">
        <f t="shared" si="0"/>
        <v>0</v>
      </c>
      <c r="AG56" s="1032"/>
    </row>
    <row r="57" spans="1:33">
      <c r="B57" t="s">
        <v>891</v>
      </c>
      <c r="C57">
        <v>0</v>
      </c>
      <c r="D57">
        <v>0</v>
      </c>
      <c r="E57">
        <v>0</v>
      </c>
      <c r="F57">
        <v>0</v>
      </c>
      <c r="G57">
        <v>0</v>
      </c>
      <c r="H57">
        <v>0</v>
      </c>
      <c r="I57">
        <v>0.05</v>
      </c>
      <c r="J57">
        <v>0</v>
      </c>
      <c r="K57">
        <v>0</v>
      </c>
      <c r="L57">
        <v>0</v>
      </c>
      <c r="M57">
        <v>0</v>
      </c>
      <c r="N57">
        <v>0</v>
      </c>
      <c r="O57" s="1032">
        <v>0</v>
      </c>
      <c r="P57" s="775">
        <f t="shared" si="0"/>
        <v>0.05</v>
      </c>
      <c r="AG57" s="1032"/>
    </row>
    <row r="58" spans="1:33">
      <c r="B58" t="s">
        <v>892</v>
      </c>
      <c r="C58">
        <v>2165</v>
      </c>
      <c r="D58">
        <v>2111</v>
      </c>
      <c r="E58">
        <v>1921</v>
      </c>
      <c r="F58">
        <v>2217</v>
      </c>
      <c r="G58">
        <v>2125</v>
      </c>
      <c r="H58">
        <v>2165</v>
      </c>
      <c r="I58">
        <v>2504</v>
      </c>
      <c r="J58">
        <v>2198</v>
      </c>
      <c r="K58">
        <v>2374</v>
      </c>
      <c r="L58">
        <v>2460</v>
      </c>
      <c r="M58">
        <v>2221</v>
      </c>
      <c r="N58">
        <v>2325</v>
      </c>
      <c r="O58" s="1032">
        <v>2187</v>
      </c>
      <c r="P58" s="775">
        <f t="shared" si="0"/>
        <v>26786</v>
      </c>
      <c r="AG58" s="1032"/>
    </row>
    <row r="59" spans="1:33">
      <c r="B59" t="s">
        <v>893</v>
      </c>
      <c r="C59">
        <v>94.14</v>
      </c>
      <c r="D59">
        <v>94.89</v>
      </c>
      <c r="E59">
        <v>91.47</v>
      </c>
      <c r="F59">
        <v>92.38</v>
      </c>
      <c r="G59">
        <v>92.37</v>
      </c>
      <c r="H59">
        <v>97.3</v>
      </c>
      <c r="I59">
        <v>104.33</v>
      </c>
      <c r="J59">
        <v>99.93</v>
      </c>
      <c r="K59">
        <v>102.12</v>
      </c>
      <c r="L59">
        <v>102.5</v>
      </c>
      <c r="M59">
        <v>104.49</v>
      </c>
      <c r="N59">
        <v>96.86</v>
      </c>
      <c r="O59" s="1032">
        <v>95.07</v>
      </c>
      <c r="P59" s="775">
        <f t="shared" si="0"/>
        <v>1172.7799999999997</v>
      </c>
      <c r="AG59" s="1032"/>
    </row>
    <row r="60" spans="1:33">
      <c r="B60" t="s">
        <v>894</v>
      </c>
      <c r="C60">
        <v>9823.66</v>
      </c>
      <c r="D60">
        <v>9763.5499999999993</v>
      </c>
      <c r="E60">
        <v>9929.92</v>
      </c>
      <c r="F60">
        <v>9743.33</v>
      </c>
      <c r="G60">
        <v>10218.67</v>
      </c>
      <c r="H60">
        <v>10084.799999999999</v>
      </c>
      <c r="I60">
        <v>10700.75</v>
      </c>
      <c r="J60">
        <v>10460.870000000001</v>
      </c>
      <c r="K60">
        <v>10619.08</v>
      </c>
      <c r="L60">
        <v>10581.62</v>
      </c>
      <c r="M60">
        <v>10776.28</v>
      </c>
      <c r="N60">
        <v>10140.48</v>
      </c>
      <c r="O60" s="1032">
        <v>10113.200000000001</v>
      </c>
      <c r="P60" s="775">
        <f t="shared" si="0"/>
        <v>122843.00999999998</v>
      </c>
      <c r="AG60" s="1032"/>
    </row>
    <row r="61" spans="1:33">
      <c r="B61" t="s">
        <v>895</v>
      </c>
      <c r="C61">
        <v>104.36</v>
      </c>
      <c r="D61">
        <v>102.91</v>
      </c>
      <c r="E61">
        <v>108.55</v>
      </c>
      <c r="F61">
        <v>105.48</v>
      </c>
      <c r="G61">
        <v>110.6</v>
      </c>
      <c r="H61">
        <v>103.64</v>
      </c>
      <c r="I61">
        <v>102.56</v>
      </c>
      <c r="J61">
        <v>104.7</v>
      </c>
      <c r="K61">
        <v>104</v>
      </c>
      <c r="L61">
        <v>103.24</v>
      </c>
      <c r="M61">
        <v>103.1</v>
      </c>
      <c r="N61">
        <v>104.68</v>
      </c>
      <c r="O61" s="1032">
        <v>106.36</v>
      </c>
      <c r="P61" s="775">
        <f t="shared" si="0"/>
        <v>1257.82</v>
      </c>
      <c r="AG61" s="1032"/>
    </row>
    <row r="62" spans="1:33">
      <c r="B62" t="s">
        <v>896</v>
      </c>
      <c r="C62">
        <v>0.35</v>
      </c>
      <c r="D62">
        <v>0.36</v>
      </c>
      <c r="E62">
        <v>0.36</v>
      </c>
      <c r="F62">
        <v>0.37</v>
      </c>
      <c r="G62">
        <v>0.38</v>
      </c>
      <c r="H62">
        <v>0.36</v>
      </c>
      <c r="I62">
        <v>0.38</v>
      </c>
      <c r="J62">
        <v>0.38</v>
      </c>
      <c r="K62">
        <v>0.38</v>
      </c>
      <c r="L62">
        <v>0.39</v>
      </c>
      <c r="M62">
        <v>0.39</v>
      </c>
      <c r="N62">
        <v>0.39</v>
      </c>
      <c r="O62" s="1032">
        <v>0.39</v>
      </c>
      <c r="P62" s="775">
        <f t="shared" si="0"/>
        <v>4.4899999999999993</v>
      </c>
      <c r="AG62" s="1032"/>
    </row>
    <row r="63" spans="1:33">
      <c r="B63" t="s">
        <v>897</v>
      </c>
      <c r="C63">
        <v>3.03</v>
      </c>
      <c r="D63">
        <v>2.92</v>
      </c>
      <c r="E63">
        <v>2.91</v>
      </c>
      <c r="F63">
        <v>2.91</v>
      </c>
      <c r="G63">
        <v>2.93</v>
      </c>
      <c r="H63">
        <v>3.02</v>
      </c>
      <c r="I63">
        <v>3.16</v>
      </c>
      <c r="J63">
        <v>3.04</v>
      </c>
      <c r="K63">
        <v>3</v>
      </c>
      <c r="L63">
        <v>3</v>
      </c>
      <c r="M63">
        <v>3.11</v>
      </c>
      <c r="N63">
        <v>3.05</v>
      </c>
      <c r="O63" s="1032">
        <v>2.97</v>
      </c>
      <c r="P63" s="775">
        <f t="shared" si="0"/>
        <v>36.08</v>
      </c>
      <c r="AG63" s="1032"/>
    </row>
    <row r="64" spans="1:33">
      <c r="B64" t="s">
        <v>898</v>
      </c>
      <c r="C64">
        <v>3.76</v>
      </c>
      <c r="D64">
        <v>3.88</v>
      </c>
      <c r="E64">
        <v>3.53</v>
      </c>
      <c r="F64">
        <v>3.87</v>
      </c>
      <c r="G64">
        <v>3.75</v>
      </c>
      <c r="H64">
        <v>4.3099999999999996</v>
      </c>
      <c r="I64">
        <v>5.37</v>
      </c>
      <c r="J64">
        <v>3.81</v>
      </c>
      <c r="K64">
        <v>3.75</v>
      </c>
      <c r="L64">
        <v>3.55</v>
      </c>
      <c r="M64">
        <v>3.8</v>
      </c>
      <c r="N64">
        <v>3.94</v>
      </c>
      <c r="O64" s="1032">
        <v>4.37</v>
      </c>
      <c r="P64" s="775">
        <f t="shared" si="0"/>
        <v>47.319999999999993</v>
      </c>
      <c r="AG64" s="1032"/>
    </row>
    <row r="65" spans="1:33">
      <c r="B65" t="s">
        <v>899</v>
      </c>
      <c r="C65">
        <v>3.35</v>
      </c>
      <c r="D65">
        <v>3.31</v>
      </c>
      <c r="E65">
        <v>3.16</v>
      </c>
      <c r="F65">
        <v>3.29</v>
      </c>
      <c r="G65">
        <v>3.27</v>
      </c>
      <c r="H65">
        <v>3.56</v>
      </c>
      <c r="I65">
        <v>4.08</v>
      </c>
      <c r="J65">
        <v>3.35</v>
      </c>
      <c r="K65">
        <v>3.3</v>
      </c>
      <c r="L65">
        <v>3.22</v>
      </c>
      <c r="M65">
        <v>3.37</v>
      </c>
      <c r="N65">
        <v>3.38</v>
      </c>
      <c r="O65" s="1032">
        <v>3.47</v>
      </c>
      <c r="P65" s="775">
        <f t="shared" si="0"/>
        <v>40.64</v>
      </c>
      <c r="AG65" s="1032"/>
    </row>
    <row r="66" spans="1:33">
      <c r="B66" t="s">
        <v>763</v>
      </c>
      <c r="O66" s="1032"/>
      <c r="AG66" s="1032"/>
    </row>
    <row r="67" spans="1:33">
      <c r="A67">
        <v>10310</v>
      </c>
      <c r="B67" t="s">
        <v>900</v>
      </c>
      <c r="C67">
        <v>1186</v>
      </c>
      <c r="D67">
        <v>1166</v>
      </c>
      <c r="E67">
        <v>1090</v>
      </c>
      <c r="F67">
        <v>1062</v>
      </c>
      <c r="G67">
        <v>957</v>
      </c>
      <c r="H67">
        <v>735</v>
      </c>
      <c r="I67">
        <v>890</v>
      </c>
      <c r="J67">
        <v>614</v>
      </c>
      <c r="K67">
        <v>669</v>
      </c>
      <c r="L67">
        <v>532</v>
      </c>
      <c r="M67">
        <v>393</v>
      </c>
      <c r="N67">
        <v>404</v>
      </c>
      <c r="O67" s="1032">
        <v>488</v>
      </c>
      <c r="P67" s="775">
        <f t="shared" si="0"/>
        <v>9698</v>
      </c>
      <c r="AG67" s="1032"/>
    </row>
    <row r="68" spans="1:33">
      <c r="B68" t="s">
        <v>901</v>
      </c>
      <c r="C68">
        <v>51.58</v>
      </c>
      <c r="D68">
        <v>52.42</v>
      </c>
      <c r="E68">
        <v>51.91</v>
      </c>
      <c r="F68">
        <v>44.26</v>
      </c>
      <c r="G68">
        <v>41.6</v>
      </c>
      <c r="H68">
        <v>33.04</v>
      </c>
      <c r="I68">
        <v>37.07</v>
      </c>
      <c r="J68">
        <v>27.93</v>
      </c>
      <c r="K68">
        <v>28.79</v>
      </c>
      <c r="L68">
        <v>22.18</v>
      </c>
      <c r="M68">
        <v>18.52</v>
      </c>
      <c r="N68">
        <v>16.82</v>
      </c>
      <c r="O68" s="1032">
        <v>21.21</v>
      </c>
      <c r="P68" s="775">
        <f t="shared" si="0"/>
        <v>426.12</v>
      </c>
      <c r="AG68" s="1032"/>
    </row>
    <row r="69" spans="1:33">
      <c r="B69" t="s">
        <v>902</v>
      </c>
      <c r="C69">
        <v>16.399999999999999</v>
      </c>
      <c r="D69">
        <v>0</v>
      </c>
      <c r="E69">
        <v>30.14</v>
      </c>
      <c r="F69">
        <v>0</v>
      </c>
      <c r="G69">
        <v>23.11</v>
      </c>
      <c r="H69">
        <v>33.61</v>
      </c>
      <c r="I69">
        <v>20.89</v>
      </c>
      <c r="J69">
        <v>-33.03</v>
      </c>
      <c r="K69">
        <v>0</v>
      </c>
      <c r="L69">
        <v>47.42</v>
      </c>
      <c r="M69">
        <v>25.35</v>
      </c>
      <c r="N69">
        <v>0</v>
      </c>
      <c r="O69" s="1032">
        <v>0</v>
      </c>
      <c r="P69" s="775">
        <f t="shared" si="0"/>
        <v>163.89000000000001</v>
      </c>
      <c r="AG69" s="1032"/>
    </row>
    <row r="70" spans="1:33">
      <c r="B70" t="s">
        <v>903</v>
      </c>
      <c r="C70">
        <v>0.32</v>
      </c>
      <c r="D70">
        <v>0</v>
      </c>
      <c r="E70">
        <v>0.57999999999999996</v>
      </c>
      <c r="F70">
        <v>0</v>
      </c>
      <c r="G70">
        <v>0.56000000000000005</v>
      </c>
      <c r="H70">
        <v>1.02</v>
      </c>
      <c r="I70">
        <v>0.56000000000000005</v>
      </c>
      <c r="J70">
        <v>-1.18</v>
      </c>
      <c r="K70">
        <v>0</v>
      </c>
      <c r="L70">
        <v>2.14</v>
      </c>
      <c r="M70">
        <v>1.37</v>
      </c>
      <c r="N70">
        <v>0</v>
      </c>
      <c r="O70" s="1032">
        <v>0</v>
      </c>
      <c r="P70" s="775">
        <f t="shared" si="0"/>
        <v>5.37</v>
      </c>
      <c r="AG70" s="1032"/>
    </row>
    <row r="71" spans="1:33">
      <c r="B71" t="s">
        <v>886</v>
      </c>
      <c r="C71">
        <v>0.55000000000000004</v>
      </c>
      <c r="D71">
        <v>0.61</v>
      </c>
      <c r="E71">
        <v>0.68</v>
      </c>
      <c r="F71">
        <v>0.54</v>
      </c>
      <c r="G71">
        <v>0.49</v>
      </c>
      <c r="H71">
        <v>0.33</v>
      </c>
      <c r="I71">
        <v>0.28999999999999998</v>
      </c>
      <c r="J71">
        <v>0.34</v>
      </c>
      <c r="K71">
        <v>0.34</v>
      </c>
      <c r="L71">
        <v>0.28999999999999998</v>
      </c>
      <c r="M71">
        <v>0.24</v>
      </c>
      <c r="N71">
        <v>0.23</v>
      </c>
      <c r="O71" s="1032">
        <v>0.27</v>
      </c>
      <c r="P71" s="775">
        <f t="shared" si="0"/>
        <v>4.9300000000000006</v>
      </c>
      <c r="AG71" s="1032"/>
    </row>
    <row r="72" spans="1:33">
      <c r="A72">
        <v>10330</v>
      </c>
      <c r="B72" t="s">
        <v>904</v>
      </c>
      <c r="C72">
        <v>951</v>
      </c>
      <c r="D72">
        <v>757</v>
      </c>
      <c r="E72">
        <v>521</v>
      </c>
      <c r="F72">
        <v>902</v>
      </c>
      <c r="G72">
        <v>1006</v>
      </c>
      <c r="H72">
        <v>1483</v>
      </c>
      <c r="I72">
        <v>2165</v>
      </c>
      <c r="J72">
        <v>1200</v>
      </c>
      <c r="K72">
        <v>1322</v>
      </c>
      <c r="L72">
        <v>1323</v>
      </c>
      <c r="M72">
        <v>1266</v>
      </c>
      <c r="N72">
        <v>1379</v>
      </c>
      <c r="O72" s="1032">
        <v>1342</v>
      </c>
      <c r="P72" s="775">
        <f t="shared" si="0"/>
        <v>14275</v>
      </c>
      <c r="AG72" s="1032"/>
    </row>
    <row r="73" spans="1:33">
      <c r="B73" t="s">
        <v>905</v>
      </c>
      <c r="C73">
        <v>41.36</v>
      </c>
      <c r="D73">
        <v>34.04</v>
      </c>
      <c r="E73">
        <v>24.82</v>
      </c>
      <c r="F73">
        <v>37.57</v>
      </c>
      <c r="G73">
        <v>43.73</v>
      </c>
      <c r="H73">
        <v>66.67</v>
      </c>
      <c r="I73">
        <v>90.19</v>
      </c>
      <c r="J73">
        <v>54.53</v>
      </c>
      <c r="K73">
        <v>56.86</v>
      </c>
      <c r="L73">
        <v>55.1</v>
      </c>
      <c r="M73">
        <v>59.56</v>
      </c>
      <c r="N73">
        <v>57.46</v>
      </c>
      <c r="O73" s="1032">
        <v>58.36</v>
      </c>
      <c r="P73" s="775">
        <f t="shared" ref="P73:P103" si="1">SUM(C73:N73)</f>
        <v>621.8900000000001</v>
      </c>
      <c r="AG73" s="1032"/>
    </row>
    <row r="74" spans="1:33">
      <c r="B74" t="s">
        <v>906</v>
      </c>
      <c r="C74">
        <v>598.53</v>
      </c>
      <c r="D74">
        <v>696.09</v>
      </c>
      <c r="E74">
        <v>712.66</v>
      </c>
      <c r="F74">
        <v>631.54999999999995</v>
      </c>
      <c r="G74">
        <v>749.98</v>
      </c>
      <c r="H74">
        <v>763.87</v>
      </c>
      <c r="I74">
        <v>739.84</v>
      </c>
      <c r="J74">
        <v>631.08000000000004</v>
      </c>
      <c r="K74">
        <v>677.66</v>
      </c>
      <c r="L74">
        <v>583.03</v>
      </c>
      <c r="M74">
        <v>592.08000000000004</v>
      </c>
      <c r="N74">
        <v>519.69000000000005</v>
      </c>
      <c r="O74" s="1032">
        <v>570.33000000000004</v>
      </c>
      <c r="P74" s="775">
        <f t="shared" si="1"/>
        <v>7896.0599999999995</v>
      </c>
      <c r="AG74" s="1032"/>
    </row>
    <row r="75" spans="1:33">
      <c r="B75" t="s">
        <v>907</v>
      </c>
      <c r="C75">
        <v>14.48</v>
      </c>
      <c r="D75">
        <v>20.46</v>
      </c>
      <c r="E75">
        <v>28.73</v>
      </c>
      <c r="F75">
        <v>16.8</v>
      </c>
      <c r="G75">
        <v>17.149999999999999</v>
      </c>
      <c r="H75">
        <v>11.46</v>
      </c>
      <c r="I75">
        <v>8.1999999999999993</v>
      </c>
      <c r="J75">
        <v>11.57</v>
      </c>
      <c r="K75">
        <v>11.92</v>
      </c>
      <c r="L75">
        <v>10.58</v>
      </c>
      <c r="M75">
        <v>9.94</v>
      </c>
      <c r="N75">
        <v>9.0399999999999991</v>
      </c>
      <c r="O75" s="1032">
        <v>9.77</v>
      </c>
      <c r="P75" s="775">
        <f t="shared" si="1"/>
        <v>170.33</v>
      </c>
      <c r="T75" t="s">
        <v>907</v>
      </c>
      <c r="U75">
        <v>14.48</v>
      </c>
      <c r="V75">
        <v>20.46</v>
      </c>
      <c r="W75">
        <v>28.73</v>
      </c>
      <c r="X75">
        <v>16.8</v>
      </c>
      <c r="Y75">
        <v>17.149999999999999</v>
      </c>
      <c r="Z75">
        <v>11.46</v>
      </c>
      <c r="AA75">
        <v>8.1999999999999993</v>
      </c>
      <c r="AB75">
        <v>11.57</v>
      </c>
      <c r="AC75">
        <v>11.92</v>
      </c>
      <c r="AD75">
        <v>10.58</v>
      </c>
      <c r="AE75">
        <v>9.94</v>
      </c>
      <c r="AF75">
        <v>9.0399999999999991</v>
      </c>
      <c r="AG75" s="1032">
        <v>9.77</v>
      </c>
    </row>
    <row r="76" spans="1:33">
      <c r="B76" t="s">
        <v>891</v>
      </c>
      <c r="C76">
        <v>0.44</v>
      </c>
      <c r="D76">
        <v>0.39</v>
      </c>
      <c r="E76">
        <v>0.32</v>
      </c>
      <c r="F76">
        <v>0.46</v>
      </c>
      <c r="G76">
        <v>0.51</v>
      </c>
      <c r="H76">
        <v>0.67</v>
      </c>
      <c r="I76">
        <v>0.71</v>
      </c>
      <c r="J76">
        <v>0.66</v>
      </c>
      <c r="K76">
        <v>0.66</v>
      </c>
      <c r="L76">
        <v>0.71</v>
      </c>
      <c r="M76">
        <v>0.76</v>
      </c>
      <c r="N76">
        <v>0.77</v>
      </c>
      <c r="O76" s="1032">
        <v>0.73</v>
      </c>
      <c r="P76" s="775">
        <f t="shared" si="1"/>
        <v>7.0600000000000005</v>
      </c>
      <c r="T76" t="s">
        <v>891</v>
      </c>
      <c r="U76">
        <v>0.44</v>
      </c>
      <c r="V76">
        <v>0.39</v>
      </c>
      <c r="W76">
        <v>0.32</v>
      </c>
      <c r="X76">
        <v>0.46</v>
      </c>
      <c r="Y76">
        <v>0.51</v>
      </c>
      <c r="Z76">
        <v>0.67</v>
      </c>
      <c r="AA76">
        <v>0.71</v>
      </c>
      <c r="AB76">
        <v>0.66</v>
      </c>
      <c r="AC76">
        <v>0.66</v>
      </c>
      <c r="AD76">
        <v>0.71</v>
      </c>
      <c r="AE76">
        <v>0.76</v>
      </c>
      <c r="AF76">
        <v>0.77</v>
      </c>
      <c r="AG76" s="1032">
        <v>0.73</v>
      </c>
    </row>
    <row r="77" spans="1:33">
      <c r="B77" t="s">
        <v>908</v>
      </c>
      <c r="C77">
        <v>2868.97</v>
      </c>
      <c r="D77">
        <v>2396.2399999999998</v>
      </c>
      <c r="E77">
        <v>2564.44</v>
      </c>
      <c r="F77">
        <v>1564.51</v>
      </c>
      <c r="G77">
        <v>1894.72</v>
      </c>
      <c r="H77">
        <v>2011.06</v>
      </c>
      <c r="I77">
        <v>1298.58</v>
      </c>
      <c r="J77">
        <v>618.45000000000005</v>
      </c>
      <c r="K77">
        <v>613.66</v>
      </c>
      <c r="L77">
        <v>899.47</v>
      </c>
      <c r="M77">
        <v>45.37</v>
      </c>
      <c r="N77">
        <v>229.6</v>
      </c>
      <c r="O77" s="1032">
        <v>515.54</v>
      </c>
      <c r="P77" s="775">
        <f t="shared" si="1"/>
        <v>17005.069999999996</v>
      </c>
      <c r="T77" t="s">
        <v>908</v>
      </c>
      <c r="U77">
        <v>2868.97</v>
      </c>
      <c r="V77">
        <v>2396.2399999999998</v>
      </c>
      <c r="W77">
        <v>2564.44</v>
      </c>
      <c r="X77">
        <v>1564.51</v>
      </c>
      <c r="Y77">
        <v>1894.72</v>
      </c>
      <c r="Z77">
        <v>2011.06</v>
      </c>
      <c r="AA77">
        <v>1298.58</v>
      </c>
      <c r="AB77">
        <v>618.45000000000005</v>
      </c>
      <c r="AC77">
        <v>613.66</v>
      </c>
      <c r="AD77">
        <v>899.47</v>
      </c>
      <c r="AE77">
        <v>45.37</v>
      </c>
      <c r="AF77">
        <v>229.6</v>
      </c>
      <c r="AG77" s="1032">
        <v>515.54</v>
      </c>
    </row>
    <row r="78" spans="1:33">
      <c r="B78" t="s">
        <v>909</v>
      </c>
      <c r="C78">
        <v>55.64</v>
      </c>
      <c r="D78">
        <v>45.73</v>
      </c>
      <c r="E78">
        <v>49.41</v>
      </c>
      <c r="F78">
        <v>35.36</v>
      </c>
      <c r="G78">
        <v>45.54</v>
      </c>
      <c r="H78">
        <v>60.88</v>
      </c>
      <c r="I78">
        <v>35.020000000000003</v>
      </c>
      <c r="J78">
        <v>22.16</v>
      </c>
      <c r="K78">
        <v>21.33</v>
      </c>
      <c r="L78">
        <v>40.58</v>
      </c>
      <c r="M78">
        <v>2.4500000000000002</v>
      </c>
      <c r="N78">
        <v>13.64</v>
      </c>
      <c r="O78" s="1032">
        <v>24.3</v>
      </c>
      <c r="P78" s="775">
        <f t="shared" si="1"/>
        <v>427.73999999999995</v>
      </c>
      <c r="T78" t="s">
        <v>909</v>
      </c>
      <c r="U78">
        <v>55.64</v>
      </c>
      <c r="V78">
        <v>45.73</v>
      </c>
      <c r="W78">
        <v>49.41</v>
      </c>
      <c r="X78">
        <v>35.36</v>
      </c>
      <c r="Y78">
        <v>45.54</v>
      </c>
      <c r="Z78">
        <v>60.88</v>
      </c>
      <c r="AA78">
        <v>35.020000000000003</v>
      </c>
      <c r="AB78">
        <v>22.16</v>
      </c>
      <c r="AC78">
        <v>21.33</v>
      </c>
      <c r="AD78">
        <v>40.58</v>
      </c>
      <c r="AE78">
        <v>2.4500000000000002</v>
      </c>
      <c r="AF78">
        <v>13.64</v>
      </c>
      <c r="AG78" s="1032">
        <v>24.3</v>
      </c>
    </row>
    <row r="79" spans="1:33">
      <c r="B79" t="s">
        <v>910</v>
      </c>
      <c r="C79">
        <v>2807.7</v>
      </c>
      <c r="D79">
        <v>2175.09</v>
      </c>
      <c r="E79">
        <v>1996.07</v>
      </c>
      <c r="F79">
        <v>2678</v>
      </c>
      <c r="G79">
        <v>2628.83</v>
      </c>
      <c r="H79">
        <v>3222.55</v>
      </c>
      <c r="I79">
        <v>3822.67</v>
      </c>
      <c r="J79">
        <v>4215.43</v>
      </c>
      <c r="K79">
        <v>4208.22</v>
      </c>
      <c r="L79">
        <v>4557.63</v>
      </c>
      <c r="M79">
        <v>4707.5200000000004</v>
      </c>
      <c r="N79">
        <v>4354.5600000000004</v>
      </c>
      <c r="O79" s="1032">
        <v>4677.54</v>
      </c>
      <c r="P79" s="775">
        <f t="shared" si="1"/>
        <v>41374.270000000004</v>
      </c>
      <c r="T79" t="s">
        <v>910</v>
      </c>
      <c r="U79">
        <v>2807.7</v>
      </c>
      <c r="V79">
        <v>2175.09</v>
      </c>
      <c r="W79">
        <v>1996.07</v>
      </c>
      <c r="X79">
        <v>2678</v>
      </c>
      <c r="Y79">
        <v>2628.83</v>
      </c>
      <c r="Z79">
        <v>3222.55</v>
      </c>
      <c r="AA79">
        <v>3822.67</v>
      </c>
      <c r="AB79">
        <v>4215.43</v>
      </c>
      <c r="AC79">
        <v>4208.22</v>
      </c>
      <c r="AD79">
        <v>4557.63</v>
      </c>
      <c r="AE79">
        <v>4707.5200000000004</v>
      </c>
      <c r="AF79">
        <v>4354.5600000000004</v>
      </c>
      <c r="AG79" s="1032">
        <v>4677.54</v>
      </c>
    </row>
    <row r="80" spans="1:33">
      <c r="B80" t="s">
        <v>911</v>
      </c>
      <c r="C80">
        <v>67.900000000000006</v>
      </c>
      <c r="D80">
        <v>63.93</v>
      </c>
      <c r="E80">
        <v>80.459999999999994</v>
      </c>
      <c r="F80">
        <v>71.25</v>
      </c>
      <c r="G80">
        <v>60.1</v>
      </c>
      <c r="H80">
        <v>48.35</v>
      </c>
      <c r="I80">
        <v>42.38</v>
      </c>
      <c r="J80">
        <v>77.28</v>
      </c>
      <c r="K80">
        <v>74.010000000000005</v>
      </c>
      <c r="L80">
        <v>82.68</v>
      </c>
      <c r="M80">
        <v>79.02</v>
      </c>
      <c r="N80">
        <v>75.790000000000006</v>
      </c>
      <c r="O80" s="1032">
        <v>80.17</v>
      </c>
      <c r="P80" s="775">
        <f t="shared" si="1"/>
        <v>823.15000000000009</v>
      </c>
      <c r="T80" t="s">
        <v>911</v>
      </c>
      <c r="U80">
        <v>67.900000000000006</v>
      </c>
      <c r="V80">
        <v>63.93</v>
      </c>
      <c r="W80">
        <v>80.459999999999994</v>
      </c>
      <c r="X80">
        <v>71.25</v>
      </c>
      <c r="Y80">
        <v>60.1</v>
      </c>
      <c r="Z80">
        <v>48.35</v>
      </c>
      <c r="AA80">
        <v>42.38</v>
      </c>
      <c r="AB80">
        <v>77.28</v>
      </c>
      <c r="AC80">
        <v>74.010000000000005</v>
      </c>
      <c r="AD80">
        <v>82.68</v>
      </c>
      <c r="AE80">
        <v>79.02</v>
      </c>
      <c r="AF80">
        <v>75.790000000000006</v>
      </c>
      <c r="AG80" s="1032">
        <v>80.17</v>
      </c>
    </row>
    <row r="81" spans="2:33">
      <c r="B81" t="s">
        <v>912</v>
      </c>
      <c r="C81">
        <v>5676.67</v>
      </c>
      <c r="D81">
        <v>4571.33</v>
      </c>
      <c r="E81">
        <v>4560.5</v>
      </c>
      <c r="F81">
        <v>4242.51</v>
      </c>
      <c r="G81">
        <v>4523.55</v>
      </c>
      <c r="H81">
        <v>5233.6099999999997</v>
      </c>
      <c r="I81">
        <v>5121.26</v>
      </c>
      <c r="J81">
        <v>4833.88</v>
      </c>
      <c r="K81">
        <v>4821.88</v>
      </c>
      <c r="L81">
        <v>5457.1</v>
      </c>
      <c r="M81">
        <v>4752.8900000000003</v>
      </c>
      <c r="N81">
        <v>4584.16</v>
      </c>
      <c r="O81" s="1032">
        <v>5193.08</v>
      </c>
      <c r="P81" s="775">
        <f t="shared" si="1"/>
        <v>58379.34</v>
      </c>
      <c r="T81" t="s">
        <v>912</v>
      </c>
      <c r="U81">
        <v>5676.67</v>
      </c>
      <c r="V81">
        <v>4571.33</v>
      </c>
      <c r="W81">
        <v>4560.5</v>
      </c>
      <c r="X81">
        <v>4242.51</v>
      </c>
      <c r="Y81">
        <v>4523.55</v>
      </c>
      <c r="Z81">
        <v>5233.6099999999997</v>
      </c>
      <c r="AA81">
        <v>5121.26</v>
      </c>
      <c r="AB81">
        <v>4833.88</v>
      </c>
      <c r="AC81">
        <v>4821.88</v>
      </c>
      <c r="AD81">
        <v>5457.1</v>
      </c>
      <c r="AE81">
        <v>4752.8900000000003</v>
      </c>
      <c r="AF81">
        <v>4584.16</v>
      </c>
      <c r="AG81" s="1032">
        <v>5193.08</v>
      </c>
    </row>
    <row r="82" spans="2:33">
      <c r="B82" t="s">
        <v>913</v>
      </c>
      <c r="C82">
        <v>61.07</v>
      </c>
      <c r="D82">
        <v>52.86</v>
      </c>
      <c r="E82">
        <v>59.45</v>
      </c>
      <c r="F82">
        <v>51.84</v>
      </c>
      <c r="G82">
        <v>53</v>
      </c>
      <c r="H82">
        <v>52.48</v>
      </c>
      <c r="I82">
        <v>40.25</v>
      </c>
      <c r="J82">
        <v>58.62</v>
      </c>
      <c r="K82">
        <v>56.31</v>
      </c>
      <c r="L82">
        <v>70.599999999999994</v>
      </c>
      <c r="M82">
        <v>60.88</v>
      </c>
      <c r="N82">
        <v>61.7</v>
      </c>
      <c r="O82" s="1032">
        <v>65.27</v>
      </c>
      <c r="P82" s="775">
        <f t="shared" si="1"/>
        <v>679.06000000000006</v>
      </c>
      <c r="T82" t="s">
        <v>913</v>
      </c>
      <c r="U82">
        <v>61.07</v>
      </c>
      <c r="V82">
        <v>52.86</v>
      </c>
      <c r="W82">
        <v>59.45</v>
      </c>
      <c r="X82">
        <v>51.84</v>
      </c>
      <c r="Y82">
        <v>53</v>
      </c>
      <c r="Z82">
        <v>52.48</v>
      </c>
      <c r="AA82">
        <v>40.25</v>
      </c>
      <c r="AB82">
        <v>58.62</v>
      </c>
      <c r="AC82">
        <v>56.31</v>
      </c>
      <c r="AD82">
        <v>70.599999999999994</v>
      </c>
      <c r="AE82">
        <v>60.88</v>
      </c>
      <c r="AF82">
        <v>61.7</v>
      </c>
      <c r="AG82" s="1032">
        <v>65.27</v>
      </c>
    </row>
    <row r="83" spans="2:33">
      <c r="B83" s="1272" t="s">
        <v>1567</v>
      </c>
      <c r="C83" s="1272">
        <f>+C67+C72</f>
        <v>2137</v>
      </c>
      <c r="D83" s="1272">
        <f t="shared" ref="D83:O83" si="2">+D67+D72</f>
        <v>1923</v>
      </c>
      <c r="E83" s="1272">
        <f t="shared" si="2"/>
        <v>1611</v>
      </c>
      <c r="F83" s="1272">
        <f t="shared" si="2"/>
        <v>1964</v>
      </c>
      <c r="G83" s="1272">
        <f t="shared" si="2"/>
        <v>1963</v>
      </c>
      <c r="H83" s="1272">
        <f t="shared" si="2"/>
        <v>2218</v>
      </c>
      <c r="I83" s="1272">
        <f t="shared" si="2"/>
        <v>3055</v>
      </c>
      <c r="J83" s="1272">
        <f t="shared" si="2"/>
        <v>1814</v>
      </c>
      <c r="K83" s="1272">
        <f t="shared" si="2"/>
        <v>1991</v>
      </c>
      <c r="L83" s="1272">
        <f t="shared" si="2"/>
        <v>1855</v>
      </c>
      <c r="M83" s="1272">
        <f t="shared" si="2"/>
        <v>1659</v>
      </c>
      <c r="N83" s="1272">
        <f t="shared" si="2"/>
        <v>1783</v>
      </c>
      <c r="O83" s="1272">
        <f t="shared" si="2"/>
        <v>1830</v>
      </c>
      <c r="P83" s="1273"/>
      <c r="AG83" s="1032"/>
    </row>
    <row r="84" spans="2:33">
      <c r="B84" t="s">
        <v>764</v>
      </c>
      <c r="O84" s="1032"/>
      <c r="T84" t="s">
        <v>764</v>
      </c>
      <c r="AG84" s="1032"/>
    </row>
    <row r="85" spans="2:33">
      <c r="B85" t="s">
        <v>914</v>
      </c>
      <c r="C85">
        <v>4798.07</v>
      </c>
      <c r="D85">
        <v>4821.97</v>
      </c>
      <c r="E85">
        <v>4431.47</v>
      </c>
      <c r="F85">
        <v>5200.42</v>
      </c>
      <c r="G85">
        <v>4514.1400000000003</v>
      </c>
      <c r="H85">
        <v>4593.46</v>
      </c>
      <c r="I85">
        <v>4614.53</v>
      </c>
      <c r="J85">
        <v>5358.32</v>
      </c>
      <c r="K85">
        <v>4941.3999999999996</v>
      </c>
      <c r="L85">
        <v>5049.9799999999996</v>
      </c>
      <c r="M85">
        <v>5517.93</v>
      </c>
      <c r="N85">
        <v>4769.55</v>
      </c>
      <c r="O85" s="1032">
        <v>4757.62</v>
      </c>
      <c r="P85" s="775">
        <f t="shared" si="1"/>
        <v>58611.24</v>
      </c>
      <c r="T85" t="s">
        <v>914</v>
      </c>
      <c r="U85">
        <v>4798.07</v>
      </c>
      <c r="V85">
        <v>4821.97</v>
      </c>
      <c r="W85">
        <v>4431.47</v>
      </c>
      <c r="X85">
        <v>5200.42</v>
      </c>
      <c r="Y85">
        <v>4514.1400000000003</v>
      </c>
      <c r="Z85">
        <v>4593.46</v>
      </c>
      <c r="AA85">
        <v>4614.53</v>
      </c>
      <c r="AB85">
        <v>5358.32</v>
      </c>
      <c r="AC85">
        <v>4941.3999999999996</v>
      </c>
      <c r="AD85">
        <v>5049.9799999999996</v>
      </c>
      <c r="AE85">
        <v>5517.93</v>
      </c>
      <c r="AF85">
        <v>4769.55</v>
      </c>
      <c r="AG85" s="1032">
        <v>4757.62</v>
      </c>
    </row>
    <row r="86" spans="2:33">
      <c r="B86" t="s">
        <v>915</v>
      </c>
      <c r="C86">
        <v>53.7</v>
      </c>
      <c r="D86">
        <v>53.43</v>
      </c>
      <c r="E86">
        <v>52.52</v>
      </c>
      <c r="F86">
        <v>68.31</v>
      </c>
      <c r="G86">
        <v>52.62</v>
      </c>
      <c r="H86">
        <v>52.17</v>
      </c>
      <c r="I86">
        <v>50.02</v>
      </c>
      <c r="J86">
        <v>58.47</v>
      </c>
      <c r="K86">
        <v>51.84</v>
      </c>
      <c r="L86">
        <v>54.79</v>
      </c>
      <c r="M86">
        <v>62.67</v>
      </c>
      <c r="N86">
        <v>59.81</v>
      </c>
      <c r="O86" s="1032">
        <v>60.79</v>
      </c>
      <c r="P86" s="775">
        <f t="shared" si="1"/>
        <v>670.34999999999991</v>
      </c>
      <c r="T86" t="s">
        <v>915</v>
      </c>
      <c r="U86">
        <v>53.7</v>
      </c>
      <c r="V86">
        <v>53.43</v>
      </c>
      <c r="W86">
        <v>52.52</v>
      </c>
      <c r="X86">
        <v>68.31</v>
      </c>
      <c r="Y86">
        <v>52.62</v>
      </c>
      <c r="Z86">
        <v>52.17</v>
      </c>
      <c r="AA86">
        <v>50.02</v>
      </c>
      <c r="AB86">
        <v>58.47</v>
      </c>
      <c r="AC86">
        <v>51.84</v>
      </c>
      <c r="AD86">
        <v>54.79</v>
      </c>
      <c r="AE86">
        <v>62.67</v>
      </c>
      <c r="AF86">
        <v>59.81</v>
      </c>
      <c r="AG86" s="1032">
        <v>60.79</v>
      </c>
    </row>
    <row r="87" spans="2:33">
      <c r="B87" t="s">
        <v>916</v>
      </c>
      <c r="C87">
        <v>86.01</v>
      </c>
      <c r="D87">
        <v>87.94</v>
      </c>
      <c r="E87">
        <v>83.24</v>
      </c>
      <c r="F87">
        <v>98.28</v>
      </c>
      <c r="G87">
        <v>83.13</v>
      </c>
      <c r="H87">
        <v>83.03</v>
      </c>
      <c r="I87">
        <v>81.31</v>
      </c>
      <c r="J87">
        <v>98.4</v>
      </c>
      <c r="K87">
        <v>86.9</v>
      </c>
      <c r="L87">
        <v>90.31</v>
      </c>
      <c r="M87">
        <v>101.96</v>
      </c>
      <c r="N87">
        <v>94.21</v>
      </c>
      <c r="O87" s="1032">
        <v>94.66</v>
      </c>
      <c r="P87" s="775">
        <f t="shared" si="1"/>
        <v>1074.72</v>
      </c>
      <c r="T87" t="s">
        <v>916</v>
      </c>
      <c r="U87">
        <v>86.01</v>
      </c>
      <c r="V87">
        <v>87.94</v>
      </c>
      <c r="W87">
        <v>83.24</v>
      </c>
      <c r="X87">
        <v>98.28</v>
      </c>
      <c r="Y87">
        <v>83.13</v>
      </c>
      <c r="Z87">
        <v>83.03</v>
      </c>
      <c r="AA87">
        <v>81.31</v>
      </c>
      <c r="AB87">
        <v>98.4</v>
      </c>
      <c r="AC87">
        <v>86.9</v>
      </c>
      <c r="AD87">
        <v>90.31</v>
      </c>
      <c r="AE87">
        <v>101.96</v>
      </c>
      <c r="AF87">
        <v>94.21</v>
      </c>
      <c r="AG87" s="1032">
        <v>94.66</v>
      </c>
    </row>
    <row r="88" spans="2:33">
      <c r="B88" t="s">
        <v>917</v>
      </c>
      <c r="C88">
        <v>0.17</v>
      </c>
      <c r="D88">
        <v>0.18</v>
      </c>
      <c r="E88">
        <v>0.16</v>
      </c>
      <c r="F88">
        <v>0.2</v>
      </c>
      <c r="G88">
        <v>0.17</v>
      </c>
      <c r="H88">
        <v>0.16</v>
      </c>
      <c r="I88">
        <v>0.16</v>
      </c>
      <c r="J88">
        <v>0.2</v>
      </c>
      <c r="K88">
        <v>0.18</v>
      </c>
      <c r="L88">
        <v>0.18</v>
      </c>
      <c r="M88">
        <v>0.2</v>
      </c>
      <c r="N88">
        <v>0.18</v>
      </c>
      <c r="O88" s="1032">
        <v>0.18</v>
      </c>
      <c r="P88" s="775">
        <f t="shared" si="1"/>
        <v>2.1399999999999997</v>
      </c>
      <c r="T88" t="s">
        <v>917</v>
      </c>
      <c r="U88">
        <v>0.17</v>
      </c>
      <c r="V88">
        <v>0.18</v>
      </c>
      <c r="W88">
        <v>0.16</v>
      </c>
      <c r="X88">
        <v>0.2</v>
      </c>
      <c r="Y88">
        <v>0.17</v>
      </c>
      <c r="Z88">
        <v>0.16</v>
      </c>
      <c r="AA88">
        <v>0.16</v>
      </c>
      <c r="AB88">
        <v>0.2</v>
      </c>
      <c r="AC88">
        <v>0.18</v>
      </c>
      <c r="AD88">
        <v>0.18</v>
      </c>
      <c r="AE88">
        <v>0.2</v>
      </c>
      <c r="AF88">
        <v>0.18</v>
      </c>
      <c r="AG88" s="1032">
        <v>0.18</v>
      </c>
    </row>
    <row r="89" spans="2:33">
      <c r="O89" s="1032"/>
      <c r="AG89" s="1032"/>
    </row>
    <row r="90" spans="2:33">
      <c r="B90" t="s">
        <v>765</v>
      </c>
      <c r="O90" s="1032"/>
      <c r="T90" t="s">
        <v>765</v>
      </c>
      <c r="AG90" s="1032"/>
    </row>
    <row r="91" spans="2:33">
      <c r="B91" t="s">
        <v>918</v>
      </c>
      <c r="C91">
        <v>344.28</v>
      </c>
      <c r="D91">
        <v>344.91</v>
      </c>
      <c r="E91">
        <v>327.56</v>
      </c>
      <c r="F91">
        <v>322.33</v>
      </c>
      <c r="G91">
        <v>339.58</v>
      </c>
      <c r="H91">
        <v>363.4</v>
      </c>
      <c r="I91">
        <v>346.1</v>
      </c>
      <c r="J91">
        <v>347.59</v>
      </c>
      <c r="K91">
        <v>368.75</v>
      </c>
      <c r="L91">
        <v>352.76</v>
      </c>
      <c r="M91">
        <v>362.32</v>
      </c>
      <c r="N91">
        <v>291.73</v>
      </c>
      <c r="O91" s="1032">
        <v>334.05</v>
      </c>
      <c r="P91" s="775">
        <f t="shared" si="1"/>
        <v>4111.3100000000004</v>
      </c>
      <c r="T91" t="s">
        <v>918</v>
      </c>
      <c r="U91">
        <v>344.28</v>
      </c>
      <c r="V91">
        <v>344.91</v>
      </c>
      <c r="W91">
        <v>327.56</v>
      </c>
      <c r="X91">
        <v>322.33</v>
      </c>
      <c r="Y91">
        <v>339.58</v>
      </c>
      <c r="Z91">
        <v>363.4</v>
      </c>
      <c r="AA91">
        <v>346.1</v>
      </c>
      <c r="AB91">
        <v>347.59</v>
      </c>
      <c r="AC91">
        <v>368.75</v>
      </c>
      <c r="AD91">
        <v>352.76</v>
      </c>
      <c r="AE91">
        <v>362.32</v>
      </c>
      <c r="AF91">
        <v>291.73</v>
      </c>
      <c r="AG91" s="1032">
        <v>334.05</v>
      </c>
    </row>
    <row r="92" spans="2:33">
      <c r="B92" t="s">
        <v>919</v>
      </c>
      <c r="C92">
        <v>4.33</v>
      </c>
      <c r="D92">
        <v>4.1100000000000003</v>
      </c>
      <c r="E92">
        <v>4.17</v>
      </c>
      <c r="F92">
        <v>4.03</v>
      </c>
      <c r="G92">
        <v>3.81</v>
      </c>
      <c r="H92">
        <v>3.98</v>
      </c>
      <c r="I92">
        <v>3.74</v>
      </c>
      <c r="J92">
        <v>3.74</v>
      </c>
      <c r="K92">
        <v>3.94</v>
      </c>
      <c r="L92">
        <v>4.01</v>
      </c>
      <c r="M92">
        <v>4.28</v>
      </c>
      <c r="N92">
        <v>3.84</v>
      </c>
      <c r="O92" s="1032">
        <v>4.38</v>
      </c>
      <c r="P92" s="775">
        <f t="shared" si="1"/>
        <v>47.980000000000004</v>
      </c>
      <c r="T92" t="s">
        <v>919</v>
      </c>
      <c r="U92">
        <v>4.33</v>
      </c>
      <c r="V92">
        <v>4.1100000000000003</v>
      </c>
      <c r="W92">
        <v>4.17</v>
      </c>
      <c r="X92">
        <v>4.03</v>
      </c>
      <c r="Y92">
        <v>3.81</v>
      </c>
      <c r="Z92">
        <v>3.98</v>
      </c>
      <c r="AA92">
        <v>3.74</v>
      </c>
      <c r="AB92">
        <v>3.74</v>
      </c>
      <c r="AC92">
        <v>3.94</v>
      </c>
      <c r="AD92">
        <v>4.01</v>
      </c>
      <c r="AE92">
        <v>4.28</v>
      </c>
      <c r="AF92">
        <v>3.84</v>
      </c>
      <c r="AG92" s="1032">
        <v>4.38</v>
      </c>
    </row>
    <row r="93" spans="2:33">
      <c r="B93" t="s">
        <v>920</v>
      </c>
      <c r="C93">
        <v>2.67</v>
      </c>
      <c r="D93">
        <v>2.64</v>
      </c>
      <c r="E93">
        <v>2.73</v>
      </c>
      <c r="F93">
        <v>2.76</v>
      </c>
      <c r="G93">
        <v>2.42</v>
      </c>
      <c r="H93">
        <v>2.5299999999999998</v>
      </c>
      <c r="I93">
        <v>2.35</v>
      </c>
      <c r="J93">
        <v>2.2400000000000002</v>
      </c>
      <c r="K93">
        <v>2.23</v>
      </c>
      <c r="L93">
        <v>2.33</v>
      </c>
      <c r="M93">
        <v>2.0099999999999998</v>
      </c>
      <c r="N93">
        <v>2.92</v>
      </c>
      <c r="O93" s="1032">
        <v>2.0499999999999998</v>
      </c>
      <c r="P93" s="775">
        <f t="shared" si="1"/>
        <v>29.830000000000005</v>
      </c>
      <c r="T93" t="s">
        <v>920</v>
      </c>
      <c r="U93">
        <v>2.67</v>
      </c>
      <c r="V93">
        <v>2.64</v>
      </c>
      <c r="W93">
        <v>2.73</v>
      </c>
      <c r="X93">
        <v>2.76</v>
      </c>
      <c r="Y93">
        <v>2.42</v>
      </c>
      <c r="Z93">
        <v>2.5299999999999998</v>
      </c>
      <c r="AA93">
        <v>2.35</v>
      </c>
      <c r="AB93">
        <v>2.2400000000000002</v>
      </c>
      <c r="AC93">
        <v>2.23</v>
      </c>
      <c r="AD93">
        <v>2.33</v>
      </c>
      <c r="AE93">
        <v>2.0099999999999998</v>
      </c>
      <c r="AF93">
        <v>2.92</v>
      </c>
      <c r="AG93" s="1032">
        <v>2.0499999999999998</v>
      </c>
    </row>
    <row r="94" spans="2:33">
      <c r="B94" t="s">
        <v>921</v>
      </c>
      <c r="C94">
        <v>919.28</v>
      </c>
      <c r="D94">
        <v>910.93</v>
      </c>
      <c r="E94">
        <v>895.39</v>
      </c>
      <c r="F94">
        <v>890.13</v>
      </c>
      <c r="G94">
        <v>821.65</v>
      </c>
      <c r="H94">
        <v>918.97</v>
      </c>
      <c r="I94">
        <v>812.67</v>
      </c>
      <c r="J94">
        <v>778.73</v>
      </c>
      <c r="K94">
        <v>822.02</v>
      </c>
      <c r="L94">
        <v>821.24</v>
      </c>
      <c r="M94">
        <v>729.3</v>
      </c>
      <c r="N94">
        <v>851.42</v>
      </c>
      <c r="O94" s="1032">
        <v>685</v>
      </c>
      <c r="P94" s="775">
        <f t="shared" si="1"/>
        <v>10171.73</v>
      </c>
      <c r="T94" t="s">
        <v>921</v>
      </c>
      <c r="U94">
        <v>919.28</v>
      </c>
      <c r="V94">
        <v>910.93</v>
      </c>
      <c r="W94">
        <v>895.39</v>
      </c>
      <c r="X94">
        <v>890.13</v>
      </c>
      <c r="Y94">
        <v>821.65</v>
      </c>
      <c r="Z94">
        <v>918.97</v>
      </c>
      <c r="AA94">
        <v>812.67</v>
      </c>
      <c r="AB94">
        <v>778.73</v>
      </c>
      <c r="AC94">
        <v>822.02</v>
      </c>
      <c r="AD94">
        <v>821.24</v>
      </c>
      <c r="AE94">
        <v>729.3</v>
      </c>
      <c r="AF94">
        <v>851.42</v>
      </c>
      <c r="AG94" s="1032">
        <v>685</v>
      </c>
    </row>
    <row r="95" spans="2:33">
      <c r="B95" t="s">
        <v>922</v>
      </c>
      <c r="C95">
        <v>0.03</v>
      </c>
      <c r="D95">
        <v>0.03</v>
      </c>
      <c r="E95">
        <v>0.03</v>
      </c>
      <c r="F95">
        <v>0.03</v>
      </c>
      <c r="G95">
        <v>0.03</v>
      </c>
      <c r="H95">
        <v>0.03</v>
      </c>
      <c r="I95">
        <v>0.03</v>
      </c>
      <c r="J95">
        <v>0.03</v>
      </c>
      <c r="K95">
        <v>0.03</v>
      </c>
      <c r="L95">
        <v>0.03</v>
      </c>
      <c r="M95">
        <v>0.03</v>
      </c>
      <c r="N95">
        <v>0.03</v>
      </c>
      <c r="O95" s="1032">
        <v>0.03</v>
      </c>
      <c r="P95" s="775">
        <f t="shared" si="1"/>
        <v>0.3600000000000001</v>
      </c>
      <c r="T95" t="s">
        <v>922</v>
      </c>
      <c r="U95">
        <v>0.03</v>
      </c>
      <c r="V95">
        <v>0.03</v>
      </c>
      <c r="W95">
        <v>0.03</v>
      </c>
      <c r="X95">
        <v>0.03</v>
      </c>
      <c r="Y95">
        <v>0.03</v>
      </c>
      <c r="Z95">
        <v>0.03</v>
      </c>
      <c r="AA95">
        <v>0.03</v>
      </c>
      <c r="AB95">
        <v>0.03</v>
      </c>
      <c r="AC95">
        <v>0.03</v>
      </c>
      <c r="AD95">
        <v>0.03</v>
      </c>
      <c r="AE95">
        <v>0.03</v>
      </c>
      <c r="AF95">
        <v>0.03</v>
      </c>
      <c r="AG95" s="1032">
        <v>0.03</v>
      </c>
    </row>
    <row r="96" spans="2:33">
      <c r="O96" s="1032"/>
      <c r="AG96" s="1032"/>
    </row>
    <row r="97" spans="2:33">
      <c r="B97" t="s">
        <v>766</v>
      </c>
      <c r="O97" s="1032"/>
      <c r="T97" t="s">
        <v>766</v>
      </c>
      <c r="AG97" s="1032"/>
    </row>
    <row r="98" spans="2:33">
      <c r="B98" t="s">
        <v>923</v>
      </c>
      <c r="C98">
        <v>0.89</v>
      </c>
      <c r="D98">
        <v>0.93</v>
      </c>
      <c r="E98">
        <v>0.93</v>
      </c>
      <c r="F98">
        <v>1.05</v>
      </c>
      <c r="G98">
        <v>1.04</v>
      </c>
      <c r="H98">
        <v>1.04</v>
      </c>
      <c r="I98">
        <v>1</v>
      </c>
      <c r="J98">
        <v>1.01</v>
      </c>
      <c r="K98">
        <v>0.98</v>
      </c>
      <c r="L98">
        <v>0.95</v>
      </c>
      <c r="M98">
        <v>0.96</v>
      </c>
      <c r="N98">
        <v>0.95</v>
      </c>
      <c r="O98" s="1032">
        <v>0.97</v>
      </c>
      <c r="P98" s="775">
        <f t="shared" si="1"/>
        <v>11.729999999999997</v>
      </c>
      <c r="T98" t="s">
        <v>923</v>
      </c>
      <c r="U98">
        <v>0.89</v>
      </c>
      <c r="V98">
        <v>0.93</v>
      </c>
      <c r="W98">
        <v>0.93</v>
      </c>
      <c r="X98">
        <v>1.05</v>
      </c>
      <c r="Y98">
        <v>1.04</v>
      </c>
      <c r="Z98">
        <v>1.04</v>
      </c>
      <c r="AA98">
        <v>1</v>
      </c>
      <c r="AB98">
        <v>1.01</v>
      </c>
      <c r="AC98">
        <v>0.98</v>
      </c>
      <c r="AD98">
        <v>0.95</v>
      </c>
      <c r="AE98">
        <v>0.96</v>
      </c>
      <c r="AF98">
        <v>0.95</v>
      </c>
      <c r="AG98" s="1032">
        <v>0.97</v>
      </c>
    </row>
    <row r="99" spans="2:33">
      <c r="B99" t="s">
        <v>924</v>
      </c>
      <c r="C99">
        <v>79.430000000000007</v>
      </c>
      <c r="D99">
        <v>84</v>
      </c>
      <c r="E99">
        <v>78.48</v>
      </c>
      <c r="F99">
        <v>79.959999999999994</v>
      </c>
      <c r="G99">
        <v>89.22</v>
      </c>
      <c r="H99">
        <v>91.37</v>
      </c>
      <c r="I99">
        <v>92.54</v>
      </c>
      <c r="J99">
        <v>92.91</v>
      </c>
      <c r="K99">
        <v>93.51</v>
      </c>
      <c r="L99">
        <v>87.88</v>
      </c>
      <c r="M99">
        <v>84.61</v>
      </c>
      <c r="N99">
        <v>75.959999999999994</v>
      </c>
      <c r="O99" s="1032">
        <v>76.260000000000005</v>
      </c>
      <c r="P99" s="775">
        <f t="shared" si="1"/>
        <v>1029.8699999999999</v>
      </c>
      <c r="T99" t="s">
        <v>924</v>
      </c>
      <c r="U99">
        <v>79.430000000000007</v>
      </c>
      <c r="V99">
        <v>84</v>
      </c>
      <c r="W99">
        <v>78.48</v>
      </c>
      <c r="X99">
        <v>79.959999999999994</v>
      </c>
      <c r="Y99">
        <v>89.22</v>
      </c>
      <c r="Z99">
        <v>91.37</v>
      </c>
      <c r="AA99">
        <v>92.54</v>
      </c>
      <c r="AB99">
        <v>92.91</v>
      </c>
      <c r="AC99">
        <v>93.51</v>
      </c>
      <c r="AD99">
        <v>87.88</v>
      </c>
      <c r="AE99">
        <v>84.61</v>
      </c>
      <c r="AF99">
        <v>75.959999999999994</v>
      </c>
      <c r="AG99" s="1032">
        <v>76.260000000000005</v>
      </c>
    </row>
    <row r="100" spans="2:33">
      <c r="B100" t="s">
        <v>925</v>
      </c>
      <c r="C100">
        <v>956.59</v>
      </c>
      <c r="D100">
        <v>858.08</v>
      </c>
      <c r="E100">
        <v>992.25</v>
      </c>
      <c r="F100">
        <v>839.78</v>
      </c>
      <c r="G100">
        <v>761.89</v>
      </c>
      <c r="H100">
        <v>1147.57</v>
      </c>
      <c r="I100">
        <v>947.35</v>
      </c>
      <c r="J100">
        <v>1004.49</v>
      </c>
      <c r="K100">
        <v>918.3</v>
      </c>
      <c r="L100">
        <v>763.68</v>
      </c>
      <c r="M100">
        <v>1112.1600000000001</v>
      </c>
      <c r="N100">
        <v>923.71</v>
      </c>
      <c r="O100" s="1032">
        <v>911.93</v>
      </c>
      <c r="P100" s="775">
        <f t="shared" si="1"/>
        <v>11225.849999999999</v>
      </c>
      <c r="T100" t="s">
        <v>925</v>
      </c>
      <c r="U100">
        <v>956.59</v>
      </c>
      <c r="V100">
        <v>858.08</v>
      </c>
      <c r="W100">
        <v>992.25</v>
      </c>
      <c r="X100">
        <v>839.78</v>
      </c>
      <c r="Y100">
        <v>761.89</v>
      </c>
      <c r="Z100">
        <v>1147.57</v>
      </c>
      <c r="AA100">
        <v>947.35</v>
      </c>
      <c r="AB100">
        <v>1004.49</v>
      </c>
      <c r="AC100">
        <v>918.3</v>
      </c>
      <c r="AD100">
        <v>763.68</v>
      </c>
      <c r="AE100">
        <v>1112.1600000000001</v>
      </c>
      <c r="AF100">
        <v>923.71</v>
      </c>
      <c r="AG100" s="1032">
        <v>911.93</v>
      </c>
    </row>
    <row r="101" spans="2:33">
      <c r="B101" t="s">
        <v>926</v>
      </c>
      <c r="C101">
        <v>12.04</v>
      </c>
      <c r="D101">
        <v>10.220000000000001</v>
      </c>
      <c r="E101">
        <v>12.64</v>
      </c>
      <c r="F101">
        <v>10.5</v>
      </c>
      <c r="G101">
        <v>8.5399999999999991</v>
      </c>
      <c r="H101">
        <v>12.56</v>
      </c>
      <c r="I101">
        <v>10.24</v>
      </c>
      <c r="J101">
        <v>10.81</v>
      </c>
      <c r="K101">
        <v>9.82</v>
      </c>
      <c r="L101">
        <v>8.69</v>
      </c>
      <c r="M101">
        <v>13.14</v>
      </c>
      <c r="N101">
        <v>12.16</v>
      </c>
      <c r="O101" s="1032">
        <v>11.96</v>
      </c>
      <c r="P101" s="775">
        <f t="shared" si="1"/>
        <v>131.36000000000001</v>
      </c>
      <c r="T101" t="s">
        <v>926</v>
      </c>
      <c r="U101">
        <v>12.04</v>
      </c>
      <c r="V101">
        <v>10.220000000000001</v>
      </c>
      <c r="W101">
        <v>12.64</v>
      </c>
      <c r="X101">
        <v>10.5</v>
      </c>
      <c r="Y101">
        <v>8.5399999999999991</v>
      </c>
      <c r="Z101">
        <v>12.56</v>
      </c>
      <c r="AA101">
        <v>10.24</v>
      </c>
      <c r="AB101">
        <v>10.81</v>
      </c>
      <c r="AC101">
        <v>9.82</v>
      </c>
      <c r="AD101">
        <v>8.69</v>
      </c>
      <c r="AE101">
        <v>13.14</v>
      </c>
      <c r="AF101">
        <v>12.16</v>
      </c>
      <c r="AG101" s="1032">
        <v>11.96</v>
      </c>
    </row>
    <row r="102" spans="2:33">
      <c r="B102" t="s">
        <v>927</v>
      </c>
      <c r="C102">
        <v>17.149999999999999</v>
      </c>
      <c r="D102">
        <v>15.65</v>
      </c>
      <c r="E102">
        <v>18.64</v>
      </c>
      <c r="F102">
        <v>15.87</v>
      </c>
      <c r="G102">
        <v>14.03</v>
      </c>
      <c r="H102">
        <v>20.74</v>
      </c>
      <c r="I102">
        <v>16.690000000000001</v>
      </c>
      <c r="J102">
        <v>18.45</v>
      </c>
      <c r="K102">
        <v>16.149999999999999</v>
      </c>
      <c r="L102">
        <v>13.66</v>
      </c>
      <c r="M102">
        <v>20.55</v>
      </c>
      <c r="N102">
        <v>18.25</v>
      </c>
      <c r="O102" s="1032">
        <v>18.14</v>
      </c>
      <c r="P102" s="775">
        <f t="shared" si="1"/>
        <v>205.83</v>
      </c>
      <c r="T102" t="s">
        <v>927</v>
      </c>
      <c r="U102">
        <v>17.149999999999999</v>
      </c>
      <c r="V102">
        <v>15.65</v>
      </c>
      <c r="W102">
        <v>18.64</v>
      </c>
      <c r="X102">
        <v>15.87</v>
      </c>
      <c r="Y102">
        <v>14.03</v>
      </c>
      <c r="Z102">
        <v>20.74</v>
      </c>
      <c r="AA102">
        <v>16.690000000000001</v>
      </c>
      <c r="AB102">
        <v>18.45</v>
      </c>
      <c r="AC102">
        <v>16.149999999999999</v>
      </c>
      <c r="AD102">
        <v>13.66</v>
      </c>
      <c r="AE102">
        <v>20.55</v>
      </c>
      <c r="AF102">
        <v>18.25</v>
      </c>
      <c r="AG102" s="1032">
        <v>18.14</v>
      </c>
    </row>
    <row r="103" spans="2:33">
      <c r="B103" t="s">
        <v>928</v>
      </c>
      <c r="C103">
        <v>0.03</v>
      </c>
      <c r="D103">
        <v>0.03</v>
      </c>
      <c r="E103">
        <v>0.04</v>
      </c>
      <c r="F103">
        <v>0.03</v>
      </c>
      <c r="G103">
        <v>0.03</v>
      </c>
      <c r="H103">
        <v>0.04</v>
      </c>
      <c r="I103">
        <v>0.03</v>
      </c>
      <c r="J103">
        <v>0.04</v>
      </c>
      <c r="K103">
        <v>0.03</v>
      </c>
      <c r="L103">
        <v>0.03</v>
      </c>
      <c r="M103">
        <v>0.04</v>
      </c>
      <c r="N103">
        <v>0.04</v>
      </c>
      <c r="O103" s="1032">
        <v>0.03</v>
      </c>
      <c r="P103" s="775">
        <f t="shared" si="1"/>
        <v>0.41000000000000003</v>
      </c>
      <c r="T103" t="s">
        <v>928</v>
      </c>
      <c r="U103">
        <v>0.03</v>
      </c>
      <c r="V103">
        <v>0.03</v>
      </c>
      <c r="W103">
        <v>0.04</v>
      </c>
      <c r="X103">
        <v>0.03</v>
      </c>
      <c r="Y103">
        <v>0.03</v>
      </c>
      <c r="Z103">
        <v>0.04</v>
      </c>
      <c r="AA103">
        <v>0.03</v>
      </c>
      <c r="AB103">
        <v>0.04</v>
      </c>
      <c r="AC103">
        <v>0.03</v>
      </c>
      <c r="AD103">
        <v>0.03</v>
      </c>
      <c r="AE103">
        <v>0.04</v>
      </c>
      <c r="AF103">
        <v>0.04</v>
      </c>
      <c r="AG103" s="1032">
        <v>0.03</v>
      </c>
    </row>
  </sheetData>
  <pageMargins left="0.7" right="0.7" top="0.75" bottom="0.75" header="0.3" footer="0.3"/>
  <pageSetup scale="31"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G104"/>
  <sheetViews>
    <sheetView workbookViewId="0">
      <selection activeCell="B41" sqref="B41"/>
    </sheetView>
  </sheetViews>
  <sheetFormatPr defaultRowHeight="11.25"/>
  <cols>
    <col min="1" max="1" width="8" bestFit="1" customWidth="1"/>
    <col min="2" max="2" width="28.83203125" bestFit="1" customWidth="1"/>
    <col min="3" max="4" width="11.33203125" bestFit="1" customWidth="1"/>
    <col min="5" max="5" width="10.1640625" bestFit="1" customWidth="1"/>
    <col min="6" max="6" width="11.33203125" bestFit="1" customWidth="1"/>
    <col min="7" max="7" width="10" bestFit="1" customWidth="1"/>
    <col min="8" max="11" width="9" bestFit="1" customWidth="1"/>
    <col min="12" max="12" width="9.6640625" bestFit="1" customWidth="1"/>
    <col min="13" max="14" width="12" bestFit="1" customWidth="1"/>
    <col min="15" max="15" width="14.33203125" bestFit="1" customWidth="1"/>
    <col min="16" max="16" width="11.5" bestFit="1" customWidth="1"/>
    <col min="18" max="19" width="8" bestFit="1" customWidth="1"/>
    <col min="20" max="20" width="28.83203125" bestFit="1" customWidth="1"/>
    <col min="21" max="21" width="9.1640625" bestFit="1" customWidth="1"/>
    <col min="22" max="22" width="9.6640625" bestFit="1" customWidth="1"/>
    <col min="23" max="23" width="10.5" bestFit="1" customWidth="1"/>
    <col min="24" max="24" width="10.1640625" bestFit="1" customWidth="1"/>
    <col min="25" max="26" width="11.33203125" bestFit="1" customWidth="1"/>
    <col min="27" max="27" width="10.1640625" bestFit="1" customWidth="1"/>
    <col min="28" max="28" width="11.33203125" bestFit="1" customWidth="1"/>
    <col min="29" max="29" width="10" bestFit="1" customWidth="1"/>
    <col min="30" max="30" width="9.1640625" bestFit="1" customWidth="1"/>
    <col min="31" max="33" width="12" bestFit="1" customWidth="1"/>
  </cols>
  <sheetData>
    <row r="1" spans="1:33">
      <c r="A1" t="s">
        <v>717</v>
      </c>
      <c r="B1" t="s">
        <v>718</v>
      </c>
      <c r="C1" t="s">
        <v>719</v>
      </c>
      <c r="N1" t="s">
        <v>751</v>
      </c>
      <c r="O1" t="s">
        <v>1358</v>
      </c>
      <c r="P1" t="s">
        <v>752</v>
      </c>
    </row>
    <row r="2" spans="1:33">
      <c r="A2" t="s">
        <v>1133</v>
      </c>
      <c r="B2" t="s">
        <v>1134</v>
      </c>
      <c r="M2" t="s">
        <v>1356</v>
      </c>
      <c r="N2" t="s">
        <v>1357</v>
      </c>
      <c r="O2">
        <v>6</v>
      </c>
    </row>
    <row r="3" spans="1:33">
      <c r="A3" t="s">
        <v>767</v>
      </c>
      <c r="B3" t="s">
        <v>754</v>
      </c>
      <c r="M3" t="s">
        <v>768</v>
      </c>
      <c r="N3" t="s">
        <v>756</v>
      </c>
    </row>
    <row r="4" spans="1:33">
      <c r="A4" t="s">
        <v>1136</v>
      </c>
      <c r="B4">
        <v>30</v>
      </c>
      <c r="C4">
        <v>2014</v>
      </c>
      <c r="N4" t="s">
        <v>769</v>
      </c>
    </row>
    <row r="5" spans="1:33">
      <c r="A5" t="s">
        <v>757</v>
      </c>
      <c r="B5" t="s">
        <v>758</v>
      </c>
      <c r="C5" t="s">
        <v>738</v>
      </c>
      <c r="D5" t="s">
        <v>739</v>
      </c>
      <c r="E5" t="s">
        <v>740</v>
      </c>
      <c r="F5" t="s">
        <v>741</v>
      </c>
      <c r="G5" t="s">
        <v>742</v>
      </c>
      <c r="H5" t="s">
        <v>731</v>
      </c>
      <c r="I5" t="s">
        <v>732</v>
      </c>
      <c r="J5" t="s">
        <v>733</v>
      </c>
      <c r="K5" t="s">
        <v>734</v>
      </c>
      <c r="L5" t="s">
        <v>735</v>
      </c>
      <c r="M5" t="s">
        <v>736</v>
      </c>
      <c r="N5" t="s">
        <v>737</v>
      </c>
      <c r="O5" s="1032" t="s">
        <v>738</v>
      </c>
      <c r="P5" s="1033" t="s">
        <v>991</v>
      </c>
      <c r="AG5" s="1032"/>
    </row>
    <row r="6" spans="1:33">
      <c r="A6" t="s">
        <v>744</v>
      </c>
      <c r="B6" t="s">
        <v>759</v>
      </c>
      <c r="C6" t="s">
        <v>746</v>
      </c>
      <c r="D6" t="s">
        <v>746</v>
      </c>
      <c r="E6" t="s">
        <v>746</v>
      </c>
      <c r="F6" t="s">
        <v>746</v>
      </c>
      <c r="G6" t="s">
        <v>746</v>
      </c>
      <c r="H6" t="s">
        <v>746</v>
      </c>
      <c r="I6" t="s">
        <v>746</v>
      </c>
      <c r="J6" t="s">
        <v>746</v>
      </c>
      <c r="K6" t="s">
        <v>746</v>
      </c>
      <c r="L6" t="s">
        <v>746</v>
      </c>
      <c r="M6" t="s">
        <v>746</v>
      </c>
      <c r="N6" t="s">
        <v>746</v>
      </c>
      <c r="O6" s="1032" t="s">
        <v>746</v>
      </c>
      <c r="AG6" s="1032"/>
    </row>
    <row r="7" spans="1:33">
      <c r="B7" t="s">
        <v>760</v>
      </c>
      <c r="O7" s="1032"/>
      <c r="P7" s="775"/>
      <c r="AG7" s="1032"/>
    </row>
    <row r="8" spans="1:33">
      <c r="A8">
        <v>90015</v>
      </c>
      <c r="B8" t="s">
        <v>847</v>
      </c>
      <c r="C8">
        <v>23</v>
      </c>
      <c r="D8">
        <v>22.25</v>
      </c>
      <c r="E8">
        <v>21</v>
      </c>
      <c r="F8">
        <v>24</v>
      </c>
      <c r="G8">
        <v>23</v>
      </c>
      <c r="H8">
        <v>22.25</v>
      </c>
      <c r="I8">
        <v>24</v>
      </c>
      <c r="J8">
        <v>22</v>
      </c>
      <c r="K8">
        <v>23.25</v>
      </c>
      <c r="L8">
        <v>24</v>
      </c>
      <c r="M8">
        <v>21.25</v>
      </c>
      <c r="N8">
        <v>24</v>
      </c>
      <c r="O8" s="1032">
        <v>23</v>
      </c>
      <c r="P8" s="775">
        <f>SUM(C8:N8)</f>
        <v>274</v>
      </c>
      <c r="AG8" s="1032"/>
    </row>
    <row r="9" spans="1:33">
      <c r="A9">
        <v>12001</v>
      </c>
      <c r="B9" t="s">
        <v>929</v>
      </c>
      <c r="C9">
        <v>70092</v>
      </c>
      <c r="D9">
        <v>68034</v>
      </c>
      <c r="E9">
        <v>64049</v>
      </c>
      <c r="F9">
        <v>72801</v>
      </c>
      <c r="G9">
        <v>70818</v>
      </c>
      <c r="H9">
        <v>67387</v>
      </c>
      <c r="I9">
        <v>73881</v>
      </c>
      <c r="J9">
        <v>68087</v>
      </c>
      <c r="K9">
        <v>71077</v>
      </c>
      <c r="L9">
        <v>72862</v>
      </c>
      <c r="M9">
        <v>65557</v>
      </c>
      <c r="N9">
        <v>73202</v>
      </c>
      <c r="O9" s="1032">
        <v>71048</v>
      </c>
      <c r="P9" s="775">
        <f t="shared" ref="P9:P72" si="0">SUM(C9:N9)</f>
        <v>837847</v>
      </c>
      <c r="AG9" s="1032"/>
    </row>
    <row r="10" spans="1:33">
      <c r="A10">
        <v>12001</v>
      </c>
      <c r="B10" t="s">
        <v>930</v>
      </c>
      <c r="C10">
        <v>50555</v>
      </c>
      <c r="D10">
        <v>48382</v>
      </c>
      <c r="E10">
        <v>45443</v>
      </c>
      <c r="F10">
        <v>52379</v>
      </c>
      <c r="G10">
        <v>50691</v>
      </c>
      <c r="H10">
        <v>47394</v>
      </c>
      <c r="I10">
        <v>51134</v>
      </c>
      <c r="J10">
        <v>47712</v>
      </c>
      <c r="K10">
        <v>47590</v>
      </c>
      <c r="L10">
        <v>48903</v>
      </c>
      <c r="M10">
        <v>44605</v>
      </c>
      <c r="N10">
        <v>50137</v>
      </c>
      <c r="O10" s="1032">
        <v>48727</v>
      </c>
      <c r="P10" s="775">
        <f t="shared" si="0"/>
        <v>584925</v>
      </c>
      <c r="AG10" s="1032"/>
    </row>
    <row r="11" spans="1:33">
      <c r="B11" t="s">
        <v>931</v>
      </c>
      <c r="C11">
        <v>120647</v>
      </c>
      <c r="D11">
        <v>116416</v>
      </c>
      <c r="E11">
        <v>109492</v>
      </c>
      <c r="F11">
        <v>125180</v>
      </c>
      <c r="G11">
        <v>121509</v>
      </c>
      <c r="H11">
        <v>114781</v>
      </c>
      <c r="I11">
        <v>125015</v>
      </c>
      <c r="J11">
        <v>115799</v>
      </c>
      <c r="K11">
        <v>118667</v>
      </c>
      <c r="L11">
        <v>121765</v>
      </c>
      <c r="M11">
        <v>110162</v>
      </c>
      <c r="N11">
        <v>123339</v>
      </c>
      <c r="O11" s="1032">
        <v>119775</v>
      </c>
      <c r="P11" s="775">
        <f t="shared" si="0"/>
        <v>1422772</v>
      </c>
      <c r="AG11" s="1032"/>
    </row>
    <row r="12" spans="1:33">
      <c r="A12">
        <v>12008</v>
      </c>
      <c r="B12" t="s">
        <v>932</v>
      </c>
      <c r="C12">
        <v>16284</v>
      </c>
      <c r="D12">
        <v>15719</v>
      </c>
      <c r="E12">
        <v>14816</v>
      </c>
      <c r="F12">
        <v>16832</v>
      </c>
      <c r="G12">
        <v>16291</v>
      </c>
      <c r="H12">
        <v>15532</v>
      </c>
      <c r="I12">
        <v>17129</v>
      </c>
      <c r="J12">
        <v>15631</v>
      </c>
      <c r="K12">
        <v>16371</v>
      </c>
      <c r="L12">
        <v>16864</v>
      </c>
      <c r="M12">
        <v>15028</v>
      </c>
      <c r="N12">
        <v>16921</v>
      </c>
      <c r="O12" s="1032">
        <v>16402</v>
      </c>
      <c r="P12" s="775">
        <f t="shared" si="0"/>
        <v>193418</v>
      </c>
      <c r="AG12" s="1032"/>
    </row>
    <row r="13" spans="1:33">
      <c r="A13">
        <v>12008</v>
      </c>
      <c r="B13" t="s">
        <v>933</v>
      </c>
      <c r="C13">
        <v>22139</v>
      </c>
      <c r="D13">
        <v>21080</v>
      </c>
      <c r="E13">
        <v>20517</v>
      </c>
      <c r="F13">
        <v>23449</v>
      </c>
      <c r="G13">
        <v>22639</v>
      </c>
      <c r="H13">
        <v>21438</v>
      </c>
      <c r="I13">
        <v>22959</v>
      </c>
      <c r="J13">
        <v>21704</v>
      </c>
      <c r="K13">
        <v>20135</v>
      </c>
      <c r="L13">
        <v>20712</v>
      </c>
      <c r="M13">
        <v>20195</v>
      </c>
      <c r="N13">
        <v>22078</v>
      </c>
      <c r="O13" s="1032">
        <v>21918</v>
      </c>
      <c r="P13" s="775">
        <f t="shared" si="0"/>
        <v>259045</v>
      </c>
      <c r="AG13" s="1032"/>
    </row>
    <row r="14" spans="1:33">
      <c r="B14" t="s">
        <v>934</v>
      </c>
      <c r="C14">
        <v>38423</v>
      </c>
      <c r="D14">
        <v>36799</v>
      </c>
      <c r="E14">
        <v>35333</v>
      </c>
      <c r="F14">
        <v>40281</v>
      </c>
      <c r="G14">
        <v>38930</v>
      </c>
      <c r="H14">
        <v>36970</v>
      </c>
      <c r="I14">
        <v>40088</v>
      </c>
      <c r="J14">
        <v>37335</v>
      </c>
      <c r="K14">
        <v>36506</v>
      </c>
      <c r="L14">
        <v>37576</v>
      </c>
      <c r="M14">
        <v>35223</v>
      </c>
      <c r="N14">
        <v>38999</v>
      </c>
      <c r="O14" s="1032">
        <v>38320</v>
      </c>
      <c r="P14" s="775">
        <f t="shared" si="0"/>
        <v>452463</v>
      </c>
      <c r="AG14" s="1032"/>
    </row>
    <row r="15" spans="1:33">
      <c r="A15">
        <v>12009</v>
      </c>
      <c r="B15" t="s">
        <v>935</v>
      </c>
      <c r="C15">
        <v>37</v>
      </c>
      <c r="D15">
        <v>30</v>
      </c>
      <c r="E15">
        <v>29</v>
      </c>
      <c r="F15">
        <v>24</v>
      </c>
      <c r="G15">
        <v>39</v>
      </c>
      <c r="H15">
        <v>29</v>
      </c>
      <c r="I15">
        <v>36</v>
      </c>
      <c r="J15">
        <v>24</v>
      </c>
      <c r="K15">
        <v>56</v>
      </c>
      <c r="L15">
        <v>58</v>
      </c>
      <c r="M15">
        <v>53</v>
      </c>
      <c r="N15">
        <v>37</v>
      </c>
      <c r="O15" s="1032">
        <v>43</v>
      </c>
      <c r="P15" s="775">
        <f t="shared" si="0"/>
        <v>452</v>
      </c>
      <c r="AG15" s="1032"/>
    </row>
    <row r="16" spans="1:33">
      <c r="A16" s="1171">
        <v>12003</v>
      </c>
      <c r="B16" s="1171" t="s">
        <v>936</v>
      </c>
      <c r="C16" s="1171">
        <v>2478</v>
      </c>
      <c r="D16" s="1171">
        <v>2396</v>
      </c>
      <c r="E16" s="1171">
        <v>2259</v>
      </c>
      <c r="F16" s="1171">
        <v>2580</v>
      </c>
      <c r="G16" s="1171">
        <v>2539</v>
      </c>
      <c r="H16" s="1171">
        <v>2404</v>
      </c>
      <c r="I16" s="1171">
        <v>2724</v>
      </c>
      <c r="J16" s="1171">
        <v>2452</v>
      </c>
      <c r="K16" s="1171">
        <v>2634</v>
      </c>
      <c r="L16" s="1171">
        <v>2686</v>
      </c>
      <c r="M16" s="1171">
        <v>2431</v>
      </c>
      <c r="N16" s="1171">
        <v>2658</v>
      </c>
      <c r="O16" s="1172">
        <v>2580</v>
      </c>
      <c r="P16" s="1200">
        <f t="shared" si="0"/>
        <v>30241</v>
      </c>
      <c r="Q16" s="1201" t="s">
        <v>1368</v>
      </c>
      <c r="AG16" s="1032"/>
    </row>
    <row r="17" spans="1:33">
      <c r="A17">
        <v>12012</v>
      </c>
      <c r="B17" t="s">
        <v>937</v>
      </c>
      <c r="C17">
        <v>2186</v>
      </c>
      <c r="D17">
        <v>2144</v>
      </c>
      <c r="E17">
        <v>2008</v>
      </c>
      <c r="F17">
        <v>2327</v>
      </c>
      <c r="G17">
        <v>2272</v>
      </c>
      <c r="H17">
        <v>2115</v>
      </c>
      <c r="I17">
        <v>2384</v>
      </c>
      <c r="J17">
        <v>2193</v>
      </c>
      <c r="K17">
        <v>2278</v>
      </c>
      <c r="L17">
        <v>2354</v>
      </c>
      <c r="M17">
        <v>2657</v>
      </c>
      <c r="N17">
        <v>2767</v>
      </c>
      <c r="O17" s="1032">
        <v>2611</v>
      </c>
      <c r="P17" s="775">
        <f t="shared" si="0"/>
        <v>27685</v>
      </c>
      <c r="AG17" s="1032"/>
    </row>
    <row r="18" spans="1:33">
      <c r="A18">
        <v>12018</v>
      </c>
      <c r="B18" t="s">
        <v>938</v>
      </c>
      <c r="C18">
        <v>32404</v>
      </c>
      <c r="D18">
        <v>41979</v>
      </c>
      <c r="E18">
        <v>37720</v>
      </c>
      <c r="F18">
        <v>33459</v>
      </c>
      <c r="G18">
        <v>32841</v>
      </c>
      <c r="H18">
        <v>30877</v>
      </c>
      <c r="I18">
        <v>34254</v>
      </c>
      <c r="J18">
        <v>33171</v>
      </c>
      <c r="K18">
        <v>34872</v>
      </c>
      <c r="L18">
        <v>36468</v>
      </c>
      <c r="M18">
        <v>30548</v>
      </c>
      <c r="N18">
        <v>35614</v>
      </c>
      <c r="O18" s="1032">
        <v>32925</v>
      </c>
      <c r="P18" s="775">
        <f t="shared" si="0"/>
        <v>414207</v>
      </c>
      <c r="AG18" s="1032"/>
    </row>
    <row r="19" spans="1:33">
      <c r="A19">
        <v>90010</v>
      </c>
      <c r="B19" t="s">
        <v>857</v>
      </c>
      <c r="C19">
        <v>9046</v>
      </c>
      <c r="D19">
        <v>8902</v>
      </c>
      <c r="E19">
        <v>8817</v>
      </c>
      <c r="F19">
        <v>9987</v>
      </c>
      <c r="G19">
        <v>9842</v>
      </c>
      <c r="H19">
        <v>9284</v>
      </c>
      <c r="I19">
        <v>10583</v>
      </c>
      <c r="J19">
        <v>10007</v>
      </c>
      <c r="K19">
        <v>10887</v>
      </c>
      <c r="L19">
        <v>11080</v>
      </c>
      <c r="M19">
        <v>8039</v>
      </c>
      <c r="N19">
        <v>10845</v>
      </c>
      <c r="O19" s="1032">
        <v>10060</v>
      </c>
      <c r="P19" s="775">
        <f t="shared" si="0"/>
        <v>117319</v>
      </c>
      <c r="AG19" s="1032"/>
    </row>
    <row r="20" spans="1:33">
      <c r="B20" t="s">
        <v>939</v>
      </c>
      <c r="C20">
        <v>13</v>
      </c>
      <c r="D20">
        <v>13</v>
      </c>
      <c r="E20">
        <v>14</v>
      </c>
      <c r="F20">
        <v>13</v>
      </c>
      <c r="G20">
        <v>13</v>
      </c>
      <c r="H20">
        <v>13</v>
      </c>
      <c r="I20">
        <v>13</v>
      </c>
      <c r="J20">
        <v>13</v>
      </c>
      <c r="K20">
        <v>13</v>
      </c>
      <c r="L20">
        <v>13</v>
      </c>
      <c r="M20">
        <v>16</v>
      </c>
      <c r="N20">
        <v>16</v>
      </c>
      <c r="O20" s="1032">
        <v>16</v>
      </c>
      <c r="P20" s="775">
        <f t="shared" si="0"/>
        <v>163</v>
      </c>
      <c r="AG20" s="1032"/>
    </row>
    <row r="21" spans="1:33">
      <c r="A21">
        <v>12002</v>
      </c>
      <c r="B21" t="s">
        <v>940</v>
      </c>
      <c r="C21">
        <v>12</v>
      </c>
      <c r="D21">
        <v>12</v>
      </c>
      <c r="E21">
        <v>12</v>
      </c>
      <c r="F21">
        <v>12</v>
      </c>
      <c r="G21">
        <v>12</v>
      </c>
      <c r="H21">
        <v>12</v>
      </c>
      <c r="I21">
        <v>12</v>
      </c>
      <c r="J21">
        <v>12</v>
      </c>
      <c r="K21">
        <v>12</v>
      </c>
      <c r="L21">
        <v>12</v>
      </c>
      <c r="M21">
        <v>12</v>
      </c>
      <c r="N21">
        <v>12</v>
      </c>
      <c r="O21" s="1032">
        <v>12</v>
      </c>
      <c r="P21" s="775">
        <f t="shared" si="0"/>
        <v>144</v>
      </c>
      <c r="AG21" s="1032"/>
    </row>
    <row r="22" spans="1:33">
      <c r="A22">
        <v>81200</v>
      </c>
      <c r="B22" t="s">
        <v>941</v>
      </c>
      <c r="C22">
        <v>13</v>
      </c>
      <c r="D22">
        <v>13</v>
      </c>
      <c r="E22">
        <v>13</v>
      </c>
      <c r="F22">
        <v>14</v>
      </c>
      <c r="G22">
        <v>14</v>
      </c>
      <c r="H22">
        <v>14</v>
      </c>
      <c r="I22">
        <v>12</v>
      </c>
      <c r="J22">
        <v>11</v>
      </c>
      <c r="K22">
        <v>11</v>
      </c>
      <c r="L22">
        <v>11</v>
      </c>
      <c r="M22">
        <v>11</v>
      </c>
      <c r="N22">
        <v>11</v>
      </c>
      <c r="O22" s="1032">
        <v>12</v>
      </c>
      <c r="P22" s="775">
        <f t="shared" si="0"/>
        <v>148</v>
      </c>
      <c r="AG22" s="1032"/>
    </row>
    <row r="23" spans="1:33">
      <c r="A23">
        <v>81201</v>
      </c>
      <c r="B23" t="s">
        <v>942</v>
      </c>
      <c r="C23">
        <v>0</v>
      </c>
      <c r="D23">
        <v>0</v>
      </c>
      <c r="E23">
        <v>0</v>
      </c>
      <c r="F23">
        <v>0</v>
      </c>
      <c r="G23">
        <v>0</v>
      </c>
      <c r="H23">
        <v>0</v>
      </c>
      <c r="I23">
        <v>0</v>
      </c>
      <c r="J23">
        <v>0</v>
      </c>
      <c r="K23">
        <v>0</v>
      </c>
      <c r="L23">
        <v>0</v>
      </c>
      <c r="M23">
        <v>0</v>
      </c>
      <c r="N23">
        <v>0</v>
      </c>
      <c r="O23" s="1032">
        <v>0</v>
      </c>
      <c r="P23" s="775">
        <f t="shared" si="0"/>
        <v>0</v>
      </c>
      <c r="AG23" s="1032"/>
    </row>
    <row r="24" spans="1:33">
      <c r="O24" s="1032"/>
      <c r="AG24" s="1032"/>
    </row>
    <row r="25" spans="1:33" ht="21" customHeight="1">
      <c r="B25" t="s">
        <v>943</v>
      </c>
      <c r="C25">
        <v>3047.48</v>
      </c>
      <c r="D25">
        <v>3057.71</v>
      </c>
      <c r="E25">
        <v>3049.95</v>
      </c>
      <c r="F25">
        <v>3033.38</v>
      </c>
      <c r="G25">
        <v>3079.04</v>
      </c>
      <c r="H25">
        <v>3028.63</v>
      </c>
      <c r="I25">
        <v>3078.38</v>
      </c>
      <c r="J25">
        <v>3094.86</v>
      </c>
      <c r="K25">
        <v>3057.08</v>
      </c>
      <c r="L25">
        <v>3035.92</v>
      </c>
      <c r="M25">
        <v>3085.04</v>
      </c>
      <c r="N25">
        <v>3050.08</v>
      </c>
      <c r="O25" s="1032">
        <v>3089.04</v>
      </c>
      <c r="P25" s="1034">
        <f>AVERAGE(C25:N25)</f>
        <v>3058.1291666666671</v>
      </c>
      <c r="Q25" s="2251" t="s">
        <v>1016</v>
      </c>
      <c r="AG25" s="1032"/>
    </row>
    <row r="26" spans="1:33">
      <c r="B26" t="s">
        <v>944</v>
      </c>
      <c r="C26">
        <v>2198.04</v>
      </c>
      <c r="D26">
        <v>2174.4699999999998</v>
      </c>
      <c r="E26">
        <v>2163.9499999999998</v>
      </c>
      <c r="F26">
        <v>2182.46</v>
      </c>
      <c r="G26">
        <v>2203.96</v>
      </c>
      <c r="H26">
        <v>2130.0700000000002</v>
      </c>
      <c r="I26">
        <v>2130.58</v>
      </c>
      <c r="J26">
        <v>2168.73</v>
      </c>
      <c r="K26">
        <v>2046.88</v>
      </c>
      <c r="L26">
        <v>2037.63</v>
      </c>
      <c r="M26">
        <v>2099.06</v>
      </c>
      <c r="N26">
        <v>2089.04</v>
      </c>
      <c r="O26" s="1032">
        <v>2118.5700000000002</v>
      </c>
      <c r="P26" s="1034">
        <f t="shared" ref="P26:P38" si="1">AVERAGE(C26:N26)</f>
        <v>2135.4058333333337</v>
      </c>
      <c r="Q26" s="2251"/>
      <c r="AG26" s="1032"/>
    </row>
    <row r="27" spans="1:33">
      <c r="B27" t="s">
        <v>945</v>
      </c>
      <c r="C27">
        <v>5245.52</v>
      </c>
      <c r="D27">
        <v>5232.18</v>
      </c>
      <c r="E27">
        <v>5213.8999999999996</v>
      </c>
      <c r="F27">
        <v>5215.83</v>
      </c>
      <c r="G27">
        <v>5283</v>
      </c>
      <c r="H27">
        <v>5158.7</v>
      </c>
      <c r="I27">
        <v>5208.96</v>
      </c>
      <c r="J27">
        <v>5263.59</v>
      </c>
      <c r="K27">
        <v>5103.96</v>
      </c>
      <c r="L27">
        <v>5073.54</v>
      </c>
      <c r="M27">
        <v>5184.09</v>
      </c>
      <c r="N27">
        <v>5139.13</v>
      </c>
      <c r="O27" s="1032">
        <v>5207.6099999999997</v>
      </c>
      <c r="P27" s="1034">
        <f t="shared" si="1"/>
        <v>5193.5333333333338</v>
      </c>
      <c r="Q27" s="2251"/>
      <c r="AG27" s="1032"/>
    </row>
    <row r="28" spans="1:33">
      <c r="B28" t="s">
        <v>865</v>
      </c>
      <c r="C28">
        <v>0.42</v>
      </c>
      <c r="D28">
        <v>0.42</v>
      </c>
      <c r="E28">
        <v>0.42</v>
      </c>
      <c r="F28">
        <v>0.42</v>
      </c>
      <c r="G28">
        <v>0.42</v>
      </c>
      <c r="H28">
        <v>0.41</v>
      </c>
      <c r="I28">
        <v>0.41</v>
      </c>
      <c r="J28">
        <v>0.41</v>
      </c>
      <c r="K28">
        <v>0.4</v>
      </c>
      <c r="L28">
        <v>0.4</v>
      </c>
      <c r="M28">
        <v>0.4</v>
      </c>
      <c r="N28">
        <v>0.41</v>
      </c>
      <c r="O28" s="1032">
        <v>0.41</v>
      </c>
      <c r="P28" s="1034">
        <f t="shared" si="1"/>
        <v>0.41166666666666679</v>
      </c>
      <c r="Q28" s="2251"/>
      <c r="AG28" s="1032"/>
    </row>
    <row r="29" spans="1:33">
      <c r="B29" t="s">
        <v>946</v>
      </c>
      <c r="C29">
        <v>437.13</v>
      </c>
      <c r="D29">
        <v>436.02</v>
      </c>
      <c r="E29">
        <v>434.49</v>
      </c>
      <c r="F29">
        <v>434.65</v>
      </c>
      <c r="G29">
        <v>440.25</v>
      </c>
      <c r="H29">
        <v>429.89</v>
      </c>
      <c r="I29">
        <v>434.08</v>
      </c>
      <c r="J29">
        <v>438.63</v>
      </c>
      <c r="K29">
        <v>425.33</v>
      </c>
      <c r="L29">
        <v>422.8</v>
      </c>
      <c r="M29">
        <v>432.01</v>
      </c>
      <c r="N29">
        <v>428.26</v>
      </c>
      <c r="O29" s="1032">
        <v>433.97</v>
      </c>
      <c r="P29" s="1034">
        <f t="shared" si="1"/>
        <v>432.79500000000002</v>
      </c>
      <c r="Q29" s="2251"/>
      <c r="AG29" s="1032"/>
    </row>
    <row r="30" spans="1:33">
      <c r="B30" t="s">
        <v>947</v>
      </c>
      <c r="C30">
        <v>708</v>
      </c>
      <c r="D30">
        <v>706.47</v>
      </c>
      <c r="E30">
        <v>705.52</v>
      </c>
      <c r="F30">
        <v>701.33</v>
      </c>
      <c r="G30">
        <v>708.3</v>
      </c>
      <c r="H30">
        <v>698.07</v>
      </c>
      <c r="I30">
        <v>713.71</v>
      </c>
      <c r="J30">
        <v>710.5</v>
      </c>
      <c r="K30">
        <v>704.13</v>
      </c>
      <c r="L30">
        <v>702.67</v>
      </c>
      <c r="M30">
        <v>707.2</v>
      </c>
      <c r="N30">
        <v>705.04</v>
      </c>
      <c r="O30" s="1032">
        <v>713.13</v>
      </c>
      <c r="P30" s="1034">
        <f t="shared" si="1"/>
        <v>705.91166666666652</v>
      </c>
      <c r="Q30" s="2251"/>
      <c r="AG30" s="1032"/>
    </row>
    <row r="31" spans="1:33">
      <c r="B31" t="s">
        <v>948</v>
      </c>
      <c r="C31">
        <v>962.57</v>
      </c>
      <c r="D31">
        <v>947.42</v>
      </c>
      <c r="E31">
        <v>977</v>
      </c>
      <c r="F31">
        <v>977.04</v>
      </c>
      <c r="G31">
        <v>984.3</v>
      </c>
      <c r="H31">
        <v>963.51</v>
      </c>
      <c r="I31">
        <v>956.63</v>
      </c>
      <c r="J31">
        <v>986.55</v>
      </c>
      <c r="K31">
        <v>866.02</v>
      </c>
      <c r="L31">
        <v>863</v>
      </c>
      <c r="M31">
        <v>950.35</v>
      </c>
      <c r="N31">
        <v>919.92</v>
      </c>
      <c r="O31" s="1032">
        <v>952.96</v>
      </c>
      <c r="P31" s="1034">
        <f t="shared" si="1"/>
        <v>946.19250000000011</v>
      </c>
      <c r="Q31" s="2251"/>
      <c r="AG31" s="1032"/>
    </row>
    <row r="32" spans="1:33">
      <c r="B32" t="s">
        <v>949</v>
      </c>
      <c r="C32">
        <v>1670.57</v>
      </c>
      <c r="D32">
        <v>1653.89</v>
      </c>
      <c r="E32">
        <v>1682.52</v>
      </c>
      <c r="F32">
        <v>1678.38</v>
      </c>
      <c r="G32">
        <v>1692.61</v>
      </c>
      <c r="H32">
        <v>1661.57</v>
      </c>
      <c r="I32">
        <v>1670.33</v>
      </c>
      <c r="J32">
        <v>1697.05</v>
      </c>
      <c r="K32">
        <v>1570.15</v>
      </c>
      <c r="L32">
        <v>1565.67</v>
      </c>
      <c r="M32">
        <v>1657.55</v>
      </c>
      <c r="N32">
        <v>1624.96</v>
      </c>
      <c r="O32" s="1032">
        <v>1666.09</v>
      </c>
      <c r="P32" s="1034">
        <f t="shared" si="1"/>
        <v>1652.1041666666663</v>
      </c>
      <c r="Q32" s="2251"/>
      <c r="AG32" s="1032"/>
    </row>
    <row r="33" spans="1:33">
      <c r="B33" t="s">
        <v>950</v>
      </c>
      <c r="C33">
        <v>139.21</v>
      </c>
      <c r="D33">
        <v>137.82</v>
      </c>
      <c r="E33">
        <v>140.21</v>
      </c>
      <c r="F33">
        <v>139.87</v>
      </c>
      <c r="G33">
        <v>141.05000000000001</v>
      </c>
      <c r="H33">
        <v>138.46</v>
      </c>
      <c r="I33">
        <v>139.19</v>
      </c>
      <c r="J33">
        <v>141.41999999999999</v>
      </c>
      <c r="K33">
        <v>130.85</v>
      </c>
      <c r="L33">
        <v>130.47</v>
      </c>
      <c r="M33">
        <v>138.13</v>
      </c>
      <c r="N33">
        <v>135.41</v>
      </c>
      <c r="O33" s="1032">
        <v>138.84</v>
      </c>
      <c r="P33" s="1034">
        <f t="shared" si="1"/>
        <v>137.67416666666671</v>
      </c>
      <c r="Q33" s="2251"/>
      <c r="AG33" s="1032"/>
    </row>
    <row r="34" spans="1:33">
      <c r="B34" t="s">
        <v>951</v>
      </c>
      <c r="C34">
        <v>15.51</v>
      </c>
      <c r="D34">
        <v>15.36</v>
      </c>
      <c r="E34">
        <v>15.64</v>
      </c>
      <c r="F34">
        <v>15.61</v>
      </c>
      <c r="G34">
        <v>15.33</v>
      </c>
      <c r="H34">
        <v>15.38</v>
      </c>
      <c r="I34">
        <v>14.72</v>
      </c>
      <c r="J34">
        <v>15.23</v>
      </c>
      <c r="K34">
        <v>13.86</v>
      </c>
      <c r="L34">
        <v>13.99</v>
      </c>
      <c r="M34">
        <v>14.49</v>
      </c>
      <c r="N34">
        <v>14.67</v>
      </c>
      <c r="O34" s="1032">
        <v>14.85</v>
      </c>
      <c r="P34" s="1034">
        <f t="shared" si="1"/>
        <v>14.9825</v>
      </c>
      <c r="Q34" s="2251"/>
      <c r="AG34" s="1032"/>
    </row>
    <row r="35" spans="1:33">
      <c r="B35" t="s">
        <v>952</v>
      </c>
      <c r="C35">
        <v>48.69</v>
      </c>
      <c r="D35">
        <v>48.59</v>
      </c>
      <c r="E35">
        <v>48.47</v>
      </c>
      <c r="F35">
        <v>48.52</v>
      </c>
      <c r="G35">
        <v>47.86</v>
      </c>
      <c r="H35">
        <v>47.75</v>
      </c>
      <c r="I35">
        <v>45.89</v>
      </c>
      <c r="J35">
        <v>47.23</v>
      </c>
      <c r="K35">
        <v>45.05</v>
      </c>
      <c r="L35">
        <v>45.33</v>
      </c>
      <c r="M35">
        <v>45.32</v>
      </c>
      <c r="N35">
        <v>46.4</v>
      </c>
      <c r="O35" s="1032">
        <v>46.42</v>
      </c>
      <c r="P35" s="1034">
        <f t="shared" si="1"/>
        <v>47.091666666666669</v>
      </c>
      <c r="Q35" s="2251"/>
      <c r="AG35" s="1032"/>
    </row>
    <row r="36" spans="1:33">
      <c r="B36" t="s">
        <v>953</v>
      </c>
      <c r="C36">
        <v>1.19</v>
      </c>
      <c r="D36">
        <v>0.88</v>
      </c>
      <c r="E36">
        <v>0.94</v>
      </c>
      <c r="F36">
        <v>1.2</v>
      </c>
      <c r="G36">
        <v>1.19</v>
      </c>
      <c r="H36">
        <v>1.2</v>
      </c>
      <c r="I36">
        <v>1.17</v>
      </c>
      <c r="J36">
        <v>1.1299999999999999</v>
      </c>
      <c r="K36">
        <v>1.05</v>
      </c>
      <c r="L36">
        <v>1.03</v>
      </c>
      <c r="M36">
        <v>1.1499999999999999</v>
      </c>
      <c r="N36">
        <v>1.1000000000000001</v>
      </c>
      <c r="O36" s="1032">
        <v>1.1599999999999999</v>
      </c>
      <c r="P36" s="1034">
        <f t="shared" si="1"/>
        <v>1.1025</v>
      </c>
      <c r="Q36" s="2251"/>
      <c r="AG36" s="1032"/>
    </row>
    <row r="37" spans="1:33">
      <c r="B37" t="s">
        <v>869</v>
      </c>
      <c r="C37">
        <v>107.73</v>
      </c>
      <c r="D37">
        <v>107.69</v>
      </c>
      <c r="E37">
        <v>107.58</v>
      </c>
      <c r="F37">
        <v>107.48</v>
      </c>
      <c r="G37">
        <v>110.39</v>
      </c>
      <c r="H37">
        <v>108.04</v>
      </c>
      <c r="I37">
        <v>113.49</v>
      </c>
      <c r="J37">
        <v>111.45</v>
      </c>
      <c r="K37">
        <v>113.29</v>
      </c>
      <c r="L37">
        <v>111.91</v>
      </c>
      <c r="M37">
        <v>114.39</v>
      </c>
      <c r="N37">
        <v>110.74</v>
      </c>
      <c r="O37" s="1032">
        <v>112.17</v>
      </c>
      <c r="P37" s="1034">
        <f t="shared" si="1"/>
        <v>110.34833333333334</v>
      </c>
      <c r="Q37" s="2251"/>
      <c r="AG37" s="1032"/>
    </row>
    <row r="38" spans="1:33">
      <c r="B38" t="s">
        <v>870</v>
      </c>
      <c r="C38">
        <v>8.98</v>
      </c>
      <c r="D38">
        <v>8.9700000000000006</v>
      </c>
      <c r="E38">
        <v>8.9700000000000006</v>
      </c>
      <c r="F38">
        <v>8.9600000000000009</v>
      </c>
      <c r="G38">
        <v>9.1999999999999993</v>
      </c>
      <c r="H38">
        <v>9</v>
      </c>
      <c r="I38">
        <v>9.4600000000000009</v>
      </c>
      <c r="J38">
        <v>9.2899999999999991</v>
      </c>
      <c r="K38">
        <v>9.44</v>
      </c>
      <c r="L38">
        <v>9.33</v>
      </c>
      <c r="M38">
        <v>9.5299999999999994</v>
      </c>
      <c r="N38">
        <v>9.23</v>
      </c>
      <c r="O38" s="1032">
        <v>9.35</v>
      </c>
      <c r="P38" s="1034">
        <f t="shared" si="1"/>
        <v>9.1966666666666672</v>
      </c>
      <c r="Q38" s="2251"/>
      <c r="AG38" s="1032"/>
    </row>
    <row r="39" spans="1:33">
      <c r="O39" s="1032"/>
      <c r="AG39" s="1032"/>
    </row>
    <row r="40" spans="1:33">
      <c r="B40" t="s">
        <v>761</v>
      </c>
      <c r="O40" s="1032"/>
      <c r="AG40" s="1032"/>
    </row>
    <row r="41" spans="1:33">
      <c r="B41" t="s">
        <v>954</v>
      </c>
      <c r="C41">
        <v>9.68</v>
      </c>
      <c r="D41">
        <v>10.07</v>
      </c>
      <c r="E41">
        <v>10.56</v>
      </c>
      <c r="F41">
        <v>9.31</v>
      </c>
      <c r="G41">
        <v>9.5</v>
      </c>
      <c r="H41">
        <v>10.07</v>
      </c>
      <c r="I41">
        <v>9.42</v>
      </c>
      <c r="J41">
        <v>10.050000000000001</v>
      </c>
      <c r="K41">
        <v>9.77</v>
      </c>
      <c r="L41">
        <v>9.48</v>
      </c>
      <c r="M41">
        <v>10.54</v>
      </c>
      <c r="N41">
        <v>9.43</v>
      </c>
      <c r="O41" s="1032">
        <v>9.68</v>
      </c>
      <c r="P41">
        <f t="shared" si="0"/>
        <v>117.88</v>
      </c>
      <c r="AG41" s="1032"/>
    </row>
    <row r="42" spans="1:33">
      <c r="B42" t="s">
        <v>955</v>
      </c>
      <c r="C42">
        <v>9.02</v>
      </c>
      <c r="D42">
        <v>9.3699999999999992</v>
      </c>
      <c r="E42">
        <v>9.89</v>
      </c>
      <c r="F42">
        <v>8.68</v>
      </c>
      <c r="G42">
        <v>8.86</v>
      </c>
      <c r="H42">
        <v>9.3699999999999992</v>
      </c>
      <c r="I42">
        <v>8.68</v>
      </c>
      <c r="J42">
        <v>9.33</v>
      </c>
      <c r="K42">
        <v>9.11</v>
      </c>
      <c r="L42">
        <v>8.84</v>
      </c>
      <c r="M42">
        <v>9.86</v>
      </c>
      <c r="N42">
        <v>8.8000000000000007</v>
      </c>
      <c r="O42" s="1032">
        <v>8.99</v>
      </c>
      <c r="P42">
        <f t="shared" si="0"/>
        <v>109.81</v>
      </c>
      <c r="AG42" s="1032"/>
    </row>
    <row r="43" spans="1:33">
      <c r="B43" t="s">
        <v>956</v>
      </c>
      <c r="C43">
        <v>0.03</v>
      </c>
      <c r="D43">
        <v>0.04</v>
      </c>
      <c r="E43">
        <v>0.04</v>
      </c>
      <c r="F43">
        <v>0.03</v>
      </c>
      <c r="G43">
        <v>0.03</v>
      </c>
      <c r="H43">
        <v>0.03</v>
      </c>
      <c r="I43">
        <v>0.03</v>
      </c>
      <c r="J43">
        <v>0.03</v>
      </c>
      <c r="K43">
        <v>0.04</v>
      </c>
      <c r="L43">
        <v>0.03</v>
      </c>
      <c r="M43">
        <v>0.04</v>
      </c>
      <c r="N43">
        <v>0.03</v>
      </c>
      <c r="O43" s="1032">
        <v>0.04</v>
      </c>
      <c r="P43">
        <f t="shared" si="0"/>
        <v>0.39999999999999991</v>
      </c>
      <c r="AG43" s="1032"/>
    </row>
    <row r="44" spans="1:33">
      <c r="B44" t="s">
        <v>957</v>
      </c>
      <c r="C44">
        <v>0.06</v>
      </c>
      <c r="D44">
        <v>7.0000000000000007E-2</v>
      </c>
      <c r="E44">
        <v>7.0000000000000007E-2</v>
      </c>
      <c r="F44">
        <v>0.06</v>
      </c>
      <c r="G44">
        <v>0.06</v>
      </c>
      <c r="H44">
        <v>7.0000000000000007E-2</v>
      </c>
      <c r="I44">
        <v>0.06</v>
      </c>
      <c r="J44">
        <v>7.0000000000000007E-2</v>
      </c>
      <c r="K44">
        <v>0.06</v>
      </c>
      <c r="L44">
        <v>0.05</v>
      </c>
      <c r="M44">
        <v>7.0000000000000007E-2</v>
      </c>
      <c r="N44">
        <v>7.0000000000000007E-2</v>
      </c>
      <c r="O44" s="1032">
        <v>7.0000000000000007E-2</v>
      </c>
      <c r="P44">
        <f t="shared" si="0"/>
        <v>0.77000000000000024</v>
      </c>
      <c r="AG44" s="1032"/>
    </row>
    <row r="45" spans="1:33">
      <c r="B45" t="s">
        <v>958</v>
      </c>
      <c r="C45">
        <v>5.56</v>
      </c>
      <c r="D45">
        <v>5.79</v>
      </c>
      <c r="E45">
        <v>6.54</v>
      </c>
      <c r="F45">
        <v>4.51</v>
      </c>
      <c r="G45">
        <v>5.62</v>
      </c>
      <c r="H45">
        <v>5.82</v>
      </c>
      <c r="I45">
        <v>5.18</v>
      </c>
      <c r="J45">
        <v>5.85</v>
      </c>
      <c r="K45">
        <v>5.63</v>
      </c>
      <c r="L45">
        <v>5.28</v>
      </c>
      <c r="M45">
        <v>6.22</v>
      </c>
      <c r="N45">
        <v>5.3</v>
      </c>
      <c r="O45" s="1032">
        <v>5.57</v>
      </c>
      <c r="P45">
        <f t="shared" si="0"/>
        <v>67.300000000000011</v>
      </c>
      <c r="AG45" s="1032"/>
    </row>
    <row r="46" spans="1:33">
      <c r="O46" s="1032"/>
      <c r="AG46" s="1032"/>
    </row>
    <row r="47" spans="1:33">
      <c r="B47" t="s">
        <v>762</v>
      </c>
      <c r="O47" s="1032"/>
      <c r="AG47" s="1032"/>
    </row>
    <row r="48" spans="1:33">
      <c r="A48">
        <v>10300</v>
      </c>
      <c r="B48" t="s">
        <v>882</v>
      </c>
      <c r="C48">
        <v>3219</v>
      </c>
      <c r="D48">
        <v>3205</v>
      </c>
      <c r="E48">
        <v>2797</v>
      </c>
      <c r="F48">
        <v>3157</v>
      </c>
      <c r="G48">
        <v>3057</v>
      </c>
      <c r="H48">
        <v>3159</v>
      </c>
      <c r="I48">
        <v>3312</v>
      </c>
      <c r="J48">
        <v>3138</v>
      </c>
      <c r="K48">
        <v>3191</v>
      </c>
      <c r="L48">
        <v>3361</v>
      </c>
      <c r="M48">
        <v>3075</v>
      </c>
      <c r="N48">
        <v>3299</v>
      </c>
      <c r="O48" s="1032">
        <v>3193</v>
      </c>
      <c r="P48">
        <f t="shared" si="0"/>
        <v>37970</v>
      </c>
      <c r="AG48" s="1032"/>
    </row>
    <row r="49" spans="1:33">
      <c r="B49" t="s">
        <v>883</v>
      </c>
      <c r="C49">
        <v>139.96</v>
      </c>
      <c r="D49">
        <v>144.03</v>
      </c>
      <c r="E49">
        <v>133.18</v>
      </c>
      <c r="F49">
        <v>131.54</v>
      </c>
      <c r="G49">
        <v>132.9</v>
      </c>
      <c r="H49">
        <v>141.99</v>
      </c>
      <c r="I49">
        <v>137.99</v>
      </c>
      <c r="J49">
        <v>142.63</v>
      </c>
      <c r="K49">
        <v>137.26</v>
      </c>
      <c r="L49">
        <v>140.05000000000001</v>
      </c>
      <c r="M49">
        <v>144.68</v>
      </c>
      <c r="N49">
        <v>137.46</v>
      </c>
      <c r="O49" s="1032">
        <v>138.81</v>
      </c>
      <c r="P49">
        <f t="shared" si="0"/>
        <v>1663.67</v>
      </c>
      <c r="AG49" s="1032"/>
    </row>
    <row r="50" spans="1:33">
      <c r="B50" t="s">
        <v>884</v>
      </c>
      <c r="C50">
        <v>16818.89</v>
      </c>
      <c r="D50">
        <v>17307.77</v>
      </c>
      <c r="E50">
        <v>16004.07</v>
      </c>
      <c r="F50">
        <v>15806.81</v>
      </c>
      <c r="G50">
        <v>15971.63</v>
      </c>
      <c r="H50">
        <v>17367.669999999998</v>
      </c>
      <c r="I50">
        <v>16582.21</v>
      </c>
      <c r="J50">
        <v>17139.849999999999</v>
      </c>
      <c r="K50">
        <v>16491.87</v>
      </c>
      <c r="L50">
        <v>16808.18</v>
      </c>
      <c r="M50">
        <v>17386.650000000001</v>
      </c>
      <c r="N50">
        <v>16518.02</v>
      </c>
      <c r="O50" s="1032">
        <v>16680.59</v>
      </c>
      <c r="P50">
        <f t="shared" si="0"/>
        <v>200203.62</v>
      </c>
      <c r="AG50" s="1032"/>
    </row>
    <row r="51" spans="1:33">
      <c r="B51" t="s">
        <v>885</v>
      </c>
      <c r="C51">
        <v>120.17</v>
      </c>
      <c r="D51">
        <v>120.16</v>
      </c>
      <c r="E51">
        <v>120.16</v>
      </c>
      <c r="F51">
        <v>120.17</v>
      </c>
      <c r="G51">
        <v>120.17</v>
      </c>
      <c r="H51">
        <v>122.33</v>
      </c>
      <c r="I51">
        <v>120.16</v>
      </c>
      <c r="J51">
        <v>120.16</v>
      </c>
      <c r="K51">
        <v>120.16</v>
      </c>
      <c r="L51">
        <v>120.02</v>
      </c>
      <c r="M51">
        <v>120.15</v>
      </c>
      <c r="N51">
        <v>120.17</v>
      </c>
      <c r="O51" s="1032">
        <v>120.15</v>
      </c>
      <c r="P51">
        <f t="shared" si="0"/>
        <v>1443.9800000000002</v>
      </c>
      <c r="AG51" s="1032"/>
    </row>
    <row r="52" spans="1:33">
      <c r="B52" t="s">
        <v>886</v>
      </c>
      <c r="C52">
        <v>1</v>
      </c>
      <c r="D52">
        <v>1</v>
      </c>
      <c r="E52">
        <v>1</v>
      </c>
      <c r="F52">
        <v>1</v>
      </c>
      <c r="G52">
        <v>1</v>
      </c>
      <c r="H52">
        <v>1</v>
      </c>
      <c r="I52">
        <v>1</v>
      </c>
      <c r="J52">
        <v>1</v>
      </c>
      <c r="K52">
        <v>1</v>
      </c>
      <c r="L52">
        <v>1</v>
      </c>
      <c r="M52">
        <v>1</v>
      </c>
      <c r="N52">
        <v>1</v>
      </c>
      <c r="O52" s="1032">
        <v>1</v>
      </c>
      <c r="P52">
        <f t="shared" si="0"/>
        <v>12</v>
      </c>
      <c r="AG52" s="1032"/>
    </row>
    <row r="53" spans="1:33">
      <c r="A53">
        <v>10305</v>
      </c>
      <c r="B53" t="s">
        <v>887</v>
      </c>
      <c r="C53">
        <v>0</v>
      </c>
      <c r="D53">
        <v>0</v>
      </c>
      <c r="E53">
        <v>0</v>
      </c>
      <c r="F53">
        <v>0</v>
      </c>
      <c r="G53">
        <v>0</v>
      </c>
      <c r="H53">
        <v>0</v>
      </c>
      <c r="I53">
        <v>0</v>
      </c>
      <c r="J53">
        <v>0</v>
      </c>
      <c r="K53">
        <v>0</v>
      </c>
      <c r="L53">
        <v>0</v>
      </c>
      <c r="M53">
        <v>0</v>
      </c>
      <c r="N53">
        <v>0</v>
      </c>
      <c r="O53" s="1032">
        <v>0</v>
      </c>
      <c r="P53">
        <f t="shared" si="0"/>
        <v>0</v>
      </c>
      <c r="AG53" s="1032"/>
    </row>
    <row r="54" spans="1:33">
      <c r="B54" t="s">
        <v>888</v>
      </c>
      <c r="C54">
        <v>0</v>
      </c>
      <c r="D54">
        <v>0</v>
      </c>
      <c r="E54">
        <v>0</v>
      </c>
      <c r="F54">
        <v>0</v>
      </c>
      <c r="G54">
        <v>0</v>
      </c>
      <c r="H54">
        <v>0</v>
      </c>
      <c r="I54">
        <v>0</v>
      </c>
      <c r="J54">
        <v>0</v>
      </c>
      <c r="K54">
        <v>0</v>
      </c>
      <c r="L54">
        <v>0</v>
      </c>
      <c r="M54">
        <v>0</v>
      </c>
      <c r="N54">
        <v>0</v>
      </c>
      <c r="O54" s="1032">
        <v>0</v>
      </c>
      <c r="P54">
        <f t="shared" si="0"/>
        <v>0</v>
      </c>
      <c r="AG54" s="1032"/>
    </row>
    <row r="55" spans="1:33">
      <c r="B55" t="s">
        <v>889</v>
      </c>
      <c r="C55">
        <v>0</v>
      </c>
      <c r="D55">
        <v>0</v>
      </c>
      <c r="E55">
        <v>0</v>
      </c>
      <c r="F55">
        <v>0</v>
      </c>
      <c r="G55">
        <v>0</v>
      </c>
      <c r="H55">
        <v>0</v>
      </c>
      <c r="I55">
        <v>0</v>
      </c>
      <c r="J55">
        <v>0</v>
      </c>
      <c r="K55">
        <v>0</v>
      </c>
      <c r="L55">
        <v>0</v>
      </c>
      <c r="M55">
        <v>0</v>
      </c>
      <c r="N55">
        <v>0</v>
      </c>
      <c r="O55" s="1032">
        <v>0</v>
      </c>
      <c r="P55">
        <f t="shared" si="0"/>
        <v>0</v>
      </c>
      <c r="AG55" s="1032"/>
    </row>
    <row r="56" spans="1:33">
      <c r="B56" t="s">
        <v>890</v>
      </c>
      <c r="C56">
        <v>0</v>
      </c>
      <c r="D56">
        <v>0</v>
      </c>
      <c r="E56">
        <v>0</v>
      </c>
      <c r="F56">
        <v>0</v>
      </c>
      <c r="G56">
        <v>0</v>
      </c>
      <c r="H56">
        <v>0</v>
      </c>
      <c r="I56">
        <v>0</v>
      </c>
      <c r="J56">
        <v>0</v>
      </c>
      <c r="K56">
        <v>0</v>
      </c>
      <c r="L56">
        <v>0</v>
      </c>
      <c r="M56">
        <v>0</v>
      </c>
      <c r="N56">
        <v>0</v>
      </c>
      <c r="O56" s="1032">
        <v>0</v>
      </c>
      <c r="P56">
        <f t="shared" si="0"/>
        <v>0</v>
      </c>
      <c r="AG56" s="1032"/>
    </row>
    <row r="57" spans="1:33">
      <c r="B57" t="s">
        <v>891</v>
      </c>
      <c r="C57">
        <v>0</v>
      </c>
      <c r="D57">
        <v>0</v>
      </c>
      <c r="E57">
        <v>0</v>
      </c>
      <c r="F57">
        <v>0</v>
      </c>
      <c r="G57">
        <v>0</v>
      </c>
      <c r="H57">
        <v>0</v>
      </c>
      <c r="I57">
        <v>0</v>
      </c>
      <c r="J57">
        <v>0</v>
      </c>
      <c r="K57">
        <v>0</v>
      </c>
      <c r="L57">
        <v>0</v>
      </c>
      <c r="M57">
        <v>0</v>
      </c>
      <c r="N57">
        <v>0</v>
      </c>
      <c r="O57" s="1032">
        <v>0</v>
      </c>
      <c r="P57">
        <f t="shared" si="0"/>
        <v>0</v>
      </c>
      <c r="AG57" s="1032"/>
    </row>
    <row r="58" spans="1:33">
      <c r="B58" t="s">
        <v>892</v>
      </c>
      <c r="C58">
        <v>3219</v>
      </c>
      <c r="D58">
        <v>3205</v>
      </c>
      <c r="E58">
        <v>2797</v>
      </c>
      <c r="F58">
        <v>3157</v>
      </c>
      <c r="G58">
        <v>3057</v>
      </c>
      <c r="H58">
        <v>3159</v>
      </c>
      <c r="I58">
        <v>3312</v>
      </c>
      <c r="J58">
        <v>3138</v>
      </c>
      <c r="K58">
        <v>3191</v>
      </c>
      <c r="L58">
        <v>3361</v>
      </c>
      <c r="M58">
        <v>3075</v>
      </c>
      <c r="N58">
        <v>3299</v>
      </c>
      <c r="O58" s="1032">
        <v>3193</v>
      </c>
      <c r="P58">
        <f t="shared" si="0"/>
        <v>37970</v>
      </c>
      <c r="AG58" s="1032"/>
    </row>
    <row r="59" spans="1:33">
      <c r="B59" t="s">
        <v>893</v>
      </c>
      <c r="C59">
        <v>139.96</v>
      </c>
      <c r="D59">
        <v>144.03</v>
      </c>
      <c r="E59">
        <v>133.18</v>
      </c>
      <c r="F59">
        <v>131.54</v>
      </c>
      <c r="G59">
        <v>132.9</v>
      </c>
      <c r="H59">
        <v>141.99</v>
      </c>
      <c r="I59">
        <v>137.99</v>
      </c>
      <c r="J59">
        <v>142.63</v>
      </c>
      <c r="K59">
        <v>137.26</v>
      </c>
      <c r="L59">
        <v>140.05000000000001</v>
      </c>
      <c r="M59">
        <v>144.68</v>
      </c>
      <c r="N59">
        <v>137.46</v>
      </c>
      <c r="O59" s="1032">
        <v>138.81</v>
      </c>
      <c r="P59">
        <f t="shared" si="0"/>
        <v>1663.67</v>
      </c>
      <c r="AG59" s="1032"/>
    </row>
    <row r="60" spans="1:33">
      <c r="B60" t="s">
        <v>894</v>
      </c>
      <c r="C60">
        <v>16818.89</v>
      </c>
      <c r="D60">
        <v>17307.77</v>
      </c>
      <c r="E60">
        <v>16004.07</v>
      </c>
      <c r="F60">
        <v>15806.81</v>
      </c>
      <c r="G60">
        <v>15971.63</v>
      </c>
      <c r="H60">
        <v>17367.669999999998</v>
      </c>
      <c r="I60">
        <v>16582.21</v>
      </c>
      <c r="J60">
        <v>17139.849999999999</v>
      </c>
      <c r="K60">
        <v>16491.87</v>
      </c>
      <c r="L60">
        <v>16808.18</v>
      </c>
      <c r="M60">
        <v>17386.650000000001</v>
      </c>
      <c r="N60">
        <v>16518.02</v>
      </c>
      <c r="O60" s="1032">
        <v>16680.59</v>
      </c>
      <c r="P60">
        <f t="shared" si="0"/>
        <v>200203.62</v>
      </c>
      <c r="AG60" s="1032"/>
    </row>
    <row r="61" spans="1:33">
      <c r="B61" t="s">
        <v>895</v>
      </c>
      <c r="C61">
        <v>120.17</v>
      </c>
      <c r="D61">
        <v>120.16</v>
      </c>
      <c r="E61">
        <v>120.16</v>
      </c>
      <c r="F61">
        <v>120.17</v>
      </c>
      <c r="G61">
        <v>120.17</v>
      </c>
      <c r="H61">
        <v>122.33</v>
      </c>
      <c r="I61">
        <v>120.16</v>
      </c>
      <c r="J61">
        <v>120.16</v>
      </c>
      <c r="K61">
        <v>120.16</v>
      </c>
      <c r="L61">
        <v>120.02</v>
      </c>
      <c r="M61">
        <v>120.15</v>
      </c>
      <c r="N61">
        <v>120.17</v>
      </c>
      <c r="O61" s="1032">
        <v>120.15</v>
      </c>
      <c r="P61">
        <f t="shared" si="0"/>
        <v>1443.9800000000002</v>
      </c>
      <c r="AG61" s="1032"/>
    </row>
    <row r="62" spans="1:33">
      <c r="B62" t="s">
        <v>896</v>
      </c>
      <c r="C62">
        <v>0.33</v>
      </c>
      <c r="D62">
        <v>0.33</v>
      </c>
      <c r="E62">
        <v>0.28999999999999998</v>
      </c>
      <c r="F62">
        <v>0.33</v>
      </c>
      <c r="G62">
        <v>0.32</v>
      </c>
      <c r="H62">
        <v>0.33</v>
      </c>
      <c r="I62">
        <v>0.34</v>
      </c>
      <c r="J62">
        <v>0.32</v>
      </c>
      <c r="K62">
        <v>0.33</v>
      </c>
      <c r="L62">
        <v>0.35</v>
      </c>
      <c r="M62">
        <v>0.32</v>
      </c>
      <c r="N62">
        <v>0.34</v>
      </c>
      <c r="O62" s="1032">
        <v>0.33</v>
      </c>
      <c r="P62">
        <f t="shared" si="0"/>
        <v>3.9299999999999997</v>
      </c>
      <c r="AG62" s="1032"/>
    </row>
    <row r="63" spans="1:33">
      <c r="B63" t="s">
        <v>959</v>
      </c>
      <c r="C63">
        <v>91.85</v>
      </c>
      <c r="D63">
        <v>94.21</v>
      </c>
      <c r="E63">
        <v>87.33</v>
      </c>
      <c r="F63">
        <v>86.73</v>
      </c>
      <c r="G63">
        <v>86.33</v>
      </c>
      <c r="H63">
        <v>93.77</v>
      </c>
      <c r="I63">
        <v>89.65</v>
      </c>
      <c r="J63">
        <v>92.17</v>
      </c>
      <c r="K63">
        <v>89.8</v>
      </c>
      <c r="L63">
        <v>92.26</v>
      </c>
      <c r="M63">
        <v>93.8</v>
      </c>
      <c r="N63">
        <v>90.13</v>
      </c>
      <c r="O63" s="1032">
        <v>89.87</v>
      </c>
      <c r="P63">
        <f t="shared" si="0"/>
        <v>1088.0299999999997</v>
      </c>
      <c r="AG63" s="1032"/>
    </row>
    <row r="64" spans="1:33">
      <c r="B64" t="s">
        <v>960</v>
      </c>
      <c r="C64">
        <v>43.53</v>
      </c>
      <c r="D64">
        <v>45.58</v>
      </c>
      <c r="E64">
        <v>43.26</v>
      </c>
      <c r="F64">
        <v>42.93</v>
      </c>
      <c r="G64">
        <v>43.14</v>
      </c>
      <c r="H64">
        <v>45.01</v>
      </c>
      <c r="I64">
        <v>44.2</v>
      </c>
      <c r="J64">
        <v>46.14</v>
      </c>
      <c r="K64">
        <v>46.11</v>
      </c>
      <c r="L64">
        <v>45.36</v>
      </c>
      <c r="M64">
        <v>48.9</v>
      </c>
      <c r="N64">
        <v>45.29</v>
      </c>
      <c r="O64" s="1032">
        <v>46.18</v>
      </c>
      <c r="P64">
        <f t="shared" si="0"/>
        <v>539.44999999999993</v>
      </c>
      <c r="AG64" s="1032"/>
    </row>
    <row r="65" spans="1:33">
      <c r="B65" t="s">
        <v>961</v>
      </c>
      <c r="C65">
        <v>71.599999999999994</v>
      </c>
      <c r="D65">
        <v>74</v>
      </c>
      <c r="E65">
        <v>69.040000000000006</v>
      </c>
      <c r="F65">
        <v>68.400000000000006</v>
      </c>
      <c r="G65">
        <v>68.31</v>
      </c>
      <c r="H65">
        <v>73.63</v>
      </c>
      <c r="I65">
        <v>71.06</v>
      </c>
      <c r="J65">
        <v>73.209999999999994</v>
      </c>
      <c r="K65">
        <v>72.28</v>
      </c>
      <c r="L65">
        <v>73.430000000000007</v>
      </c>
      <c r="M65">
        <v>75.62</v>
      </c>
      <c r="N65">
        <v>71.900000000000006</v>
      </c>
      <c r="O65" s="1032">
        <v>72.099999999999994</v>
      </c>
      <c r="P65">
        <f t="shared" si="0"/>
        <v>862.48</v>
      </c>
      <c r="AG65" s="1032"/>
    </row>
    <row r="66" spans="1:33">
      <c r="O66" s="1032"/>
      <c r="AG66" s="1032"/>
    </row>
    <row r="67" spans="1:33">
      <c r="B67" t="s">
        <v>763</v>
      </c>
      <c r="O67" s="1032"/>
      <c r="AG67" s="1032"/>
    </row>
    <row r="68" spans="1:33">
      <c r="A68">
        <v>10310</v>
      </c>
      <c r="B68" t="s">
        <v>900</v>
      </c>
      <c r="C68">
        <v>0</v>
      </c>
      <c r="D68">
        <v>0</v>
      </c>
      <c r="E68">
        <v>0</v>
      </c>
      <c r="F68">
        <v>0</v>
      </c>
      <c r="G68">
        <v>0</v>
      </c>
      <c r="H68">
        <v>0</v>
      </c>
      <c r="I68">
        <v>0</v>
      </c>
      <c r="J68">
        <v>0</v>
      </c>
      <c r="K68">
        <v>0</v>
      </c>
      <c r="L68">
        <v>0</v>
      </c>
      <c r="M68">
        <v>0</v>
      </c>
      <c r="N68">
        <v>0</v>
      </c>
      <c r="O68" s="1032">
        <v>0</v>
      </c>
      <c r="P68">
        <f t="shared" si="0"/>
        <v>0</v>
      </c>
      <c r="AG68" s="1032"/>
    </row>
    <row r="69" spans="1:33">
      <c r="B69" t="s">
        <v>901</v>
      </c>
      <c r="C69">
        <v>0</v>
      </c>
      <c r="D69">
        <v>0</v>
      </c>
      <c r="E69">
        <v>0</v>
      </c>
      <c r="F69">
        <v>0</v>
      </c>
      <c r="G69">
        <v>0</v>
      </c>
      <c r="H69">
        <v>0</v>
      </c>
      <c r="I69">
        <v>0</v>
      </c>
      <c r="J69">
        <v>0</v>
      </c>
      <c r="K69">
        <v>0</v>
      </c>
      <c r="L69">
        <v>0</v>
      </c>
      <c r="M69">
        <v>0</v>
      </c>
      <c r="N69">
        <v>0</v>
      </c>
      <c r="O69" s="1032">
        <v>0</v>
      </c>
      <c r="P69">
        <f t="shared" si="0"/>
        <v>0</v>
      </c>
      <c r="AG69" s="1032"/>
    </row>
    <row r="70" spans="1:33">
      <c r="B70" t="s">
        <v>902</v>
      </c>
      <c r="C70">
        <v>0</v>
      </c>
      <c r="D70">
        <v>0</v>
      </c>
      <c r="E70">
        <v>0</v>
      </c>
      <c r="F70">
        <v>0</v>
      </c>
      <c r="G70">
        <v>0</v>
      </c>
      <c r="H70">
        <v>0</v>
      </c>
      <c r="I70">
        <v>0</v>
      </c>
      <c r="J70">
        <v>0</v>
      </c>
      <c r="K70">
        <v>0</v>
      </c>
      <c r="L70">
        <v>0</v>
      </c>
      <c r="M70">
        <v>0</v>
      </c>
      <c r="N70">
        <v>0</v>
      </c>
      <c r="O70" s="1032">
        <v>0</v>
      </c>
      <c r="P70">
        <f t="shared" si="0"/>
        <v>0</v>
      </c>
      <c r="AG70" s="1032"/>
    </row>
    <row r="71" spans="1:33">
      <c r="B71" t="s">
        <v>903</v>
      </c>
      <c r="C71">
        <v>0</v>
      </c>
      <c r="D71">
        <v>0</v>
      </c>
      <c r="E71">
        <v>0</v>
      </c>
      <c r="F71">
        <v>0</v>
      </c>
      <c r="G71">
        <v>0</v>
      </c>
      <c r="H71">
        <v>0</v>
      </c>
      <c r="I71">
        <v>0</v>
      </c>
      <c r="J71">
        <v>0</v>
      </c>
      <c r="K71">
        <v>0</v>
      </c>
      <c r="L71">
        <v>0</v>
      </c>
      <c r="M71">
        <v>0</v>
      </c>
      <c r="N71">
        <v>0</v>
      </c>
      <c r="O71" s="1032">
        <v>0</v>
      </c>
      <c r="P71">
        <f t="shared" si="0"/>
        <v>0</v>
      </c>
      <c r="AG71" s="1032"/>
    </row>
    <row r="72" spans="1:33">
      <c r="B72" t="s">
        <v>886</v>
      </c>
      <c r="C72">
        <v>0</v>
      </c>
      <c r="D72">
        <v>0</v>
      </c>
      <c r="E72">
        <v>0</v>
      </c>
      <c r="F72">
        <v>0</v>
      </c>
      <c r="G72">
        <v>0</v>
      </c>
      <c r="H72">
        <v>0</v>
      </c>
      <c r="I72">
        <v>0</v>
      </c>
      <c r="J72">
        <v>0</v>
      </c>
      <c r="K72">
        <v>0</v>
      </c>
      <c r="L72">
        <v>0</v>
      </c>
      <c r="M72">
        <v>0</v>
      </c>
      <c r="N72">
        <v>0</v>
      </c>
      <c r="O72" s="1032">
        <v>0</v>
      </c>
      <c r="P72">
        <f t="shared" si="0"/>
        <v>0</v>
      </c>
      <c r="AG72" s="1032"/>
    </row>
    <row r="73" spans="1:33">
      <c r="A73">
        <v>10330</v>
      </c>
      <c r="B73" t="s">
        <v>904</v>
      </c>
      <c r="C73">
        <v>1100</v>
      </c>
      <c r="D73">
        <v>1103</v>
      </c>
      <c r="E73">
        <v>983</v>
      </c>
      <c r="F73">
        <v>1124</v>
      </c>
      <c r="G73">
        <v>1093</v>
      </c>
      <c r="H73">
        <v>1067</v>
      </c>
      <c r="I73">
        <v>1130</v>
      </c>
      <c r="J73">
        <v>1101</v>
      </c>
      <c r="K73">
        <v>1097</v>
      </c>
      <c r="L73">
        <v>1109</v>
      </c>
      <c r="M73">
        <v>1091</v>
      </c>
      <c r="N73">
        <v>1135</v>
      </c>
      <c r="O73" s="1032">
        <v>1125</v>
      </c>
      <c r="P73">
        <f t="shared" ref="P73:P104" si="2">SUM(C73:N73)</f>
        <v>13133</v>
      </c>
      <c r="AG73" s="1032"/>
    </row>
    <row r="74" spans="1:33">
      <c r="B74" t="s">
        <v>905</v>
      </c>
      <c r="C74">
        <v>47.84</v>
      </c>
      <c r="D74">
        <v>49.56</v>
      </c>
      <c r="E74">
        <v>46.81</v>
      </c>
      <c r="F74">
        <v>46.85</v>
      </c>
      <c r="G74">
        <v>47.53</v>
      </c>
      <c r="H74">
        <v>47.94</v>
      </c>
      <c r="I74">
        <v>47.08</v>
      </c>
      <c r="J74">
        <v>50.03</v>
      </c>
      <c r="K74">
        <v>47.19</v>
      </c>
      <c r="L74">
        <v>46.22</v>
      </c>
      <c r="M74">
        <v>51.32</v>
      </c>
      <c r="N74">
        <v>47.3</v>
      </c>
      <c r="O74" s="1032">
        <v>48.91</v>
      </c>
      <c r="P74">
        <f t="shared" si="2"/>
        <v>575.66999999999996</v>
      </c>
      <c r="AG74" s="1032"/>
    </row>
    <row r="75" spans="1:33">
      <c r="B75" t="s">
        <v>906</v>
      </c>
      <c r="C75">
        <v>3123.61</v>
      </c>
      <c r="D75">
        <v>3295.66</v>
      </c>
      <c r="E75">
        <v>3102.06</v>
      </c>
      <c r="F75">
        <v>2982.49</v>
      </c>
      <c r="G75">
        <v>3029.83</v>
      </c>
      <c r="H75">
        <v>3245.3</v>
      </c>
      <c r="I75">
        <v>3507</v>
      </c>
      <c r="J75">
        <v>3419.64</v>
      </c>
      <c r="K75">
        <v>3064.24</v>
      </c>
      <c r="L75">
        <v>2966.73</v>
      </c>
      <c r="M75">
        <v>3167.45</v>
      </c>
      <c r="N75">
        <v>2861.65</v>
      </c>
      <c r="O75" s="1032">
        <v>3265.49</v>
      </c>
      <c r="P75">
        <f t="shared" si="2"/>
        <v>37765.660000000003</v>
      </c>
      <c r="AG75" s="1032"/>
    </row>
    <row r="76" spans="1:33">
      <c r="B76" t="s">
        <v>907</v>
      </c>
      <c r="C76">
        <v>65.31</v>
      </c>
      <c r="D76">
        <v>66.48</v>
      </c>
      <c r="E76">
        <v>66.27</v>
      </c>
      <c r="F76">
        <v>63.68</v>
      </c>
      <c r="G76">
        <v>63.76</v>
      </c>
      <c r="H76">
        <v>67.67</v>
      </c>
      <c r="I76">
        <v>74.48</v>
      </c>
      <c r="J76">
        <v>68.33</v>
      </c>
      <c r="K76">
        <v>64.94</v>
      </c>
      <c r="L76">
        <v>64.2</v>
      </c>
      <c r="M76">
        <v>61.69</v>
      </c>
      <c r="N76">
        <v>60.51</v>
      </c>
      <c r="O76" s="1032">
        <v>66.760000000000005</v>
      </c>
      <c r="P76">
        <f t="shared" si="2"/>
        <v>787.32000000000016</v>
      </c>
      <c r="AG76" s="1032"/>
    </row>
    <row r="77" spans="1:33">
      <c r="B77" t="s">
        <v>891</v>
      </c>
      <c r="C77">
        <v>1</v>
      </c>
      <c r="D77">
        <v>1</v>
      </c>
      <c r="E77">
        <v>1</v>
      </c>
      <c r="F77">
        <v>1</v>
      </c>
      <c r="G77">
        <v>1</v>
      </c>
      <c r="H77">
        <v>1</v>
      </c>
      <c r="I77">
        <v>1</v>
      </c>
      <c r="J77">
        <v>1</v>
      </c>
      <c r="K77">
        <v>1</v>
      </c>
      <c r="L77">
        <v>1</v>
      </c>
      <c r="M77">
        <v>1</v>
      </c>
      <c r="N77">
        <v>1</v>
      </c>
      <c r="O77" s="1032">
        <v>1</v>
      </c>
      <c r="P77">
        <f t="shared" si="2"/>
        <v>12</v>
      </c>
      <c r="AG77" s="1032"/>
    </row>
    <row r="78" spans="1:33">
      <c r="B78" t="s">
        <v>908</v>
      </c>
      <c r="C78">
        <v>0</v>
      </c>
      <c r="D78">
        <v>150.91999999999999</v>
      </c>
      <c r="E78">
        <v>0</v>
      </c>
      <c r="F78">
        <v>0</v>
      </c>
      <c r="G78">
        <v>101</v>
      </c>
      <c r="H78">
        <v>0</v>
      </c>
      <c r="I78">
        <v>0</v>
      </c>
      <c r="J78">
        <v>76.88</v>
      </c>
      <c r="K78">
        <v>0</v>
      </c>
      <c r="L78">
        <v>0</v>
      </c>
      <c r="M78">
        <v>81.27</v>
      </c>
      <c r="N78">
        <v>0</v>
      </c>
      <c r="O78" s="1032">
        <v>-0.01</v>
      </c>
      <c r="P78">
        <f t="shared" si="2"/>
        <v>410.06999999999994</v>
      </c>
      <c r="AG78" s="1032"/>
    </row>
    <row r="79" spans="1:33">
      <c r="B79" t="s">
        <v>909</v>
      </c>
      <c r="C79">
        <v>0</v>
      </c>
      <c r="D79">
        <v>0</v>
      </c>
      <c r="E79">
        <v>0</v>
      </c>
      <c r="F79">
        <v>0</v>
      </c>
      <c r="G79">
        <v>0</v>
      </c>
      <c r="H79">
        <v>0</v>
      </c>
      <c r="I79">
        <v>0</v>
      </c>
      <c r="J79">
        <v>0</v>
      </c>
      <c r="K79">
        <v>0</v>
      </c>
      <c r="L79">
        <v>0</v>
      </c>
      <c r="M79">
        <v>0</v>
      </c>
      <c r="N79">
        <v>0</v>
      </c>
      <c r="O79" s="1032">
        <v>0</v>
      </c>
      <c r="P79">
        <f t="shared" si="2"/>
        <v>0</v>
      </c>
      <c r="AG79" s="1032"/>
    </row>
    <row r="80" spans="1:33">
      <c r="B80" t="s">
        <v>910</v>
      </c>
      <c r="C80">
        <v>2478.66</v>
      </c>
      <c r="D80">
        <v>2567.73</v>
      </c>
      <c r="E80">
        <v>2416.59</v>
      </c>
      <c r="F80">
        <v>2427.23</v>
      </c>
      <c r="G80">
        <v>2467.7600000000002</v>
      </c>
      <c r="H80">
        <v>2465.46</v>
      </c>
      <c r="I80">
        <v>2442.2199999999998</v>
      </c>
      <c r="J80">
        <v>2575.52</v>
      </c>
      <c r="K80">
        <v>2402.94</v>
      </c>
      <c r="L80">
        <v>2304.16</v>
      </c>
      <c r="M80">
        <v>2616.39</v>
      </c>
      <c r="N80">
        <v>2450.7399999999998</v>
      </c>
      <c r="O80" s="1032">
        <v>2457.66</v>
      </c>
      <c r="P80">
        <f t="shared" si="2"/>
        <v>29615.4</v>
      </c>
      <c r="AG80" s="1032"/>
    </row>
    <row r="81" spans="2:33">
      <c r="B81" t="s">
        <v>911</v>
      </c>
      <c r="C81">
        <v>51.83</v>
      </c>
      <c r="D81">
        <v>51.8</v>
      </c>
      <c r="E81">
        <v>51.63</v>
      </c>
      <c r="F81">
        <v>51.83</v>
      </c>
      <c r="G81">
        <v>51.93</v>
      </c>
      <c r="H81">
        <v>51.41</v>
      </c>
      <c r="I81">
        <v>51.87</v>
      </c>
      <c r="J81">
        <v>51.46</v>
      </c>
      <c r="K81">
        <v>50.93</v>
      </c>
      <c r="L81">
        <v>49.86</v>
      </c>
      <c r="M81">
        <v>50.96</v>
      </c>
      <c r="N81">
        <v>51.82</v>
      </c>
      <c r="O81" s="1032">
        <v>50.25</v>
      </c>
      <c r="P81">
        <f t="shared" si="2"/>
        <v>617.33000000000004</v>
      </c>
      <c r="AG81" s="1032"/>
    </row>
    <row r="82" spans="2:33">
      <c r="B82" t="s">
        <v>912</v>
      </c>
      <c r="C82">
        <v>2478.66</v>
      </c>
      <c r="D82">
        <v>2718.64</v>
      </c>
      <c r="E82">
        <v>2416.59</v>
      </c>
      <c r="F82">
        <v>2427.23</v>
      </c>
      <c r="G82">
        <v>2568.7600000000002</v>
      </c>
      <c r="H82">
        <v>2465.46</v>
      </c>
      <c r="I82">
        <v>2442.2199999999998</v>
      </c>
      <c r="J82">
        <v>2652.4</v>
      </c>
      <c r="K82">
        <v>2402.94</v>
      </c>
      <c r="L82">
        <v>2304.16</v>
      </c>
      <c r="M82">
        <v>2697.67</v>
      </c>
      <c r="N82">
        <v>2450.7399999999998</v>
      </c>
      <c r="O82" s="1032">
        <v>2457.66</v>
      </c>
      <c r="P82">
        <f t="shared" si="2"/>
        <v>30025.47</v>
      </c>
      <c r="AG82" s="1032"/>
    </row>
    <row r="83" spans="2:33">
      <c r="B83" t="s">
        <v>913</v>
      </c>
      <c r="C83">
        <v>51.83</v>
      </c>
      <c r="D83">
        <v>54.84</v>
      </c>
      <c r="E83">
        <v>51.63</v>
      </c>
      <c r="F83">
        <v>51.83</v>
      </c>
      <c r="G83">
        <v>54.05</v>
      </c>
      <c r="H83">
        <v>51.41</v>
      </c>
      <c r="I83">
        <v>51.87</v>
      </c>
      <c r="J83">
        <v>53</v>
      </c>
      <c r="K83">
        <v>50.93</v>
      </c>
      <c r="L83">
        <v>49.86</v>
      </c>
      <c r="M83">
        <v>52.54</v>
      </c>
      <c r="N83">
        <v>51.82</v>
      </c>
      <c r="O83" s="1032">
        <v>50.25</v>
      </c>
      <c r="P83">
        <f t="shared" si="2"/>
        <v>625.61</v>
      </c>
      <c r="AG83" s="1032"/>
    </row>
    <row r="84" spans="2:33">
      <c r="O84" s="1032"/>
      <c r="AG84" s="1032"/>
    </row>
    <row r="85" spans="2:33">
      <c r="B85" t="s">
        <v>764</v>
      </c>
      <c r="O85" s="1032"/>
      <c r="AG85" s="1032"/>
    </row>
    <row r="86" spans="2:33">
      <c r="B86" t="s">
        <v>914</v>
      </c>
      <c r="C86">
        <v>5721.7</v>
      </c>
      <c r="D86">
        <v>5775.93</v>
      </c>
      <c r="E86">
        <v>5703.32</v>
      </c>
      <c r="F86">
        <v>6067.53</v>
      </c>
      <c r="G86">
        <v>5581.29</v>
      </c>
      <c r="H86">
        <v>6076.8</v>
      </c>
      <c r="I86">
        <v>4784.41</v>
      </c>
      <c r="J86">
        <v>5124.5</v>
      </c>
      <c r="K86">
        <v>4944.04</v>
      </c>
      <c r="L86">
        <v>5055.92</v>
      </c>
      <c r="M86">
        <v>5282.6</v>
      </c>
      <c r="N86">
        <v>5257.56</v>
      </c>
      <c r="O86" s="1032">
        <v>5404.67</v>
      </c>
      <c r="P86">
        <f t="shared" si="2"/>
        <v>65375.599999999991</v>
      </c>
      <c r="AG86" s="1032"/>
    </row>
    <row r="87" spans="2:33">
      <c r="B87" t="s">
        <v>915</v>
      </c>
      <c r="C87">
        <v>53.11</v>
      </c>
      <c r="D87">
        <v>53.64</v>
      </c>
      <c r="E87">
        <v>53.02</v>
      </c>
      <c r="F87">
        <v>56.44</v>
      </c>
      <c r="G87">
        <v>50.56</v>
      </c>
      <c r="H87">
        <v>56.24</v>
      </c>
      <c r="I87">
        <v>42.15</v>
      </c>
      <c r="J87">
        <v>45.98</v>
      </c>
      <c r="K87">
        <v>43.64</v>
      </c>
      <c r="L87">
        <v>45.18</v>
      </c>
      <c r="M87">
        <v>46.18</v>
      </c>
      <c r="N87">
        <v>47.47</v>
      </c>
      <c r="O87" s="1032">
        <v>48.18</v>
      </c>
      <c r="P87">
        <f t="shared" si="2"/>
        <v>593.61</v>
      </c>
      <c r="AG87" s="1032"/>
    </row>
    <row r="88" spans="2:33">
      <c r="B88" t="s">
        <v>962</v>
      </c>
      <c r="C88">
        <v>1.0900000000000001</v>
      </c>
      <c r="D88">
        <v>1.1000000000000001</v>
      </c>
      <c r="E88">
        <v>1.0900000000000001</v>
      </c>
      <c r="F88">
        <v>1.1599999999999999</v>
      </c>
      <c r="G88">
        <v>1.06</v>
      </c>
      <c r="H88">
        <v>1.18</v>
      </c>
      <c r="I88">
        <v>0.92</v>
      </c>
      <c r="J88">
        <v>0.97</v>
      </c>
      <c r="K88">
        <v>0.97</v>
      </c>
      <c r="L88">
        <v>1</v>
      </c>
      <c r="M88">
        <v>1.02</v>
      </c>
      <c r="N88">
        <v>1.02</v>
      </c>
      <c r="O88" s="1032">
        <v>1.04</v>
      </c>
      <c r="P88">
        <f t="shared" si="2"/>
        <v>12.58</v>
      </c>
      <c r="AG88" s="1032"/>
    </row>
    <row r="89" spans="2:33">
      <c r="B89" t="s">
        <v>917</v>
      </c>
      <c r="C89">
        <v>0.11</v>
      </c>
      <c r="D89">
        <v>0.11</v>
      </c>
      <c r="E89">
        <v>0.1</v>
      </c>
      <c r="F89">
        <v>0.12</v>
      </c>
      <c r="G89">
        <v>0.11</v>
      </c>
      <c r="H89">
        <v>0.12</v>
      </c>
      <c r="I89">
        <v>0.1</v>
      </c>
      <c r="J89">
        <v>0.1</v>
      </c>
      <c r="K89">
        <v>0.1</v>
      </c>
      <c r="L89">
        <v>0.11</v>
      </c>
      <c r="M89">
        <v>0.1</v>
      </c>
      <c r="N89">
        <v>0.11</v>
      </c>
      <c r="O89" s="1032">
        <v>0.11</v>
      </c>
      <c r="P89">
        <f t="shared" si="2"/>
        <v>1.2900000000000003</v>
      </c>
      <c r="AG89" s="1032"/>
    </row>
    <row r="90" spans="2:33">
      <c r="O90" s="1032"/>
      <c r="AG90" s="1032"/>
    </row>
    <row r="91" spans="2:33">
      <c r="B91" t="s">
        <v>765</v>
      </c>
      <c r="O91" s="1032"/>
      <c r="AG91" s="1032"/>
    </row>
    <row r="92" spans="2:33">
      <c r="B92" t="s">
        <v>918</v>
      </c>
      <c r="C92">
        <v>393.28</v>
      </c>
      <c r="D92">
        <v>400.1</v>
      </c>
      <c r="E92">
        <v>419.86</v>
      </c>
      <c r="F92">
        <v>416.14</v>
      </c>
      <c r="G92">
        <v>427.89</v>
      </c>
      <c r="H92">
        <v>417.28</v>
      </c>
      <c r="I92">
        <v>440.98</v>
      </c>
      <c r="J92">
        <v>454.84</v>
      </c>
      <c r="K92">
        <v>468.26</v>
      </c>
      <c r="L92">
        <v>461.66</v>
      </c>
      <c r="M92">
        <v>378.32</v>
      </c>
      <c r="N92">
        <v>451.86</v>
      </c>
      <c r="O92" s="1032">
        <v>437.38</v>
      </c>
      <c r="P92">
        <f t="shared" si="2"/>
        <v>5130.4699999999993</v>
      </c>
      <c r="AG92" s="1032"/>
    </row>
    <row r="93" spans="2:33">
      <c r="B93" t="s">
        <v>919</v>
      </c>
      <c r="C93">
        <v>4.1399999999999997</v>
      </c>
      <c r="D93">
        <v>4.1500000000000004</v>
      </c>
      <c r="E93">
        <v>4.3899999999999997</v>
      </c>
      <c r="F93">
        <v>4.29</v>
      </c>
      <c r="G93">
        <v>4.33</v>
      </c>
      <c r="H93">
        <v>4.3899999999999997</v>
      </c>
      <c r="I93">
        <v>4.4400000000000004</v>
      </c>
      <c r="J93">
        <v>4.5599999999999996</v>
      </c>
      <c r="K93">
        <v>4.78</v>
      </c>
      <c r="L93">
        <v>4.71</v>
      </c>
      <c r="M93">
        <v>3.03</v>
      </c>
      <c r="N93">
        <v>3.92</v>
      </c>
      <c r="O93" s="1032">
        <v>3.85</v>
      </c>
      <c r="P93">
        <f t="shared" si="2"/>
        <v>51.13</v>
      </c>
      <c r="AG93" s="1032"/>
    </row>
    <row r="94" spans="2:33">
      <c r="B94" t="s">
        <v>920</v>
      </c>
      <c r="C94">
        <v>1.22</v>
      </c>
      <c r="D94">
        <v>1.54</v>
      </c>
      <c r="E94">
        <v>1.39</v>
      </c>
      <c r="F94">
        <v>1.47</v>
      </c>
      <c r="G94">
        <v>0.73</v>
      </c>
      <c r="H94">
        <v>0.73</v>
      </c>
      <c r="I94">
        <v>0.91</v>
      </c>
      <c r="J94">
        <v>0.91</v>
      </c>
      <c r="K94">
        <v>0.94</v>
      </c>
      <c r="L94">
        <v>1.05</v>
      </c>
      <c r="M94">
        <v>1.1200000000000001</v>
      </c>
      <c r="N94">
        <v>1.05</v>
      </c>
      <c r="O94" s="1032">
        <v>1.1499999999999999</v>
      </c>
      <c r="P94">
        <f t="shared" si="2"/>
        <v>13.060000000000002</v>
      </c>
      <c r="AG94" s="1032"/>
    </row>
    <row r="95" spans="2:33">
      <c r="B95" t="s">
        <v>921</v>
      </c>
      <c r="C95">
        <v>480.23</v>
      </c>
      <c r="D95">
        <v>614.79999999999995</v>
      </c>
      <c r="E95">
        <v>583.16999999999996</v>
      </c>
      <c r="F95">
        <v>611.66999999999996</v>
      </c>
      <c r="G95">
        <v>314.33</v>
      </c>
      <c r="H95">
        <v>304.95999999999998</v>
      </c>
      <c r="I95">
        <v>402.89</v>
      </c>
      <c r="J95">
        <v>415.38</v>
      </c>
      <c r="K95">
        <v>440.25</v>
      </c>
      <c r="L95">
        <v>484.72</v>
      </c>
      <c r="M95">
        <v>422.93</v>
      </c>
      <c r="N95">
        <v>475.82</v>
      </c>
      <c r="O95" s="1032">
        <v>500.89</v>
      </c>
      <c r="P95">
        <f t="shared" si="2"/>
        <v>5551.1500000000005</v>
      </c>
      <c r="AG95" s="1032"/>
    </row>
    <row r="96" spans="2:33">
      <c r="B96" t="s">
        <v>922</v>
      </c>
      <c r="C96">
        <v>0.01</v>
      </c>
      <c r="D96">
        <v>0.01</v>
      </c>
      <c r="E96">
        <v>0.01</v>
      </c>
      <c r="F96">
        <v>0.01</v>
      </c>
      <c r="G96">
        <v>0.01</v>
      </c>
      <c r="H96">
        <v>0.01</v>
      </c>
      <c r="I96">
        <v>0.01</v>
      </c>
      <c r="J96">
        <v>0.01</v>
      </c>
      <c r="K96">
        <v>0.01</v>
      </c>
      <c r="L96">
        <v>0.01</v>
      </c>
      <c r="M96">
        <v>0.01</v>
      </c>
      <c r="N96">
        <v>0.01</v>
      </c>
      <c r="O96" s="1032">
        <v>0.01</v>
      </c>
      <c r="P96">
        <f t="shared" si="2"/>
        <v>0.11999999999999998</v>
      </c>
      <c r="AG96" s="1032"/>
    </row>
    <row r="97" spans="2:33">
      <c r="O97" s="1032"/>
      <c r="AG97" s="1032"/>
    </row>
    <row r="98" spans="2:33">
      <c r="B98" t="s">
        <v>766</v>
      </c>
      <c r="O98" s="1032"/>
      <c r="AG98" s="1032"/>
    </row>
    <row r="99" spans="2:33">
      <c r="B99" t="s">
        <v>923</v>
      </c>
      <c r="C99">
        <v>0.88</v>
      </c>
      <c r="D99">
        <v>0.89</v>
      </c>
      <c r="E99">
        <v>0.89</v>
      </c>
      <c r="F99">
        <v>0.9</v>
      </c>
      <c r="G99">
        <v>0.89</v>
      </c>
      <c r="H99">
        <v>0.88</v>
      </c>
      <c r="I99">
        <v>0.88</v>
      </c>
      <c r="J99">
        <v>0.89</v>
      </c>
      <c r="K99">
        <v>0.86</v>
      </c>
      <c r="L99">
        <v>0.88</v>
      </c>
      <c r="M99">
        <v>1.0900000000000001</v>
      </c>
      <c r="N99">
        <v>1.04</v>
      </c>
      <c r="O99" s="1032">
        <v>1.01</v>
      </c>
      <c r="P99">
        <f t="shared" si="2"/>
        <v>10.969999999999999</v>
      </c>
      <c r="AG99" s="1032"/>
    </row>
    <row r="100" spans="2:33">
      <c r="B100" t="s">
        <v>924</v>
      </c>
      <c r="C100">
        <v>95.04</v>
      </c>
      <c r="D100">
        <v>96.36</v>
      </c>
      <c r="E100">
        <v>95.62</v>
      </c>
      <c r="F100">
        <v>96.96</v>
      </c>
      <c r="G100">
        <v>98.78</v>
      </c>
      <c r="H100">
        <v>95.06</v>
      </c>
      <c r="I100">
        <v>99.33</v>
      </c>
      <c r="J100">
        <v>99.68</v>
      </c>
      <c r="K100">
        <v>97.98</v>
      </c>
      <c r="L100">
        <v>98.08</v>
      </c>
      <c r="M100">
        <v>125.04</v>
      </c>
      <c r="N100">
        <v>115.29</v>
      </c>
      <c r="O100" s="1032">
        <v>113.52</v>
      </c>
      <c r="P100">
        <f t="shared" si="2"/>
        <v>1213.22</v>
      </c>
      <c r="AG100" s="1032"/>
    </row>
    <row r="101" spans="2:33">
      <c r="B101" t="s">
        <v>925</v>
      </c>
      <c r="C101">
        <v>1315.24</v>
      </c>
      <c r="D101">
        <v>1470.98</v>
      </c>
      <c r="E101">
        <v>1445.22</v>
      </c>
      <c r="F101">
        <v>1437.36</v>
      </c>
      <c r="G101">
        <v>1287.68</v>
      </c>
      <c r="H101">
        <v>1714.15</v>
      </c>
      <c r="I101">
        <v>1290.31</v>
      </c>
      <c r="J101">
        <v>2131.81</v>
      </c>
      <c r="K101">
        <v>1351.1</v>
      </c>
      <c r="L101">
        <v>843.48</v>
      </c>
      <c r="M101">
        <v>2047.86</v>
      </c>
      <c r="N101">
        <v>1454.82</v>
      </c>
      <c r="O101" s="1032">
        <v>1703.01</v>
      </c>
      <c r="P101">
        <f t="shared" si="2"/>
        <v>17790.010000000002</v>
      </c>
      <c r="AG101" s="1032"/>
    </row>
    <row r="102" spans="2:33">
      <c r="B102" t="s">
        <v>926</v>
      </c>
      <c r="C102">
        <v>13.84</v>
      </c>
      <c r="D102">
        <v>15.27</v>
      </c>
      <c r="E102">
        <v>15.11</v>
      </c>
      <c r="F102">
        <v>14.82</v>
      </c>
      <c r="G102">
        <v>13.04</v>
      </c>
      <c r="H102">
        <v>18.03</v>
      </c>
      <c r="I102">
        <v>12.99</v>
      </c>
      <c r="J102">
        <v>21.39</v>
      </c>
      <c r="K102">
        <v>13.79</v>
      </c>
      <c r="L102">
        <v>8.6</v>
      </c>
      <c r="M102">
        <v>16.38</v>
      </c>
      <c r="N102">
        <v>12.62</v>
      </c>
      <c r="O102" s="1032">
        <v>15</v>
      </c>
      <c r="P102">
        <f t="shared" si="2"/>
        <v>175.88</v>
      </c>
      <c r="AG102" s="1032"/>
    </row>
    <row r="103" spans="2:33">
      <c r="B103" t="s">
        <v>963</v>
      </c>
      <c r="C103">
        <v>0.25</v>
      </c>
      <c r="D103">
        <v>0.28000000000000003</v>
      </c>
      <c r="E103">
        <v>0.28000000000000003</v>
      </c>
      <c r="F103">
        <v>0.28000000000000003</v>
      </c>
      <c r="G103">
        <v>0.24</v>
      </c>
      <c r="H103">
        <v>0.33</v>
      </c>
      <c r="I103">
        <v>0.25</v>
      </c>
      <c r="J103">
        <v>0.41</v>
      </c>
      <c r="K103">
        <v>0.26</v>
      </c>
      <c r="L103">
        <v>0.17</v>
      </c>
      <c r="M103">
        <v>0.4</v>
      </c>
      <c r="N103">
        <v>0.28000000000000003</v>
      </c>
      <c r="O103" s="1032">
        <v>0.33</v>
      </c>
      <c r="P103">
        <f t="shared" si="2"/>
        <v>3.4299999999999997</v>
      </c>
      <c r="AG103" s="1032"/>
    </row>
    <row r="104" spans="2:33">
      <c r="B104" t="s">
        <v>928</v>
      </c>
      <c r="C104">
        <v>0.03</v>
      </c>
      <c r="D104">
        <v>0.03</v>
      </c>
      <c r="E104">
        <v>0.03</v>
      </c>
      <c r="F104">
        <v>0.03</v>
      </c>
      <c r="G104">
        <v>0.03</v>
      </c>
      <c r="H104">
        <v>0.03</v>
      </c>
      <c r="I104">
        <v>0.03</v>
      </c>
      <c r="J104">
        <v>0.04</v>
      </c>
      <c r="K104">
        <v>0.03</v>
      </c>
      <c r="L104">
        <v>0.02</v>
      </c>
      <c r="M104">
        <v>0.04</v>
      </c>
      <c r="N104">
        <v>0.03</v>
      </c>
      <c r="O104" s="1032">
        <v>0.03</v>
      </c>
      <c r="P104">
        <f t="shared" si="2"/>
        <v>0.37</v>
      </c>
      <c r="AG104" s="1032"/>
    </row>
  </sheetData>
  <mergeCells count="1">
    <mergeCell ref="Q25:Q38"/>
  </mergeCells>
  <pageMargins left="0.7" right="0.7" top="0.75" bottom="0.75" header="0.3" footer="0.3"/>
  <pageSetup scale="47"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G97"/>
  <sheetViews>
    <sheetView workbookViewId="0">
      <selection activeCell="B41" sqref="B41"/>
    </sheetView>
  </sheetViews>
  <sheetFormatPr defaultRowHeight="11.25"/>
  <cols>
    <col min="1" max="1" width="7.6640625" bestFit="1" customWidth="1"/>
    <col min="2" max="2" width="25.83203125" bestFit="1" customWidth="1"/>
    <col min="3" max="4" width="11.33203125" bestFit="1" customWidth="1"/>
    <col min="5" max="5" width="10.1640625" bestFit="1" customWidth="1"/>
    <col min="6" max="6" width="11.33203125" bestFit="1" customWidth="1"/>
    <col min="7" max="7" width="10" bestFit="1" customWidth="1"/>
    <col min="8" max="11" width="9.1640625" bestFit="1" customWidth="1"/>
    <col min="12" max="12" width="9.6640625" bestFit="1" customWidth="1"/>
    <col min="13" max="13" width="11.5" bestFit="1" customWidth="1"/>
    <col min="14" max="14" width="12" bestFit="1" customWidth="1"/>
    <col min="15" max="15" width="13.83203125" bestFit="1" customWidth="1"/>
    <col min="16" max="16" width="10.5" bestFit="1" customWidth="1"/>
    <col min="18" max="18" width="7.6640625" bestFit="1" customWidth="1"/>
    <col min="19" max="19" width="7.5" bestFit="1" customWidth="1"/>
    <col min="20" max="20" width="25.83203125" bestFit="1" customWidth="1"/>
    <col min="21" max="21" width="9.1640625" bestFit="1" customWidth="1"/>
    <col min="22" max="22" width="9.6640625" bestFit="1" customWidth="1"/>
    <col min="23" max="23" width="10.5" bestFit="1" customWidth="1"/>
    <col min="24" max="24" width="10.1640625" bestFit="1" customWidth="1"/>
    <col min="25" max="26" width="11.33203125" bestFit="1" customWidth="1"/>
    <col min="27" max="27" width="10.1640625" bestFit="1" customWidth="1"/>
    <col min="28" max="28" width="11.33203125" bestFit="1" customWidth="1"/>
    <col min="29" max="29" width="10" bestFit="1" customWidth="1"/>
    <col min="30" max="30" width="9.1640625" bestFit="1" customWidth="1"/>
    <col min="31" max="31" width="11.5" bestFit="1" customWidth="1"/>
    <col min="32" max="32" width="12" bestFit="1" customWidth="1"/>
    <col min="33" max="33" width="13.83203125" bestFit="1" customWidth="1"/>
  </cols>
  <sheetData>
    <row r="1" spans="1:33">
      <c r="A1" t="s">
        <v>717</v>
      </c>
      <c r="B1" t="s">
        <v>718</v>
      </c>
      <c r="C1" t="s">
        <v>719</v>
      </c>
      <c r="N1" t="s">
        <v>751</v>
      </c>
      <c r="O1" t="s">
        <v>1359</v>
      </c>
      <c r="P1" t="s">
        <v>752</v>
      </c>
    </row>
    <row r="2" spans="1:33">
      <c r="A2" t="s">
        <v>1133</v>
      </c>
      <c r="B2" t="s">
        <v>1134</v>
      </c>
      <c r="M2" t="s">
        <v>1356</v>
      </c>
      <c r="N2" t="s">
        <v>1357</v>
      </c>
      <c r="O2">
        <v>6</v>
      </c>
    </row>
    <row r="3" spans="1:33">
      <c r="A3" t="s">
        <v>770</v>
      </c>
      <c r="B3" t="s">
        <v>754</v>
      </c>
      <c r="M3" t="s">
        <v>278</v>
      </c>
      <c r="N3" t="s">
        <v>771</v>
      </c>
    </row>
    <row r="4" spans="1:33">
      <c r="A4" t="s">
        <v>1136</v>
      </c>
      <c r="B4">
        <v>30</v>
      </c>
      <c r="C4">
        <v>2014</v>
      </c>
      <c r="N4" t="s">
        <v>435</v>
      </c>
    </row>
    <row r="5" spans="1:33">
      <c r="A5" t="s">
        <v>757</v>
      </c>
      <c r="B5" t="s">
        <v>758</v>
      </c>
      <c r="C5" t="s">
        <v>738</v>
      </c>
      <c r="D5" t="s">
        <v>739</v>
      </c>
      <c r="E5" t="s">
        <v>740</v>
      </c>
      <c r="F5" t="s">
        <v>741</v>
      </c>
      <c r="G5" t="s">
        <v>742</v>
      </c>
      <c r="H5" t="s">
        <v>731</v>
      </c>
      <c r="I5" t="s">
        <v>732</v>
      </c>
      <c r="J5" t="s">
        <v>733</v>
      </c>
      <c r="K5" t="s">
        <v>734</v>
      </c>
      <c r="L5" t="s">
        <v>735</v>
      </c>
      <c r="M5" t="s">
        <v>736</v>
      </c>
      <c r="N5" t="s">
        <v>737</v>
      </c>
      <c r="O5" s="1032" t="s">
        <v>738</v>
      </c>
      <c r="P5" s="1033" t="s">
        <v>991</v>
      </c>
      <c r="AG5" s="1032"/>
    </row>
    <row r="6" spans="1:33">
      <c r="A6" t="s">
        <v>744</v>
      </c>
      <c r="B6" t="s">
        <v>759</v>
      </c>
      <c r="C6" t="s">
        <v>746</v>
      </c>
      <c r="D6" t="s">
        <v>746</v>
      </c>
      <c r="E6" t="s">
        <v>746</v>
      </c>
      <c r="F6" t="s">
        <v>746</v>
      </c>
      <c r="G6" t="s">
        <v>746</v>
      </c>
      <c r="H6" t="s">
        <v>746</v>
      </c>
      <c r="I6" t="s">
        <v>746</v>
      </c>
      <c r="J6" t="s">
        <v>746</v>
      </c>
      <c r="K6" t="s">
        <v>746</v>
      </c>
      <c r="L6" t="s">
        <v>746</v>
      </c>
      <c r="M6" t="s">
        <v>746</v>
      </c>
      <c r="N6" t="s">
        <v>746</v>
      </c>
      <c r="O6" s="1032" t="s">
        <v>746</v>
      </c>
      <c r="AG6" s="1032"/>
    </row>
    <row r="7" spans="1:33">
      <c r="B7" t="s">
        <v>760</v>
      </c>
      <c r="O7" s="1032"/>
      <c r="AG7" s="1032"/>
    </row>
    <row r="8" spans="1:33">
      <c r="A8">
        <v>90015</v>
      </c>
      <c r="B8" t="s">
        <v>847</v>
      </c>
      <c r="C8">
        <v>23</v>
      </c>
      <c r="D8">
        <v>22.25</v>
      </c>
      <c r="E8">
        <v>21</v>
      </c>
      <c r="F8">
        <v>24</v>
      </c>
      <c r="G8">
        <v>23</v>
      </c>
      <c r="H8">
        <v>22.25</v>
      </c>
      <c r="I8">
        <v>24</v>
      </c>
      <c r="J8">
        <v>22</v>
      </c>
      <c r="K8">
        <v>23.25</v>
      </c>
      <c r="L8">
        <v>24</v>
      </c>
      <c r="M8">
        <v>21.25</v>
      </c>
      <c r="N8">
        <v>24</v>
      </c>
      <c r="O8" s="1032">
        <v>23</v>
      </c>
      <c r="P8">
        <f>SUM(C8:N8)</f>
        <v>274</v>
      </c>
      <c r="AG8" s="1032"/>
    </row>
    <row r="9" spans="1:33">
      <c r="A9">
        <v>13001</v>
      </c>
      <c r="B9" t="s">
        <v>964</v>
      </c>
      <c r="C9">
        <v>295403</v>
      </c>
      <c r="D9">
        <v>282472</v>
      </c>
      <c r="E9">
        <v>267837</v>
      </c>
      <c r="F9">
        <v>311821</v>
      </c>
      <c r="G9">
        <v>294314</v>
      </c>
      <c r="H9">
        <v>277524</v>
      </c>
      <c r="I9">
        <v>310895</v>
      </c>
      <c r="J9">
        <v>281382</v>
      </c>
      <c r="K9">
        <v>296758</v>
      </c>
      <c r="L9">
        <v>306425</v>
      </c>
      <c r="M9">
        <v>268102</v>
      </c>
      <c r="N9">
        <v>307655</v>
      </c>
      <c r="O9" s="1032">
        <v>291133</v>
      </c>
      <c r="P9">
        <f t="shared" ref="P9:P72" si="0">SUM(C9:N9)</f>
        <v>3500588</v>
      </c>
      <c r="AG9" s="1032"/>
    </row>
    <row r="10" spans="1:33">
      <c r="A10">
        <v>13001</v>
      </c>
      <c r="B10" t="s">
        <v>965</v>
      </c>
      <c r="C10">
        <v>240869</v>
      </c>
      <c r="D10">
        <v>231465</v>
      </c>
      <c r="E10">
        <v>221557</v>
      </c>
      <c r="F10">
        <v>260544</v>
      </c>
      <c r="G10">
        <v>247919</v>
      </c>
      <c r="H10">
        <v>228736</v>
      </c>
      <c r="I10">
        <v>257664</v>
      </c>
      <c r="J10">
        <v>234197</v>
      </c>
      <c r="K10">
        <v>242669</v>
      </c>
      <c r="L10">
        <v>251510</v>
      </c>
      <c r="M10">
        <v>216294</v>
      </c>
      <c r="N10">
        <v>248350</v>
      </c>
      <c r="O10" s="1032">
        <v>237528</v>
      </c>
      <c r="P10">
        <f t="shared" si="0"/>
        <v>2881774</v>
      </c>
      <c r="AG10" s="1032"/>
    </row>
    <row r="11" spans="1:33">
      <c r="A11">
        <v>13001</v>
      </c>
      <c r="B11" t="s">
        <v>966</v>
      </c>
      <c r="C11">
        <v>194692</v>
      </c>
      <c r="D11">
        <v>179831</v>
      </c>
      <c r="E11">
        <v>157286</v>
      </c>
      <c r="F11">
        <v>178098</v>
      </c>
      <c r="G11">
        <v>176809</v>
      </c>
      <c r="H11">
        <v>198141</v>
      </c>
      <c r="I11">
        <v>203528</v>
      </c>
      <c r="J11">
        <v>187849</v>
      </c>
      <c r="K11">
        <v>196113</v>
      </c>
      <c r="L11">
        <v>210269</v>
      </c>
      <c r="M11">
        <v>184940</v>
      </c>
      <c r="N11">
        <v>209687</v>
      </c>
      <c r="O11" s="1032">
        <v>201401</v>
      </c>
      <c r="P11">
        <f t="shared" si="0"/>
        <v>2277243</v>
      </c>
      <c r="AG11" s="1032"/>
    </row>
    <row r="12" spans="1:33">
      <c r="B12" t="s">
        <v>967</v>
      </c>
      <c r="C12">
        <v>730963</v>
      </c>
      <c r="D12">
        <v>693768</v>
      </c>
      <c r="E12">
        <v>646680</v>
      </c>
      <c r="F12">
        <v>750464</v>
      </c>
      <c r="G12">
        <v>719042</v>
      </c>
      <c r="H12">
        <v>704401</v>
      </c>
      <c r="I12">
        <v>772087</v>
      </c>
      <c r="J12">
        <v>703428</v>
      </c>
      <c r="K12">
        <v>735540</v>
      </c>
      <c r="L12">
        <v>768203</v>
      </c>
      <c r="M12">
        <v>669337</v>
      </c>
      <c r="N12">
        <v>765692</v>
      </c>
      <c r="O12" s="1032">
        <v>730063</v>
      </c>
      <c r="P12">
        <f>SUM(C12:N12)</f>
        <v>8659605</v>
      </c>
      <c r="AG12" s="1032"/>
    </row>
    <row r="13" spans="1:33">
      <c r="A13">
        <v>13009</v>
      </c>
      <c r="B13" t="s">
        <v>968</v>
      </c>
      <c r="C13">
        <v>361</v>
      </c>
      <c r="D13">
        <v>232</v>
      </c>
      <c r="E13">
        <v>222</v>
      </c>
      <c r="F13">
        <v>274</v>
      </c>
      <c r="G13">
        <v>343</v>
      </c>
      <c r="H13">
        <v>377</v>
      </c>
      <c r="I13">
        <v>339</v>
      </c>
      <c r="J13">
        <v>349</v>
      </c>
      <c r="K13">
        <v>530</v>
      </c>
      <c r="L13">
        <v>657</v>
      </c>
      <c r="M13">
        <v>481</v>
      </c>
      <c r="N13">
        <v>591</v>
      </c>
      <c r="O13" s="1032">
        <v>449</v>
      </c>
      <c r="P13">
        <f t="shared" si="0"/>
        <v>4756</v>
      </c>
      <c r="AG13" s="1032"/>
    </row>
    <row r="14" spans="1:33">
      <c r="A14">
        <v>13003</v>
      </c>
      <c r="B14" s="1171" t="s">
        <v>969</v>
      </c>
      <c r="C14" s="1171">
        <v>10119</v>
      </c>
      <c r="D14" s="1171">
        <v>9550</v>
      </c>
      <c r="E14" s="1171">
        <v>8417</v>
      </c>
      <c r="F14" s="1171">
        <v>10022</v>
      </c>
      <c r="G14" s="1171">
        <v>9798</v>
      </c>
      <c r="H14" s="1171">
        <v>10192</v>
      </c>
      <c r="I14" s="1171">
        <v>11050</v>
      </c>
      <c r="J14" s="1171">
        <v>10219</v>
      </c>
      <c r="K14" s="1171">
        <v>10813</v>
      </c>
      <c r="L14" s="1171">
        <v>11400</v>
      </c>
      <c r="M14" s="1171">
        <v>9913</v>
      </c>
      <c r="N14" s="1171">
        <v>11486</v>
      </c>
      <c r="O14" s="1172">
        <v>10521</v>
      </c>
      <c r="P14" s="1171">
        <f t="shared" si="0"/>
        <v>122979</v>
      </c>
      <c r="Q14" s="1199" t="s">
        <v>1368</v>
      </c>
      <c r="AG14" s="1032"/>
    </row>
    <row r="15" spans="1:33">
      <c r="A15">
        <v>13012</v>
      </c>
      <c r="B15" t="s">
        <v>970</v>
      </c>
      <c r="C15">
        <v>9479</v>
      </c>
      <c r="D15">
        <v>8843</v>
      </c>
      <c r="E15">
        <v>8159</v>
      </c>
      <c r="F15">
        <v>9860</v>
      </c>
      <c r="G15">
        <v>9758</v>
      </c>
      <c r="H15">
        <v>10149</v>
      </c>
      <c r="I15">
        <v>10498</v>
      </c>
      <c r="J15">
        <v>9773</v>
      </c>
      <c r="K15">
        <v>10433</v>
      </c>
      <c r="L15">
        <v>11173</v>
      </c>
      <c r="M15">
        <v>9168</v>
      </c>
      <c r="N15">
        <v>10739</v>
      </c>
      <c r="O15" s="1032">
        <v>9688</v>
      </c>
      <c r="P15">
        <f t="shared" si="0"/>
        <v>118032</v>
      </c>
      <c r="AG15" s="1032"/>
    </row>
    <row r="16" spans="1:33">
      <c r="A16">
        <v>13018</v>
      </c>
      <c r="B16" t="s">
        <v>971</v>
      </c>
      <c r="C16">
        <v>78040</v>
      </c>
      <c r="D16">
        <v>72133</v>
      </c>
      <c r="E16">
        <v>60678</v>
      </c>
      <c r="F16">
        <v>72691</v>
      </c>
      <c r="G16">
        <v>70327</v>
      </c>
      <c r="H16">
        <v>73716</v>
      </c>
      <c r="I16">
        <v>77133</v>
      </c>
      <c r="J16">
        <v>107365</v>
      </c>
      <c r="K16">
        <v>73327</v>
      </c>
      <c r="L16">
        <v>98219</v>
      </c>
      <c r="M16">
        <v>70055</v>
      </c>
      <c r="N16">
        <v>80595</v>
      </c>
      <c r="O16" s="1032">
        <v>67222</v>
      </c>
      <c r="P16">
        <f t="shared" si="0"/>
        <v>934279</v>
      </c>
      <c r="AG16" s="1032"/>
    </row>
    <row r="17" spans="1:33">
      <c r="A17">
        <v>90010</v>
      </c>
      <c r="B17" t="s">
        <v>857</v>
      </c>
      <c r="C17">
        <v>36852</v>
      </c>
      <c r="D17">
        <v>34215</v>
      </c>
      <c r="E17">
        <v>31400</v>
      </c>
      <c r="F17">
        <v>37806</v>
      </c>
      <c r="G17">
        <v>35630</v>
      </c>
      <c r="H17">
        <v>38076</v>
      </c>
      <c r="I17">
        <v>37613</v>
      </c>
      <c r="J17">
        <v>34490</v>
      </c>
      <c r="K17">
        <v>37319</v>
      </c>
      <c r="L17">
        <v>39895</v>
      </c>
      <c r="M17">
        <v>32410</v>
      </c>
      <c r="N17">
        <v>40134</v>
      </c>
      <c r="O17" s="1032">
        <v>35739</v>
      </c>
      <c r="P17">
        <f t="shared" si="0"/>
        <v>435840</v>
      </c>
      <c r="AG17" s="1032"/>
    </row>
    <row r="18" spans="1:33">
      <c r="B18" t="s">
        <v>939</v>
      </c>
      <c r="C18">
        <v>61</v>
      </c>
      <c r="D18">
        <v>61</v>
      </c>
      <c r="E18">
        <v>61</v>
      </c>
      <c r="F18">
        <v>61</v>
      </c>
      <c r="G18">
        <v>61</v>
      </c>
      <c r="H18">
        <v>61</v>
      </c>
      <c r="I18">
        <v>61</v>
      </c>
      <c r="J18">
        <v>61</v>
      </c>
      <c r="K18">
        <v>61</v>
      </c>
      <c r="L18">
        <v>61</v>
      </c>
      <c r="M18">
        <v>58</v>
      </c>
      <c r="N18">
        <v>59</v>
      </c>
      <c r="O18" s="1032">
        <v>59</v>
      </c>
      <c r="P18">
        <f t="shared" si="0"/>
        <v>727</v>
      </c>
      <c r="AG18" s="1032"/>
    </row>
    <row r="19" spans="1:33">
      <c r="A19">
        <v>13002</v>
      </c>
      <c r="B19" t="s">
        <v>972</v>
      </c>
      <c r="C19">
        <v>52</v>
      </c>
      <c r="D19">
        <v>52</v>
      </c>
      <c r="E19">
        <v>51</v>
      </c>
      <c r="F19">
        <v>51</v>
      </c>
      <c r="G19">
        <v>51</v>
      </c>
      <c r="H19">
        <v>52</v>
      </c>
      <c r="I19">
        <v>52</v>
      </c>
      <c r="J19">
        <v>52</v>
      </c>
      <c r="K19">
        <v>52</v>
      </c>
      <c r="L19">
        <v>52</v>
      </c>
      <c r="M19">
        <v>52</v>
      </c>
      <c r="N19">
        <v>52</v>
      </c>
      <c r="O19" s="1032">
        <v>52</v>
      </c>
      <c r="P19">
        <f t="shared" si="0"/>
        <v>621</v>
      </c>
      <c r="AG19" s="1032"/>
    </row>
    <row r="20" spans="1:33">
      <c r="A20">
        <v>81300</v>
      </c>
      <c r="B20" t="s">
        <v>973</v>
      </c>
      <c r="C20">
        <v>64</v>
      </c>
      <c r="D20">
        <v>64</v>
      </c>
      <c r="E20">
        <v>63</v>
      </c>
      <c r="F20">
        <v>61</v>
      </c>
      <c r="G20">
        <v>60</v>
      </c>
      <c r="H20">
        <v>59</v>
      </c>
      <c r="I20">
        <v>63</v>
      </c>
      <c r="J20">
        <v>65</v>
      </c>
      <c r="K20">
        <v>68</v>
      </c>
      <c r="L20">
        <v>69</v>
      </c>
      <c r="M20">
        <v>67</v>
      </c>
      <c r="N20">
        <v>62</v>
      </c>
      <c r="O20" s="1032">
        <v>63</v>
      </c>
      <c r="P20">
        <f t="shared" si="0"/>
        <v>765</v>
      </c>
      <c r="AG20" s="1032"/>
    </row>
    <row r="21" spans="1:33">
      <c r="A21">
        <v>81301</v>
      </c>
      <c r="B21" t="s">
        <v>974</v>
      </c>
      <c r="C21">
        <v>0</v>
      </c>
      <c r="D21">
        <v>0</v>
      </c>
      <c r="E21">
        <v>0</v>
      </c>
      <c r="F21">
        <v>0</v>
      </c>
      <c r="G21">
        <v>0</v>
      </c>
      <c r="H21">
        <v>0</v>
      </c>
      <c r="I21">
        <v>0</v>
      </c>
      <c r="J21">
        <v>0</v>
      </c>
      <c r="K21">
        <v>0</v>
      </c>
      <c r="L21">
        <v>0</v>
      </c>
      <c r="M21">
        <v>0</v>
      </c>
      <c r="N21">
        <v>0</v>
      </c>
      <c r="O21" s="1032">
        <v>0</v>
      </c>
      <c r="P21">
        <f>SUM(C21:N21)</f>
        <v>0</v>
      </c>
      <c r="AG21" s="1032"/>
    </row>
    <row r="22" spans="1:33">
      <c r="O22" s="1032"/>
      <c r="AG22" s="1032"/>
    </row>
    <row r="23" spans="1:33">
      <c r="B23" t="s">
        <v>975</v>
      </c>
      <c r="C23">
        <v>12843.59</v>
      </c>
      <c r="D23">
        <v>12695.37</v>
      </c>
      <c r="E23">
        <v>12754.14</v>
      </c>
      <c r="F23">
        <v>12992.55</v>
      </c>
      <c r="G23">
        <v>12796.26</v>
      </c>
      <c r="H23">
        <v>12472.99</v>
      </c>
      <c r="I23">
        <v>12953.95</v>
      </c>
      <c r="J23">
        <v>12790.08</v>
      </c>
      <c r="K23">
        <v>12763.78</v>
      </c>
      <c r="L23">
        <v>12767.69</v>
      </c>
      <c r="M23">
        <v>12616.58</v>
      </c>
      <c r="N23">
        <v>12818.95</v>
      </c>
      <c r="O23" s="1032">
        <v>12657.97</v>
      </c>
      <c r="P23" s="1034">
        <f>AVERAGE(C23:N23)</f>
        <v>12772.160833333333</v>
      </c>
      <c r="AG23" s="1032"/>
    </row>
    <row r="24" spans="1:33">
      <c r="B24" t="s">
        <v>976</v>
      </c>
      <c r="C24">
        <v>10472.549999999999</v>
      </c>
      <c r="D24">
        <v>10402.92</v>
      </c>
      <c r="E24">
        <v>10550.33</v>
      </c>
      <c r="F24">
        <v>10856.01</v>
      </c>
      <c r="G24">
        <v>10779.09</v>
      </c>
      <c r="H24">
        <v>10280.280000000001</v>
      </c>
      <c r="I24">
        <v>10735.99</v>
      </c>
      <c r="J24">
        <v>10645.31</v>
      </c>
      <c r="K24">
        <v>10437.370000000001</v>
      </c>
      <c r="L24">
        <v>10479.57</v>
      </c>
      <c r="M24">
        <v>10178.56</v>
      </c>
      <c r="N24">
        <v>10347.91</v>
      </c>
      <c r="O24" s="1032">
        <v>10327.32</v>
      </c>
      <c r="P24" s="1034">
        <f t="shared" ref="P24:P31" si="1">AVERAGE(C24:N24)</f>
        <v>10513.824166666667</v>
      </c>
      <c r="AG24" s="1032"/>
    </row>
    <row r="25" spans="1:33">
      <c r="B25" t="s">
        <v>977</v>
      </c>
      <c r="C25">
        <v>31781</v>
      </c>
      <c r="D25">
        <v>31180.58</v>
      </c>
      <c r="E25">
        <v>30794.29</v>
      </c>
      <c r="F25">
        <v>31269.33</v>
      </c>
      <c r="G25">
        <v>31262.7</v>
      </c>
      <c r="H25">
        <v>31658.47</v>
      </c>
      <c r="I25">
        <v>32170.29</v>
      </c>
      <c r="J25">
        <v>31974</v>
      </c>
      <c r="K25">
        <v>31636.13</v>
      </c>
      <c r="L25">
        <v>32008.46</v>
      </c>
      <c r="M25">
        <v>31498.21</v>
      </c>
      <c r="N25">
        <v>31903.83</v>
      </c>
      <c r="O25" s="1032">
        <v>31741.87</v>
      </c>
      <c r="P25" s="1034">
        <f t="shared" si="1"/>
        <v>31594.77416666667</v>
      </c>
      <c r="AG25" s="1032"/>
    </row>
    <row r="26" spans="1:33">
      <c r="B26" t="s">
        <v>865</v>
      </c>
      <c r="C26">
        <v>0.33</v>
      </c>
      <c r="D26">
        <v>0.33</v>
      </c>
      <c r="E26">
        <v>0.34</v>
      </c>
      <c r="F26">
        <v>0.35</v>
      </c>
      <c r="G26">
        <v>0.34</v>
      </c>
      <c r="H26">
        <v>0.32</v>
      </c>
      <c r="I26">
        <v>0.33</v>
      </c>
      <c r="J26">
        <v>0.33</v>
      </c>
      <c r="K26">
        <v>0.33</v>
      </c>
      <c r="L26">
        <v>0.33</v>
      </c>
      <c r="M26">
        <v>0.32</v>
      </c>
      <c r="N26">
        <v>0.32</v>
      </c>
      <c r="O26" s="1032">
        <v>0.33</v>
      </c>
      <c r="P26" s="1034">
        <f t="shared" si="1"/>
        <v>0.33083333333333337</v>
      </c>
      <c r="AG26" s="1032"/>
    </row>
    <row r="27" spans="1:33">
      <c r="B27" t="s">
        <v>978</v>
      </c>
      <c r="C27">
        <v>611.16999999999996</v>
      </c>
      <c r="D27">
        <v>599.63</v>
      </c>
      <c r="E27">
        <v>603.80999999999995</v>
      </c>
      <c r="F27">
        <v>613.12</v>
      </c>
      <c r="G27">
        <v>612.99</v>
      </c>
      <c r="H27">
        <v>608.82000000000005</v>
      </c>
      <c r="I27">
        <v>618.66</v>
      </c>
      <c r="J27">
        <v>614.88</v>
      </c>
      <c r="K27">
        <v>608.39</v>
      </c>
      <c r="L27">
        <v>615.54999999999995</v>
      </c>
      <c r="M27">
        <v>605.73</v>
      </c>
      <c r="N27">
        <v>613.54</v>
      </c>
      <c r="O27" s="1032">
        <v>610.41999999999996</v>
      </c>
      <c r="P27" s="1034">
        <f t="shared" si="1"/>
        <v>610.52416666666682</v>
      </c>
      <c r="AG27" s="1032"/>
    </row>
    <row r="28" spans="1:33">
      <c r="B28" t="s">
        <v>979</v>
      </c>
      <c r="C28">
        <v>72.239999999999995</v>
      </c>
      <c r="D28">
        <v>72.650000000000006</v>
      </c>
      <c r="E28">
        <v>76.83</v>
      </c>
      <c r="F28">
        <v>74.88</v>
      </c>
      <c r="G28">
        <v>73.39</v>
      </c>
      <c r="H28">
        <v>69.11</v>
      </c>
      <c r="I28">
        <v>69.87</v>
      </c>
      <c r="J28">
        <v>68.84</v>
      </c>
      <c r="K28">
        <v>68.02</v>
      </c>
      <c r="L28">
        <v>67.39</v>
      </c>
      <c r="M28">
        <v>67.52</v>
      </c>
      <c r="N28">
        <v>66.66</v>
      </c>
      <c r="O28" s="1032">
        <v>69.39</v>
      </c>
      <c r="P28" s="1034">
        <f t="shared" si="1"/>
        <v>70.61666666666666</v>
      </c>
      <c r="AG28" s="1032"/>
    </row>
    <row r="29" spans="1:33">
      <c r="B29" t="s">
        <v>980</v>
      </c>
      <c r="C29">
        <v>9.3699999999999992</v>
      </c>
      <c r="D29">
        <v>9.6199999999999992</v>
      </c>
      <c r="E29">
        <v>10.66</v>
      </c>
      <c r="F29">
        <v>10.32</v>
      </c>
      <c r="G29">
        <v>10.220000000000001</v>
      </c>
      <c r="H29">
        <v>9.56</v>
      </c>
      <c r="I29">
        <v>10.01</v>
      </c>
      <c r="J29">
        <v>6.55</v>
      </c>
      <c r="K29">
        <v>10.029999999999999</v>
      </c>
      <c r="L29">
        <v>7.82</v>
      </c>
      <c r="M29">
        <v>9.5500000000000007</v>
      </c>
      <c r="N29">
        <v>9.5</v>
      </c>
      <c r="O29" s="1032">
        <v>10.86</v>
      </c>
      <c r="P29" s="1034">
        <f t="shared" si="1"/>
        <v>9.4341666666666661</v>
      </c>
      <c r="AG29" s="1032"/>
    </row>
    <row r="30" spans="1:33">
      <c r="B30" t="s">
        <v>869</v>
      </c>
      <c r="C30">
        <v>439.97</v>
      </c>
      <c r="D30">
        <v>429.2</v>
      </c>
      <c r="E30">
        <v>400.79</v>
      </c>
      <c r="F30">
        <v>417.59</v>
      </c>
      <c r="G30">
        <v>425.99</v>
      </c>
      <c r="H30">
        <v>458.07</v>
      </c>
      <c r="I30">
        <v>460.4</v>
      </c>
      <c r="J30">
        <v>464.51</v>
      </c>
      <c r="K30">
        <v>465.07</v>
      </c>
      <c r="L30">
        <v>474.99</v>
      </c>
      <c r="M30">
        <v>466.51</v>
      </c>
      <c r="N30">
        <v>478.57</v>
      </c>
      <c r="O30" s="1032">
        <v>457.42</v>
      </c>
      <c r="P30" s="1034">
        <f t="shared" si="1"/>
        <v>448.47166666666675</v>
      </c>
      <c r="AG30" s="1032"/>
    </row>
    <row r="31" spans="1:33">
      <c r="B31" t="s">
        <v>870</v>
      </c>
      <c r="C31">
        <v>8.4600000000000009</v>
      </c>
      <c r="D31">
        <v>8.25</v>
      </c>
      <c r="E31">
        <v>7.86</v>
      </c>
      <c r="F31">
        <v>8.19</v>
      </c>
      <c r="G31">
        <v>8.35</v>
      </c>
      <c r="H31">
        <v>8.81</v>
      </c>
      <c r="I31">
        <v>8.85</v>
      </c>
      <c r="J31">
        <v>8.93</v>
      </c>
      <c r="K31">
        <v>8.94</v>
      </c>
      <c r="L31">
        <v>9.1300000000000008</v>
      </c>
      <c r="M31">
        <v>8.9700000000000006</v>
      </c>
      <c r="N31">
        <v>9.1999999999999993</v>
      </c>
      <c r="O31" s="1032">
        <v>8.8000000000000007</v>
      </c>
      <c r="P31" s="1034">
        <f t="shared" si="1"/>
        <v>8.6616666666666671</v>
      </c>
      <c r="AG31" s="1032"/>
    </row>
    <row r="32" spans="1:33">
      <c r="O32" s="1032"/>
      <c r="AG32" s="1032"/>
    </row>
    <row r="33" spans="1:33">
      <c r="B33" t="s">
        <v>761</v>
      </c>
      <c r="O33" s="1032"/>
      <c r="AG33" s="1032"/>
    </row>
    <row r="34" spans="1:33">
      <c r="B34" t="s">
        <v>981</v>
      </c>
      <c r="C34">
        <v>2.5099999999999998</v>
      </c>
      <c r="D34">
        <v>2.71</v>
      </c>
      <c r="E34">
        <v>2.63</v>
      </c>
      <c r="F34">
        <v>2.52</v>
      </c>
      <c r="G34">
        <v>2.6</v>
      </c>
      <c r="H34">
        <v>2.58</v>
      </c>
      <c r="I34">
        <v>2.41</v>
      </c>
      <c r="J34">
        <v>2.5499999999999998</v>
      </c>
      <c r="K34">
        <v>2.5099999999999998</v>
      </c>
      <c r="L34">
        <v>2.41</v>
      </c>
      <c r="M34">
        <v>2.64</v>
      </c>
      <c r="N34">
        <v>2.4</v>
      </c>
      <c r="O34" s="1032">
        <v>2.48</v>
      </c>
      <c r="P34">
        <f t="shared" si="0"/>
        <v>30.470000000000002</v>
      </c>
      <c r="AG34" s="1032"/>
    </row>
    <row r="35" spans="1:33">
      <c r="B35" t="s">
        <v>982</v>
      </c>
      <c r="C35">
        <v>2.31</v>
      </c>
      <c r="D35">
        <v>2.52</v>
      </c>
      <c r="E35">
        <v>2.44</v>
      </c>
      <c r="F35">
        <v>2.3199999999999998</v>
      </c>
      <c r="G35">
        <v>2.39</v>
      </c>
      <c r="H35">
        <v>2.38</v>
      </c>
      <c r="I35">
        <v>2.21</v>
      </c>
      <c r="J35">
        <v>2.35</v>
      </c>
      <c r="K35">
        <v>2.33</v>
      </c>
      <c r="L35">
        <v>2.2200000000000002</v>
      </c>
      <c r="M35">
        <v>2.4500000000000002</v>
      </c>
      <c r="N35">
        <v>2.21</v>
      </c>
      <c r="O35" s="1032">
        <v>2.2799999999999998</v>
      </c>
      <c r="P35">
        <f t="shared" si="0"/>
        <v>28.13</v>
      </c>
      <c r="AG35" s="1032"/>
    </row>
    <row r="36" spans="1:33">
      <c r="B36" t="s">
        <v>983</v>
      </c>
      <c r="C36">
        <v>0</v>
      </c>
      <c r="D36">
        <v>0</v>
      </c>
      <c r="E36">
        <v>0</v>
      </c>
      <c r="F36">
        <v>0</v>
      </c>
      <c r="G36">
        <v>0</v>
      </c>
      <c r="H36">
        <v>0</v>
      </c>
      <c r="I36">
        <v>0</v>
      </c>
      <c r="J36">
        <v>0</v>
      </c>
      <c r="K36">
        <v>0</v>
      </c>
      <c r="L36">
        <v>0</v>
      </c>
      <c r="M36">
        <v>0</v>
      </c>
      <c r="N36">
        <v>0</v>
      </c>
      <c r="O36" s="1032">
        <v>0</v>
      </c>
      <c r="P36">
        <f t="shared" si="0"/>
        <v>0</v>
      </c>
      <c r="AG36" s="1032"/>
    </row>
    <row r="37" spans="1:33">
      <c r="B37" t="s">
        <v>984</v>
      </c>
      <c r="C37">
        <v>0</v>
      </c>
      <c r="D37">
        <v>0</v>
      </c>
      <c r="E37">
        <v>0</v>
      </c>
      <c r="F37">
        <v>0</v>
      </c>
      <c r="G37">
        <v>0</v>
      </c>
      <c r="H37">
        <v>0</v>
      </c>
      <c r="I37">
        <v>0</v>
      </c>
      <c r="J37">
        <v>0</v>
      </c>
      <c r="K37">
        <v>0</v>
      </c>
      <c r="L37">
        <v>0</v>
      </c>
      <c r="M37">
        <v>0</v>
      </c>
      <c r="N37">
        <v>0</v>
      </c>
      <c r="O37" s="1032">
        <v>0</v>
      </c>
      <c r="P37">
        <f t="shared" si="0"/>
        <v>0</v>
      </c>
      <c r="AG37" s="1032"/>
    </row>
    <row r="38" spans="1:33">
      <c r="B38" t="s">
        <v>985</v>
      </c>
      <c r="C38">
        <v>1.47</v>
      </c>
      <c r="D38">
        <v>1.76</v>
      </c>
      <c r="E38">
        <v>1.76</v>
      </c>
      <c r="F38">
        <v>1.45</v>
      </c>
      <c r="G38">
        <v>1.59</v>
      </c>
      <c r="H38">
        <v>1.34</v>
      </c>
      <c r="I38">
        <v>1.41</v>
      </c>
      <c r="J38">
        <v>1.53</v>
      </c>
      <c r="K38">
        <v>1.54</v>
      </c>
      <c r="L38">
        <v>1.38</v>
      </c>
      <c r="M38">
        <v>1.44</v>
      </c>
      <c r="N38">
        <v>1.21</v>
      </c>
      <c r="O38" s="1032">
        <v>1.4</v>
      </c>
      <c r="P38">
        <f t="shared" si="0"/>
        <v>17.880000000000003</v>
      </c>
      <c r="AG38" s="1032"/>
    </row>
    <row r="39" spans="1:33">
      <c r="O39" s="1032"/>
      <c r="AG39" s="1032"/>
    </row>
    <row r="40" spans="1:33">
      <c r="B40" t="s">
        <v>762</v>
      </c>
      <c r="O40" s="1032"/>
      <c r="AG40" s="1032"/>
    </row>
    <row r="41" spans="1:33">
      <c r="A41">
        <v>10300</v>
      </c>
      <c r="B41" s="1171" t="s">
        <v>882</v>
      </c>
      <c r="C41" s="1171">
        <v>3075</v>
      </c>
      <c r="D41" s="1171">
        <v>2894</v>
      </c>
      <c r="E41" s="1171">
        <v>2614</v>
      </c>
      <c r="F41" s="1171">
        <v>3303</v>
      </c>
      <c r="G41" s="1171">
        <v>3198</v>
      </c>
      <c r="H41" s="1171">
        <v>3035</v>
      </c>
      <c r="I41" s="1171">
        <v>3192</v>
      </c>
      <c r="J41" s="1171">
        <v>3193</v>
      </c>
      <c r="K41" s="1171">
        <v>3280</v>
      </c>
      <c r="L41" s="1171">
        <v>3483</v>
      </c>
      <c r="M41" s="1171">
        <v>3052</v>
      </c>
      <c r="N41" s="1171">
        <v>3354</v>
      </c>
      <c r="O41" s="1172">
        <v>3046</v>
      </c>
      <c r="P41" s="1171">
        <f t="shared" si="0"/>
        <v>37673</v>
      </c>
      <c r="AG41" s="1032"/>
    </row>
    <row r="42" spans="1:33">
      <c r="B42" t="s">
        <v>883</v>
      </c>
      <c r="C42">
        <v>133.71</v>
      </c>
      <c r="D42">
        <v>130.07</v>
      </c>
      <c r="E42">
        <v>124.49</v>
      </c>
      <c r="F42">
        <v>137.62</v>
      </c>
      <c r="G42">
        <v>139.03</v>
      </c>
      <c r="H42">
        <v>136.4</v>
      </c>
      <c r="I42">
        <v>133.02000000000001</v>
      </c>
      <c r="J42">
        <v>145.13</v>
      </c>
      <c r="K42">
        <v>141.07</v>
      </c>
      <c r="L42">
        <v>145.13999999999999</v>
      </c>
      <c r="M42">
        <v>143.61000000000001</v>
      </c>
      <c r="N42">
        <v>139.77000000000001</v>
      </c>
      <c r="O42" s="1032">
        <v>132.44</v>
      </c>
      <c r="P42">
        <f t="shared" si="0"/>
        <v>1649.06</v>
      </c>
      <c r="AG42" s="1032"/>
    </row>
    <row r="43" spans="1:33">
      <c r="B43" t="s">
        <v>884</v>
      </c>
      <c r="C43">
        <v>16134.86</v>
      </c>
      <c r="D43">
        <v>15698.26</v>
      </c>
      <c r="E43">
        <v>14915.2</v>
      </c>
      <c r="F43">
        <v>16538.349999999999</v>
      </c>
      <c r="G43">
        <v>16706.77</v>
      </c>
      <c r="H43">
        <v>16391.62</v>
      </c>
      <c r="I43">
        <v>15984.46</v>
      </c>
      <c r="J43">
        <v>17440.599999999999</v>
      </c>
      <c r="K43">
        <v>16967.849999999999</v>
      </c>
      <c r="L43">
        <v>17441.43</v>
      </c>
      <c r="M43">
        <v>17274.400000000001</v>
      </c>
      <c r="N43">
        <v>16907.919999999998</v>
      </c>
      <c r="O43" s="1032">
        <v>15915.26</v>
      </c>
      <c r="P43">
        <f t="shared" si="0"/>
        <v>198401.71999999997</v>
      </c>
      <c r="AG43" s="1032"/>
    </row>
    <row r="44" spans="1:33">
      <c r="B44" t="s">
        <v>885</v>
      </c>
      <c r="C44">
        <v>120.68</v>
      </c>
      <c r="D44">
        <v>120.69</v>
      </c>
      <c r="E44">
        <v>119.82</v>
      </c>
      <c r="F44">
        <v>120.17</v>
      </c>
      <c r="G44">
        <v>120.15</v>
      </c>
      <c r="H44">
        <v>120.17</v>
      </c>
      <c r="I44">
        <v>120.18</v>
      </c>
      <c r="J44">
        <v>120.17</v>
      </c>
      <c r="K44">
        <v>120.28</v>
      </c>
      <c r="L44">
        <v>120.18</v>
      </c>
      <c r="M44">
        <v>120.28</v>
      </c>
      <c r="N44">
        <v>120.99</v>
      </c>
      <c r="O44" s="1032">
        <v>120.17</v>
      </c>
      <c r="P44">
        <f t="shared" si="0"/>
        <v>1443.76</v>
      </c>
      <c r="AG44" s="1032"/>
    </row>
    <row r="45" spans="1:33">
      <c r="B45" t="s">
        <v>886</v>
      </c>
      <c r="C45">
        <v>1</v>
      </c>
      <c r="D45">
        <v>1</v>
      </c>
      <c r="E45">
        <v>0.97</v>
      </c>
      <c r="F45">
        <v>1</v>
      </c>
      <c r="G45">
        <v>1</v>
      </c>
      <c r="H45">
        <v>1</v>
      </c>
      <c r="I45">
        <v>0.81</v>
      </c>
      <c r="J45">
        <v>1</v>
      </c>
      <c r="K45">
        <v>1</v>
      </c>
      <c r="L45">
        <v>1</v>
      </c>
      <c r="M45">
        <v>1</v>
      </c>
      <c r="N45">
        <v>1</v>
      </c>
      <c r="O45" s="1032">
        <v>1</v>
      </c>
      <c r="P45">
        <f t="shared" si="0"/>
        <v>11.78</v>
      </c>
      <c r="AG45" s="1032"/>
    </row>
    <row r="46" spans="1:33">
      <c r="A46">
        <v>10305</v>
      </c>
      <c r="B46" s="1171" t="s">
        <v>887</v>
      </c>
      <c r="C46" s="1171">
        <v>0</v>
      </c>
      <c r="D46" s="1171">
        <v>0</v>
      </c>
      <c r="E46" s="1171">
        <v>94</v>
      </c>
      <c r="F46" s="1171">
        <v>0</v>
      </c>
      <c r="G46" s="1171">
        <v>0</v>
      </c>
      <c r="H46" s="1171">
        <v>1</v>
      </c>
      <c r="I46" s="1171">
        <v>757</v>
      </c>
      <c r="J46" s="1171">
        <v>0</v>
      </c>
      <c r="K46" s="1171">
        <v>0</v>
      </c>
      <c r="L46" s="1171">
        <v>0</v>
      </c>
      <c r="M46" s="1171">
        <v>0</v>
      </c>
      <c r="N46" s="1171">
        <v>0</v>
      </c>
      <c r="O46" s="1172">
        <v>0</v>
      </c>
      <c r="P46" s="1171">
        <f t="shared" si="0"/>
        <v>852</v>
      </c>
      <c r="AG46" s="1032"/>
    </row>
    <row r="47" spans="1:33">
      <c r="B47" t="s">
        <v>888</v>
      </c>
      <c r="C47">
        <v>0.02</v>
      </c>
      <c r="D47">
        <v>-0.02</v>
      </c>
      <c r="E47">
        <v>4.45</v>
      </c>
      <c r="F47">
        <v>0</v>
      </c>
      <c r="G47">
        <v>0</v>
      </c>
      <c r="H47">
        <v>0.02</v>
      </c>
      <c r="I47">
        <v>31.54</v>
      </c>
      <c r="J47">
        <v>0</v>
      </c>
      <c r="K47">
        <v>0</v>
      </c>
      <c r="L47">
        <v>0</v>
      </c>
      <c r="M47">
        <v>0</v>
      </c>
      <c r="N47">
        <v>0</v>
      </c>
      <c r="O47" s="1032">
        <v>0</v>
      </c>
      <c r="P47">
        <f t="shared" si="0"/>
        <v>36.01</v>
      </c>
      <c r="AG47" s="1032"/>
    </row>
    <row r="48" spans="1:33">
      <c r="B48" t="s">
        <v>889</v>
      </c>
      <c r="C48">
        <v>0</v>
      </c>
      <c r="D48">
        <v>0</v>
      </c>
      <c r="E48">
        <v>0</v>
      </c>
      <c r="F48">
        <v>0</v>
      </c>
      <c r="G48">
        <v>0</v>
      </c>
      <c r="H48">
        <v>0</v>
      </c>
      <c r="I48">
        <v>0</v>
      </c>
      <c r="J48">
        <v>0</v>
      </c>
      <c r="K48">
        <v>0</v>
      </c>
      <c r="L48">
        <v>0</v>
      </c>
      <c r="M48">
        <v>0</v>
      </c>
      <c r="N48">
        <v>0</v>
      </c>
      <c r="O48" s="1032">
        <v>0</v>
      </c>
      <c r="P48">
        <f t="shared" si="0"/>
        <v>0</v>
      </c>
      <c r="AG48" s="1032"/>
    </row>
    <row r="49" spans="1:33">
      <c r="B49" t="s">
        <v>890</v>
      </c>
      <c r="C49">
        <v>0</v>
      </c>
      <c r="D49">
        <v>0</v>
      </c>
      <c r="E49">
        <v>0</v>
      </c>
      <c r="F49">
        <v>0</v>
      </c>
      <c r="G49">
        <v>0</v>
      </c>
      <c r="H49">
        <v>0</v>
      </c>
      <c r="I49">
        <v>0</v>
      </c>
      <c r="J49">
        <v>0</v>
      </c>
      <c r="K49">
        <v>0</v>
      </c>
      <c r="L49">
        <v>0</v>
      </c>
      <c r="M49">
        <v>0</v>
      </c>
      <c r="N49">
        <v>0</v>
      </c>
      <c r="O49" s="1032">
        <v>0</v>
      </c>
      <c r="P49">
        <f t="shared" si="0"/>
        <v>0</v>
      </c>
      <c r="AG49" s="1032"/>
    </row>
    <row r="50" spans="1:33">
      <c r="B50" t="s">
        <v>891</v>
      </c>
      <c r="C50">
        <v>0</v>
      </c>
      <c r="D50">
        <v>0</v>
      </c>
      <c r="E50">
        <v>0.03</v>
      </c>
      <c r="F50">
        <v>0</v>
      </c>
      <c r="G50">
        <v>0</v>
      </c>
      <c r="H50">
        <v>0</v>
      </c>
      <c r="I50">
        <v>0.19</v>
      </c>
      <c r="J50">
        <v>0</v>
      </c>
      <c r="K50">
        <v>0</v>
      </c>
      <c r="L50">
        <v>0</v>
      </c>
      <c r="M50">
        <v>0</v>
      </c>
      <c r="N50">
        <v>0</v>
      </c>
      <c r="O50" s="1032">
        <v>0</v>
      </c>
      <c r="P50">
        <f t="shared" si="0"/>
        <v>0.22</v>
      </c>
      <c r="AG50" s="1032"/>
    </row>
    <row r="51" spans="1:33">
      <c r="B51" t="s">
        <v>892</v>
      </c>
      <c r="C51">
        <v>3076</v>
      </c>
      <c r="D51">
        <v>2894</v>
      </c>
      <c r="E51">
        <v>2708</v>
      </c>
      <c r="F51">
        <v>3303</v>
      </c>
      <c r="G51">
        <v>3198</v>
      </c>
      <c r="H51">
        <v>3035</v>
      </c>
      <c r="I51">
        <v>3949</v>
      </c>
      <c r="J51">
        <v>3193</v>
      </c>
      <c r="K51">
        <v>3280</v>
      </c>
      <c r="L51">
        <v>3483</v>
      </c>
      <c r="M51">
        <v>3052</v>
      </c>
      <c r="N51">
        <v>3354</v>
      </c>
      <c r="O51" s="1032">
        <v>3046</v>
      </c>
      <c r="P51">
        <f t="shared" si="0"/>
        <v>38525</v>
      </c>
      <c r="AG51" s="1032"/>
    </row>
    <row r="52" spans="1:33">
      <c r="B52" t="s">
        <v>893</v>
      </c>
      <c r="C52">
        <v>133.72</v>
      </c>
      <c r="D52">
        <v>130.06</v>
      </c>
      <c r="E52">
        <v>128.94</v>
      </c>
      <c r="F52">
        <v>137.62</v>
      </c>
      <c r="G52">
        <v>139.03</v>
      </c>
      <c r="H52">
        <v>136.43</v>
      </c>
      <c r="I52">
        <v>164.56</v>
      </c>
      <c r="J52">
        <v>145.13</v>
      </c>
      <c r="K52">
        <v>141.07</v>
      </c>
      <c r="L52">
        <v>145.13999999999999</v>
      </c>
      <c r="M52">
        <v>143.61000000000001</v>
      </c>
      <c r="N52">
        <v>139.77000000000001</v>
      </c>
      <c r="O52" s="1032">
        <v>132.44</v>
      </c>
      <c r="P52">
        <f t="shared" si="0"/>
        <v>1685.08</v>
      </c>
      <c r="AG52" s="1032"/>
    </row>
    <row r="53" spans="1:33">
      <c r="B53" t="s">
        <v>894</v>
      </c>
      <c r="C53">
        <v>16134.86</v>
      </c>
      <c r="D53">
        <v>15698.26</v>
      </c>
      <c r="E53">
        <v>14915.2</v>
      </c>
      <c r="F53">
        <v>16538.349999999999</v>
      </c>
      <c r="G53">
        <v>16706.77</v>
      </c>
      <c r="H53">
        <v>16391.62</v>
      </c>
      <c r="I53">
        <v>15984.46</v>
      </c>
      <c r="J53">
        <v>17440.599999999999</v>
      </c>
      <c r="K53">
        <v>16967.849999999999</v>
      </c>
      <c r="L53">
        <v>17441.43</v>
      </c>
      <c r="M53">
        <v>17274.400000000001</v>
      </c>
      <c r="N53">
        <v>16907.919999999998</v>
      </c>
      <c r="O53" s="1032">
        <v>15915.26</v>
      </c>
      <c r="P53">
        <f t="shared" si="0"/>
        <v>198401.71999999997</v>
      </c>
      <c r="AG53" s="1032"/>
    </row>
    <row r="54" spans="1:33">
      <c r="B54" t="s">
        <v>895</v>
      </c>
      <c r="C54">
        <v>120.64</v>
      </c>
      <c r="D54">
        <v>120.69</v>
      </c>
      <c r="E54">
        <v>115.66</v>
      </c>
      <c r="F54">
        <v>120.17</v>
      </c>
      <c r="G54">
        <v>120.15</v>
      </c>
      <c r="H54">
        <v>120.17</v>
      </c>
      <c r="I54">
        <v>97.15</v>
      </c>
      <c r="J54">
        <v>120.17</v>
      </c>
      <c r="K54">
        <v>120.28</v>
      </c>
      <c r="L54">
        <v>120.18</v>
      </c>
      <c r="M54">
        <v>120.28</v>
      </c>
      <c r="N54">
        <v>120.99</v>
      </c>
      <c r="O54" s="1032">
        <v>120.17</v>
      </c>
      <c r="P54">
        <f t="shared" si="0"/>
        <v>1416.53</v>
      </c>
      <c r="AG54" s="1032"/>
    </row>
    <row r="55" spans="1:33">
      <c r="B55" t="s">
        <v>896</v>
      </c>
      <c r="C55">
        <v>0.2</v>
      </c>
      <c r="D55">
        <v>0.19</v>
      </c>
      <c r="E55">
        <v>0.18</v>
      </c>
      <c r="F55">
        <v>0.21</v>
      </c>
      <c r="G55">
        <v>0.21</v>
      </c>
      <c r="H55">
        <v>0.2</v>
      </c>
      <c r="I55">
        <v>0.21</v>
      </c>
      <c r="J55">
        <v>0.21</v>
      </c>
      <c r="K55">
        <v>0.21</v>
      </c>
      <c r="L55">
        <v>0.23</v>
      </c>
      <c r="M55">
        <v>0.21</v>
      </c>
      <c r="N55">
        <v>0.22</v>
      </c>
      <c r="O55" s="1032">
        <v>0.2</v>
      </c>
      <c r="P55">
        <f t="shared" si="0"/>
        <v>2.48</v>
      </c>
      <c r="AG55" s="1032"/>
    </row>
    <row r="56" spans="1:33">
      <c r="B56" t="s">
        <v>986</v>
      </c>
      <c r="C56">
        <v>20.82</v>
      </c>
      <c r="D56">
        <v>20.49</v>
      </c>
      <c r="E56">
        <v>20.22</v>
      </c>
      <c r="F56">
        <v>21.19</v>
      </c>
      <c r="G56">
        <v>21.73</v>
      </c>
      <c r="H56">
        <v>21.88</v>
      </c>
      <c r="I56">
        <v>25.41</v>
      </c>
      <c r="J56">
        <v>22.69</v>
      </c>
      <c r="K56">
        <v>22.1</v>
      </c>
      <c r="L56">
        <v>22.74</v>
      </c>
      <c r="M56">
        <v>22.76</v>
      </c>
      <c r="N56">
        <v>21.81</v>
      </c>
      <c r="O56" s="1032">
        <v>20.93</v>
      </c>
      <c r="P56">
        <f t="shared" si="0"/>
        <v>263.83999999999997</v>
      </c>
      <c r="AG56" s="1032"/>
    </row>
    <row r="57" spans="1:33">
      <c r="B57" t="s">
        <v>987</v>
      </c>
      <c r="C57">
        <v>54.73</v>
      </c>
      <c r="D57">
        <v>43.97</v>
      </c>
      <c r="E57">
        <v>30.94</v>
      </c>
      <c r="F57">
        <v>37.950000000000003</v>
      </c>
      <c r="G57">
        <v>38.630000000000003</v>
      </c>
      <c r="H57">
        <v>70.209999999999994</v>
      </c>
      <c r="I57">
        <v>75.73</v>
      </c>
      <c r="J57">
        <v>46.57</v>
      </c>
      <c r="K57">
        <v>41.98</v>
      </c>
      <c r="L57">
        <v>50.29</v>
      </c>
      <c r="M57">
        <v>60.82</v>
      </c>
      <c r="N57">
        <v>62.99</v>
      </c>
      <c r="O57" s="1032">
        <v>54.01</v>
      </c>
      <c r="P57">
        <f t="shared" si="0"/>
        <v>614.81000000000006</v>
      </c>
      <c r="AG57" s="1032"/>
    </row>
    <row r="58" spans="1:33">
      <c r="B58" t="s">
        <v>988</v>
      </c>
      <c r="C58">
        <v>26.45</v>
      </c>
      <c r="D58">
        <v>23.01</v>
      </c>
      <c r="E58">
        <v>18.98</v>
      </c>
      <c r="F58">
        <v>21.98</v>
      </c>
      <c r="G58">
        <v>22.21</v>
      </c>
      <c r="H58">
        <v>31.42</v>
      </c>
      <c r="I58">
        <v>35.5</v>
      </c>
      <c r="J58">
        <v>24.58</v>
      </c>
      <c r="K58">
        <v>22.77</v>
      </c>
      <c r="L58">
        <v>25.53</v>
      </c>
      <c r="M58">
        <v>28.77</v>
      </c>
      <c r="N58">
        <v>29.19</v>
      </c>
      <c r="O58" s="1032">
        <v>25.92</v>
      </c>
      <c r="P58">
        <f t="shared" si="0"/>
        <v>310.39</v>
      </c>
      <c r="AG58" s="1032"/>
    </row>
    <row r="59" spans="1:33">
      <c r="O59" s="1032"/>
      <c r="AG59" s="1032"/>
    </row>
    <row r="60" spans="1:33">
      <c r="B60" t="s">
        <v>763</v>
      </c>
      <c r="O60" s="1032"/>
      <c r="AG60" s="1032"/>
    </row>
    <row r="61" spans="1:33">
      <c r="A61">
        <v>10310</v>
      </c>
      <c r="B61" s="1171" t="s">
        <v>900</v>
      </c>
      <c r="C61" s="1171">
        <v>3615</v>
      </c>
      <c r="D61" s="1171">
        <v>2694</v>
      </c>
      <c r="E61" s="1171">
        <v>1366</v>
      </c>
      <c r="F61" s="1171">
        <v>1723</v>
      </c>
      <c r="G61" s="1171">
        <v>1402</v>
      </c>
      <c r="H61" s="1171">
        <v>2507</v>
      </c>
      <c r="I61" s="1171">
        <v>3014</v>
      </c>
      <c r="J61" s="1171">
        <v>2563</v>
      </c>
      <c r="K61" s="1171">
        <v>2460</v>
      </c>
      <c r="L61" s="1171">
        <v>2210</v>
      </c>
      <c r="M61" s="1171">
        <v>1325</v>
      </c>
      <c r="N61" s="1171">
        <v>1727</v>
      </c>
      <c r="O61" s="1172">
        <v>1701</v>
      </c>
      <c r="P61" s="1171">
        <f t="shared" si="0"/>
        <v>26606</v>
      </c>
      <c r="AG61" s="1032"/>
    </row>
    <row r="62" spans="1:33">
      <c r="B62" t="s">
        <v>901</v>
      </c>
      <c r="C62">
        <v>157.16</v>
      </c>
      <c r="D62">
        <v>121.08</v>
      </c>
      <c r="E62">
        <v>65.03</v>
      </c>
      <c r="F62">
        <v>71.790000000000006</v>
      </c>
      <c r="G62">
        <v>60.94</v>
      </c>
      <c r="H62">
        <v>112.68</v>
      </c>
      <c r="I62">
        <v>125.57</v>
      </c>
      <c r="J62">
        <v>116.5</v>
      </c>
      <c r="K62">
        <v>105.79</v>
      </c>
      <c r="L62">
        <v>92.07</v>
      </c>
      <c r="M62">
        <v>62.35</v>
      </c>
      <c r="N62">
        <v>71.97</v>
      </c>
      <c r="O62" s="1032">
        <v>73.94</v>
      </c>
      <c r="P62">
        <f t="shared" si="0"/>
        <v>1162.9299999999998</v>
      </c>
      <c r="AG62" s="1032"/>
    </row>
    <row r="63" spans="1:33">
      <c r="B63" t="s">
        <v>902</v>
      </c>
      <c r="C63">
        <v>0</v>
      </c>
      <c r="D63">
        <v>0</v>
      </c>
      <c r="E63">
        <v>0</v>
      </c>
      <c r="F63">
        <v>0</v>
      </c>
      <c r="G63">
        <v>0</v>
      </c>
      <c r="H63">
        <v>0</v>
      </c>
      <c r="I63">
        <v>0</v>
      </c>
      <c r="J63">
        <v>0</v>
      </c>
      <c r="K63">
        <v>0</v>
      </c>
      <c r="L63">
        <v>0</v>
      </c>
      <c r="M63">
        <v>0</v>
      </c>
      <c r="N63">
        <v>37.5</v>
      </c>
      <c r="O63" s="1032">
        <v>0</v>
      </c>
      <c r="P63">
        <f t="shared" si="0"/>
        <v>37.5</v>
      </c>
      <c r="AG63" s="1032"/>
    </row>
    <row r="64" spans="1:33">
      <c r="B64" t="s">
        <v>903</v>
      </c>
      <c r="C64">
        <v>0</v>
      </c>
      <c r="D64">
        <v>0</v>
      </c>
      <c r="E64">
        <v>0</v>
      </c>
      <c r="F64">
        <v>0</v>
      </c>
      <c r="G64">
        <v>0</v>
      </c>
      <c r="H64">
        <v>0</v>
      </c>
      <c r="I64">
        <v>0</v>
      </c>
      <c r="J64">
        <v>0</v>
      </c>
      <c r="K64">
        <v>0</v>
      </c>
      <c r="L64">
        <v>0</v>
      </c>
      <c r="M64">
        <v>0</v>
      </c>
      <c r="N64">
        <v>0.52</v>
      </c>
      <c r="O64" s="1032">
        <v>0</v>
      </c>
      <c r="P64">
        <f t="shared" si="0"/>
        <v>0.52</v>
      </c>
      <c r="AG64" s="1032"/>
    </row>
    <row r="65" spans="1:33">
      <c r="B65" t="s">
        <v>886</v>
      </c>
      <c r="C65">
        <v>0.55000000000000004</v>
      </c>
      <c r="D65">
        <v>0.53</v>
      </c>
      <c r="E65">
        <v>0.4</v>
      </c>
      <c r="F65">
        <v>0.35</v>
      </c>
      <c r="G65">
        <v>0.28999999999999998</v>
      </c>
      <c r="H65">
        <v>0.31</v>
      </c>
      <c r="I65">
        <v>0.31</v>
      </c>
      <c r="J65">
        <v>0.47</v>
      </c>
      <c r="K65">
        <v>0.48</v>
      </c>
      <c r="L65">
        <v>0.35</v>
      </c>
      <c r="M65">
        <v>0.2</v>
      </c>
      <c r="N65">
        <v>0.22</v>
      </c>
      <c r="O65" s="1032">
        <v>0.27</v>
      </c>
      <c r="P65">
        <f t="shared" si="0"/>
        <v>4.46</v>
      </c>
      <c r="AG65" s="1032"/>
    </row>
    <row r="66" spans="1:33">
      <c r="A66">
        <v>10330</v>
      </c>
      <c r="B66" s="1171" t="s">
        <v>904</v>
      </c>
      <c r="C66" s="1171">
        <v>2977</v>
      </c>
      <c r="D66" s="1171">
        <v>2394</v>
      </c>
      <c r="E66" s="1171">
        <v>2062</v>
      </c>
      <c r="F66" s="1171">
        <v>3220</v>
      </c>
      <c r="G66" s="1171">
        <v>3387</v>
      </c>
      <c r="H66" s="1171">
        <v>5523</v>
      </c>
      <c r="I66" s="1171">
        <v>6743</v>
      </c>
      <c r="J66" s="1171">
        <v>2891</v>
      </c>
      <c r="K66" s="1171">
        <v>2634</v>
      </c>
      <c r="L66" s="1171">
        <v>4114</v>
      </c>
      <c r="M66" s="1171">
        <v>5253</v>
      </c>
      <c r="N66" s="1171">
        <v>6094</v>
      </c>
      <c r="O66" s="1172">
        <v>4714</v>
      </c>
      <c r="P66" s="1171">
        <f t="shared" si="0"/>
        <v>47292</v>
      </c>
      <c r="AG66" s="1032"/>
    </row>
    <row r="67" spans="1:33">
      <c r="B67" t="s">
        <v>905</v>
      </c>
      <c r="C67">
        <v>129.41999999999999</v>
      </c>
      <c r="D67">
        <v>107.62</v>
      </c>
      <c r="E67">
        <v>98.19</v>
      </c>
      <c r="F67">
        <v>134.19</v>
      </c>
      <c r="G67">
        <v>147.27000000000001</v>
      </c>
      <c r="H67">
        <v>248.22</v>
      </c>
      <c r="I67">
        <v>280.95999999999998</v>
      </c>
      <c r="J67">
        <v>131.4</v>
      </c>
      <c r="K67">
        <v>113.28</v>
      </c>
      <c r="L67">
        <v>171.43</v>
      </c>
      <c r="M67">
        <v>247.18</v>
      </c>
      <c r="N67">
        <v>253.94</v>
      </c>
      <c r="O67" s="1032">
        <v>204.96</v>
      </c>
      <c r="P67">
        <f t="shared" si="0"/>
        <v>2063.1000000000004</v>
      </c>
      <c r="AG67" s="1032"/>
    </row>
    <row r="68" spans="1:33">
      <c r="B68" t="s">
        <v>906</v>
      </c>
      <c r="C68">
        <v>6058.25</v>
      </c>
      <c r="D68">
        <v>5897.96</v>
      </c>
      <c r="E68">
        <v>5747.66</v>
      </c>
      <c r="F68">
        <v>6291.73</v>
      </c>
      <c r="G68">
        <v>6460.87</v>
      </c>
      <c r="H68">
        <v>6221.14</v>
      </c>
      <c r="I68">
        <v>6466.6</v>
      </c>
      <c r="J68">
        <v>6257.88</v>
      </c>
      <c r="K68">
        <v>5672.37</v>
      </c>
      <c r="L68">
        <v>5861.79</v>
      </c>
      <c r="M68">
        <v>5786.43</v>
      </c>
      <c r="N68">
        <v>5721.86</v>
      </c>
      <c r="O68" s="1032">
        <v>6223.98</v>
      </c>
      <c r="P68">
        <f t="shared" si="0"/>
        <v>72444.539999999994</v>
      </c>
      <c r="AG68" s="1032"/>
    </row>
    <row r="69" spans="1:33">
      <c r="B69" t="s">
        <v>907</v>
      </c>
      <c r="C69">
        <v>46.81</v>
      </c>
      <c r="D69">
        <v>54.82</v>
      </c>
      <c r="E69">
        <v>58.54</v>
      </c>
      <c r="F69">
        <v>46.89</v>
      </c>
      <c r="G69">
        <v>43.87</v>
      </c>
      <c r="H69">
        <v>25.06</v>
      </c>
      <c r="I69">
        <v>23.02</v>
      </c>
      <c r="J69">
        <v>47.62</v>
      </c>
      <c r="K69">
        <v>50.07</v>
      </c>
      <c r="L69">
        <v>34.200000000000003</v>
      </c>
      <c r="M69">
        <v>23.41</v>
      </c>
      <c r="N69">
        <v>22.53</v>
      </c>
      <c r="O69" s="1032">
        <v>30.37</v>
      </c>
      <c r="P69">
        <f t="shared" si="0"/>
        <v>476.84000000000003</v>
      </c>
      <c r="AG69" s="1032"/>
    </row>
    <row r="70" spans="1:33">
      <c r="B70" t="s">
        <v>891</v>
      </c>
      <c r="C70">
        <v>0.45</v>
      </c>
      <c r="D70">
        <v>0.47</v>
      </c>
      <c r="E70">
        <v>0.6</v>
      </c>
      <c r="F70">
        <v>0.65</v>
      </c>
      <c r="G70">
        <v>0.71</v>
      </c>
      <c r="H70">
        <v>0.69</v>
      </c>
      <c r="I70">
        <v>0.69</v>
      </c>
      <c r="J70">
        <v>0.53</v>
      </c>
      <c r="K70">
        <v>0.52</v>
      </c>
      <c r="L70">
        <v>0.65</v>
      </c>
      <c r="M70">
        <v>0.8</v>
      </c>
      <c r="N70">
        <v>0.78</v>
      </c>
      <c r="O70" s="1032">
        <v>0.73</v>
      </c>
      <c r="P70">
        <f t="shared" si="0"/>
        <v>7.5400000000000009</v>
      </c>
      <c r="AG70" s="1032"/>
    </row>
    <row r="71" spans="1:33">
      <c r="B71" t="s">
        <v>908</v>
      </c>
      <c r="C71">
        <v>5588.41</v>
      </c>
      <c r="D71">
        <v>4269.55</v>
      </c>
      <c r="E71">
        <v>2303.04</v>
      </c>
      <c r="F71">
        <v>2613.37</v>
      </c>
      <c r="G71">
        <v>2473.58</v>
      </c>
      <c r="H71">
        <v>4351.2299999999996</v>
      </c>
      <c r="I71">
        <v>4517.6499999999996</v>
      </c>
      <c r="J71">
        <v>4022.67</v>
      </c>
      <c r="K71">
        <v>3647.46</v>
      </c>
      <c r="L71">
        <v>1785.74</v>
      </c>
      <c r="M71">
        <v>2363.91</v>
      </c>
      <c r="N71">
        <v>2391.9299999999998</v>
      </c>
      <c r="O71" s="1032">
        <v>2670.02</v>
      </c>
      <c r="P71">
        <f t="shared" si="0"/>
        <v>40328.539999999986</v>
      </c>
      <c r="AG71" s="1032"/>
    </row>
    <row r="72" spans="1:33">
      <c r="B72" t="s">
        <v>909</v>
      </c>
      <c r="C72">
        <v>35.56</v>
      </c>
      <c r="D72">
        <v>35.26</v>
      </c>
      <c r="E72">
        <v>35.409999999999997</v>
      </c>
      <c r="F72">
        <v>36.4</v>
      </c>
      <c r="G72">
        <v>40.58</v>
      </c>
      <c r="H72">
        <v>38.619999999999997</v>
      </c>
      <c r="I72">
        <v>35.97</v>
      </c>
      <c r="J72">
        <v>34.53</v>
      </c>
      <c r="K72">
        <v>34.47</v>
      </c>
      <c r="L72">
        <v>19.39</v>
      </c>
      <c r="M72">
        <v>37.909999999999997</v>
      </c>
      <c r="N72">
        <v>33.24</v>
      </c>
      <c r="O72" s="1032">
        <v>36.1</v>
      </c>
      <c r="P72">
        <f t="shared" si="0"/>
        <v>417.33999999999992</v>
      </c>
      <c r="AG72" s="1032"/>
    </row>
    <row r="73" spans="1:33">
      <c r="B73" t="s">
        <v>910</v>
      </c>
      <c r="C73">
        <v>8669.39</v>
      </c>
      <c r="D73">
        <v>7276.43</v>
      </c>
      <c r="E73">
        <v>6693.45</v>
      </c>
      <c r="F73">
        <v>8976.09</v>
      </c>
      <c r="G73">
        <v>9807.7900000000009</v>
      </c>
      <c r="H73">
        <v>15784.9</v>
      </c>
      <c r="I73">
        <v>8576.67</v>
      </c>
      <c r="J73">
        <v>8564.2999999999993</v>
      </c>
      <c r="K73">
        <v>7661.02</v>
      </c>
      <c r="L73">
        <v>11172.58</v>
      </c>
      <c r="M73">
        <v>15777.34</v>
      </c>
      <c r="N73">
        <v>16209.46</v>
      </c>
      <c r="O73" s="1032">
        <v>13283.69</v>
      </c>
      <c r="P73">
        <f t="shared" ref="P73:P97" si="2">SUM(C73:N73)</f>
        <v>125169.42000000001</v>
      </c>
      <c r="AG73" s="1032"/>
    </row>
    <row r="74" spans="1:33">
      <c r="B74" t="s">
        <v>911</v>
      </c>
      <c r="C74">
        <v>66.98</v>
      </c>
      <c r="D74">
        <v>67.63</v>
      </c>
      <c r="E74">
        <v>68.17</v>
      </c>
      <c r="F74">
        <v>66.900000000000006</v>
      </c>
      <c r="G74">
        <v>66.599999999999994</v>
      </c>
      <c r="H74">
        <v>63.59</v>
      </c>
      <c r="I74">
        <v>30.53</v>
      </c>
      <c r="J74">
        <v>65.17</v>
      </c>
      <c r="K74">
        <v>67.62</v>
      </c>
      <c r="L74">
        <v>65.180000000000007</v>
      </c>
      <c r="M74">
        <v>63.82</v>
      </c>
      <c r="N74">
        <v>63.84</v>
      </c>
      <c r="O74" s="1032">
        <v>64.81</v>
      </c>
      <c r="P74">
        <f t="shared" si="2"/>
        <v>756.0300000000002</v>
      </c>
      <c r="AG74" s="1032"/>
    </row>
    <row r="75" spans="1:33">
      <c r="B75" t="s">
        <v>912</v>
      </c>
      <c r="C75">
        <v>14257.81</v>
      </c>
      <c r="D75">
        <v>11545.97</v>
      </c>
      <c r="E75">
        <v>8996.49</v>
      </c>
      <c r="F75">
        <v>11589.46</v>
      </c>
      <c r="G75">
        <v>12281.38</v>
      </c>
      <c r="H75">
        <v>20136.12</v>
      </c>
      <c r="I75">
        <v>13094.32</v>
      </c>
      <c r="J75">
        <v>12586.97</v>
      </c>
      <c r="K75">
        <v>11308.47</v>
      </c>
      <c r="L75">
        <v>12958.32</v>
      </c>
      <c r="M75">
        <v>18141.25</v>
      </c>
      <c r="N75">
        <v>18601.39</v>
      </c>
      <c r="O75" s="1032">
        <v>15953.71</v>
      </c>
      <c r="P75">
        <f t="shared" si="2"/>
        <v>165497.95000000001</v>
      </c>
      <c r="AG75" s="1032"/>
    </row>
    <row r="76" spans="1:33">
      <c r="B76" t="s">
        <v>913</v>
      </c>
      <c r="C76">
        <v>49.75</v>
      </c>
      <c r="D76">
        <v>50.49</v>
      </c>
      <c r="E76">
        <v>55.11</v>
      </c>
      <c r="F76">
        <v>56.27</v>
      </c>
      <c r="G76">
        <v>58.98</v>
      </c>
      <c r="H76">
        <v>55.79</v>
      </c>
      <c r="I76">
        <v>32.21</v>
      </c>
      <c r="J76">
        <v>50.77</v>
      </c>
      <c r="K76">
        <v>51.61</v>
      </c>
      <c r="L76">
        <v>49.18</v>
      </c>
      <c r="M76">
        <v>58.6</v>
      </c>
      <c r="N76">
        <v>57.07</v>
      </c>
      <c r="O76" s="1032">
        <v>57.2</v>
      </c>
      <c r="P76">
        <f t="shared" si="2"/>
        <v>625.83000000000004</v>
      </c>
      <c r="AG76" s="1032"/>
    </row>
    <row r="77" spans="1:33">
      <c r="O77" s="1032"/>
      <c r="AG77" s="1032"/>
    </row>
    <row r="78" spans="1:33">
      <c r="B78" t="s">
        <v>764</v>
      </c>
      <c r="O78" s="1032"/>
      <c r="AG78" s="1032"/>
    </row>
    <row r="79" spans="1:33">
      <c r="B79" t="s">
        <v>914</v>
      </c>
      <c r="C79">
        <v>28295.54</v>
      </c>
      <c r="D79">
        <v>27997.87</v>
      </c>
      <c r="E79">
        <v>26840.41</v>
      </c>
      <c r="F79">
        <v>28432.66</v>
      </c>
      <c r="G79">
        <v>25225.27</v>
      </c>
      <c r="H79">
        <v>27155.24</v>
      </c>
      <c r="I79">
        <v>26973.39</v>
      </c>
      <c r="J79">
        <v>29251.17</v>
      </c>
      <c r="K79">
        <v>28339.01</v>
      </c>
      <c r="L79">
        <v>30014.09</v>
      </c>
      <c r="M79">
        <v>30872.34</v>
      </c>
      <c r="N79">
        <v>27685.61</v>
      </c>
      <c r="O79" s="1032">
        <v>28251.14</v>
      </c>
      <c r="P79">
        <f t="shared" si="2"/>
        <v>337082.60000000003</v>
      </c>
      <c r="AG79" s="1032"/>
    </row>
    <row r="80" spans="1:33">
      <c r="B80" t="s">
        <v>915</v>
      </c>
      <c r="C80">
        <v>64.31</v>
      </c>
      <c r="D80">
        <v>65.23</v>
      </c>
      <c r="E80">
        <v>66.97</v>
      </c>
      <c r="F80">
        <v>68.09</v>
      </c>
      <c r="G80">
        <v>59.21</v>
      </c>
      <c r="H80">
        <v>59.28</v>
      </c>
      <c r="I80">
        <v>58.58</v>
      </c>
      <c r="J80">
        <v>62.97</v>
      </c>
      <c r="K80">
        <v>60.93</v>
      </c>
      <c r="L80">
        <v>63.19</v>
      </c>
      <c r="M80">
        <v>66.180000000000007</v>
      </c>
      <c r="N80">
        <v>57.85</v>
      </c>
      <c r="O80" s="1032">
        <v>61.76</v>
      </c>
      <c r="P80">
        <f t="shared" si="2"/>
        <v>752.79000000000008</v>
      </c>
      <c r="AG80" s="1032"/>
    </row>
    <row r="81" spans="2:33">
      <c r="B81" t="s">
        <v>989</v>
      </c>
      <c r="C81">
        <v>0.89</v>
      </c>
      <c r="D81">
        <v>0.9</v>
      </c>
      <c r="E81">
        <v>0.87</v>
      </c>
      <c r="F81">
        <v>0.91</v>
      </c>
      <c r="G81">
        <v>0.81</v>
      </c>
      <c r="H81">
        <v>0.86</v>
      </c>
      <c r="I81">
        <v>0.84</v>
      </c>
      <c r="J81">
        <v>0.91</v>
      </c>
      <c r="K81">
        <v>0.9</v>
      </c>
      <c r="L81">
        <v>0.94</v>
      </c>
      <c r="M81">
        <v>0.98</v>
      </c>
      <c r="N81">
        <v>0.87</v>
      </c>
      <c r="O81" s="1032">
        <v>0.89</v>
      </c>
      <c r="P81">
        <f t="shared" si="2"/>
        <v>10.680000000000001</v>
      </c>
      <c r="AG81" s="1032"/>
    </row>
    <row r="82" spans="2:33">
      <c r="B82" t="s">
        <v>917</v>
      </c>
      <c r="C82">
        <v>0.36</v>
      </c>
      <c r="D82">
        <v>0.33</v>
      </c>
      <c r="E82">
        <v>0.33</v>
      </c>
      <c r="F82">
        <v>0.36</v>
      </c>
      <c r="G82">
        <v>0.31</v>
      </c>
      <c r="H82">
        <v>0.33</v>
      </c>
      <c r="I82">
        <v>0.35</v>
      </c>
      <c r="J82">
        <v>0.36</v>
      </c>
      <c r="K82">
        <v>0.36</v>
      </c>
      <c r="L82">
        <v>0.39</v>
      </c>
      <c r="M82">
        <v>0.37</v>
      </c>
      <c r="N82">
        <v>0.36</v>
      </c>
      <c r="O82" s="1032">
        <v>0.36</v>
      </c>
      <c r="P82">
        <f t="shared" si="2"/>
        <v>4.21</v>
      </c>
      <c r="AG82" s="1032"/>
    </row>
    <row r="83" spans="2:33">
      <c r="O83" s="1032"/>
      <c r="AG83" s="1032"/>
    </row>
    <row r="84" spans="2:33">
      <c r="B84" t="s">
        <v>765</v>
      </c>
      <c r="O84" s="1032"/>
      <c r="AG84" s="1032"/>
    </row>
    <row r="85" spans="2:33">
      <c r="B85" t="s">
        <v>918</v>
      </c>
      <c r="C85">
        <v>1602.24</v>
      </c>
      <c r="D85">
        <v>1537.74</v>
      </c>
      <c r="E85">
        <v>1495.22</v>
      </c>
      <c r="F85">
        <v>1575.24</v>
      </c>
      <c r="G85">
        <v>1549.15</v>
      </c>
      <c r="H85">
        <v>1711.3</v>
      </c>
      <c r="I85">
        <v>1567.21</v>
      </c>
      <c r="J85">
        <v>1567.74</v>
      </c>
      <c r="K85">
        <v>1605.11</v>
      </c>
      <c r="L85">
        <v>1662.27</v>
      </c>
      <c r="M85">
        <v>1525.2</v>
      </c>
      <c r="N85">
        <v>1672.27</v>
      </c>
      <c r="O85" s="1032">
        <v>1553.85</v>
      </c>
      <c r="P85">
        <f t="shared" si="2"/>
        <v>19070.689999999999</v>
      </c>
      <c r="AG85" s="1032"/>
    </row>
    <row r="86" spans="2:33">
      <c r="B86" t="s">
        <v>919</v>
      </c>
      <c r="C86">
        <v>3.89</v>
      </c>
      <c r="D86">
        <v>3.87</v>
      </c>
      <c r="E86">
        <v>3.85</v>
      </c>
      <c r="F86">
        <v>3.83</v>
      </c>
      <c r="G86">
        <v>3.65</v>
      </c>
      <c r="H86">
        <v>3.75</v>
      </c>
      <c r="I86">
        <v>3.58</v>
      </c>
      <c r="J86">
        <v>3.53</v>
      </c>
      <c r="K86">
        <v>3.58</v>
      </c>
      <c r="L86">
        <v>3.57</v>
      </c>
      <c r="M86">
        <v>3.54</v>
      </c>
      <c r="N86">
        <v>3.74</v>
      </c>
      <c r="O86" s="1032">
        <v>3.69</v>
      </c>
      <c r="P86">
        <f t="shared" si="2"/>
        <v>44.38</v>
      </c>
      <c r="AG86" s="1032"/>
    </row>
    <row r="87" spans="2:33">
      <c r="B87" t="s">
        <v>920</v>
      </c>
      <c r="C87">
        <v>2.48</v>
      </c>
      <c r="D87">
        <v>2.68</v>
      </c>
      <c r="E87">
        <v>2.6</v>
      </c>
      <c r="F87">
        <v>2.6</v>
      </c>
      <c r="G87">
        <v>2.2200000000000002</v>
      </c>
      <c r="H87">
        <v>2.2400000000000002</v>
      </c>
      <c r="I87">
        <v>2.17</v>
      </c>
      <c r="J87">
        <v>2.35</v>
      </c>
      <c r="K87">
        <v>2.23</v>
      </c>
      <c r="L87">
        <v>2.2799999999999998</v>
      </c>
      <c r="M87">
        <v>2.4900000000000002</v>
      </c>
      <c r="N87">
        <v>2.2599999999999998</v>
      </c>
      <c r="O87" s="1032">
        <v>2.35</v>
      </c>
      <c r="P87">
        <f t="shared" si="2"/>
        <v>28.6</v>
      </c>
      <c r="AG87" s="1032"/>
    </row>
    <row r="88" spans="2:33">
      <c r="B88" t="s">
        <v>921</v>
      </c>
      <c r="C88">
        <v>3972.8</v>
      </c>
      <c r="D88">
        <v>4113.78</v>
      </c>
      <c r="E88">
        <v>3882.44</v>
      </c>
      <c r="F88">
        <v>4097.42</v>
      </c>
      <c r="G88">
        <v>3444.82</v>
      </c>
      <c r="H88">
        <v>3833.67</v>
      </c>
      <c r="I88">
        <v>3408.21</v>
      </c>
      <c r="J88">
        <v>3688.01</v>
      </c>
      <c r="K88">
        <v>3586.03</v>
      </c>
      <c r="L88">
        <v>3783.28</v>
      </c>
      <c r="M88">
        <v>3794.18</v>
      </c>
      <c r="N88">
        <v>3776.46</v>
      </c>
      <c r="O88" s="1032">
        <v>3653.56</v>
      </c>
      <c r="P88">
        <f t="shared" si="2"/>
        <v>45381.1</v>
      </c>
      <c r="AG88" s="1032"/>
    </row>
    <row r="89" spans="2:33">
      <c r="B89" t="s">
        <v>922</v>
      </c>
      <c r="C89">
        <v>0.05</v>
      </c>
      <c r="D89">
        <v>0.05</v>
      </c>
      <c r="E89">
        <v>0.05</v>
      </c>
      <c r="F89">
        <v>0.05</v>
      </c>
      <c r="G89">
        <v>0.04</v>
      </c>
      <c r="H89">
        <v>0.05</v>
      </c>
      <c r="I89">
        <v>0.04</v>
      </c>
      <c r="J89">
        <v>0.05</v>
      </c>
      <c r="K89">
        <v>0.05</v>
      </c>
      <c r="L89">
        <v>0.05</v>
      </c>
      <c r="M89">
        <v>0.05</v>
      </c>
      <c r="N89">
        <v>0.05</v>
      </c>
      <c r="O89" s="1032">
        <v>0.05</v>
      </c>
      <c r="P89">
        <f t="shared" si="2"/>
        <v>0.58000000000000007</v>
      </c>
      <c r="AG89" s="1032"/>
    </row>
    <row r="90" spans="2:33">
      <c r="O90" s="1032"/>
      <c r="AG90" s="1032"/>
    </row>
    <row r="91" spans="2:33">
      <c r="B91" t="s">
        <v>766</v>
      </c>
      <c r="O91" s="1032"/>
      <c r="AG91" s="1032"/>
    </row>
    <row r="92" spans="2:33">
      <c r="B92" t="s">
        <v>923</v>
      </c>
      <c r="C92">
        <v>0.94</v>
      </c>
      <c r="D92">
        <v>0.93</v>
      </c>
      <c r="E92">
        <v>0.97</v>
      </c>
      <c r="F92">
        <v>0.98</v>
      </c>
      <c r="G92">
        <v>1</v>
      </c>
      <c r="H92">
        <v>1</v>
      </c>
      <c r="I92">
        <v>0.95</v>
      </c>
      <c r="J92">
        <v>0.96</v>
      </c>
      <c r="K92">
        <v>0.96</v>
      </c>
      <c r="L92">
        <v>0.98</v>
      </c>
      <c r="M92">
        <v>0.92</v>
      </c>
      <c r="N92">
        <v>0.93</v>
      </c>
      <c r="O92" s="1032">
        <v>0.92</v>
      </c>
      <c r="P92">
        <f t="shared" si="2"/>
        <v>11.520000000000001</v>
      </c>
      <c r="AG92" s="1032"/>
    </row>
    <row r="93" spans="2:33">
      <c r="B93" t="s">
        <v>924</v>
      </c>
      <c r="C93">
        <v>412.13</v>
      </c>
      <c r="D93">
        <v>397.44</v>
      </c>
      <c r="E93">
        <v>388.52</v>
      </c>
      <c r="F93">
        <v>410.83</v>
      </c>
      <c r="G93">
        <v>424.26</v>
      </c>
      <c r="H93">
        <v>456.13</v>
      </c>
      <c r="I93">
        <v>437.42</v>
      </c>
      <c r="J93">
        <v>444.23</v>
      </c>
      <c r="K93">
        <v>448.73</v>
      </c>
      <c r="L93">
        <v>465.54</v>
      </c>
      <c r="M93">
        <v>431.44</v>
      </c>
      <c r="N93">
        <v>447.46</v>
      </c>
      <c r="O93" s="1032">
        <v>421.22</v>
      </c>
      <c r="P93">
        <f t="shared" si="2"/>
        <v>5164.13</v>
      </c>
      <c r="AG93" s="1032"/>
    </row>
    <row r="94" spans="2:33">
      <c r="B94" t="s">
        <v>925</v>
      </c>
      <c r="C94">
        <v>6859.53</v>
      </c>
      <c r="D94">
        <v>6592.92</v>
      </c>
      <c r="E94">
        <v>6646.13</v>
      </c>
      <c r="F94">
        <v>6586.48</v>
      </c>
      <c r="G94">
        <v>6270.13</v>
      </c>
      <c r="H94">
        <v>7347.82</v>
      </c>
      <c r="I94">
        <v>7658.1</v>
      </c>
      <c r="J94">
        <v>7781.26</v>
      </c>
      <c r="K94">
        <v>6908.88</v>
      </c>
      <c r="L94">
        <v>6879.75</v>
      </c>
      <c r="M94">
        <v>6659.76</v>
      </c>
      <c r="N94">
        <v>6218.47</v>
      </c>
      <c r="O94" s="1032">
        <v>6902.58</v>
      </c>
      <c r="P94">
        <f t="shared" si="2"/>
        <v>82409.23</v>
      </c>
      <c r="AG94" s="1032"/>
    </row>
    <row r="95" spans="2:33">
      <c r="B95" t="s">
        <v>926</v>
      </c>
      <c r="C95">
        <v>16.64</v>
      </c>
      <c r="D95">
        <v>16.59</v>
      </c>
      <c r="E95">
        <v>17.11</v>
      </c>
      <c r="F95">
        <v>16.03</v>
      </c>
      <c r="G95">
        <v>14.78</v>
      </c>
      <c r="H95">
        <v>16.11</v>
      </c>
      <c r="I95">
        <v>17.510000000000002</v>
      </c>
      <c r="J95">
        <v>17.52</v>
      </c>
      <c r="K95">
        <v>15.4</v>
      </c>
      <c r="L95">
        <v>14.78</v>
      </c>
      <c r="M95">
        <v>15.44</v>
      </c>
      <c r="N95">
        <v>13.9</v>
      </c>
      <c r="O95" s="1032">
        <v>16.39</v>
      </c>
      <c r="P95">
        <f t="shared" si="2"/>
        <v>191.81000000000003</v>
      </c>
      <c r="AG95" s="1032"/>
    </row>
    <row r="96" spans="2:33">
      <c r="B96" t="s">
        <v>990</v>
      </c>
      <c r="C96">
        <v>0.22</v>
      </c>
      <c r="D96">
        <v>0.21</v>
      </c>
      <c r="E96">
        <v>0.22</v>
      </c>
      <c r="F96">
        <v>0.21</v>
      </c>
      <c r="G96">
        <v>0.2</v>
      </c>
      <c r="H96">
        <v>0.23</v>
      </c>
      <c r="I96">
        <v>0.24</v>
      </c>
      <c r="J96">
        <v>0.24</v>
      </c>
      <c r="K96">
        <v>0.22</v>
      </c>
      <c r="L96">
        <v>0.21</v>
      </c>
      <c r="M96">
        <v>0.21</v>
      </c>
      <c r="N96">
        <v>0.19</v>
      </c>
      <c r="O96" s="1032">
        <v>0.22</v>
      </c>
      <c r="P96">
        <f t="shared" si="2"/>
        <v>2.6</v>
      </c>
      <c r="AG96" s="1032"/>
    </row>
    <row r="97" spans="2:33">
      <c r="B97" t="s">
        <v>928</v>
      </c>
      <c r="C97">
        <v>0.09</v>
      </c>
      <c r="D97">
        <v>0.08</v>
      </c>
      <c r="E97">
        <v>0.08</v>
      </c>
      <c r="F97">
        <v>0.08</v>
      </c>
      <c r="G97">
        <v>0.08</v>
      </c>
      <c r="H97">
        <v>0.09</v>
      </c>
      <c r="I97">
        <v>0.1</v>
      </c>
      <c r="J97">
        <v>0.1</v>
      </c>
      <c r="K97">
        <v>0.09</v>
      </c>
      <c r="L97">
        <v>0.09</v>
      </c>
      <c r="M97">
        <v>0.08</v>
      </c>
      <c r="N97">
        <v>0.08</v>
      </c>
      <c r="O97" s="1032">
        <v>0.09</v>
      </c>
      <c r="P97">
        <f t="shared" si="2"/>
        <v>1.0399999999999998</v>
      </c>
      <c r="AG97" s="1032"/>
    </row>
  </sheetData>
  <pageMargins left="0.7" right="0.7" top="0.75" bottom="0.75" header="0.3" footer="0.3"/>
  <pageSetup scale="49" fitToHeight="0"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
  <sheetViews>
    <sheetView workbookViewId="0">
      <selection activeCell="I39" sqref="I39"/>
    </sheetView>
  </sheetViews>
  <sheetFormatPr defaultRowHeight="11.25"/>
  <cols>
    <col min="1" max="1" width="34.5" bestFit="1" customWidth="1"/>
    <col min="2" max="2" width="15" bestFit="1" customWidth="1"/>
    <col min="3" max="3" width="12.1640625" bestFit="1" customWidth="1"/>
    <col min="6" max="6" width="87.1640625" bestFit="1" customWidth="1"/>
  </cols>
  <sheetData>
    <row r="1" spans="1:6">
      <c r="B1" t="s">
        <v>1349</v>
      </c>
      <c r="F1" s="1171" t="s">
        <v>1831</v>
      </c>
    </row>
    <row r="2" spans="1:6">
      <c r="B2" t="s">
        <v>1832</v>
      </c>
    </row>
    <row r="3" spans="1:6">
      <c r="B3" t="s">
        <v>1833</v>
      </c>
    </row>
    <row r="4" spans="1:6">
      <c r="B4" t="s">
        <v>1834</v>
      </c>
    </row>
    <row r="5" spans="1:6">
      <c r="B5" t="s">
        <v>1835</v>
      </c>
      <c r="C5" t="s">
        <v>1836</v>
      </c>
    </row>
    <row r="6" spans="1:6">
      <c r="A6" t="s">
        <v>1837</v>
      </c>
      <c r="B6">
        <v>99622.799999999988</v>
      </c>
      <c r="C6" s="1527">
        <f>B6/$B$45</f>
        <v>7.8644372876146996E-3</v>
      </c>
    </row>
    <row r="7" spans="1:6">
      <c r="A7" t="s">
        <v>1838</v>
      </c>
      <c r="B7">
        <v>564968.89</v>
      </c>
      <c r="C7" s="1527">
        <f>B7/$B$45</f>
        <v>4.4599854700513218E-2</v>
      </c>
    </row>
    <row r="8" spans="1:6">
      <c r="A8" t="s">
        <v>1839</v>
      </c>
      <c r="B8">
        <v>49832.950000000004</v>
      </c>
      <c r="C8" s="1527">
        <f t="shared" ref="C8:C43" si="0">B8/$B$45</f>
        <v>3.9339198469812032E-3</v>
      </c>
    </row>
    <row r="9" spans="1:6">
      <c r="A9" t="s">
        <v>1840</v>
      </c>
      <c r="B9">
        <v>92994.559999999998</v>
      </c>
      <c r="C9" s="1527">
        <f t="shared" si="0"/>
        <v>7.3411898200946221E-3</v>
      </c>
    </row>
    <row r="10" spans="1:6">
      <c r="A10" t="s">
        <v>1841</v>
      </c>
      <c r="B10">
        <v>38939.599999999999</v>
      </c>
      <c r="C10" s="1527">
        <f t="shared" si="0"/>
        <v>3.0739754574736042E-3</v>
      </c>
    </row>
    <row r="11" spans="1:6">
      <c r="A11" t="s">
        <v>1842</v>
      </c>
      <c r="B11">
        <v>625.91000000000008</v>
      </c>
      <c r="C11" s="1527">
        <f t="shared" si="0"/>
        <v>4.9410676498662132E-5</v>
      </c>
    </row>
    <row r="12" spans="1:6">
      <c r="A12" t="s">
        <v>1843</v>
      </c>
      <c r="B12">
        <v>76962.009999999995</v>
      </c>
      <c r="C12" s="1527">
        <f t="shared" si="0"/>
        <v>6.0755459711408976E-3</v>
      </c>
    </row>
    <row r="13" spans="1:6">
      <c r="A13" t="s">
        <v>1844</v>
      </c>
      <c r="B13">
        <v>451059.39999999997</v>
      </c>
      <c r="C13" s="1527">
        <f t="shared" si="0"/>
        <v>3.5607595493091081E-2</v>
      </c>
    </row>
    <row r="14" spans="1:6">
      <c r="A14" t="s">
        <v>1845</v>
      </c>
      <c r="B14">
        <v>344836.82</v>
      </c>
      <c r="C14" s="1527">
        <f t="shared" si="0"/>
        <v>2.7222157431335787E-2</v>
      </c>
    </row>
    <row r="15" spans="1:6">
      <c r="A15" t="s">
        <v>1846</v>
      </c>
      <c r="B15">
        <v>483132.45000000007</v>
      </c>
      <c r="C15" s="1527">
        <f t="shared" si="0"/>
        <v>3.8139510781032511E-2</v>
      </c>
    </row>
    <row r="16" spans="1:6">
      <c r="A16" t="s">
        <v>1847</v>
      </c>
      <c r="B16">
        <v>117832.64000000001</v>
      </c>
      <c r="C16" s="1527">
        <f t="shared" si="0"/>
        <v>9.3019610743131052E-3</v>
      </c>
    </row>
    <row r="17" spans="1:3">
      <c r="A17" t="s">
        <v>1848</v>
      </c>
      <c r="B17">
        <v>34975.58</v>
      </c>
      <c r="C17" s="1527">
        <f t="shared" si="0"/>
        <v>2.7610472252130136E-3</v>
      </c>
    </row>
    <row r="18" spans="1:3">
      <c r="A18" t="s">
        <v>1849</v>
      </c>
      <c r="B18">
        <v>52144.3</v>
      </c>
      <c r="C18" s="1527">
        <f t="shared" si="0"/>
        <v>4.116382768367957E-3</v>
      </c>
    </row>
    <row r="19" spans="1:3">
      <c r="A19" t="s">
        <v>1850</v>
      </c>
      <c r="B19">
        <v>148120.25999999998</v>
      </c>
      <c r="C19" s="1527">
        <f t="shared" si="0"/>
        <v>1.1692930692524042E-2</v>
      </c>
    </row>
    <row r="20" spans="1:3">
      <c r="A20" t="s">
        <v>1851</v>
      </c>
      <c r="B20">
        <v>180813.16999999998</v>
      </c>
      <c r="C20" s="1527">
        <f t="shared" si="0"/>
        <v>1.4273779057001165E-2</v>
      </c>
    </row>
    <row r="21" spans="1:3">
      <c r="A21" t="s">
        <v>1852</v>
      </c>
      <c r="B21">
        <v>78866.3</v>
      </c>
      <c r="C21" s="1527">
        <f t="shared" si="0"/>
        <v>6.2258747039453553E-3</v>
      </c>
    </row>
    <row r="22" spans="1:3">
      <c r="A22" t="s">
        <v>1853</v>
      </c>
      <c r="B22">
        <v>412518.87</v>
      </c>
      <c r="C22" s="1527">
        <f t="shared" si="0"/>
        <v>3.25651234764801E-2</v>
      </c>
    </row>
    <row r="23" spans="1:3">
      <c r="A23" t="s">
        <v>1854</v>
      </c>
      <c r="B23">
        <v>352896.88</v>
      </c>
      <c r="C23" s="1527">
        <f t="shared" si="0"/>
        <v>2.7858435837528062E-2</v>
      </c>
    </row>
    <row r="24" spans="1:3">
      <c r="A24" t="s">
        <v>1855</v>
      </c>
      <c r="B24">
        <v>249196.01</v>
      </c>
      <c r="C24" s="1527">
        <f t="shared" si="0"/>
        <v>1.9672066966284887E-2</v>
      </c>
    </row>
    <row r="25" spans="1:3">
      <c r="A25" t="s">
        <v>1856</v>
      </c>
      <c r="B25">
        <v>266816.28999999998</v>
      </c>
      <c r="C25" s="1527">
        <f t="shared" si="0"/>
        <v>2.1063049623369523E-2</v>
      </c>
    </row>
    <row r="26" spans="1:3">
      <c r="A26" t="s">
        <v>1857</v>
      </c>
      <c r="B26">
        <v>351053.81</v>
      </c>
      <c r="C26" s="1527">
        <f t="shared" si="0"/>
        <v>2.7712939942695913E-2</v>
      </c>
    </row>
    <row r="27" spans="1:3">
      <c r="A27" t="s">
        <v>1858</v>
      </c>
      <c r="B27">
        <v>844159.48</v>
      </c>
      <c r="C27" s="1527">
        <f t="shared" si="0"/>
        <v>6.6639758079530348E-2</v>
      </c>
    </row>
    <row r="28" spans="1:3">
      <c r="A28" t="s">
        <v>1859</v>
      </c>
      <c r="B28">
        <v>258734.15999999997</v>
      </c>
      <c r="C28" s="1527">
        <f t="shared" si="0"/>
        <v>2.0425028964089223E-2</v>
      </c>
    </row>
    <row r="29" spans="1:3">
      <c r="A29" t="s">
        <v>1860</v>
      </c>
      <c r="B29">
        <v>123639.5</v>
      </c>
      <c r="C29" s="1527">
        <f t="shared" si="0"/>
        <v>9.7603670447130361E-3</v>
      </c>
    </row>
    <row r="30" spans="1:3">
      <c r="A30" t="s">
        <v>1861</v>
      </c>
      <c r="B30">
        <v>653129.76</v>
      </c>
      <c r="C30" s="1527">
        <f t="shared" si="0"/>
        <v>5.155946267515911E-2</v>
      </c>
    </row>
    <row r="31" spans="1:3">
      <c r="A31" t="s">
        <v>1862</v>
      </c>
      <c r="B31">
        <v>403060.3</v>
      </c>
      <c r="C31" s="1527">
        <f t="shared" si="0"/>
        <v>3.1818443694386904E-2</v>
      </c>
    </row>
    <row r="32" spans="1:3">
      <c r="A32" t="s">
        <v>1863</v>
      </c>
      <c r="B32">
        <v>873979.60000000009</v>
      </c>
      <c r="C32" s="1527">
        <f t="shared" si="0"/>
        <v>6.8993822246057948E-2</v>
      </c>
    </row>
    <row r="33" spans="1:3">
      <c r="A33" t="s">
        <v>1864</v>
      </c>
      <c r="B33">
        <v>1034611.93</v>
      </c>
      <c r="C33" s="1527">
        <f t="shared" si="0"/>
        <v>8.1674482553220865E-2</v>
      </c>
    </row>
    <row r="34" spans="1:3">
      <c r="A34" t="s">
        <v>1865</v>
      </c>
      <c r="B34">
        <v>480567.54</v>
      </c>
      <c r="C34" s="1527">
        <f t="shared" si="0"/>
        <v>3.7937031289958414E-2</v>
      </c>
    </row>
    <row r="35" spans="1:3">
      <c r="A35" t="s">
        <v>1866</v>
      </c>
      <c r="B35">
        <v>84134.049999999988</v>
      </c>
      <c r="C35" s="1527">
        <f t="shared" si="0"/>
        <v>6.6417221758276173E-3</v>
      </c>
    </row>
    <row r="36" spans="1:3">
      <c r="A36" t="s">
        <v>1867</v>
      </c>
      <c r="B36">
        <v>1580091.54</v>
      </c>
      <c r="C36" s="1527">
        <f t="shared" si="0"/>
        <v>0.12473581173205868</v>
      </c>
    </row>
    <row r="37" spans="1:3">
      <c r="A37" t="s">
        <v>1868</v>
      </c>
      <c r="B37">
        <v>57805.020000000004</v>
      </c>
      <c r="C37" s="1527">
        <f t="shared" si="0"/>
        <v>4.5632521340427451E-3</v>
      </c>
    </row>
    <row r="38" spans="1:3">
      <c r="A38" t="s">
        <v>1869</v>
      </c>
      <c r="B38">
        <v>31573.61</v>
      </c>
      <c r="C38" s="1527">
        <f t="shared" si="0"/>
        <v>2.49248842422221E-3</v>
      </c>
    </row>
    <row r="39" spans="1:3">
      <c r="A39" t="s">
        <v>1870</v>
      </c>
      <c r="B39">
        <v>24422.719999999998</v>
      </c>
      <c r="C39" s="1527">
        <f t="shared" si="0"/>
        <v>1.9279818458522878E-3</v>
      </c>
    </row>
    <row r="40" spans="1:3">
      <c r="A40" t="s">
        <v>1871</v>
      </c>
      <c r="B40">
        <v>453867.25</v>
      </c>
      <c r="C40" s="1527">
        <f t="shared" si="0"/>
        <v>3.5829253188297695E-2</v>
      </c>
    </row>
    <row r="41" spans="1:3">
      <c r="A41" t="s">
        <v>1872</v>
      </c>
      <c r="B41">
        <v>722864.40000000014</v>
      </c>
      <c r="C41" s="1527">
        <f t="shared" si="0"/>
        <v>5.7064464572861122E-2</v>
      </c>
    </row>
    <row r="42" spans="1:3">
      <c r="A42" t="s">
        <v>1873</v>
      </c>
      <c r="B42">
        <v>285405.01</v>
      </c>
      <c r="C42" s="1527">
        <f t="shared" si="0"/>
        <v>2.2530483009070682E-2</v>
      </c>
    </row>
    <row r="43" spans="1:3">
      <c r="A43" t="s">
        <v>1874</v>
      </c>
      <c r="B43">
        <v>307249.8</v>
      </c>
      <c r="C43" s="1527">
        <f t="shared" si="0"/>
        <v>2.425495753715173E-2</v>
      </c>
    </row>
    <row r="44" spans="1:3">
      <c r="A44" t="s">
        <v>1875</v>
      </c>
      <c r="B44">
        <v>-3105850.7299999995</v>
      </c>
      <c r="C44" s="1527"/>
    </row>
    <row r="45" spans="1:3">
      <c r="B45">
        <f>SUM(B6:B43)</f>
        <v>12667505.17</v>
      </c>
      <c r="C45" s="1527">
        <v>0.99999999999999989</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8"/>
  <sheetViews>
    <sheetView workbookViewId="0">
      <selection activeCell="G2" sqref="G2"/>
    </sheetView>
  </sheetViews>
  <sheetFormatPr defaultRowHeight="11.25" outlineLevelCol="1"/>
  <cols>
    <col min="1" max="1" width="9.33203125" style="729" customWidth="1"/>
    <col min="2" max="2" width="18.1640625" bestFit="1" customWidth="1"/>
    <col min="3" max="3" width="5" customWidth="1"/>
    <col min="4" max="4" width="8.1640625" style="1530" bestFit="1" customWidth="1"/>
    <col min="5" max="5" width="10" style="1530" bestFit="1" customWidth="1"/>
    <col min="6" max="6" width="4.6640625" style="1207" customWidth="1"/>
    <col min="7" max="7" width="13.5" style="1207" bestFit="1" customWidth="1"/>
    <col min="8" max="8" width="15.33203125" style="1207" bestFit="1" customWidth="1"/>
    <col min="9" max="9" width="13.33203125" style="1207" bestFit="1" customWidth="1"/>
    <col min="10" max="10" width="4.33203125" style="1207" hidden="1" customWidth="1" outlineLevel="1"/>
    <col min="11" max="22" width="17.33203125" style="1207" hidden="1" customWidth="1" outlineLevel="1"/>
    <col min="23" max="23" width="2" style="1207" hidden="1" customWidth="1" outlineLevel="1"/>
    <col min="24" max="35" width="17.33203125" style="1213" hidden="1" customWidth="1" outlineLevel="1"/>
    <col min="36" max="36" width="2" style="1213" hidden="1" customWidth="1" outlineLevel="1"/>
    <col min="37" max="48" width="17.33203125" style="1213" hidden="1" customWidth="1" outlineLevel="1"/>
    <col min="49" max="49" width="2.5" style="1213" hidden="1" customWidth="1" outlineLevel="1"/>
    <col min="50" max="50" width="18.5" style="1213" bestFit="1" customWidth="1" collapsed="1"/>
    <col min="51" max="61" width="18.5" style="1213" bestFit="1" customWidth="1"/>
  </cols>
  <sheetData>
    <row r="1" spans="1:61" ht="12.75">
      <c r="B1" s="507" t="s">
        <v>1876</v>
      </c>
      <c r="D1" s="1528"/>
      <c r="E1" s="1528"/>
      <c r="F1" s="1529"/>
      <c r="G1" s="1529"/>
      <c r="H1" s="1529"/>
      <c r="I1" s="1529"/>
      <c r="J1" s="1529"/>
    </row>
    <row r="2" spans="1:61">
      <c r="B2" t="s">
        <v>1835</v>
      </c>
      <c r="D2" s="1528"/>
      <c r="E2" s="1528"/>
      <c r="F2" s="1529"/>
      <c r="G2" s="1529"/>
      <c r="H2" s="1529"/>
      <c r="I2" s="1529"/>
      <c r="J2" s="1529"/>
    </row>
    <row r="3" spans="1:61">
      <c r="B3" t="s">
        <v>1834</v>
      </c>
      <c r="D3" s="1528"/>
      <c r="E3" s="1528"/>
      <c r="F3" s="1529"/>
      <c r="G3" s="1529"/>
      <c r="H3" s="1529"/>
      <c r="I3" s="1529"/>
      <c r="J3" s="1529"/>
      <c r="K3" s="1213"/>
      <c r="L3" s="1213"/>
      <c r="M3" s="1213"/>
      <c r="N3" s="1213"/>
      <c r="O3" s="1213"/>
      <c r="P3" s="1213"/>
      <c r="Q3" s="1213"/>
      <c r="R3" s="1213"/>
      <c r="S3" s="1213"/>
      <c r="T3" s="1213"/>
      <c r="U3" s="1213"/>
      <c r="V3" s="1213"/>
      <c r="W3" s="1213"/>
    </row>
    <row r="4" spans="1:61">
      <c r="B4" t="s">
        <v>1877</v>
      </c>
      <c r="D4" s="1528"/>
      <c r="E4" s="1528"/>
      <c r="F4" s="1529"/>
      <c r="G4" s="1529"/>
      <c r="H4" s="1529"/>
      <c r="I4" s="1529"/>
      <c r="J4" s="1529"/>
      <c r="K4" s="1213"/>
      <c r="L4" s="1213"/>
      <c r="M4" s="1213"/>
      <c r="N4" s="1213"/>
      <c r="O4" s="1213"/>
      <c r="P4" s="1213"/>
      <c r="Q4" s="1213"/>
      <c r="R4" s="1213"/>
      <c r="S4" s="1213"/>
      <c r="T4" s="1213"/>
      <c r="U4" s="1213"/>
      <c r="V4" s="1213"/>
      <c r="W4" s="1213"/>
    </row>
    <row r="5" spans="1:61" ht="12.75">
      <c r="K5" s="1531" t="s">
        <v>1878</v>
      </c>
      <c r="L5" s="1531" t="s">
        <v>1879</v>
      </c>
      <c r="M5" s="1531" t="s">
        <v>1880</v>
      </c>
      <c r="N5" s="1531" t="s">
        <v>1881</v>
      </c>
      <c r="O5" s="1531" t="s">
        <v>1882</v>
      </c>
      <c r="P5" s="1531" t="s">
        <v>1883</v>
      </c>
      <c r="Q5" s="1531" t="s">
        <v>1884</v>
      </c>
      <c r="R5" s="1531" t="s">
        <v>1885</v>
      </c>
      <c r="S5" s="1531" t="s">
        <v>1886</v>
      </c>
      <c r="T5" s="1531" t="s">
        <v>1887</v>
      </c>
      <c r="U5" s="1531" t="s">
        <v>1888</v>
      </c>
      <c r="V5" s="1531" t="s">
        <v>1889</v>
      </c>
      <c r="W5" s="1532"/>
      <c r="X5" s="1533" t="s">
        <v>1878</v>
      </c>
      <c r="Y5" s="1533" t="s">
        <v>1879</v>
      </c>
      <c r="Z5" s="1533" t="s">
        <v>1880</v>
      </c>
      <c r="AA5" s="1533" t="s">
        <v>1881</v>
      </c>
      <c r="AB5" s="1533" t="s">
        <v>1882</v>
      </c>
      <c r="AC5" s="1533" t="s">
        <v>1883</v>
      </c>
      <c r="AD5" s="1533" t="s">
        <v>1884</v>
      </c>
      <c r="AE5" s="1533" t="s">
        <v>1885</v>
      </c>
      <c r="AF5" s="1533" t="s">
        <v>1886</v>
      </c>
      <c r="AG5" s="1533" t="s">
        <v>1887</v>
      </c>
      <c r="AH5" s="1533" t="s">
        <v>1888</v>
      </c>
      <c r="AI5" s="1533" t="s">
        <v>1889</v>
      </c>
      <c r="AJ5" s="1532"/>
      <c r="AK5" s="1534" t="s">
        <v>1878</v>
      </c>
      <c r="AL5" s="1534" t="s">
        <v>1879</v>
      </c>
      <c r="AM5" s="1534" t="s">
        <v>1880</v>
      </c>
      <c r="AN5" s="1534" t="s">
        <v>1881</v>
      </c>
      <c r="AO5" s="1534" t="s">
        <v>1882</v>
      </c>
      <c r="AP5" s="1534" t="s">
        <v>1883</v>
      </c>
      <c r="AQ5" s="1534" t="s">
        <v>1884</v>
      </c>
      <c r="AR5" s="1534" t="s">
        <v>1885</v>
      </c>
      <c r="AS5" s="1534" t="s">
        <v>1886</v>
      </c>
      <c r="AT5" s="1534" t="s">
        <v>1887</v>
      </c>
      <c r="AU5" s="1534" t="s">
        <v>1888</v>
      </c>
      <c r="AV5" s="1534" t="s">
        <v>1889</v>
      </c>
      <c r="AW5" s="1532"/>
      <c r="AX5" s="1535" t="s">
        <v>1878</v>
      </c>
      <c r="AY5" s="1535" t="s">
        <v>1879</v>
      </c>
      <c r="AZ5" s="1535" t="s">
        <v>1880</v>
      </c>
      <c r="BA5" s="1535" t="s">
        <v>1881</v>
      </c>
      <c r="BB5" s="1535" t="s">
        <v>1882</v>
      </c>
      <c r="BC5" s="1535" t="s">
        <v>1883</v>
      </c>
      <c r="BD5" s="1535" t="s">
        <v>1884</v>
      </c>
      <c r="BE5" s="1535" t="s">
        <v>1885</v>
      </c>
      <c r="BF5" s="1535" t="s">
        <v>1886</v>
      </c>
      <c r="BG5" s="1535" t="s">
        <v>1887</v>
      </c>
      <c r="BH5" s="1535" t="s">
        <v>1888</v>
      </c>
      <c r="BI5" s="1535" t="s">
        <v>1889</v>
      </c>
    </row>
    <row r="6" spans="1:61" s="1536" customFormat="1" ht="38.25">
      <c r="A6" s="1536" t="s">
        <v>1890</v>
      </c>
      <c r="B6" s="1536" t="s">
        <v>1833</v>
      </c>
      <c r="D6" s="1537" t="s">
        <v>1891</v>
      </c>
      <c r="E6" s="1537" t="s">
        <v>1892</v>
      </c>
      <c r="F6" s="1538"/>
      <c r="G6" s="1537" t="s">
        <v>1893</v>
      </c>
      <c r="H6" s="1537" t="s">
        <v>1894</v>
      </c>
      <c r="I6" s="1537" t="s">
        <v>1895</v>
      </c>
      <c r="J6" s="1538"/>
      <c r="K6" s="1539" t="s">
        <v>1891</v>
      </c>
      <c r="L6" s="1539" t="s">
        <v>1891</v>
      </c>
      <c r="M6" s="1539" t="s">
        <v>1891</v>
      </c>
      <c r="N6" s="1539" t="s">
        <v>1891</v>
      </c>
      <c r="O6" s="1539" t="s">
        <v>1891</v>
      </c>
      <c r="P6" s="1539" t="s">
        <v>1891</v>
      </c>
      <c r="Q6" s="1539" t="s">
        <v>1891</v>
      </c>
      <c r="R6" s="1539" t="s">
        <v>1891</v>
      </c>
      <c r="S6" s="1539" t="s">
        <v>1891</v>
      </c>
      <c r="T6" s="1539" t="s">
        <v>1891</v>
      </c>
      <c r="U6" s="1539" t="s">
        <v>1891</v>
      </c>
      <c r="V6" s="1539" t="s">
        <v>1891</v>
      </c>
      <c r="W6" s="1540"/>
      <c r="X6" s="1541" t="s">
        <v>1892</v>
      </c>
      <c r="Y6" s="1541" t="s">
        <v>1892</v>
      </c>
      <c r="Z6" s="1541" t="s">
        <v>1892</v>
      </c>
      <c r="AA6" s="1541" t="s">
        <v>1892</v>
      </c>
      <c r="AB6" s="1541" t="s">
        <v>1892</v>
      </c>
      <c r="AC6" s="1541" t="s">
        <v>1892</v>
      </c>
      <c r="AD6" s="1541" t="s">
        <v>1892</v>
      </c>
      <c r="AE6" s="1541" t="s">
        <v>1892</v>
      </c>
      <c r="AF6" s="1541" t="s">
        <v>1892</v>
      </c>
      <c r="AG6" s="1541" t="s">
        <v>1892</v>
      </c>
      <c r="AH6" s="1541" t="s">
        <v>1892</v>
      </c>
      <c r="AI6" s="1541" t="s">
        <v>1892</v>
      </c>
      <c r="AJ6" s="1540"/>
      <c r="AK6" s="1542" t="s">
        <v>1896</v>
      </c>
      <c r="AL6" s="1542" t="s">
        <v>1896</v>
      </c>
      <c r="AM6" s="1542" t="s">
        <v>1896</v>
      </c>
      <c r="AN6" s="1542" t="s">
        <v>1896</v>
      </c>
      <c r="AO6" s="1542" t="s">
        <v>1896</v>
      </c>
      <c r="AP6" s="1542" t="s">
        <v>1896</v>
      </c>
      <c r="AQ6" s="1542" t="s">
        <v>1896</v>
      </c>
      <c r="AR6" s="1542" t="s">
        <v>1896</v>
      </c>
      <c r="AS6" s="1542" t="s">
        <v>1896</v>
      </c>
      <c r="AT6" s="1542" t="s">
        <v>1896</v>
      </c>
      <c r="AU6" s="1542" t="s">
        <v>1896</v>
      </c>
      <c r="AV6" s="1542" t="s">
        <v>1896</v>
      </c>
      <c r="AW6" s="1540"/>
      <c r="AX6" s="1543" t="s">
        <v>27</v>
      </c>
      <c r="AY6" s="1543" t="s">
        <v>27</v>
      </c>
      <c r="AZ6" s="1543" t="s">
        <v>27</v>
      </c>
      <c r="BA6" s="1543" t="s">
        <v>27</v>
      </c>
      <c r="BB6" s="1543" t="s">
        <v>27</v>
      </c>
      <c r="BC6" s="1543" t="s">
        <v>27</v>
      </c>
      <c r="BD6" s="1543" t="s">
        <v>27</v>
      </c>
      <c r="BE6" s="1543" t="s">
        <v>27</v>
      </c>
      <c r="BF6" s="1543" t="s">
        <v>27</v>
      </c>
      <c r="BG6" s="1543" t="s">
        <v>27</v>
      </c>
      <c r="BH6" s="1543" t="s">
        <v>27</v>
      </c>
      <c r="BI6" s="1543" t="s">
        <v>27</v>
      </c>
    </row>
    <row r="7" spans="1:61" ht="12.75">
      <c r="A7" s="729" t="s">
        <v>1897</v>
      </c>
      <c r="B7" s="1214">
        <v>23809.499999999989</v>
      </c>
      <c r="C7" s="1214"/>
      <c r="D7" s="1530" t="s">
        <v>1898</v>
      </c>
      <c r="E7" s="1530" t="s">
        <v>1899</v>
      </c>
      <c r="G7" s="1544">
        <f>B7/$B$51</f>
        <v>6.9183402555663112E-5</v>
      </c>
      <c r="H7" s="1544">
        <v>8.4385313378106193E-6</v>
      </c>
      <c r="I7" s="1544">
        <v>3.4191864759995484E-6</v>
      </c>
      <c r="K7" s="1545">
        <v>21.2</v>
      </c>
      <c r="L7" s="1545">
        <v>18.78</v>
      </c>
      <c r="M7" s="1545">
        <v>21.04</v>
      </c>
      <c r="N7" s="1545">
        <v>20.079999999999998</v>
      </c>
      <c r="O7" s="1545">
        <v>20.84</v>
      </c>
      <c r="P7" s="1545">
        <v>20.350000000000001</v>
      </c>
      <c r="Q7" s="1545">
        <v>21.5</v>
      </c>
      <c r="R7" s="1545">
        <v>19.489999999999998</v>
      </c>
      <c r="S7" s="1545">
        <v>20.49</v>
      </c>
      <c r="T7" s="1545">
        <v>20.8</v>
      </c>
      <c r="U7" s="1545">
        <v>19.03</v>
      </c>
      <c r="V7" s="1545">
        <v>20.65</v>
      </c>
      <c r="X7" s="1546">
        <v>9.61</v>
      </c>
      <c r="Y7" s="1546">
        <v>9.94</v>
      </c>
      <c r="Z7" s="1546">
        <v>10.57</v>
      </c>
      <c r="AA7" s="1546">
        <v>10.039999999999999</v>
      </c>
      <c r="AB7" s="1546">
        <v>9.77</v>
      </c>
      <c r="AC7" s="1546">
        <v>9.8000000000000007</v>
      </c>
      <c r="AD7" s="1546">
        <v>10.119999999999999</v>
      </c>
      <c r="AE7" s="1546">
        <v>9.52</v>
      </c>
      <c r="AF7" s="1546">
        <v>9.76</v>
      </c>
      <c r="AG7" s="1546">
        <v>9.89</v>
      </c>
      <c r="AH7" s="1546">
        <v>8.9700000000000006</v>
      </c>
      <c r="AI7" s="1546">
        <v>9.6199999999999992</v>
      </c>
      <c r="AK7" s="1547">
        <v>72.22</v>
      </c>
      <c r="AL7" s="1547">
        <v>73.650000000000006</v>
      </c>
      <c r="AM7" s="1547">
        <v>65.16</v>
      </c>
      <c r="AN7" s="1547">
        <v>64.53</v>
      </c>
      <c r="AO7" s="1547">
        <v>61.17</v>
      </c>
      <c r="AP7" s="1547">
        <v>61.44</v>
      </c>
      <c r="AQ7" s="1547">
        <v>61.03</v>
      </c>
      <c r="AR7" s="1547">
        <v>60.09</v>
      </c>
      <c r="AS7" s="1547">
        <v>60.56</v>
      </c>
      <c r="AT7" s="1547">
        <v>60.12</v>
      </c>
      <c r="AU7" s="1547">
        <v>58.99</v>
      </c>
      <c r="AV7" s="1547">
        <v>58.13</v>
      </c>
      <c r="AX7" s="1548">
        <v>103.03</v>
      </c>
      <c r="AY7" s="1548">
        <v>102.37</v>
      </c>
      <c r="AZ7" s="1548">
        <v>96.77</v>
      </c>
      <c r="BA7" s="1548">
        <v>94.65</v>
      </c>
      <c r="BB7" s="1548">
        <v>91.78</v>
      </c>
      <c r="BC7" s="1548">
        <v>91.59</v>
      </c>
      <c r="BD7" s="1548">
        <v>92.65</v>
      </c>
      <c r="BE7" s="1548">
        <v>89.1</v>
      </c>
      <c r="BF7" s="1548">
        <v>90.81</v>
      </c>
      <c r="BG7" s="1548">
        <v>90.81</v>
      </c>
      <c r="BH7" s="1548">
        <v>86.990000000000009</v>
      </c>
      <c r="BI7" s="1548">
        <v>88.4</v>
      </c>
    </row>
    <row r="8" spans="1:61" ht="12.75">
      <c r="A8" s="729" t="s">
        <v>1900</v>
      </c>
      <c r="B8" s="1214">
        <v>511467.83000000007</v>
      </c>
      <c r="C8" s="1214"/>
      <c r="D8" s="1530" t="s">
        <v>1898</v>
      </c>
      <c r="E8" s="1530" t="s">
        <v>1899</v>
      </c>
      <c r="G8" s="1544">
        <f>B8/$B$51</f>
        <v>1.4861750468158294E-3</v>
      </c>
      <c r="H8" s="1544">
        <v>1.8127374836670229E-4</v>
      </c>
      <c r="I8" s="1544">
        <v>7.3449836714119872E-5</v>
      </c>
      <c r="K8" s="1545">
        <v>455.4</v>
      </c>
      <c r="L8" s="1545">
        <v>403.37</v>
      </c>
      <c r="M8" s="1545">
        <v>452.03</v>
      </c>
      <c r="N8" s="1545">
        <v>431.35</v>
      </c>
      <c r="O8" s="1545">
        <v>447.69</v>
      </c>
      <c r="P8" s="1545">
        <v>437.15</v>
      </c>
      <c r="Q8" s="1545">
        <v>461.79</v>
      </c>
      <c r="R8" s="1545">
        <v>418.75</v>
      </c>
      <c r="S8" s="1545">
        <v>440.16</v>
      </c>
      <c r="T8" s="1545">
        <v>446.72</v>
      </c>
      <c r="U8" s="1545">
        <v>408.78</v>
      </c>
      <c r="V8" s="1545">
        <v>443.54</v>
      </c>
      <c r="X8" s="1546">
        <v>206.44</v>
      </c>
      <c r="Y8" s="1546">
        <v>213.44</v>
      </c>
      <c r="Z8" s="1546">
        <v>227.16</v>
      </c>
      <c r="AA8" s="1546">
        <v>215.71</v>
      </c>
      <c r="AB8" s="1546">
        <v>209.86</v>
      </c>
      <c r="AC8" s="1546">
        <v>210.56</v>
      </c>
      <c r="AD8" s="1546">
        <v>217.37</v>
      </c>
      <c r="AE8" s="1546">
        <v>204.51</v>
      </c>
      <c r="AF8" s="1546">
        <v>209.68</v>
      </c>
      <c r="AG8" s="1546">
        <v>212.51</v>
      </c>
      <c r="AH8" s="1546">
        <v>192.72</v>
      </c>
      <c r="AI8" s="1546">
        <v>206.68</v>
      </c>
      <c r="AK8" s="1547">
        <v>1551.44</v>
      </c>
      <c r="AL8" s="1547">
        <v>1582.15</v>
      </c>
      <c r="AM8" s="1547">
        <v>1399.82</v>
      </c>
      <c r="AN8" s="1547">
        <v>1386.23</v>
      </c>
      <c r="AO8" s="1547">
        <v>1314.09</v>
      </c>
      <c r="AP8" s="1547">
        <v>1319.78</v>
      </c>
      <c r="AQ8" s="1547">
        <v>1310.99</v>
      </c>
      <c r="AR8" s="1547">
        <v>1290.77</v>
      </c>
      <c r="AS8" s="1547">
        <v>1300.93</v>
      </c>
      <c r="AT8" s="1547">
        <v>1291.4000000000001</v>
      </c>
      <c r="AU8" s="1547">
        <v>1267.1099999999999</v>
      </c>
      <c r="AV8" s="1547">
        <v>1248.83</v>
      </c>
      <c r="AX8" s="1548">
        <v>2213.2799999999997</v>
      </c>
      <c r="AY8" s="1548">
        <v>2198.96</v>
      </c>
      <c r="AZ8" s="1548">
        <v>2079.0099999999998</v>
      </c>
      <c r="BA8" s="1548">
        <v>2033.29</v>
      </c>
      <c r="BB8" s="1548">
        <v>1971.6399999999999</v>
      </c>
      <c r="BC8" s="1548">
        <v>1967.49</v>
      </c>
      <c r="BD8" s="1548">
        <v>1990.15</v>
      </c>
      <c r="BE8" s="1548">
        <v>1914.03</v>
      </c>
      <c r="BF8" s="1548">
        <v>1950.77</v>
      </c>
      <c r="BG8" s="1548">
        <v>1950.63</v>
      </c>
      <c r="BH8" s="1548">
        <v>1868.61</v>
      </c>
      <c r="BI8" s="1548">
        <v>1899.05</v>
      </c>
    </row>
    <row r="9" spans="1:61" ht="12.75">
      <c r="A9" s="729" t="s">
        <v>1901</v>
      </c>
      <c r="B9" s="1214">
        <v>649521.29</v>
      </c>
      <c r="C9" s="1214"/>
      <c r="D9" s="1530" t="s">
        <v>1898</v>
      </c>
      <c r="E9" s="1530" t="s">
        <v>1899</v>
      </c>
      <c r="G9" s="1544">
        <f t="shared" ref="G9:G49" si="0">B9/$B$51</f>
        <v>1.8873177880486204E-3</v>
      </c>
      <c r="H9" s="1544">
        <v>2.3020247213255982E-4</v>
      </c>
      <c r="I9" s="1544">
        <v>9.3275138522093363E-5</v>
      </c>
      <c r="K9" s="1545">
        <v>578.33000000000004</v>
      </c>
      <c r="L9" s="1545">
        <v>512.25</v>
      </c>
      <c r="M9" s="1545">
        <v>574.04</v>
      </c>
      <c r="N9" s="1545">
        <v>547.77</v>
      </c>
      <c r="O9" s="1545">
        <v>568.53</v>
      </c>
      <c r="P9" s="1545">
        <v>555.14</v>
      </c>
      <c r="Q9" s="1545">
        <v>586.42999999999995</v>
      </c>
      <c r="R9" s="1545">
        <v>531.78</v>
      </c>
      <c r="S9" s="1545">
        <v>558.97</v>
      </c>
      <c r="T9" s="1545">
        <v>567.29999999999995</v>
      </c>
      <c r="U9" s="1545">
        <v>519.11</v>
      </c>
      <c r="V9" s="1545">
        <v>563.26</v>
      </c>
      <c r="X9" s="1546">
        <v>262.17</v>
      </c>
      <c r="Y9" s="1546">
        <v>271.04000000000002</v>
      </c>
      <c r="Z9" s="1546">
        <v>288.48</v>
      </c>
      <c r="AA9" s="1546">
        <v>273.93</v>
      </c>
      <c r="AB9" s="1546">
        <v>266.51</v>
      </c>
      <c r="AC9" s="1546">
        <v>267.39999999999998</v>
      </c>
      <c r="AD9" s="1546">
        <v>276.04000000000002</v>
      </c>
      <c r="AE9" s="1546">
        <v>259.70999999999998</v>
      </c>
      <c r="AF9" s="1546">
        <v>266.27999999999997</v>
      </c>
      <c r="AG9" s="1546">
        <v>269.87</v>
      </c>
      <c r="AH9" s="1546">
        <v>244.74</v>
      </c>
      <c r="AI9" s="1546">
        <v>262.47000000000003</v>
      </c>
      <c r="AK9" s="1547">
        <v>1970.2</v>
      </c>
      <c r="AL9" s="1547">
        <v>2009.19</v>
      </c>
      <c r="AM9" s="1547">
        <v>1777.65</v>
      </c>
      <c r="AN9" s="1547">
        <v>1760.39</v>
      </c>
      <c r="AO9" s="1547">
        <v>1668.78</v>
      </c>
      <c r="AP9" s="1547">
        <v>1676.01</v>
      </c>
      <c r="AQ9" s="1547">
        <v>1664.84</v>
      </c>
      <c r="AR9" s="1547">
        <v>1639.17</v>
      </c>
      <c r="AS9" s="1547">
        <v>1652.07</v>
      </c>
      <c r="AT9" s="1547">
        <v>1639.97</v>
      </c>
      <c r="AU9" s="1547">
        <v>1609.12</v>
      </c>
      <c r="AV9" s="1547">
        <v>1585.91</v>
      </c>
      <c r="AX9" s="1548">
        <v>2810.7</v>
      </c>
      <c r="AY9" s="1548">
        <v>2792.48</v>
      </c>
      <c r="AZ9" s="1548">
        <v>2640.17</v>
      </c>
      <c r="BA9" s="1548">
        <v>2582.09</v>
      </c>
      <c r="BB9" s="1548">
        <v>2503.8199999999997</v>
      </c>
      <c r="BC9" s="1548">
        <v>2498.5500000000002</v>
      </c>
      <c r="BD9" s="1548">
        <v>2527.31</v>
      </c>
      <c r="BE9" s="1548">
        <v>2430.66</v>
      </c>
      <c r="BF9" s="1548">
        <v>2477.3199999999997</v>
      </c>
      <c r="BG9" s="1548">
        <v>2477.14</v>
      </c>
      <c r="BH9" s="1548">
        <v>2372.9699999999998</v>
      </c>
      <c r="BI9" s="1548">
        <v>2411.6400000000003</v>
      </c>
    </row>
    <row r="10" spans="1:61" ht="12.75">
      <c r="A10" s="729" t="s">
        <v>1902</v>
      </c>
      <c r="B10" s="1214">
        <v>650850.74</v>
      </c>
      <c r="C10" s="1214"/>
      <c r="D10" s="1530" t="s">
        <v>1898</v>
      </c>
      <c r="E10" s="1530" t="s">
        <v>1899</v>
      </c>
      <c r="G10" s="1544">
        <f t="shared" si="0"/>
        <v>1.8911807786417712E-3</v>
      </c>
      <c r="H10" s="1544">
        <v>2.306736540341979E-4</v>
      </c>
      <c r="I10" s="1544">
        <v>9.3466055486352061E-5</v>
      </c>
      <c r="K10" s="1545">
        <v>579.51</v>
      </c>
      <c r="L10" s="1545">
        <v>513.29999999999995</v>
      </c>
      <c r="M10" s="1545">
        <v>575.21</v>
      </c>
      <c r="N10" s="1545">
        <v>548.89</v>
      </c>
      <c r="O10" s="1545">
        <v>569.70000000000005</v>
      </c>
      <c r="P10" s="1545">
        <v>556.28</v>
      </c>
      <c r="Q10" s="1545">
        <v>587.63</v>
      </c>
      <c r="R10" s="1545">
        <v>532.86</v>
      </c>
      <c r="S10" s="1545">
        <v>560.11</v>
      </c>
      <c r="T10" s="1545">
        <v>568.46</v>
      </c>
      <c r="U10" s="1545">
        <v>520.16999999999996</v>
      </c>
      <c r="V10" s="1545">
        <v>564.41</v>
      </c>
      <c r="X10" s="1546">
        <v>262.7</v>
      </c>
      <c r="Y10" s="1546">
        <v>271.60000000000002</v>
      </c>
      <c r="Z10" s="1546">
        <v>289.07</v>
      </c>
      <c r="AA10" s="1546">
        <v>274.49</v>
      </c>
      <c r="AB10" s="1546">
        <v>267.06</v>
      </c>
      <c r="AC10" s="1546">
        <v>267.94</v>
      </c>
      <c r="AD10" s="1546">
        <v>276.61</v>
      </c>
      <c r="AE10" s="1546">
        <v>260.24</v>
      </c>
      <c r="AF10" s="1546">
        <v>266.82</v>
      </c>
      <c r="AG10" s="1546">
        <v>270.42</v>
      </c>
      <c r="AH10" s="1546">
        <v>245.24</v>
      </c>
      <c r="AI10" s="1546">
        <v>263.01</v>
      </c>
      <c r="AK10" s="1547">
        <v>1974.24</v>
      </c>
      <c r="AL10" s="1547">
        <v>2013.31</v>
      </c>
      <c r="AM10" s="1547">
        <v>1781.29</v>
      </c>
      <c r="AN10" s="1547">
        <v>1764</v>
      </c>
      <c r="AO10" s="1547">
        <v>1672.2</v>
      </c>
      <c r="AP10" s="1547">
        <v>1679.44</v>
      </c>
      <c r="AQ10" s="1547">
        <v>1668.25</v>
      </c>
      <c r="AR10" s="1547">
        <v>1642.53</v>
      </c>
      <c r="AS10" s="1547">
        <v>1655.45</v>
      </c>
      <c r="AT10" s="1547">
        <v>1643.32</v>
      </c>
      <c r="AU10" s="1547">
        <v>1612.42</v>
      </c>
      <c r="AV10" s="1547">
        <v>1589.15</v>
      </c>
      <c r="AX10" s="1548">
        <v>2816.45</v>
      </c>
      <c r="AY10" s="1548">
        <v>2798.21</v>
      </c>
      <c r="AZ10" s="1548">
        <v>2645.5699999999997</v>
      </c>
      <c r="BA10" s="1548">
        <v>2587.38</v>
      </c>
      <c r="BB10" s="1548">
        <v>2508.96</v>
      </c>
      <c r="BC10" s="1548">
        <v>2503.66</v>
      </c>
      <c r="BD10" s="1548">
        <v>2532.4899999999998</v>
      </c>
      <c r="BE10" s="1548">
        <v>2435.63</v>
      </c>
      <c r="BF10" s="1548">
        <v>2482.38</v>
      </c>
      <c r="BG10" s="1548">
        <v>2482.1999999999998</v>
      </c>
      <c r="BH10" s="1548">
        <v>2377.83</v>
      </c>
      <c r="BI10" s="1548">
        <v>2416.5700000000002</v>
      </c>
    </row>
    <row r="11" spans="1:61" ht="12.75">
      <c r="A11" s="729" t="s">
        <v>1903</v>
      </c>
      <c r="B11" s="1214">
        <v>853154.11999999988</v>
      </c>
      <c r="C11" s="1214"/>
      <c r="D11" s="1530" t="s">
        <v>1898</v>
      </c>
      <c r="E11" s="1530" t="s">
        <v>1899</v>
      </c>
      <c r="G11" s="1544">
        <f t="shared" si="0"/>
        <v>2.4790148859061521E-3</v>
      </c>
      <c r="H11" s="1544">
        <v>3.0237374903304331E-4</v>
      </c>
      <c r="I11" s="1544">
        <v>1.225180297380162E-4</v>
      </c>
      <c r="K11" s="1545">
        <v>759.64</v>
      </c>
      <c r="L11" s="1545">
        <v>672.84</v>
      </c>
      <c r="M11" s="1545">
        <v>754.01</v>
      </c>
      <c r="N11" s="1545">
        <v>719.51</v>
      </c>
      <c r="O11" s="1545">
        <v>746.78</v>
      </c>
      <c r="P11" s="1545">
        <v>729.18</v>
      </c>
      <c r="Q11" s="1545">
        <v>770.29</v>
      </c>
      <c r="R11" s="1545">
        <v>698.49</v>
      </c>
      <c r="S11" s="1545">
        <v>734.21</v>
      </c>
      <c r="T11" s="1545">
        <v>745.16</v>
      </c>
      <c r="U11" s="1545">
        <v>681.86</v>
      </c>
      <c r="V11" s="1545">
        <v>739.85</v>
      </c>
      <c r="X11" s="1546">
        <v>344.36</v>
      </c>
      <c r="Y11" s="1546">
        <v>356.02</v>
      </c>
      <c r="Z11" s="1546">
        <v>378.92</v>
      </c>
      <c r="AA11" s="1546">
        <v>359.82</v>
      </c>
      <c r="AB11" s="1546">
        <v>350.07</v>
      </c>
      <c r="AC11" s="1546">
        <v>351.23</v>
      </c>
      <c r="AD11" s="1546">
        <v>362.59</v>
      </c>
      <c r="AE11" s="1546">
        <v>341.13</v>
      </c>
      <c r="AF11" s="1546">
        <v>349.76</v>
      </c>
      <c r="AG11" s="1546">
        <v>354.48</v>
      </c>
      <c r="AH11" s="1546">
        <v>321.47000000000003</v>
      </c>
      <c r="AI11" s="1546">
        <v>344.76</v>
      </c>
      <c r="AK11" s="1547">
        <v>2587.89</v>
      </c>
      <c r="AL11" s="1547">
        <v>2639.1</v>
      </c>
      <c r="AM11" s="1547">
        <v>2334.9699999999998</v>
      </c>
      <c r="AN11" s="1547">
        <v>2312.3000000000002</v>
      </c>
      <c r="AO11" s="1547">
        <v>2191.96</v>
      </c>
      <c r="AP11" s="1547">
        <v>2201.4499999999998</v>
      </c>
      <c r="AQ11" s="1547">
        <v>2186.79</v>
      </c>
      <c r="AR11" s="1547">
        <v>2153.0700000000002</v>
      </c>
      <c r="AS11" s="1547">
        <v>2170.0100000000002</v>
      </c>
      <c r="AT11" s="1547">
        <v>2154.12</v>
      </c>
      <c r="AU11" s="1547">
        <v>2113.61</v>
      </c>
      <c r="AV11" s="1547">
        <v>2083.11</v>
      </c>
      <c r="AX11" s="1548">
        <v>3691.89</v>
      </c>
      <c r="AY11" s="1548">
        <v>3667.96</v>
      </c>
      <c r="AZ11" s="1548">
        <v>3467.8999999999996</v>
      </c>
      <c r="BA11" s="1548">
        <v>3391.63</v>
      </c>
      <c r="BB11" s="1548">
        <v>3288.81</v>
      </c>
      <c r="BC11" s="1548">
        <v>3281.8599999999997</v>
      </c>
      <c r="BD11" s="1548">
        <v>3319.67</v>
      </c>
      <c r="BE11" s="1548">
        <v>3192.69</v>
      </c>
      <c r="BF11" s="1548">
        <v>3253.9800000000005</v>
      </c>
      <c r="BG11" s="1548">
        <v>3253.7599999999998</v>
      </c>
      <c r="BH11" s="1548">
        <v>3116.94</v>
      </c>
      <c r="BI11" s="1548">
        <v>3167.7200000000003</v>
      </c>
    </row>
    <row r="12" spans="1:61" ht="12.75">
      <c r="A12" s="729" t="s">
        <v>1904</v>
      </c>
      <c r="B12" s="1214">
        <v>922685.99</v>
      </c>
      <c r="C12" s="1214"/>
      <c r="D12" s="1530" t="s">
        <v>1898</v>
      </c>
      <c r="E12" s="1530" t="s">
        <v>1899</v>
      </c>
      <c r="G12" s="1544">
        <f t="shared" si="0"/>
        <v>2.681054044756949E-3</v>
      </c>
      <c r="H12" s="1544">
        <v>3.2701714196324246E-4</v>
      </c>
      <c r="I12" s="1544">
        <v>1.3250322176451652E-4</v>
      </c>
      <c r="K12" s="1545">
        <v>821.55</v>
      </c>
      <c r="L12" s="1545">
        <v>727.68</v>
      </c>
      <c r="M12" s="1545">
        <v>815.46</v>
      </c>
      <c r="N12" s="1545">
        <v>778.15</v>
      </c>
      <c r="O12" s="1545">
        <v>807.64</v>
      </c>
      <c r="P12" s="1545">
        <v>788.61</v>
      </c>
      <c r="Q12" s="1545">
        <v>833.06</v>
      </c>
      <c r="R12" s="1545">
        <v>755.42</v>
      </c>
      <c r="S12" s="1545">
        <v>794.05</v>
      </c>
      <c r="T12" s="1545">
        <v>805.89</v>
      </c>
      <c r="U12" s="1545">
        <v>737.43</v>
      </c>
      <c r="V12" s="1545">
        <v>800.15</v>
      </c>
      <c r="X12" s="1546">
        <v>372.42</v>
      </c>
      <c r="Y12" s="1546">
        <v>385.04</v>
      </c>
      <c r="Z12" s="1546">
        <v>409.8</v>
      </c>
      <c r="AA12" s="1546">
        <v>389.14</v>
      </c>
      <c r="AB12" s="1546">
        <v>378.6</v>
      </c>
      <c r="AC12" s="1546">
        <v>379.85</v>
      </c>
      <c r="AD12" s="1546">
        <v>392.14</v>
      </c>
      <c r="AE12" s="1546">
        <v>368.93</v>
      </c>
      <c r="AF12" s="1546">
        <v>378.27</v>
      </c>
      <c r="AG12" s="1546">
        <v>383.37</v>
      </c>
      <c r="AH12" s="1546">
        <v>347.67</v>
      </c>
      <c r="AI12" s="1546">
        <v>372.86</v>
      </c>
      <c r="AK12" s="1547">
        <v>2798.8</v>
      </c>
      <c r="AL12" s="1547">
        <v>2854.19</v>
      </c>
      <c r="AM12" s="1547">
        <v>2525.27</v>
      </c>
      <c r="AN12" s="1547">
        <v>2500.75</v>
      </c>
      <c r="AO12" s="1547">
        <v>2370.61</v>
      </c>
      <c r="AP12" s="1547">
        <v>2380.87</v>
      </c>
      <c r="AQ12" s="1547">
        <v>2365.02</v>
      </c>
      <c r="AR12" s="1547">
        <v>2328.5500000000002</v>
      </c>
      <c r="AS12" s="1547">
        <v>2346.87</v>
      </c>
      <c r="AT12" s="1547">
        <v>2329.6799999999998</v>
      </c>
      <c r="AU12" s="1547">
        <v>2285.86</v>
      </c>
      <c r="AV12" s="1547">
        <v>2252.88</v>
      </c>
      <c r="AX12" s="1548">
        <v>3992.7700000000004</v>
      </c>
      <c r="AY12" s="1548">
        <v>3966.91</v>
      </c>
      <c r="AZ12" s="1548">
        <v>3750.5299999999997</v>
      </c>
      <c r="BA12" s="1548">
        <v>3668.04</v>
      </c>
      <c r="BB12" s="1548">
        <v>3556.8500000000004</v>
      </c>
      <c r="BC12" s="1548">
        <v>3549.33</v>
      </c>
      <c r="BD12" s="1548">
        <v>3590.22</v>
      </c>
      <c r="BE12" s="1548">
        <v>3452.9</v>
      </c>
      <c r="BF12" s="1548">
        <v>3519.1899999999996</v>
      </c>
      <c r="BG12" s="1548">
        <v>3518.9399999999996</v>
      </c>
      <c r="BH12" s="1548">
        <v>3370.96</v>
      </c>
      <c r="BI12" s="1548">
        <v>3425.8900000000003</v>
      </c>
    </row>
    <row r="13" spans="1:61" ht="12.75">
      <c r="A13" s="729" t="s">
        <v>1905</v>
      </c>
      <c r="B13" s="1214">
        <v>974188.15999999992</v>
      </c>
      <c r="C13" s="1214"/>
      <c r="D13" s="1530" t="s">
        <v>1898</v>
      </c>
      <c r="E13" s="1530" t="s">
        <v>1899</v>
      </c>
      <c r="G13" s="1544">
        <f t="shared" si="0"/>
        <v>2.8307041995103118E-3</v>
      </c>
      <c r="H13" s="1544">
        <v>3.4527047258800357E-4</v>
      </c>
      <c r="I13" s="1544">
        <v>1.3989924113277832E-4</v>
      </c>
      <c r="K13" s="1545">
        <v>867.4</v>
      </c>
      <c r="L13" s="1545">
        <v>768.3</v>
      </c>
      <c r="M13" s="1545">
        <v>860.98</v>
      </c>
      <c r="N13" s="1545">
        <v>821.58</v>
      </c>
      <c r="O13" s="1545">
        <v>852.72</v>
      </c>
      <c r="P13" s="1545">
        <v>832.63</v>
      </c>
      <c r="Q13" s="1545">
        <v>879.56</v>
      </c>
      <c r="R13" s="1545">
        <v>797.59</v>
      </c>
      <c r="S13" s="1545">
        <v>838.37</v>
      </c>
      <c r="T13" s="1545">
        <v>850.87</v>
      </c>
      <c r="U13" s="1545">
        <v>778.59</v>
      </c>
      <c r="V13" s="1545">
        <v>844.81</v>
      </c>
      <c r="X13" s="1546">
        <v>393.21</v>
      </c>
      <c r="Y13" s="1546">
        <v>406.53</v>
      </c>
      <c r="Z13" s="1546">
        <v>432.67</v>
      </c>
      <c r="AA13" s="1546">
        <v>410.86</v>
      </c>
      <c r="AB13" s="1546">
        <v>399.73</v>
      </c>
      <c r="AC13" s="1546">
        <v>401.06</v>
      </c>
      <c r="AD13" s="1546">
        <v>414.03</v>
      </c>
      <c r="AE13" s="1546">
        <v>389.52</v>
      </c>
      <c r="AF13" s="1546">
        <v>399.38</v>
      </c>
      <c r="AG13" s="1546">
        <v>404.77</v>
      </c>
      <c r="AH13" s="1546">
        <v>367.07</v>
      </c>
      <c r="AI13" s="1546">
        <v>393.67</v>
      </c>
      <c r="AK13" s="1547">
        <v>2955.02</v>
      </c>
      <c r="AL13" s="1547">
        <v>3013.5</v>
      </c>
      <c r="AM13" s="1547">
        <v>2666.22</v>
      </c>
      <c r="AN13" s="1547">
        <v>2640.33</v>
      </c>
      <c r="AO13" s="1547">
        <v>2502.9299999999998</v>
      </c>
      <c r="AP13" s="1547">
        <v>2513.77</v>
      </c>
      <c r="AQ13" s="1547">
        <v>2497.0300000000002</v>
      </c>
      <c r="AR13" s="1547">
        <v>2458.52</v>
      </c>
      <c r="AS13" s="1547">
        <v>2477.87</v>
      </c>
      <c r="AT13" s="1547">
        <v>2459.71</v>
      </c>
      <c r="AU13" s="1547">
        <v>2413.4499999999998</v>
      </c>
      <c r="AV13" s="1547">
        <v>2378.63</v>
      </c>
      <c r="AX13" s="1548">
        <v>4215.63</v>
      </c>
      <c r="AY13" s="1548">
        <v>4188.33</v>
      </c>
      <c r="AZ13" s="1548">
        <v>3959.87</v>
      </c>
      <c r="BA13" s="1548">
        <v>3872.77</v>
      </c>
      <c r="BB13" s="1548">
        <v>3755.38</v>
      </c>
      <c r="BC13" s="1548">
        <v>3747.46</v>
      </c>
      <c r="BD13" s="1548">
        <v>3790.62</v>
      </c>
      <c r="BE13" s="1548">
        <v>3645.63</v>
      </c>
      <c r="BF13" s="1548">
        <v>3715.62</v>
      </c>
      <c r="BG13" s="1548">
        <v>3715.35</v>
      </c>
      <c r="BH13" s="1548">
        <v>3559.1099999999997</v>
      </c>
      <c r="BI13" s="1548">
        <v>3617.11</v>
      </c>
    </row>
    <row r="14" spans="1:61" ht="12.75">
      <c r="A14" s="729" t="s">
        <v>1906</v>
      </c>
      <c r="B14" s="1214">
        <v>1317057.58</v>
      </c>
      <c r="C14" s="1214"/>
      <c r="D14" s="1530" t="s">
        <v>1898</v>
      </c>
      <c r="E14" s="1530" t="s">
        <v>1899</v>
      </c>
      <c r="G14" s="1544">
        <f t="shared" si="0"/>
        <v>3.8269818663192222E-3</v>
      </c>
      <c r="H14" s="1544">
        <v>4.6678979661609964E-4</v>
      </c>
      <c r="I14" s="1544">
        <v>1.8913733869458391E-4</v>
      </c>
      <c r="K14" s="1545">
        <v>1172.69</v>
      </c>
      <c r="L14" s="1545">
        <v>1038.7</v>
      </c>
      <c r="M14" s="1545">
        <v>1164</v>
      </c>
      <c r="N14" s="1545">
        <v>1110.74</v>
      </c>
      <c r="O14" s="1545">
        <v>1152.83</v>
      </c>
      <c r="P14" s="1545">
        <v>1125.68</v>
      </c>
      <c r="Q14" s="1545">
        <v>1189.1300000000001</v>
      </c>
      <c r="R14" s="1545">
        <v>1078.3</v>
      </c>
      <c r="S14" s="1545">
        <v>1133.44</v>
      </c>
      <c r="T14" s="1545">
        <v>1150.3399999999999</v>
      </c>
      <c r="U14" s="1545">
        <v>1052.6199999999999</v>
      </c>
      <c r="V14" s="1545">
        <v>1142.1400000000001</v>
      </c>
      <c r="X14" s="1546">
        <v>531.61</v>
      </c>
      <c r="Y14" s="1546">
        <v>549.61</v>
      </c>
      <c r="Z14" s="1546">
        <v>584.95000000000005</v>
      </c>
      <c r="AA14" s="1546">
        <v>555.47</v>
      </c>
      <c r="AB14" s="1546">
        <v>540.41</v>
      </c>
      <c r="AC14" s="1546">
        <v>542.21</v>
      </c>
      <c r="AD14" s="1546">
        <v>559.74</v>
      </c>
      <c r="AE14" s="1546">
        <v>526.62</v>
      </c>
      <c r="AF14" s="1546">
        <v>539.94000000000005</v>
      </c>
      <c r="AG14" s="1546">
        <v>547.23</v>
      </c>
      <c r="AH14" s="1546">
        <v>496.27</v>
      </c>
      <c r="AI14" s="1546">
        <v>532.22</v>
      </c>
      <c r="AK14" s="1547">
        <v>3995.05</v>
      </c>
      <c r="AL14" s="1547">
        <v>4074.11</v>
      </c>
      <c r="AM14" s="1547">
        <v>3604.61</v>
      </c>
      <c r="AN14" s="1547">
        <v>3569.61</v>
      </c>
      <c r="AO14" s="1547">
        <v>3383.84</v>
      </c>
      <c r="AP14" s="1547">
        <v>3398.5</v>
      </c>
      <c r="AQ14" s="1547">
        <v>3375.86</v>
      </c>
      <c r="AR14" s="1547">
        <v>3323.81</v>
      </c>
      <c r="AS14" s="1547">
        <v>3349.96</v>
      </c>
      <c r="AT14" s="1547">
        <v>3325.42</v>
      </c>
      <c r="AU14" s="1547">
        <v>3262.88</v>
      </c>
      <c r="AV14" s="1547">
        <v>3215.8</v>
      </c>
      <c r="AX14" s="1548">
        <v>5699.35</v>
      </c>
      <c r="AY14" s="1548">
        <v>5662.42</v>
      </c>
      <c r="AZ14" s="1548">
        <v>5353.56</v>
      </c>
      <c r="BA14" s="1548">
        <v>5235.82</v>
      </c>
      <c r="BB14" s="1548">
        <v>5077.08</v>
      </c>
      <c r="BC14" s="1548">
        <v>5066.3900000000003</v>
      </c>
      <c r="BD14" s="1548">
        <v>5124.7300000000005</v>
      </c>
      <c r="BE14" s="1548">
        <v>4928.7299999999996</v>
      </c>
      <c r="BF14" s="1548">
        <v>5023.34</v>
      </c>
      <c r="BG14" s="1548">
        <v>5022.99</v>
      </c>
      <c r="BH14" s="1548">
        <v>4811.7700000000004</v>
      </c>
      <c r="BI14" s="1548">
        <v>4890.16</v>
      </c>
    </row>
    <row r="15" spans="1:61" ht="12.75">
      <c r="A15" s="729" t="s">
        <v>1907</v>
      </c>
      <c r="B15" s="1214">
        <v>1404354.96</v>
      </c>
      <c r="C15" s="1214"/>
      <c r="D15" s="1530" t="s">
        <v>1898</v>
      </c>
      <c r="E15" s="1530" t="s">
        <v>1899</v>
      </c>
      <c r="G15" s="1544">
        <f t="shared" si="0"/>
        <v>4.080642370848704E-3</v>
      </c>
      <c r="H15" s="1544">
        <v>4.9772961798314906E-4</v>
      </c>
      <c r="I15" s="1544">
        <v>2.0167376411662946E-4</v>
      </c>
      <c r="K15" s="1545">
        <v>1250.42</v>
      </c>
      <c r="L15" s="1545">
        <v>1107.55</v>
      </c>
      <c r="M15" s="1545">
        <v>1241.1500000000001</v>
      </c>
      <c r="N15" s="1545">
        <v>1184.3599999999999</v>
      </c>
      <c r="O15" s="1545">
        <v>1229.25</v>
      </c>
      <c r="P15" s="1545">
        <v>1200.29</v>
      </c>
      <c r="Q15" s="1545">
        <v>1267.95</v>
      </c>
      <c r="R15" s="1545">
        <v>1149.77</v>
      </c>
      <c r="S15" s="1545">
        <v>1208.57</v>
      </c>
      <c r="T15" s="1545">
        <v>1226.58</v>
      </c>
      <c r="U15" s="1545">
        <v>1122.3900000000001</v>
      </c>
      <c r="V15" s="1545">
        <v>1217.8499999999999</v>
      </c>
      <c r="X15" s="1546">
        <v>566.84</v>
      </c>
      <c r="Y15" s="1546">
        <v>586.04</v>
      </c>
      <c r="Z15" s="1546">
        <v>623.73</v>
      </c>
      <c r="AA15" s="1546">
        <v>592.28</v>
      </c>
      <c r="AB15" s="1546">
        <v>576.23</v>
      </c>
      <c r="AC15" s="1546">
        <v>578.15</v>
      </c>
      <c r="AD15" s="1546">
        <v>596.84</v>
      </c>
      <c r="AE15" s="1546">
        <v>561.52</v>
      </c>
      <c r="AF15" s="1546">
        <v>575.73</v>
      </c>
      <c r="AG15" s="1546">
        <v>583.5</v>
      </c>
      <c r="AH15" s="1546">
        <v>529.16</v>
      </c>
      <c r="AI15" s="1546">
        <v>567.5</v>
      </c>
      <c r="AK15" s="1547">
        <v>4259.8500000000004</v>
      </c>
      <c r="AL15" s="1547">
        <v>4344.1499999999996</v>
      </c>
      <c r="AM15" s="1547">
        <v>3843.53</v>
      </c>
      <c r="AN15" s="1547">
        <v>3806.21</v>
      </c>
      <c r="AO15" s="1547">
        <v>3608.13</v>
      </c>
      <c r="AP15" s="1547">
        <v>3623.76</v>
      </c>
      <c r="AQ15" s="1547">
        <v>3599.62</v>
      </c>
      <c r="AR15" s="1547">
        <v>3544.12</v>
      </c>
      <c r="AS15" s="1547">
        <v>3572</v>
      </c>
      <c r="AT15" s="1547">
        <v>3545.84</v>
      </c>
      <c r="AU15" s="1547">
        <v>3479.15</v>
      </c>
      <c r="AV15" s="1547">
        <v>3428.95</v>
      </c>
      <c r="AX15" s="1548">
        <v>6077.1100000000006</v>
      </c>
      <c r="AY15" s="1548">
        <v>6037.74</v>
      </c>
      <c r="AZ15" s="1548">
        <v>5708.41</v>
      </c>
      <c r="BA15" s="1548">
        <v>5582.85</v>
      </c>
      <c r="BB15" s="1548">
        <v>5413.6100000000006</v>
      </c>
      <c r="BC15" s="1548">
        <v>5402.2000000000007</v>
      </c>
      <c r="BD15" s="1548">
        <v>5464.41</v>
      </c>
      <c r="BE15" s="1548">
        <v>5255.41</v>
      </c>
      <c r="BF15" s="1548">
        <v>5356.3</v>
      </c>
      <c r="BG15" s="1548">
        <v>5355.92</v>
      </c>
      <c r="BH15" s="1548">
        <v>5130.7000000000007</v>
      </c>
      <c r="BI15" s="1548">
        <v>5214.2999999999993</v>
      </c>
    </row>
    <row r="16" spans="1:61" ht="12.75">
      <c r="A16" s="729" t="s">
        <v>1908</v>
      </c>
      <c r="B16" s="1214">
        <v>1489413.7900000003</v>
      </c>
      <c r="C16" s="1214"/>
      <c r="D16" s="1530" t="s">
        <v>1898</v>
      </c>
      <c r="E16" s="1530" t="s">
        <v>1899</v>
      </c>
      <c r="G16" s="1544">
        <f t="shared" si="0"/>
        <v>4.3277983076303976E-3</v>
      </c>
      <c r="H16" s="1544">
        <v>5.2787605543511184E-4</v>
      </c>
      <c r="I16" s="1544">
        <v>2.1388872038200025E-4</v>
      </c>
      <c r="K16" s="1545">
        <v>1326.15</v>
      </c>
      <c r="L16" s="1545">
        <v>1174.6300000000001</v>
      </c>
      <c r="M16" s="1545">
        <v>1316.33</v>
      </c>
      <c r="N16" s="1545">
        <v>1256.0899999999999</v>
      </c>
      <c r="O16" s="1545">
        <v>1303.7</v>
      </c>
      <c r="P16" s="1545">
        <v>1272.99</v>
      </c>
      <c r="Q16" s="1545">
        <v>1344.75</v>
      </c>
      <c r="R16" s="1545">
        <v>1219.4100000000001</v>
      </c>
      <c r="S16" s="1545">
        <v>1281.77</v>
      </c>
      <c r="T16" s="1545">
        <v>1300.8699999999999</v>
      </c>
      <c r="U16" s="1545">
        <v>1190.3699999999999</v>
      </c>
      <c r="V16" s="1545">
        <v>1291.6099999999999</v>
      </c>
      <c r="X16" s="1546">
        <v>601.16999999999996</v>
      </c>
      <c r="Y16" s="1546">
        <v>621.53</v>
      </c>
      <c r="Z16" s="1546">
        <v>661.5</v>
      </c>
      <c r="AA16" s="1546">
        <v>628.16</v>
      </c>
      <c r="AB16" s="1546">
        <v>611.13</v>
      </c>
      <c r="AC16" s="1546">
        <v>613.16999999999996</v>
      </c>
      <c r="AD16" s="1546">
        <v>632.99</v>
      </c>
      <c r="AE16" s="1546">
        <v>595.53</v>
      </c>
      <c r="AF16" s="1546">
        <v>610.6</v>
      </c>
      <c r="AG16" s="1546">
        <v>618.84</v>
      </c>
      <c r="AH16" s="1546">
        <v>561.21</v>
      </c>
      <c r="AI16" s="1546">
        <v>601.87</v>
      </c>
      <c r="AK16" s="1547">
        <v>4517.8599999999997</v>
      </c>
      <c r="AL16" s="1547">
        <v>4607.2700000000004</v>
      </c>
      <c r="AM16" s="1547">
        <v>4076.32</v>
      </c>
      <c r="AN16" s="1547">
        <v>4036.75</v>
      </c>
      <c r="AO16" s="1547">
        <v>3826.67</v>
      </c>
      <c r="AP16" s="1547">
        <v>3843.24</v>
      </c>
      <c r="AQ16" s="1547">
        <v>3817.64</v>
      </c>
      <c r="AR16" s="1547">
        <v>3758.78</v>
      </c>
      <c r="AS16" s="1547">
        <v>3788.35</v>
      </c>
      <c r="AT16" s="1547">
        <v>3760.6</v>
      </c>
      <c r="AU16" s="1547">
        <v>3689.88</v>
      </c>
      <c r="AV16" s="1547">
        <v>3636.64</v>
      </c>
      <c r="AX16" s="1548">
        <v>6445.18</v>
      </c>
      <c r="AY16" s="1548">
        <v>6403.43</v>
      </c>
      <c r="AZ16" s="1548">
        <v>6054.15</v>
      </c>
      <c r="BA16" s="1548">
        <v>5921</v>
      </c>
      <c r="BB16" s="1548">
        <v>5741.5</v>
      </c>
      <c r="BC16" s="1548">
        <v>5729.4</v>
      </c>
      <c r="BD16" s="1548">
        <v>5795.38</v>
      </c>
      <c r="BE16" s="1548">
        <v>5573.72</v>
      </c>
      <c r="BF16" s="1548">
        <v>5680.7199999999993</v>
      </c>
      <c r="BG16" s="1548">
        <v>5680.3099999999995</v>
      </c>
      <c r="BH16" s="1548">
        <v>5441.46</v>
      </c>
      <c r="BI16" s="1548">
        <v>5530.12</v>
      </c>
    </row>
    <row r="17" spans="1:61" ht="12.75">
      <c r="A17" s="729" t="s">
        <v>1909</v>
      </c>
      <c r="B17" s="1214">
        <v>1753579.86</v>
      </c>
      <c r="C17" s="1214"/>
      <c r="D17" s="1530" t="s">
        <v>1898</v>
      </c>
      <c r="E17" s="1530" t="s">
        <v>1899</v>
      </c>
      <c r="G17" s="1544">
        <f t="shared" si="0"/>
        <v>5.0953871928382972E-3</v>
      </c>
      <c r="H17" s="1544">
        <v>6.2150144278391272E-4</v>
      </c>
      <c r="I17" s="1544">
        <v>2.5182454658422834E-4</v>
      </c>
      <c r="K17" s="1545">
        <v>1561.36</v>
      </c>
      <c r="L17" s="1545">
        <v>1382.97</v>
      </c>
      <c r="M17" s="1545">
        <v>1549.79</v>
      </c>
      <c r="N17" s="1545">
        <v>1478.88</v>
      </c>
      <c r="O17" s="1545">
        <v>1534.93</v>
      </c>
      <c r="P17" s="1545">
        <v>1498.77</v>
      </c>
      <c r="Q17" s="1545">
        <v>1583.25</v>
      </c>
      <c r="R17" s="1545">
        <v>1435.69</v>
      </c>
      <c r="S17" s="1545">
        <v>1509.11</v>
      </c>
      <c r="T17" s="1545">
        <v>1531.6</v>
      </c>
      <c r="U17" s="1545">
        <v>1401.5</v>
      </c>
      <c r="V17" s="1545">
        <v>1520.69</v>
      </c>
      <c r="X17" s="1546">
        <v>707.8</v>
      </c>
      <c r="Y17" s="1546">
        <v>731.77</v>
      </c>
      <c r="Z17" s="1546">
        <v>778.83</v>
      </c>
      <c r="AA17" s="1546">
        <v>739.57</v>
      </c>
      <c r="AB17" s="1546">
        <v>719.53</v>
      </c>
      <c r="AC17" s="1546">
        <v>721.92</v>
      </c>
      <c r="AD17" s="1546">
        <v>745.26</v>
      </c>
      <c r="AE17" s="1546">
        <v>701.16</v>
      </c>
      <c r="AF17" s="1546">
        <v>718.9</v>
      </c>
      <c r="AG17" s="1546">
        <v>728.6</v>
      </c>
      <c r="AH17" s="1546">
        <v>660.75</v>
      </c>
      <c r="AI17" s="1546">
        <v>708.62</v>
      </c>
      <c r="AK17" s="1547">
        <v>5319.16</v>
      </c>
      <c r="AL17" s="1547">
        <v>5424.43</v>
      </c>
      <c r="AM17" s="1547">
        <v>4799.3100000000004</v>
      </c>
      <c r="AN17" s="1547">
        <v>4752.71</v>
      </c>
      <c r="AO17" s="1547">
        <v>4505.38</v>
      </c>
      <c r="AP17" s="1547">
        <v>4524.8900000000003</v>
      </c>
      <c r="AQ17" s="1547">
        <v>4494.75</v>
      </c>
      <c r="AR17" s="1547">
        <v>4425.4399999999996</v>
      </c>
      <c r="AS17" s="1547">
        <v>4460.26</v>
      </c>
      <c r="AT17" s="1547">
        <v>4427.59</v>
      </c>
      <c r="AU17" s="1547">
        <v>4344.32</v>
      </c>
      <c r="AV17" s="1547">
        <v>4281.6400000000003</v>
      </c>
      <c r="AX17" s="1548">
        <v>7588.32</v>
      </c>
      <c r="AY17" s="1548">
        <v>7539.17</v>
      </c>
      <c r="AZ17" s="1548">
        <v>7127.93</v>
      </c>
      <c r="BA17" s="1548">
        <v>6971.16</v>
      </c>
      <c r="BB17" s="1548">
        <v>6759.84</v>
      </c>
      <c r="BC17" s="1548">
        <v>6745.58</v>
      </c>
      <c r="BD17" s="1548">
        <v>6823.26</v>
      </c>
      <c r="BE17" s="1548">
        <v>6562.2899999999991</v>
      </c>
      <c r="BF17" s="1548">
        <v>6688.27</v>
      </c>
      <c r="BG17" s="1548">
        <v>6687.79</v>
      </c>
      <c r="BH17" s="1548">
        <v>6406.57</v>
      </c>
      <c r="BI17" s="1548">
        <v>6510.9500000000007</v>
      </c>
    </row>
    <row r="18" spans="1:61" ht="12.75">
      <c r="A18" s="729" t="s">
        <v>1910</v>
      </c>
      <c r="B18" s="1214">
        <v>1787571.6200000003</v>
      </c>
      <c r="C18" s="1214"/>
      <c r="D18" s="1530" t="s">
        <v>1898</v>
      </c>
      <c r="E18" s="1530" t="s">
        <v>1899</v>
      </c>
      <c r="G18" s="1544">
        <f t="shared" si="0"/>
        <v>5.1941572474658824E-3</v>
      </c>
      <c r="H18" s="1544">
        <v>6.3354875717469539E-4</v>
      </c>
      <c r="I18" s="1544">
        <v>2.5670596644131996E-4</v>
      </c>
      <c r="K18" s="1545">
        <v>1591.63</v>
      </c>
      <c r="L18" s="1545">
        <v>1409.78</v>
      </c>
      <c r="M18" s="1545">
        <v>1579.84</v>
      </c>
      <c r="N18" s="1545">
        <v>1507.55</v>
      </c>
      <c r="O18" s="1545">
        <v>1564.68</v>
      </c>
      <c r="P18" s="1545">
        <v>1527.82</v>
      </c>
      <c r="Q18" s="1545">
        <v>1613.94</v>
      </c>
      <c r="R18" s="1545">
        <v>1463.52</v>
      </c>
      <c r="S18" s="1545">
        <v>1538.36</v>
      </c>
      <c r="T18" s="1545">
        <v>1561.29</v>
      </c>
      <c r="U18" s="1545">
        <v>1428.67</v>
      </c>
      <c r="V18" s="1545">
        <v>1550.17</v>
      </c>
      <c r="X18" s="1546">
        <v>721.52</v>
      </c>
      <c r="Y18" s="1546">
        <v>745.95</v>
      </c>
      <c r="Z18" s="1546">
        <v>793.93</v>
      </c>
      <c r="AA18" s="1546">
        <v>753.9</v>
      </c>
      <c r="AB18" s="1546">
        <v>733.47</v>
      </c>
      <c r="AC18" s="1546">
        <v>735.91</v>
      </c>
      <c r="AD18" s="1546">
        <v>759.71</v>
      </c>
      <c r="AE18" s="1546">
        <v>714.75</v>
      </c>
      <c r="AF18" s="1546">
        <v>732.84</v>
      </c>
      <c r="AG18" s="1546">
        <v>742.72</v>
      </c>
      <c r="AH18" s="1546">
        <v>673.56</v>
      </c>
      <c r="AI18" s="1546">
        <v>722.36</v>
      </c>
      <c r="AK18" s="1547">
        <v>5422.27</v>
      </c>
      <c r="AL18" s="1547">
        <v>5529.57</v>
      </c>
      <c r="AM18" s="1547">
        <v>4892.34</v>
      </c>
      <c r="AN18" s="1547">
        <v>4844.84</v>
      </c>
      <c r="AO18" s="1547">
        <v>4592.71</v>
      </c>
      <c r="AP18" s="1547">
        <v>4612.6000000000004</v>
      </c>
      <c r="AQ18" s="1547">
        <v>4581.88</v>
      </c>
      <c r="AR18" s="1547">
        <v>4511.2299999999996</v>
      </c>
      <c r="AS18" s="1547">
        <v>4546.72</v>
      </c>
      <c r="AT18" s="1547">
        <v>4513.41</v>
      </c>
      <c r="AU18" s="1547">
        <v>4428.53</v>
      </c>
      <c r="AV18" s="1547">
        <v>4364.6400000000003</v>
      </c>
      <c r="AX18" s="1548">
        <v>7735.42</v>
      </c>
      <c r="AY18" s="1548">
        <v>7685.2999999999993</v>
      </c>
      <c r="AZ18" s="1548">
        <v>7266.1100000000006</v>
      </c>
      <c r="BA18" s="1548">
        <v>7106.29</v>
      </c>
      <c r="BB18" s="1548">
        <v>6890.8600000000006</v>
      </c>
      <c r="BC18" s="1548">
        <v>6876.33</v>
      </c>
      <c r="BD18" s="1548">
        <v>6955.5300000000007</v>
      </c>
      <c r="BE18" s="1548">
        <v>6689.5</v>
      </c>
      <c r="BF18" s="1548">
        <v>6817.92</v>
      </c>
      <c r="BG18" s="1548">
        <v>6817.42</v>
      </c>
      <c r="BH18" s="1548">
        <v>6530.76</v>
      </c>
      <c r="BI18" s="1548">
        <v>6637.17</v>
      </c>
    </row>
    <row r="19" spans="1:61" ht="12.75">
      <c r="A19" s="729" t="s">
        <v>1911</v>
      </c>
      <c r="B19" s="1214">
        <v>1865978.5899999999</v>
      </c>
      <c r="C19" s="1214"/>
      <c r="D19" s="1530" t="s">
        <v>1898</v>
      </c>
      <c r="E19" s="1530" t="s">
        <v>1899</v>
      </c>
      <c r="G19" s="1544">
        <f t="shared" si="0"/>
        <v>5.4219848359780215E-3</v>
      </c>
      <c r="H19" s="1544">
        <v>6.6133765124839594E-4</v>
      </c>
      <c r="I19" s="1544">
        <v>2.6796567586184961E-4</v>
      </c>
      <c r="K19" s="1545">
        <v>1661.44</v>
      </c>
      <c r="L19" s="1545">
        <v>1471.61</v>
      </c>
      <c r="M19" s="1545">
        <v>1649.13</v>
      </c>
      <c r="N19" s="1545">
        <v>1573.67</v>
      </c>
      <c r="O19" s="1545">
        <v>1633.31</v>
      </c>
      <c r="P19" s="1545">
        <v>1594.84</v>
      </c>
      <c r="Q19" s="1545">
        <v>1684.73</v>
      </c>
      <c r="R19" s="1545">
        <v>1527.71</v>
      </c>
      <c r="S19" s="1545">
        <v>1605.84</v>
      </c>
      <c r="T19" s="1545">
        <v>1629.77</v>
      </c>
      <c r="U19" s="1545">
        <v>1491.33</v>
      </c>
      <c r="V19" s="1545">
        <v>1618.16</v>
      </c>
      <c r="X19" s="1546">
        <v>753.17</v>
      </c>
      <c r="Y19" s="1546">
        <v>778.67</v>
      </c>
      <c r="Z19" s="1546">
        <v>828.75</v>
      </c>
      <c r="AA19" s="1546">
        <v>786.97</v>
      </c>
      <c r="AB19" s="1546">
        <v>765.65</v>
      </c>
      <c r="AC19" s="1546">
        <v>768.19</v>
      </c>
      <c r="AD19" s="1546">
        <v>793.03</v>
      </c>
      <c r="AE19" s="1546">
        <v>746.1</v>
      </c>
      <c r="AF19" s="1546">
        <v>764.98</v>
      </c>
      <c r="AG19" s="1546">
        <v>775.3</v>
      </c>
      <c r="AH19" s="1546">
        <v>703.1</v>
      </c>
      <c r="AI19" s="1546">
        <v>754.04</v>
      </c>
      <c r="AK19" s="1547">
        <v>5660.11</v>
      </c>
      <c r="AL19" s="1547">
        <v>5772.11</v>
      </c>
      <c r="AM19" s="1547">
        <v>5106.93</v>
      </c>
      <c r="AN19" s="1547">
        <v>5057.3500000000004</v>
      </c>
      <c r="AO19" s="1547">
        <v>4794.16</v>
      </c>
      <c r="AP19" s="1547">
        <v>4814.92</v>
      </c>
      <c r="AQ19" s="1547">
        <v>4782.8500000000004</v>
      </c>
      <c r="AR19" s="1547">
        <v>4709.1000000000004</v>
      </c>
      <c r="AS19" s="1547">
        <v>4746.1499999999996</v>
      </c>
      <c r="AT19" s="1547">
        <v>4711.38</v>
      </c>
      <c r="AU19" s="1547">
        <v>4622.78</v>
      </c>
      <c r="AV19" s="1547">
        <v>4556.08</v>
      </c>
      <c r="AX19" s="1548">
        <v>8074.7199999999993</v>
      </c>
      <c r="AY19" s="1548">
        <v>8022.3899999999994</v>
      </c>
      <c r="AZ19" s="1548">
        <v>7584.81</v>
      </c>
      <c r="BA19" s="1548">
        <v>7417.9900000000007</v>
      </c>
      <c r="BB19" s="1548">
        <v>7193.12</v>
      </c>
      <c r="BC19" s="1548">
        <v>7177.95</v>
      </c>
      <c r="BD19" s="1548">
        <v>7260.6100000000006</v>
      </c>
      <c r="BE19" s="1548">
        <v>6982.91</v>
      </c>
      <c r="BF19" s="1548">
        <v>7116.9699999999993</v>
      </c>
      <c r="BG19" s="1548">
        <v>7116.45</v>
      </c>
      <c r="BH19" s="1548">
        <v>6817.2099999999991</v>
      </c>
      <c r="BI19" s="1548">
        <v>6928.28</v>
      </c>
    </row>
    <row r="20" spans="1:61" ht="12.75">
      <c r="A20" s="729" t="s">
        <v>1912</v>
      </c>
      <c r="B20" s="1214">
        <v>2055108.4799999997</v>
      </c>
      <c r="C20" s="1214"/>
      <c r="D20" s="1530" t="s">
        <v>1898</v>
      </c>
      <c r="E20" s="1530" t="s">
        <v>1899</v>
      </c>
      <c r="G20" s="1544">
        <f t="shared" si="0"/>
        <v>5.97154065677133E-3</v>
      </c>
      <c r="H20" s="1544">
        <v>7.2836881543419051E-4</v>
      </c>
      <c r="I20" s="1544">
        <v>2.9512585823003384E-4</v>
      </c>
      <c r="K20" s="1545">
        <v>1829.84</v>
      </c>
      <c r="L20" s="1545">
        <v>1620.77</v>
      </c>
      <c r="M20" s="1545">
        <v>1816.28</v>
      </c>
      <c r="N20" s="1545">
        <v>1733.17</v>
      </c>
      <c r="O20" s="1545">
        <v>1798.86</v>
      </c>
      <c r="P20" s="1545">
        <v>1756.48</v>
      </c>
      <c r="Q20" s="1545">
        <v>1855.49</v>
      </c>
      <c r="R20" s="1545">
        <v>1682.56</v>
      </c>
      <c r="S20" s="1545">
        <v>1768.6</v>
      </c>
      <c r="T20" s="1545">
        <v>1794.96</v>
      </c>
      <c r="U20" s="1545">
        <v>1642.49</v>
      </c>
      <c r="V20" s="1545">
        <v>1782.18</v>
      </c>
      <c r="X20" s="1546">
        <v>829.51</v>
      </c>
      <c r="Y20" s="1546">
        <v>857.6</v>
      </c>
      <c r="Z20" s="1546">
        <v>912.75</v>
      </c>
      <c r="AA20" s="1546">
        <v>866.74</v>
      </c>
      <c r="AB20" s="1546">
        <v>843.25</v>
      </c>
      <c r="AC20" s="1546">
        <v>846.05</v>
      </c>
      <c r="AD20" s="1546">
        <v>873.41</v>
      </c>
      <c r="AE20" s="1546">
        <v>821.72</v>
      </c>
      <c r="AF20" s="1546">
        <v>842.52</v>
      </c>
      <c r="AG20" s="1546">
        <v>853.88</v>
      </c>
      <c r="AH20" s="1546">
        <v>774.37</v>
      </c>
      <c r="AI20" s="1546">
        <v>830.47</v>
      </c>
      <c r="AK20" s="1547">
        <v>6233.8</v>
      </c>
      <c r="AL20" s="1547">
        <v>6357.16</v>
      </c>
      <c r="AM20" s="1547">
        <v>5624.55</v>
      </c>
      <c r="AN20" s="1547">
        <v>5569.94</v>
      </c>
      <c r="AO20" s="1547">
        <v>5280.08</v>
      </c>
      <c r="AP20" s="1547">
        <v>5302.94</v>
      </c>
      <c r="AQ20" s="1547">
        <v>5267.63</v>
      </c>
      <c r="AR20" s="1547">
        <v>5186.3999999999996</v>
      </c>
      <c r="AS20" s="1547">
        <v>5227.21</v>
      </c>
      <c r="AT20" s="1547">
        <v>5188.92</v>
      </c>
      <c r="AU20" s="1547">
        <v>5091.33</v>
      </c>
      <c r="AV20" s="1547">
        <v>5017.87</v>
      </c>
      <c r="AX20" s="1548">
        <v>8893.15</v>
      </c>
      <c r="AY20" s="1548">
        <v>8835.5299999999988</v>
      </c>
      <c r="AZ20" s="1548">
        <v>8353.58</v>
      </c>
      <c r="BA20" s="1548">
        <v>8169.8499999999995</v>
      </c>
      <c r="BB20" s="1548">
        <v>7922.19</v>
      </c>
      <c r="BC20" s="1548">
        <v>7905.4699999999993</v>
      </c>
      <c r="BD20" s="1548">
        <v>7996.5300000000007</v>
      </c>
      <c r="BE20" s="1548">
        <v>7690.6799999999994</v>
      </c>
      <c r="BF20" s="1548">
        <v>7838.33</v>
      </c>
      <c r="BG20" s="1548">
        <v>7837.76</v>
      </c>
      <c r="BH20" s="1548">
        <v>7508.1900000000005</v>
      </c>
      <c r="BI20" s="1548">
        <v>7630.52</v>
      </c>
    </row>
    <row r="21" spans="1:61" ht="12.75">
      <c r="A21" s="729" t="s">
        <v>1913</v>
      </c>
      <c r="B21" s="1214">
        <v>2238895.31</v>
      </c>
      <c r="C21" s="1214"/>
      <c r="D21" s="1530" t="s">
        <v>1898</v>
      </c>
      <c r="E21" s="1530" t="s">
        <v>1899</v>
      </c>
      <c r="G21" s="1544">
        <f t="shared" si="0"/>
        <v>6.5055711170631993E-3</v>
      </c>
      <c r="H21" s="1544">
        <v>7.9350629939781321E-4</v>
      </c>
      <c r="I21" s="1544">
        <v>3.2151874525423974E-4</v>
      </c>
      <c r="K21" s="1545">
        <v>1993.48</v>
      </c>
      <c r="L21" s="1545">
        <v>1765.71</v>
      </c>
      <c r="M21" s="1545">
        <v>1978.71</v>
      </c>
      <c r="N21" s="1545">
        <v>1888.17</v>
      </c>
      <c r="O21" s="1545">
        <v>1959.73</v>
      </c>
      <c r="P21" s="1545">
        <v>1913.56</v>
      </c>
      <c r="Q21" s="1545">
        <v>2021.43</v>
      </c>
      <c r="R21" s="1545">
        <v>1833.03</v>
      </c>
      <c r="S21" s="1545">
        <v>1926.77</v>
      </c>
      <c r="T21" s="1545">
        <v>1955.48</v>
      </c>
      <c r="U21" s="1545">
        <v>1789.37</v>
      </c>
      <c r="V21" s="1545">
        <v>1941.55</v>
      </c>
      <c r="X21" s="1546">
        <v>903.69</v>
      </c>
      <c r="Y21" s="1546">
        <v>934.29</v>
      </c>
      <c r="Z21" s="1546">
        <v>994.38</v>
      </c>
      <c r="AA21" s="1546">
        <v>944.25</v>
      </c>
      <c r="AB21" s="1546">
        <v>918.66</v>
      </c>
      <c r="AC21" s="1546">
        <v>921.71</v>
      </c>
      <c r="AD21" s="1546">
        <v>951.52</v>
      </c>
      <c r="AE21" s="1546">
        <v>895.21</v>
      </c>
      <c r="AF21" s="1546">
        <v>917.86</v>
      </c>
      <c r="AG21" s="1546">
        <v>930.24</v>
      </c>
      <c r="AH21" s="1546">
        <v>843.62</v>
      </c>
      <c r="AI21" s="1546">
        <v>904.74</v>
      </c>
      <c r="AK21" s="1547">
        <v>6791.28</v>
      </c>
      <c r="AL21" s="1547">
        <v>6925.67</v>
      </c>
      <c r="AM21" s="1547">
        <v>6127.55</v>
      </c>
      <c r="AN21" s="1547">
        <v>6068.06</v>
      </c>
      <c r="AO21" s="1547">
        <v>5752.27</v>
      </c>
      <c r="AP21" s="1547">
        <v>5777.18</v>
      </c>
      <c r="AQ21" s="1547">
        <v>5738.7</v>
      </c>
      <c r="AR21" s="1547">
        <v>5650.21</v>
      </c>
      <c r="AS21" s="1547">
        <v>5694.67</v>
      </c>
      <c r="AT21" s="1547">
        <v>5652.96</v>
      </c>
      <c r="AU21" s="1547">
        <v>5546.64</v>
      </c>
      <c r="AV21" s="1547">
        <v>5466.61</v>
      </c>
      <c r="AX21" s="1548">
        <v>9688.4500000000007</v>
      </c>
      <c r="AY21" s="1548">
        <v>9625.67</v>
      </c>
      <c r="AZ21" s="1548">
        <v>9100.64</v>
      </c>
      <c r="BA21" s="1548">
        <v>8900.48</v>
      </c>
      <c r="BB21" s="1548">
        <v>8630.66</v>
      </c>
      <c r="BC21" s="1548">
        <v>8612.4500000000007</v>
      </c>
      <c r="BD21" s="1548">
        <v>8711.65</v>
      </c>
      <c r="BE21" s="1548">
        <v>8378.4500000000007</v>
      </c>
      <c r="BF21" s="1548">
        <v>8539.2999999999993</v>
      </c>
      <c r="BG21" s="1548">
        <v>8538.68</v>
      </c>
      <c r="BH21" s="1548">
        <v>8179.63</v>
      </c>
      <c r="BI21" s="1548">
        <v>8312.9</v>
      </c>
    </row>
    <row r="22" spans="1:61" ht="12.75">
      <c r="A22" s="729" t="s">
        <v>1914</v>
      </c>
      <c r="B22" s="1214">
        <v>2635997.38</v>
      </c>
      <c r="C22" s="1214"/>
      <c r="D22" s="1530" t="s">
        <v>1898</v>
      </c>
      <c r="E22" s="1530" t="s">
        <v>1899</v>
      </c>
      <c r="G22" s="1544">
        <f t="shared" si="0"/>
        <v>7.6594329102338708E-3</v>
      </c>
      <c r="H22" s="1544">
        <v>9.3424668714238858E-4</v>
      </c>
      <c r="I22" s="1544">
        <v>3.7854497542855778E-4</v>
      </c>
      <c r="K22" s="1545">
        <v>2347.06</v>
      </c>
      <c r="L22" s="1545">
        <v>2078.89</v>
      </c>
      <c r="M22" s="1545">
        <v>2329.66</v>
      </c>
      <c r="N22" s="1545">
        <v>2223.06</v>
      </c>
      <c r="O22" s="1545">
        <v>2307.3200000000002</v>
      </c>
      <c r="P22" s="1545">
        <v>2252.96</v>
      </c>
      <c r="Q22" s="1545">
        <v>2379.96</v>
      </c>
      <c r="R22" s="1545">
        <v>2158.14</v>
      </c>
      <c r="S22" s="1545">
        <v>2268.5100000000002</v>
      </c>
      <c r="T22" s="1545">
        <v>2302.3200000000002</v>
      </c>
      <c r="U22" s="1545">
        <v>2106.75</v>
      </c>
      <c r="V22" s="1545">
        <v>2285.92</v>
      </c>
      <c r="X22" s="1546">
        <v>1063.97</v>
      </c>
      <c r="Y22" s="1546">
        <v>1100</v>
      </c>
      <c r="Z22" s="1546">
        <v>1170.74</v>
      </c>
      <c r="AA22" s="1546">
        <v>1111.73</v>
      </c>
      <c r="AB22" s="1546">
        <v>1081.5999999999999</v>
      </c>
      <c r="AC22" s="1546">
        <v>1085.2</v>
      </c>
      <c r="AD22" s="1546">
        <v>1120.29</v>
      </c>
      <c r="AE22" s="1546">
        <v>1053.99</v>
      </c>
      <c r="AF22" s="1546">
        <v>1080.6600000000001</v>
      </c>
      <c r="AG22" s="1546">
        <v>1095.24</v>
      </c>
      <c r="AH22" s="1546">
        <v>993.24</v>
      </c>
      <c r="AI22" s="1546">
        <v>1065.21</v>
      </c>
      <c r="AK22" s="1547">
        <v>7995.82</v>
      </c>
      <c r="AL22" s="1547">
        <v>8154.05</v>
      </c>
      <c r="AM22" s="1547">
        <v>7214.37</v>
      </c>
      <c r="AN22" s="1547">
        <v>7144.32</v>
      </c>
      <c r="AO22" s="1547">
        <v>6772.52</v>
      </c>
      <c r="AP22" s="1547">
        <v>6801.85</v>
      </c>
      <c r="AQ22" s="1547">
        <v>6756.55</v>
      </c>
      <c r="AR22" s="1547">
        <v>6652.37</v>
      </c>
      <c r="AS22" s="1547">
        <v>6704.71</v>
      </c>
      <c r="AT22" s="1547">
        <v>6655.59</v>
      </c>
      <c r="AU22" s="1547">
        <v>6530.42</v>
      </c>
      <c r="AV22" s="1547">
        <v>6436.2</v>
      </c>
      <c r="AX22" s="1548">
        <v>11406.849999999999</v>
      </c>
      <c r="AY22" s="1548">
        <v>11332.94</v>
      </c>
      <c r="AZ22" s="1548">
        <v>10714.77</v>
      </c>
      <c r="BA22" s="1548">
        <v>10479.11</v>
      </c>
      <c r="BB22" s="1548">
        <v>10161.44</v>
      </c>
      <c r="BC22" s="1548">
        <v>10140.01</v>
      </c>
      <c r="BD22" s="1548">
        <v>10256.799999999999</v>
      </c>
      <c r="BE22" s="1548">
        <v>9864.5</v>
      </c>
      <c r="BF22" s="1548">
        <v>10053.880000000001</v>
      </c>
      <c r="BG22" s="1548">
        <v>10053.150000000001</v>
      </c>
      <c r="BH22" s="1548">
        <v>9630.41</v>
      </c>
      <c r="BI22" s="1548">
        <v>9787.33</v>
      </c>
    </row>
    <row r="23" spans="1:61" ht="12.75">
      <c r="A23" s="729" t="s">
        <v>1915</v>
      </c>
      <c r="B23" s="1214">
        <v>2666484.92</v>
      </c>
      <c r="C23" s="1214"/>
      <c r="D23" s="1530" t="s">
        <v>1898</v>
      </c>
      <c r="E23" s="1530" t="s">
        <v>1899</v>
      </c>
      <c r="G23" s="1544">
        <f t="shared" si="0"/>
        <v>7.7480207324372719E-3</v>
      </c>
      <c r="H23" s="1544">
        <v>9.4505204053925776E-4</v>
      </c>
      <c r="I23" s="1544">
        <v>3.8292316835383952E-4</v>
      </c>
      <c r="K23" s="1545">
        <v>2374.1999999999998</v>
      </c>
      <c r="L23" s="1545">
        <v>2102.9299999999998</v>
      </c>
      <c r="M23" s="1545">
        <v>2356.61</v>
      </c>
      <c r="N23" s="1545">
        <v>2248.77</v>
      </c>
      <c r="O23" s="1545">
        <v>2334</v>
      </c>
      <c r="P23" s="1545">
        <v>2279.02</v>
      </c>
      <c r="Q23" s="1545">
        <v>2407.4899999999998</v>
      </c>
      <c r="R23" s="1545">
        <v>2183.11</v>
      </c>
      <c r="S23" s="1545">
        <v>2294.7399999999998</v>
      </c>
      <c r="T23" s="1545">
        <v>2328.9499999999998</v>
      </c>
      <c r="U23" s="1545">
        <v>2131.11</v>
      </c>
      <c r="V23" s="1545">
        <v>2312.36</v>
      </c>
      <c r="X23" s="1546">
        <v>1076.28</v>
      </c>
      <c r="Y23" s="1546">
        <v>1112.72</v>
      </c>
      <c r="Z23" s="1546">
        <v>1184.28</v>
      </c>
      <c r="AA23" s="1546">
        <v>1124.58</v>
      </c>
      <c r="AB23" s="1546">
        <v>1094.1099999999999</v>
      </c>
      <c r="AC23" s="1546">
        <v>1097.75</v>
      </c>
      <c r="AD23" s="1546">
        <v>1133.24</v>
      </c>
      <c r="AE23" s="1546">
        <v>1066.18</v>
      </c>
      <c r="AF23" s="1546">
        <v>1093.1600000000001</v>
      </c>
      <c r="AG23" s="1546">
        <v>1107.9000000000001</v>
      </c>
      <c r="AH23" s="1546">
        <v>1004.73</v>
      </c>
      <c r="AI23" s="1546">
        <v>1077.53</v>
      </c>
      <c r="AK23" s="1547">
        <v>8088.29</v>
      </c>
      <c r="AL23" s="1547">
        <v>8248.36</v>
      </c>
      <c r="AM23" s="1547">
        <v>7297.81</v>
      </c>
      <c r="AN23" s="1547">
        <v>7226.95</v>
      </c>
      <c r="AO23" s="1547">
        <v>6850.85</v>
      </c>
      <c r="AP23" s="1547">
        <v>6880.52</v>
      </c>
      <c r="AQ23" s="1547">
        <v>6834.7</v>
      </c>
      <c r="AR23" s="1547">
        <v>6729.31</v>
      </c>
      <c r="AS23" s="1547">
        <v>6782.25</v>
      </c>
      <c r="AT23" s="1547">
        <v>6732.57</v>
      </c>
      <c r="AU23" s="1547">
        <v>6605.95</v>
      </c>
      <c r="AV23" s="1547">
        <v>6510.64</v>
      </c>
      <c r="AX23" s="1548">
        <v>11538.77</v>
      </c>
      <c r="AY23" s="1548">
        <v>11464.01</v>
      </c>
      <c r="AZ23" s="1548">
        <v>10838.7</v>
      </c>
      <c r="BA23" s="1548">
        <v>10600.3</v>
      </c>
      <c r="BB23" s="1548">
        <v>10278.959999999999</v>
      </c>
      <c r="BC23" s="1548">
        <v>10257.290000000001</v>
      </c>
      <c r="BD23" s="1548">
        <v>10375.43</v>
      </c>
      <c r="BE23" s="1548">
        <v>9978.6</v>
      </c>
      <c r="BF23" s="1548">
        <v>10170.15</v>
      </c>
      <c r="BG23" s="1548">
        <v>10169.42</v>
      </c>
      <c r="BH23" s="1548">
        <v>9741.7900000000009</v>
      </c>
      <c r="BI23" s="1548">
        <v>9900.5300000000007</v>
      </c>
    </row>
    <row r="24" spans="1:61" ht="12.75">
      <c r="A24" s="729" t="s">
        <v>1916</v>
      </c>
      <c r="B24" s="1214">
        <v>3035540.58</v>
      </c>
      <c r="C24" s="1214"/>
      <c r="D24" s="1530" t="s">
        <v>1898</v>
      </c>
      <c r="E24" s="1530" t="s">
        <v>1899</v>
      </c>
      <c r="G24" s="1544">
        <f t="shared" si="0"/>
        <v>8.8203879090359393E-3</v>
      </c>
      <c r="H24" s="1544">
        <v>1.0758522569363422E-3</v>
      </c>
      <c r="I24" s="1544">
        <v>4.3592176645808735E-4</v>
      </c>
      <c r="K24" s="1545">
        <v>2702.81</v>
      </c>
      <c r="L24" s="1545">
        <v>2393.9899999999998</v>
      </c>
      <c r="M24" s="1545">
        <v>2682.78</v>
      </c>
      <c r="N24" s="1545">
        <v>2560.02</v>
      </c>
      <c r="O24" s="1545">
        <v>2657.04</v>
      </c>
      <c r="P24" s="1545">
        <v>2594.4499999999998</v>
      </c>
      <c r="Q24" s="1545">
        <v>2740.7</v>
      </c>
      <c r="R24" s="1545">
        <v>2485.2600000000002</v>
      </c>
      <c r="S24" s="1545">
        <v>2612.35</v>
      </c>
      <c r="T24" s="1545">
        <v>2651.28</v>
      </c>
      <c r="U24" s="1545">
        <v>2426.0700000000002</v>
      </c>
      <c r="V24" s="1545">
        <v>2632.4</v>
      </c>
      <c r="X24" s="1546">
        <v>1225.24</v>
      </c>
      <c r="Y24" s="1546">
        <v>1266.73</v>
      </c>
      <c r="Z24" s="1546">
        <v>1348.19</v>
      </c>
      <c r="AA24" s="1546">
        <v>1280.23</v>
      </c>
      <c r="AB24" s="1546">
        <v>1245.54</v>
      </c>
      <c r="AC24" s="1546">
        <v>1249.68</v>
      </c>
      <c r="AD24" s="1546">
        <v>1290.0899999999999</v>
      </c>
      <c r="AE24" s="1546">
        <v>1213.74</v>
      </c>
      <c r="AF24" s="1546">
        <v>1244.46</v>
      </c>
      <c r="AG24" s="1546">
        <v>1261.24</v>
      </c>
      <c r="AH24" s="1546">
        <v>1143.79</v>
      </c>
      <c r="AI24" s="1546">
        <v>1226.6600000000001</v>
      </c>
      <c r="AK24" s="1547">
        <v>9207.76</v>
      </c>
      <c r="AL24" s="1547">
        <v>9389.9699999999993</v>
      </c>
      <c r="AM24" s="1547">
        <v>8307.86</v>
      </c>
      <c r="AN24" s="1547">
        <v>8227.2000000000007</v>
      </c>
      <c r="AO24" s="1547">
        <v>7799.05</v>
      </c>
      <c r="AP24" s="1547">
        <v>7832.82</v>
      </c>
      <c r="AQ24" s="1547">
        <v>7780.65</v>
      </c>
      <c r="AR24" s="1547">
        <v>7660.68</v>
      </c>
      <c r="AS24" s="1547">
        <v>7720.95</v>
      </c>
      <c r="AT24" s="1547">
        <v>7664.39</v>
      </c>
      <c r="AU24" s="1547">
        <v>7520.25</v>
      </c>
      <c r="AV24" s="1547">
        <v>7411.75</v>
      </c>
      <c r="AX24" s="1548">
        <v>13135.810000000001</v>
      </c>
      <c r="AY24" s="1548">
        <v>13050.689999999999</v>
      </c>
      <c r="AZ24" s="1548">
        <v>12338.830000000002</v>
      </c>
      <c r="BA24" s="1548">
        <v>12067.45</v>
      </c>
      <c r="BB24" s="1548">
        <v>11701.630000000001</v>
      </c>
      <c r="BC24" s="1548">
        <v>11676.95</v>
      </c>
      <c r="BD24" s="1548">
        <v>11811.439999999999</v>
      </c>
      <c r="BE24" s="1548">
        <v>11359.68</v>
      </c>
      <c r="BF24" s="1548">
        <v>11577.76</v>
      </c>
      <c r="BG24" s="1548">
        <v>11576.91</v>
      </c>
      <c r="BH24" s="1548">
        <v>11090.11</v>
      </c>
      <c r="BI24" s="1548">
        <v>11270.810000000001</v>
      </c>
    </row>
    <row r="25" spans="1:61" ht="12.75">
      <c r="A25" s="729" t="s">
        <v>1917</v>
      </c>
      <c r="B25" s="1214">
        <v>3284285.88</v>
      </c>
      <c r="C25" s="1214"/>
      <c r="D25" s="1530" t="s">
        <v>1898</v>
      </c>
      <c r="E25" s="1530" t="s">
        <v>1899</v>
      </c>
      <c r="G25" s="1544">
        <f t="shared" si="0"/>
        <v>9.5431685732132298E-3</v>
      </c>
      <c r="H25" s="1544">
        <v>1.1640122354820111E-3</v>
      </c>
      <c r="I25" s="1544">
        <v>4.7164307793999376E-4</v>
      </c>
      <c r="K25" s="1545">
        <v>2924.29</v>
      </c>
      <c r="L25" s="1545">
        <v>2590.17</v>
      </c>
      <c r="M25" s="1545">
        <v>2902.61</v>
      </c>
      <c r="N25" s="1545">
        <v>2769.8</v>
      </c>
      <c r="O25" s="1545">
        <v>2874.77</v>
      </c>
      <c r="P25" s="1545">
        <v>2807.05</v>
      </c>
      <c r="Q25" s="1545">
        <v>2965.28</v>
      </c>
      <c r="R25" s="1545">
        <v>2688.91</v>
      </c>
      <c r="S25" s="1545">
        <v>2826.42</v>
      </c>
      <c r="T25" s="1545">
        <v>2868.54</v>
      </c>
      <c r="U25" s="1545">
        <v>2624.87</v>
      </c>
      <c r="V25" s="1545">
        <v>2848.11</v>
      </c>
      <c r="X25" s="1546">
        <v>1325.64</v>
      </c>
      <c r="Y25" s="1546">
        <v>1370.53</v>
      </c>
      <c r="Z25" s="1546">
        <v>1458.67</v>
      </c>
      <c r="AA25" s="1546">
        <v>1385.14</v>
      </c>
      <c r="AB25" s="1546">
        <v>1347.6</v>
      </c>
      <c r="AC25" s="1546">
        <v>1352.08</v>
      </c>
      <c r="AD25" s="1546">
        <v>1395.81</v>
      </c>
      <c r="AE25" s="1546">
        <v>1313.2</v>
      </c>
      <c r="AF25" s="1546">
        <v>1346.43</v>
      </c>
      <c r="AG25" s="1546">
        <v>1364.6</v>
      </c>
      <c r="AH25" s="1546">
        <v>1237.52</v>
      </c>
      <c r="AI25" s="1546">
        <v>1327.18</v>
      </c>
      <c r="AK25" s="1547">
        <v>9962.2800000000007</v>
      </c>
      <c r="AL25" s="1547">
        <v>10159.43</v>
      </c>
      <c r="AM25" s="1547">
        <v>8988.65</v>
      </c>
      <c r="AN25" s="1547">
        <v>8901.3700000000008</v>
      </c>
      <c r="AO25" s="1547">
        <v>8438.14</v>
      </c>
      <c r="AP25" s="1547">
        <v>8474.67</v>
      </c>
      <c r="AQ25" s="1547">
        <v>8418.24</v>
      </c>
      <c r="AR25" s="1547">
        <v>8288.43</v>
      </c>
      <c r="AS25" s="1547">
        <v>8353.64</v>
      </c>
      <c r="AT25" s="1547">
        <v>8292.4500000000007</v>
      </c>
      <c r="AU25" s="1547">
        <v>8136.49</v>
      </c>
      <c r="AV25" s="1547">
        <v>8019.1</v>
      </c>
      <c r="AX25" s="1548">
        <v>14212.210000000001</v>
      </c>
      <c r="AY25" s="1548">
        <v>14120.130000000001</v>
      </c>
      <c r="AZ25" s="1548">
        <v>13349.93</v>
      </c>
      <c r="BA25" s="1548">
        <v>13056.310000000001</v>
      </c>
      <c r="BB25" s="1548">
        <v>12660.509999999998</v>
      </c>
      <c r="BC25" s="1548">
        <v>12633.8</v>
      </c>
      <c r="BD25" s="1548">
        <v>12779.33</v>
      </c>
      <c r="BE25" s="1548">
        <v>12290.54</v>
      </c>
      <c r="BF25" s="1548">
        <v>12526.49</v>
      </c>
      <c r="BG25" s="1548">
        <v>12525.59</v>
      </c>
      <c r="BH25" s="1548">
        <v>11998.88</v>
      </c>
      <c r="BI25" s="1548">
        <v>12194.39</v>
      </c>
    </row>
    <row r="26" spans="1:61" ht="12.75">
      <c r="A26" s="729" t="s">
        <v>1918</v>
      </c>
      <c r="B26" s="1214">
        <v>4273385.9400000004</v>
      </c>
      <c r="C26" s="1214"/>
      <c r="D26" s="1530" t="s">
        <v>1898</v>
      </c>
      <c r="E26" s="1530" t="s">
        <v>1899</v>
      </c>
      <c r="G26" s="1544">
        <f t="shared" si="0"/>
        <v>1.2417202367237069E-2</v>
      </c>
      <c r="H26" s="1544">
        <v>1.5145677638442351E-3</v>
      </c>
      <c r="I26" s="1544">
        <v>6.1368375702029136E-4</v>
      </c>
      <c r="K26" s="1545">
        <v>3804.97</v>
      </c>
      <c r="L26" s="1545">
        <v>3370.22</v>
      </c>
      <c r="M26" s="1545">
        <v>3776.77</v>
      </c>
      <c r="N26" s="1545">
        <v>3603.95</v>
      </c>
      <c r="O26" s="1545">
        <v>3740.54</v>
      </c>
      <c r="P26" s="1545">
        <v>3652.43</v>
      </c>
      <c r="Q26" s="1545">
        <v>3858.31</v>
      </c>
      <c r="R26" s="1545">
        <v>3498.71</v>
      </c>
      <c r="S26" s="1545">
        <v>3677.62</v>
      </c>
      <c r="T26" s="1545">
        <v>3732.44</v>
      </c>
      <c r="U26" s="1545">
        <v>3415.38</v>
      </c>
      <c r="V26" s="1545">
        <v>3705.85</v>
      </c>
      <c r="X26" s="1546">
        <v>1724.87</v>
      </c>
      <c r="Y26" s="1546">
        <v>1783.28</v>
      </c>
      <c r="Z26" s="1546">
        <v>1897.97</v>
      </c>
      <c r="AA26" s="1546">
        <v>1802.29</v>
      </c>
      <c r="AB26" s="1546">
        <v>1753.45</v>
      </c>
      <c r="AC26" s="1546">
        <v>1759.28</v>
      </c>
      <c r="AD26" s="1546">
        <v>1816.17</v>
      </c>
      <c r="AE26" s="1546">
        <v>1708.68</v>
      </c>
      <c r="AF26" s="1546">
        <v>1751.93</v>
      </c>
      <c r="AG26" s="1546">
        <v>1775.56</v>
      </c>
      <c r="AH26" s="1546">
        <v>1610.21</v>
      </c>
      <c r="AI26" s="1546">
        <v>1726.88</v>
      </c>
      <c r="AK26" s="1547">
        <v>12962.54</v>
      </c>
      <c r="AL26" s="1547">
        <v>13219.06</v>
      </c>
      <c r="AM26" s="1547">
        <v>11695.68</v>
      </c>
      <c r="AN26" s="1547">
        <v>11582.12</v>
      </c>
      <c r="AO26" s="1547">
        <v>10979.38</v>
      </c>
      <c r="AP26" s="1547">
        <v>11026.92</v>
      </c>
      <c r="AQ26" s="1547">
        <v>10953.48</v>
      </c>
      <c r="AR26" s="1547">
        <v>10784.58</v>
      </c>
      <c r="AS26" s="1547">
        <v>10869.43</v>
      </c>
      <c r="AT26" s="1547">
        <v>10789.81</v>
      </c>
      <c r="AU26" s="1547">
        <v>10586.89</v>
      </c>
      <c r="AV26" s="1547">
        <v>10434.14</v>
      </c>
      <c r="AX26" s="1548">
        <v>18492.38</v>
      </c>
      <c r="AY26" s="1548">
        <v>18372.559999999998</v>
      </c>
      <c r="AZ26" s="1548">
        <v>17370.419999999998</v>
      </c>
      <c r="BA26" s="1548">
        <v>16988.36</v>
      </c>
      <c r="BB26" s="1548">
        <v>16473.37</v>
      </c>
      <c r="BC26" s="1548">
        <v>16438.63</v>
      </c>
      <c r="BD26" s="1548">
        <v>16627.96</v>
      </c>
      <c r="BE26" s="1548">
        <v>15991.970000000001</v>
      </c>
      <c r="BF26" s="1548">
        <v>16298.98</v>
      </c>
      <c r="BG26" s="1548">
        <v>16297.81</v>
      </c>
      <c r="BH26" s="1548">
        <v>15612.48</v>
      </c>
      <c r="BI26" s="1548">
        <v>15866.869999999999</v>
      </c>
    </row>
    <row r="27" spans="1:61" ht="12.75">
      <c r="A27" s="729" t="s">
        <v>1919</v>
      </c>
      <c r="B27" s="1214">
        <v>4344866.6099999994</v>
      </c>
      <c r="C27" s="1214"/>
      <c r="D27" s="1530" t="s">
        <v>1898</v>
      </c>
      <c r="E27" s="1530" t="s">
        <v>1899</v>
      </c>
      <c r="G27" s="1544">
        <f t="shared" si="0"/>
        <v>1.2624904165576321E-2</v>
      </c>
      <c r="H27" s="1544">
        <v>1.5399018478797124E-3</v>
      </c>
      <c r="I27" s="1544">
        <v>6.2394880837203677E-4</v>
      </c>
      <c r="K27" s="1545">
        <v>3868.61</v>
      </c>
      <c r="L27" s="1545">
        <v>3426.6</v>
      </c>
      <c r="M27" s="1545">
        <v>3839.94</v>
      </c>
      <c r="N27" s="1545">
        <v>3664.23</v>
      </c>
      <c r="O27" s="1545">
        <v>3803.11</v>
      </c>
      <c r="P27" s="1545">
        <v>3713.52</v>
      </c>
      <c r="Q27" s="1545">
        <v>3922.85</v>
      </c>
      <c r="R27" s="1545">
        <v>3557.23</v>
      </c>
      <c r="S27" s="1545">
        <v>3739.14</v>
      </c>
      <c r="T27" s="1545">
        <v>3794.87</v>
      </c>
      <c r="U27" s="1545">
        <v>3472.51</v>
      </c>
      <c r="V27" s="1545">
        <v>3767.84</v>
      </c>
      <c r="X27" s="1546">
        <v>1753.72</v>
      </c>
      <c r="Y27" s="1546">
        <v>1813.11</v>
      </c>
      <c r="Z27" s="1546">
        <v>1929.71</v>
      </c>
      <c r="AA27" s="1546">
        <v>1832.44</v>
      </c>
      <c r="AB27" s="1546">
        <v>1782.78</v>
      </c>
      <c r="AC27" s="1546">
        <v>1788.71</v>
      </c>
      <c r="AD27" s="1546">
        <v>1846.55</v>
      </c>
      <c r="AE27" s="1546">
        <v>1737.26</v>
      </c>
      <c r="AF27" s="1546">
        <v>1781.23</v>
      </c>
      <c r="AG27" s="1546">
        <v>1805.26</v>
      </c>
      <c r="AH27" s="1546">
        <v>1637.15</v>
      </c>
      <c r="AI27" s="1546">
        <v>1755.76</v>
      </c>
      <c r="AK27" s="1547">
        <v>13179.36</v>
      </c>
      <c r="AL27" s="1547">
        <v>13440.17</v>
      </c>
      <c r="AM27" s="1547">
        <v>11891.31</v>
      </c>
      <c r="AN27" s="1547">
        <v>11775.86</v>
      </c>
      <c r="AO27" s="1547">
        <v>11163.03</v>
      </c>
      <c r="AP27" s="1547">
        <v>11211.37</v>
      </c>
      <c r="AQ27" s="1547">
        <v>11136.7</v>
      </c>
      <c r="AR27" s="1547">
        <v>10964.97</v>
      </c>
      <c r="AS27" s="1547">
        <v>11051.25</v>
      </c>
      <c r="AT27" s="1547">
        <v>10970.29</v>
      </c>
      <c r="AU27" s="1547">
        <v>10763.98</v>
      </c>
      <c r="AV27" s="1547">
        <v>10608.67</v>
      </c>
      <c r="AX27" s="1548">
        <v>18801.690000000002</v>
      </c>
      <c r="AY27" s="1548">
        <v>18679.88</v>
      </c>
      <c r="AZ27" s="1548">
        <v>17660.96</v>
      </c>
      <c r="BA27" s="1548">
        <v>17272.53</v>
      </c>
      <c r="BB27" s="1548">
        <v>16748.920000000002</v>
      </c>
      <c r="BC27" s="1548">
        <v>16713.599999999999</v>
      </c>
      <c r="BD27" s="1548">
        <v>16906.099999999999</v>
      </c>
      <c r="BE27" s="1548">
        <v>16259.46</v>
      </c>
      <c r="BF27" s="1548">
        <v>16571.62</v>
      </c>
      <c r="BG27" s="1548">
        <v>16570.420000000002</v>
      </c>
      <c r="BH27" s="1548">
        <v>15873.64</v>
      </c>
      <c r="BI27" s="1548">
        <v>16132.27</v>
      </c>
    </row>
    <row r="28" spans="1:61" ht="12.75">
      <c r="A28" s="729" t="s">
        <v>1920</v>
      </c>
      <c r="B28" s="1214">
        <v>4449031.1399999997</v>
      </c>
      <c r="C28" s="1214"/>
      <c r="D28" s="1530" t="s">
        <v>1898</v>
      </c>
      <c r="E28" s="1530" t="s">
        <v>1899</v>
      </c>
      <c r="G28" s="1544">
        <f t="shared" si="0"/>
        <v>1.2927575645910284E-2</v>
      </c>
      <c r="H28" s="1544">
        <v>1.5768197021266859E-3</v>
      </c>
      <c r="I28" s="1544">
        <v>6.3890745732538945E-4</v>
      </c>
      <c r="K28" s="1545">
        <v>3961.36</v>
      </c>
      <c r="L28" s="1545">
        <v>3508.75</v>
      </c>
      <c r="M28" s="1545">
        <v>3932</v>
      </c>
      <c r="N28" s="1545">
        <v>3752.08</v>
      </c>
      <c r="O28" s="1545">
        <v>3894.29</v>
      </c>
      <c r="P28" s="1545">
        <v>3802.55</v>
      </c>
      <c r="Q28" s="1545">
        <v>4016.89</v>
      </c>
      <c r="R28" s="1545">
        <v>3642.51</v>
      </c>
      <c r="S28" s="1545">
        <v>3828.78</v>
      </c>
      <c r="T28" s="1545">
        <v>3885.85</v>
      </c>
      <c r="U28" s="1545">
        <v>3555.76</v>
      </c>
      <c r="V28" s="1545">
        <v>3858.17</v>
      </c>
      <c r="X28" s="1546">
        <v>1795.77</v>
      </c>
      <c r="Y28" s="1546">
        <v>1856.58</v>
      </c>
      <c r="Z28" s="1546">
        <v>1975.98</v>
      </c>
      <c r="AA28" s="1546">
        <v>1876.37</v>
      </c>
      <c r="AB28" s="1546">
        <v>1825.52</v>
      </c>
      <c r="AC28" s="1546">
        <v>1831.59</v>
      </c>
      <c r="AD28" s="1546">
        <v>1890.82</v>
      </c>
      <c r="AE28" s="1546">
        <v>1778.91</v>
      </c>
      <c r="AF28" s="1546">
        <v>1823.94</v>
      </c>
      <c r="AG28" s="1546">
        <v>1848.54</v>
      </c>
      <c r="AH28" s="1546">
        <v>1676.4</v>
      </c>
      <c r="AI28" s="1546">
        <v>1797.85</v>
      </c>
      <c r="AK28" s="1547">
        <v>13495.32</v>
      </c>
      <c r="AL28" s="1547">
        <v>13762.39</v>
      </c>
      <c r="AM28" s="1547">
        <v>12176.4</v>
      </c>
      <c r="AN28" s="1547">
        <v>12058.17</v>
      </c>
      <c r="AO28" s="1547">
        <v>11430.65</v>
      </c>
      <c r="AP28" s="1547">
        <v>11480.15</v>
      </c>
      <c r="AQ28" s="1547">
        <v>11403.69</v>
      </c>
      <c r="AR28" s="1547">
        <v>11227.85</v>
      </c>
      <c r="AS28" s="1547">
        <v>11316.19</v>
      </c>
      <c r="AT28" s="1547">
        <v>11233.3</v>
      </c>
      <c r="AU28" s="1547">
        <v>11022.04</v>
      </c>
      <c r="AV28" s="1547">
        <v>10863.01</v>
      </c>
      <c r="AX28" s="1548">
        <v>19252.45</v>
      </c>
      <c r="AY28" s="1548">
        <v>19127.72</v>
      </c>
      <c r="AZ28" s="1548">
        <v>18084.379999999997</v>
      </c>
      <c r="BA28" s="1548">
        <v>17686.62</v>
      </c>
      <c r="BB28" s="1548">
        <v>17150.46</v>
      </c>
      <c r="BC28" s="1548">
        <v>17114.29</v>
      </c>
      <c r="BD28" s="1548">
        <v>17311.400000000001</v>
      </c>
      <c r="BE28" s="1548">
        <v>16649.27</v>
      </c>
      <c r="BF28" s="1548">
        <v>16968.91</v>
      </c>
      <c r="BG28" s="1548">
        <v>16967.689999999999</v>
      </c>
      <c r="BH28" s="1548">
        <v>16254.2</v>
      </c>
      <c r="BI28" s="1548">
        <v>16519.03</v>
      </c>
    </row>
    <row r="29" spans="1:61" ht="12.75">
      <c r="A29" s="729" t="s">
        <v>1921</v>
      </c>
      <c r="B29" s="1214">
        <v>5723229.4400000004</v>
      </c>
      <c r="C29" s="1214"/>
      <c r="D29" s="1530" t="s">
        <v>1898</v>
      </c>
      <c r="E29" s="1530" t="s">
        <v>1899</v>
      </c>
      <c r="G29" s="1544">
        <f t="shared" si="0"/>
        <v>1.6630021053190641E-2</v>
      </c>
      <c r="H29" s="1544">
        <v>2.0284193697020247E-3</v>
      </c>
      <c r="I29" s="1544">
        <v>8.2188994730214744E-4</v>
      </c>
      <c r="K29" s="1545">
        <v>5095.8900000000003</v>
      </c>
      <c r="L29" s="1545">
        <v>4513.6499999999996</v>
      </c>
      <c r="M29" s="1545">
        <v>5058.13</v>
      </c>
      <c r="N29" s="1545">
        <v>4826.67</v>
      </c>
      <c r="O29" s="1545">
        <v>5009.6000000000004</v>
      </c>
      <c r="P29" s="1545">
        <v>4891.59</v>
      </c>
      <c r="Q29" s="1545">
        <v>5167.33</v>
      </c>
      <c r="R29" s="1545">
        <v>4685.72</v>
      </c>
      <c r="S29" s="1545">
        <v>4925.34</v>
      </c>
      <c r="T29" s="1545">
        <v>4998.75</v>
      </c>
      <c r="U29" s="1545">
        <v>4574.13</v>
      </c>
      <c r="V29" s="1545">
        <v>4963.1400000000003</v>
      </c>
      <c r="X29" s="1546">
        <v>2310.0700000000002</v>
      </c>
      <c r="Y29" s="1546">
        <v>2388.3000000000002</v>
      </c>
      <c r="Z29" s="1546">
        <v>2541.9</v>
      </c>
      <c r="AA29" s="1546">
        <v>2413.7600000000002</v>
      </c>
      <c r="AB29" s="1546">
        <v>2348.35</v>
      </c>
      <c r="AC29" s="1546">
        <v>2356.16</v>
      </c>
      <c r="AD29" s="1546">
        <v>2432.35</v>
      </c>
      <c r="AE29" s="1546">
        <v>2288.39</v>
      </c>
      <c r="AF29" s="1546">
        <v>2346.31</v>
      </c>
      <c r="AG29" s="1546">
        <v>2377.96</v>
      </c>
      <c r="AH29" s="1546">
        <v>2156.5100000000002</v>
      </c>
      <c r="AI29" s="1546">
        <v>2312.7600000000002</v>
      </c>
      <c r="AK29" s="1547">
        <v>17360.37</v>
      </c>
      <c r="AL29" s="1547">
        <v>17703.919999999998</v>
      </c>
      <c r="AM29" s="1547">
        <v>15663.71</v>
      </c>
      <c r="AN29" s="1547">
        <v>15511.62</v>
      </c>
      <c r="AO29" s="1547">
        <v>14704.38</v>
      </c>
      <c r="AP29" s="1547">
        <v>14768.05</v>
      </c>
      <c r="AQ29" s="1547">
        <v>14669.7</v>
      </c>
      <c r="AR29" s="1547">
        <v>14443.5</v>
      </c>
      <c r="AS29" s="1547">
        <v>14557.14</v>
      </c>
      <c r="AT29" s="1547">
        <v>14450.5</v>
      </c>
      <c r="AU29" s="1547">
        <v>14178.74</v>
      </c>
      <c r="AV29" s="1547">
        <v>13974.16</v>
      </c>
      <c r="AX29" s="1548">
        <v>24766.33</v>
      </c>
      <c r="AY29" s="1548">
        <v>24605.87</v>
      </c>
      <c r="AZ29" s="1548">
        <v>23263.739999999998</v>
      </c>
      <c r="BA29" s="1548">
        <v>22752.050000000003</v>
      </c>
      <c r="BB29" s="1548">
        <v>22062.33</v>
      </c>
      <c r="BC29" s="1548">
        <v>22015.8</v>
      </c>
      <c r="BD29" s="1548">
        <v>22269.38</v>
      </c>
      <c r="BE29" s="1548">
        <v>21417.61</v>
      </c>
      <c r="BF29" s="1548">
        <v>21828.79</v>
      </c>
      <c r="BG29" s="1548">
        <v>21827.21</v>
      </c>
      <c r="BH29" s="1548">
        <v>20909.38</v>
      </c>
      <c r="BI29" s="1548">
        <v>21250.06</v>
      </c>
    </row>
    <row r="30" spans="1:61" ht="12.75">
      <c r="A30" s="729" t="s">
        <v>1922</v>
      </c>
      <c r="B30" s="1214">
        <v>6468757.8600000013</v>
      </c>
      <c r="C30" s="1214"/>
      <c r="D30" s="1530" t="s">
        <v>1898</v>
      </c>
      <c r="E30" s="1530" t="s">
        <v>1899</v>
      </c>
      <c r="G30" s="1544">
        <f t="shared" si="0"/>
        <v>1.8796307316973904E-2</v>
      </c>
      <c r="H30" s="1544">
        <v>2.292648561217951E-3</v>
      </c>
      <c r="I30" s="1544">
        <v>9.2895228339225078E-4</v>
      </c>
      <c r="K30" s="1545">
        <v>5759.7</v>
      </c>
      <c r="L30" s="1545">
        <v>5101.6099999999997</v>
      </c>
      <c r="M30" s="1545">
        <v>5717.02</v>
      </c>
      <c r="N30" s="1545">
        <v>5455.41</v>
      </c>
      <c r="O30" s="1545">
        <v>5662.17</v>
      </c>
      <c r="P30" s="1545">
        <v>5528.79</v>
      </c>
      <c r="Q30" s="1545">
        <v>5840.44</v>
      </c>
      <c r="R30" s="1545">
        <v>5296.1</v>
      </c>
      <c r="S30" s="1545">
        <v>5566.93</v>
      </c>
      <c r="T30" s="1545">
        <v>5649.9</v>
      </c>
      <c r="U30" s="1545">
        <v>5169.97</v>
      </c>
      <c r="V30" s="1545">
        <v>5609.66</v>
      </c>
      <c r="X30" s="1546">
        <v>2610.9899999999998</v>
      </c>
      <c r="Y30" s="1546">
        <v>2699.41</v>
      </c>
      <c r="Z30" s="1546">
        <v>2873.01</v>
      </c>
      <c r="AA30" s="1546">
        <v>2728.18</v>
      </c>
      <c r="AB30" s="1546">
        <v>2654.25</v>
      </c>
      <c r="AC30" s="1546">
        <v>2663.08</v>
      </c>
      <c r="AD30" s="1546">
        <v>2749.19</v>
      </c>
      <c r="AE30" s="1546">
        <v>2586.4899999999998</v>
      </c>
      <c r="AF30" s="1546">
        <v>2651.95</v>
      </c>
      <c r="AG30" s="1546">
        <v>2687.72</v>
      </c>
      <c r="AH30" s="1546">
        <v>2437.4299999999998</v>
      </c>
      <c r="AI30" s="1546">
        <v>2614.0300000000002</v>
      </c>
      <c r="AK30" s="1547">
        <v>19621.79</v>
      </c>
      <c r="AL30" s="1547">
        <v>20010.099999999999</v>
      </c>
      <c r="AM30" s="1547">
        <v>17704.12</v>
      </c>
      <c r="AN30" s="1547">
        <v>17532.22</v>
      </c>
      <c r="AO30" s="1547">
        <v>16619.82</v>
      </c>
      <c r="AP30" s="1547">
        <v>16691.79</v>
      </c>
      <c r="AQ30" s="1547">
        <v>16580.63</v>
      </c>
      <c r="AR30" s="1547">
        <v>16324.96</v>
      </c>
      <c r="AS30" s="1547">
        <v>16453.400000000001</v>
      </c>
      <c r="AT30" s="1547">
        <v>16332.88</v>
      </c>
      <c r="AU30" s="1547">
        <v>16025.71</v>
      </c>
      <c r="AV30" s="1547">
        <v>15794.49</v>
      </c>
      <c r="AX30" s="1548">
        <v>27992.48</v>
      </c>
      <c r="AY30" s="1548">
        <v>27811.119999999999</v>
      </c>
      <c r="AZ30" s="1548">
        <v>26294.15</v>
      </c>
      <c r="BA30" s="1548">
        <v>25715.81</v>
      </c>
      <c r="BB30" s="1548">
        <v>24936.239999999998</v>
      </c>
      <c r="BC30" s="1548">
        <v>24883.66</v>
      </c>
      <c r="BD30" s="1548">
        <v>25170.260000000002</v>
      </c>
      <c r="BE30" s="1548">
        <v>24207.55</v>
      </c>
      <c r="BF30" s="1548">
        <v>24672.280000000002</v>
      </c>
      <c r="BG30" s="1548">
        <v>24670.5</v>
      </c>
      <c r="BH30" s="1548">
        <v>23633.11</v>
      </c>
      <c r="BI30" s="1548">
        <v>24018.18</v>
      </c>
    </row>
    <row r="31" spans="1:61" ht="12.75">
      <c r="A31" s="729" t="s">
        <v>1923</v>
      </c>
      <c r="B31" s="1214">
        <v>6683011.1500000013</v>
      </c>
      <c r="C31" s="1214"/>
      <c r="D31" s="1530" t="s">
        <v>1898</v>
      </c>
      <c r="E31" s="1530" t="s">
        <v>1899</v>
      </c>
      <c r="G31" s="1544">
        <f t="shared" si="0"/>
        <v>1.9418864347190635E-2</v>
      </c>
      <c r="H31" s="1544">
        <v>2.3685839274328662E-3</v>
      </c>
      <c r="I31" s="1544">
        <v>9.5972033612777281E-4</v>
      </c>
      <c r="K31" s="1545">
        <v>5950.47</v>
      </c>
      <c r="L31" s="1545">
        <v>5270.58</v>
      </c>
      <c r="M31" s="1545">
        <v>5906.37</v>
      </c>
      <c r="N31" s="1545">
        <v>5636.1</v>
      </c>
      <c r="O31" s="1545">
        <v>5849.71</v>
      </c>
      <c r="P31" s="1545">
        <v>5711.91</v>
      </c>
      <c r="Q31" s="1545">
        <v>6033.89</v>
      </c>
      <c r="R31" s="1545">
        <v>5471.52</v>
      </c>
      <c r="S31" s="1545">
        <v>5751.32</v>
      </c>
      <c r="T31" s="1545">
        <v>5837.04</v>
      </c>
      <c r="U31" s="1545">
        <v>5341.21</v>
      </c>
      <c r="V31" s="1545">
        <v>5795.46</v>
      </c>
      <c r="X31" s="1546">
        <v>2697.47</v>
      </c>
      <c r="Y31" s="1546">
        <v>2788.82</v>
      </c>
      <c r="Z31" s="1546">
        <v>2968.17</v>
      </c>
      <c r="AA31" s="1546">
        <v>2818.54</v>
      </c>
      <c r="AB31" s="1546">
        <v>2742.17</v>
      </c>
      <c r="AC31" s="1546">
        <v>2751.28</v>
      </c>
      <c r="AD31" s="1546">
        <v>2840.25</v>
      </c>
      <c r="AE31" s="1546">
        <v>2672.16</v>
      </c>
      <c r="AF31" s="1546">
        <v>2739.78</v>
      </c>
      <c r="AG31" s="1546">
        <v>2776.74</v>
      </c>
      <c r="AH31" s="1546">
        <v>2518.16</v>
      </c>
      <c r="AI31" s="1546">
        <v>2700.6</v>
      </c>
      <c r="AK31" s="1547">
        <v>20271.689999999999</v>
      </c>
      <c r="AL31" s="1547">
        <v>20672.86</v>
      </c>
      <c r="AM31" s="1547">
        <v>18290.5</v>
      </c>
      <c r="AN31" s="1547">
        <v>18112.91</v>
      </c>
      <c r="AO31" s="1547">
        <v>17170.29</v>
      </c>
      <c r="AP31" s="1547">
        <v>17244.650000000001</v>
      </c>
      <c r="AQ31" s="1547">
        <v>17129.8</v>
      </c>
      <c r="AR31" s="1547">
        <v>16865.66</v>
      </c>
      <c r="AS31" s="1547">
        <v>16998.36</v>
      </c>
      <c r="AT31" s="1547">
        <v>16873.84</v>
      </c>
      <c r="AU31" s="1547">
        <v>16556.5</v>
      </c>
      <c r="AV31" s="1547">
        <v>16317.62</v>
      </c>
      <c r="AX31" s="1548">
        <v>28919.629999999997</v>
      </c>
      <c r="AY31" s="1548">
        <v>28732.260000000002</v>
      </c>
      <c r="AZ31" s="1548">
        <v>27165.040000000001</v>
      </c>
      <c r="BA31" s="1548">
        <v>26567.55</v>
      </c>
      <c r="BB31" s="1548">
        <v>25762.170000000002</v>
      </c>
      <c r="BC31" s="1548">
        <v>25707.840000000004</v>
      </c>
      <c r="BD31" s="1548">
        <v>26003.94</v>
      </c>
      <c r="BE31" s="1548">
        <v>25009.34</v>
      </c>
      <c r="BF31" s="1548">
        <v>25489.46</v>
      </c>
      <c r="BG31" s="1548">
        <v>25487.62</v>
      </c>
      <c r="BH31" s="1548">
        <v>24415.87</v>
      </c>
      <c r="BI31" s="1548">
        <v>24813.68</v>
      </c>
    </row>
    <row r="32" spans="1:61" ht="12.75">
      <c r="A32" s="729" t="s">
        <v>1924</v>
      </c>
      <c r="B32" s="1214">
        <v>6788395.1500000013</v>
      </c>
      <c r="C32" s="1214"/>
      <c r="D32" s="1530" t="s">
        <v>1898</v>
      </c>
      <c r="E32" s="1530" t="s">
        <v>1899</v>
      </c>
      <c r="G32" s="1544">
        <f t="shared" si="0"/>
        <v>1.9725079248592427E-2</v>
      </c>
      <c r="H32" s="1544">
        <v>2.4059339846160847E-3</v>
      </c>
      <c r="I32" s="1544">
        <v>9.7485410826018786E-4</v>
      </c>
      <c r="K32" s="1545">
        <v>6044.3</v>
      </c>
      <c r="L32" s="1545">
        <v>5353.7</v>
      </c>
      <c r="M32" s="1545">
        <v>5999.51</v>
      </c>
      <c r="N32" s="1545">
        <v>5724.98</v>
      </c>
      <c r="O32" s="1545">
        <v>5941.96</v>
      </c>
      <c r="P32" s="1545">
        <v>5801.98</v>
      </c>
      <c r="Q32" s="1545">
        <v>6129.03</v>
      </c>
      <c r="R32" s="1545">
        <v>5557.8</v>
      </c>
      <c r="S32" s="1545">
        <v>5842.01</v>
      </c>
      <c r="T32" s="1545">
        <v>5929.08</v>
      </c>
      <c r="U32" s="1545">
        <v>5425.43</v>
      </c>
      <c r="V32" s="1545">
        <v>5886.85</v>
      </c>
      <c r="X32" s="1546">
        <v>2740.01</v>
      </c>
      <c r="Y32" s="1546">
        <v>2832.79</v>
      </c>
      <c r="Z32" s="1546">
        <v>3014.98</v>
      </c>
      <c r="AA32" s="1546">
        <v>2862.99</v>
      </c>
      <c r="AB32" s="1546">
        <v>2785.41</v>
      </c>
      <c r="AC32" s="1546">
        <v>2794.67</v>
      </c>
      <c r="AD32" s="1546">
        <v>2885.04</v>
      </c>
      <c r="AE32" s="1546">
        <v>2714.29</v>
      </c>
      <c r="AF32" s="1546">
        <v>2782.99</v>
      </c>
      <c r="AG32" s="1546">
        <v>2820.53</v>
      </c>
      <c r="AH32" s="1546">
        <v>2557.87</v>
      </c>
      <c r="AI32" s="1546">
        <v>2743.19</v>
      </c>
      <c r="AK32" s="1547">
        <v>20591.36</v>
      </c>
      <c r="AL32" s="1547">
        <v>20998.85</v>
      </c>
      <c r="AM32" s="1547">
        <v>18578.919999999998</v>
      </c>
      <c r="AN32" s="1547">
        <v>18398.53</v>
      </c>
      <c r="AO32" s="1547">
        <v>17441.05</v>
      </c>
      <c r="AP32" s="1547">
        <v>17516.580000000002</v>
      </c>
      <c r="AQ32" s="1547">
        <v>17399.919999999998</v>
      </c>
      <c r="AR32" s="1547">
        <v>17131.61</v>
      </c>
      <c r="AS32" s="1547">
        <v>17266.41</v>
      </c>
      <c r="AT32" s="1547">
        <v>17139.93</v>
      </c>
      <c r="AU32" s="1547">
        <v>16817.580000000002</v>
      </c>
      <c r="AV32" s="1547">
        <v>16574.93</v>
      </c>
      <c r="AX32" s="1548">
        <v>29375.670000000002</v>
      </c>
      <c r="AY32" s="1548">
        <v>29185.339999999997</v>
      </c>
      <c r="AZ32" s="1548">
        <v>27593.409999999996</v>
      </c>
      <c r="BA32" s="1548">
        <v>26986.5</v>
      </c>
      <c r="BB32" s="1548">
        <v>26168.42</v>
      </c>
      <c r="BC32" s="1548">
        <v>26113.230000000003</v>
      </c>
      <c r="BD32" s="1548">
        <v>26413.989999999998</v>
      </c>
      <c r="BE32" s="1548">
        <v>25403.7</v>
      </c>
      <c r="BF32" s="1548">
        <v>25891.41</v>
      </c>
      <c r="BG32" s="1548">
        <v>25889.54</v>
      </c>
      <c r="BH32" s="1548">
        <v>24800.880000000001</v>
      </c>
      <c r="BI32" s="1548">
        <v>25204.97</v>
      </c>
    </row>
    <row r="33" spans="1:61" ht="12.75">
      <c r="A33" s="729" t="s">
        <v>1925</v>
      </c>
      <c r="B33" s="1214">
        <v>7566130.9900000002</v>
      </c>
      <c r="C33" s="1214"/>
      <c r="D33" s="1530" t="s">
        <v>1898</v>
      </c>
      <c r="E33" s="1530" t="s">
        <v>1899</v>
      </c>
      <c r="G33" s="1544">
        <f t="shared" si="0"/>
        <v>2.1984950799892822E-2</v>
      </c>
      <c r="H33" s="1544">
        <v>2.6815780871120827E-3</v>
      </c>
      <c r="I33" s="1544">
        <v>1.086541622320884E-3</v>
      </c>
      <c r="K33" s="1545">
        <v>6736.78</v>
      </c>
      <c r="L33" s="1545">
        <v>5967.06</v>
      </c>
      <c r="M33" s="1545">
        <v>6686.86</v>
      </c>
      <c r="N33" s="1545">
        <v>6380.88</v>
      </c>
      <c r="O33" s="1545">
        <v>6622.72</v>
      </c>
      <c r="P33" s="1545">
        <v>6466.71</v>
      </c>
      <c r="Q33" s="1545">
        <v>6831.23</v>
      </c>
      <c r="R33" s="1545">
        <v>6194.55</v>
      </c>
      <c r="S33" s="1545">
        <v>6511.32</v>
      </c>
      <c r="T33" s="1545">
        <v>6608.37</v>
      </c>
      <c r="U33" s="1545">
        <v>6047.01</v>
      </c>
      <c r="V33" s="1545">
        <v>6561.3</v>
      </c>
      <c r="X33" s="1546">
        <v>3053.92</v>
      </c>
      <c r="Y33" s="1546">
        <v>3157.34</v>
      </c>
      <c r="Z33" s="1546">
        <v>3360.4</v>
      </c>
      <c r="AA33" s="1546">
        <v>3191</v>
      </c>
      <c r="AB33" s="1546">
        <v>3104.53</v>
      </c>
      <c r="AC33" s="1546">
        <v>3114.85</v>
      </c>
      <c r="AD33" s="1546">
        <v>3215.57</v>
      </c>
      <c r="AE33" s="1546">
        <v>3025.27</v>
      </c>
      <c r="AF33" s="1546">
        <v>3101.83</v>
      </c>
      <c r="AG33" s="1546">
        <v>3143.67</v>
      </c>
      <c r="AH33" s="1546">
        <v>2850.92</v>
      </c>
      <c r="AI33" s="1546">
        <v>3057.47</v>
      </c>
      <c r="AK33" s="1547">
        <v>22950.48</v>
      </c>
      <c r="AL33" s="1547">
        <v>23404.65</v>
      </c>
      <c r="AM33" s="1547">
        <v>20707.48</v>
      </c>
      <c r="AN33" s="1547">
        <v>20506.419999999998</v>
      </c>
      <c r="AO33" s="1547">
        <v>19439.25</v>
      </c>
      <c r="AP33" s="1547">
        <v>19523.419999999998</v>
      </c>
      <c r="AQ33" s="1547">
        <v>19393.400000000001</v>
      </c>
      <c r="AR33" s="1547">
        <v>19094.36</v>
      </c>
      <c r="AS33" s="1547">
        <v>19244.59</v>
      </c>
      <c r="AT33" s="1547">
        <v>19103.62</v>
      </c>
      <c r="AU33" s="1547">
        <v>18744.34</v>
      </c>
      <c r="AV33" s="1547">
        <v>18473.900000000001</v>
      </c>
      <c r="AX33" s="1548">
        <v>32741.18</v>
      </c>
      <c r="AY33" s="1548">
        <v>32529.050000000003</v>
      </c>
      <c r="AZ33" s="1548">
        <v>30754.739999999998</v>
      </c>
      <c r="BA33" s="1548">
        <v>30078.3</v>
      </c>
      <c r="BB33" s="1548">
        <v>29166.5</v>
      </c>
      <c r="BC33" s="1548">
        <v>29104.979999999996</v>
      </c>
      <c r="BD33" s="1548">
        <v>29440.2</v>
      </c>
      <c r="BE33" s="1548">
        <v>28314.18</v>
      </c>
      <c r="BF33" s="1548">
        <v>28857.739999999998</v>
      </c>
      <c r="BG33" s="1548">
        <v>28855.66</v>
      </c>
      <c r="BH33" s="1548">
        <v>27642.27</v>
      </c>
      <c r="BI33" s="1548">
        <v>28092.670000000002</v>
      </c>
    </row>
    <row r="34" spans="1:61" ht="12.75">
      <c r="A34" s="729" t="s">
        <v>1926</v>
      </c>
      <c r="B34" s="1214">
        <v>8188314.1699999999</v>
      </c>
      <c r="C34" s="1214"/>
      <c r="D34" s="1530" t="s">
        <v>1898</v>
      </c>
      <c r="E34" s="1530" t="s">
        <v>1899</v>
      </c>
      <c r="G34" s="1544">
        <f t="shared" si="0"/>
        <v>2.3792832082796814E-2</v>
      </c>
      <c r="H34" s="1544">
        <v>2.9020914226415423E-3</v>
      </c>
      <c r="I34" s="1544">
        <v>1.1758908448854231E-3</v>
      </c>
      <c r="K34" s="1545">
        <v>7290.77</v>
      </c>
      <c r="L34" s="1545">
        <v>6457.75</v>
      </c>
      <c r="M34" s="1545">
        <v>7236.74</v>
      </c>
      <c r="N34" s="1545">
        <v>6905.6</v>
      </c>
      <c r="O34" s="1545">
        <v>7167.32</v>
      </c>
      <c r="P34" s="1545">
        <v>6998.48</v>
      </c>
      <c r="Q34" s="1545">
        <v>7392.98</v>
      </c>
      <c r="R34" s="1545">
        <v>6703.94</v>
      </c>
      <c r="S34" s="1545">
        <v>7046.76</v>
      </c>
      <c r="T34" s="1545">
        <v>7151.79</v>
      </c>
      <c r="U34" s="1545">
        <v>6544.28</v>
      </c>
      <c r="V34" s="1545">
        <v>7100.85</v>
      </c>
      <c r="X34" s="1546">
        <v>3305.06</v>
      </c>
      <c r="Y34" s="1546">
        <v>3416.98</v>
      </c>
      <c r="Z34" s="1546">
        <v>3636.73</v>
      </c>
      <c r="AA34" s="1546">
        <v>3453.4</v>
      </c>
      <c r="AB34" s="1546">
        <v>3359.82</v>
      </c>
      <c r="AC34" s="1546">
        <v>3370.99</v>
      </c>
      <c r="AD34" s="1546">
        <v>3480</v>
      </c>
      <c r="AE34" s="1546">
        <v>3274.04</v>
      </c>
      <c r="AF34" s="1546">
        <v>3356.9</v>
      </c>
      <c r="AG34" s="1546">
        <v>3402.18</v>
      </c>
      <c r="AH34" s="1546">
        <v>3085.36</v>
      </c>
      <c r="AI34" s="1546">
        <v>3308.9</v>
      </c>
      <c r="AK34" s="1547">
        <v>24837.75</v>
      </c>
      <c r="AL34" s="1547">
        <v>25329.279999999999</v>
      </c>
      <c r="AM34" s="1547">
        <v>22410.31</v>
      </c>
      <c r="AN34" s="1547">
        <v>22192.720000000001</v>
      </c>
      <c r="AO34" s="1547">
        <v>21037.79</v>
      </c>
      <c r="AP34" s="1547">
        <v>21128.89</v>
      </c>
      <c r="AQ34" s="1547">
        <v>20988.17</v>
      </c>
      <c r="AR34" s="1547">
        <v>20664.54</v>
      </c>
      <c r="AS34" s="1547">
        <v>20827.13</v>
      </c>
      <c r="AT34" s="1547">
        <v>20674.560000000001</v>
      </c>
      <c r="AU34" s="1547">
        <v>20285.740000000002</v>
      </c>
      <c r="AV34" s="1547">
        <v>19993.05</v>
      </c>
      <c r="AX34" s="1548">
        <v>35433.58</v>
      </c>
      <c r="AY34" s="1548">
        <v>35204.009999999995</v>
      </c>
      <c r="AZ34" s="1548">
        <v>33283.78</v>
      </c>
      <c r="BA34" s="1548">
        <v>32551.72</v>
      </c>
      <c r="BB34" s="1548">
        <v>31564.93</v>
      </c>
      <c r="BC34" s="1548">
        <v>31498.36</v>
      </c>
      <c r="BD34" s="1548">
        <v>31861.149999999998</v>
      </c>
      <c r="BE34" s="1548">
        <v>30642.52</v>
      </c>
      <c r="BF34" s="1548">
        <v>31230.79</v>
      </c>
      <c r="BG34" s="1548">
        <v>31228.53</v>
      </c>
      <c r="BH34" s="1548">
        <v>29915.38</v>
      </c>
      <c r="BI34" s="1548">
        <v>30402.799999999999</v>
      </c>
    </row>
    <row r="35" spans="1:61" ht="12.75">
      <c r="A35" s="729" t="s">
        <v>1927</v>
      </c>
      <c r="B35" s="1214">
        <v>8325158.7499999991</v>
      </c>
      <c r="C35" s="1214"/>
      <c r="D35" s="1530" t="s">
        <v>1898</v>
      </c>
      <c r="E35" s="1530" t="s">
        <v>1899</v>
      </c>
      <c r="G35" s="1544">
        <f t="shared" si="0"/>
        <v>2.4190462174386331E-2</v>
      </c>
      <c r="H35" s="1544">
        <v>2.9505916967648765E-3</v>
      </c>
      <c r="I35" s="1544">
        <v>1.1955425443016157E-3</v>
      </c>
      <c r="K35" s="1545">
        <v>7412.61</v>
      </c>
      <c r="L35" s="1545">
        <v>6565.67</v>
      </c>
      <c r="M35" s="1545">
        <v>7357.68</v>
      </c>
      <c r="N35" s="1545">
        <v>7021.01</v>
      </c>
      <c r="O35" s="1545">
        <v>7287.1</v>
      </c>
      <c r="P35" s="1545">
        <v>7115.44</v>
      </c>
      <c r="Q35" s="1545">
        <v>7516.53</v>
      </c>
      <c r="R35" s="1545">
        <v>6815.98</v>
      </c>
      <c r="S35" s="1545">
        <v>7164.53</v>
      </c>
      <c r="T35" s="1545">
        <v>7271.31</v>
      </c>
      <c r="U35" s="1545">
        <v>6653.64</v>
      </c>
      <c r="V35" s="1545">
        <v>7219.52</v>
      </c>
      <c r="X35" s="1546">
        <v>3360.29</v>
      </c>
      <c r="Y35" s="1546">
        <v>3474.08</v>
      </c>
      <c r="Z35" s="1546">
        <v>3697.51</v>
      </c>
      <c r="AA35" s="1546">
        <v>3511.12</v>
      </c>
      <c r="AB35" s="1546">
        <v>3415.97</v>
      </c>
      <c r="AC35" s="1546">
        <v>3427.33</v>
      </c>
      <c r="AD35" s="1546">
        <v>3538.15</v>
      </c>
      <c r="AE35" s="1546">
        <v>3328.76</v>
      </c>
      <c r="AF35" s="1546">
        <v>3413</v>
      </c>
      <c r="AG35" s="1546">
        <v>3459.04</v>
      </c>
      <c r="AH35" s="1546">
        <v>3136.92</v>
      </c>
      <c r="AI35" s="1546">
        <v>3364.2</v>
      </c>
      <c r="AK35" s="1547">
        <v>25252.85</v>
      </c>
      <c r="AL35" s="1547">
        <v>25752.58</v>
      </c>
      <c r="AM35" s="1547">
        <v>22784.83</v>
      </c>
      <c r="AN35" s="1547">
        <v>22563.61</v>
      </c>
      <c r="AO35" s="1547">
        <v>21389.37</v>
      </c>
      <c r="AP35" s="1547">
        <v>21482</v>
      </c>
      <c r="AQ35" s="1547">
        <v>21338.93</v>
      </c>
      <c r="AR35" s="1547">
        <v>21009.89</v>
      </c>
      <c r="AS35" s="1547">
        <v>21175.19</v>
      </c>
      <c r="AT35" s="1547">
        <v>21020.080000000002</v>
      </c>
      <c r="AU35" s="1547">
        <v>20624.759999999998</v>
      </c>
      <c r="AV35" s="1547">
        <v>20327.18</v>
      </c>
      <c r="AX35" s="1548">
        <v>36025.75</v>
      </c>
      <c r="AY35" s="1548">
        <v>35792.33</v>
      </c>
      <c r="AZ35" s="1548">
        <v>33840.020000000004</v>
      </c>
      <c r="BA35" s="1548">
        <v>33095.740000000005</v>
      </c>
      <c r="BB35" s="1548">
        <v>32092.44</v>
      </c>
      <c r="BC35" s="1548">
        <v>32024.77</v>
      </c>
      <c r="BD35" s="1548">
        <v>32393.61</v>
      </c>
      <c r="BE35" s="1548">
        <v>31154.629999999997</v>
      </c>
      <c r="BF35" s="1548">
        <v>31752.719999999998</v>
      </c>
      <c r="BG35" s="1548">
        <v>31750.43</v>
      </c>
      <c r="BH35" s="1548">
        <v>30415.32</v>
      </c>
      <c r="BI35" s="1548">
        <v>30910.9</v>
      </c>
    </row>
    <row r="36" spans="1:61" ht="12.75">
      <c r="A36" s="729" t="s">
        <v>1928</v>
      </c>
      <c r="B36" s="1214">
        <v>9456020.1400000006</v>
      </c>
      <c r="C36" s="1214"/>
      <c r="D36" s="1530" t="s">
        <v>1898</v>
      </c>
      <c r="E36" s="1530" t="s">
        <v>1899</v>
      </c>
      <c r="G36" s="1544">
        <f t="shared" si="0"/>
        <v>2.7476412689055974E-2</v>
      </c>
      <c r="H36" s="1544">
        <v>3.3513900872491407E-3</v>
      </c>
      <c r="I36" s="1544">
        <v>1.3579409974786272E-3</v>
      </c>
      <c r="K36" s="1545">
        <v>8419.52</v>
      </c>
      <c r="L36" s="1545">
        <v>7457.53</v>
      </c>
      <c r="M36" s="1545">
        <v>8357.1200000000008</v>
      </c>
      <c r="N36" s="1545">
        <v>7974.72</v>
      </c>
      <c r="O36" s="1545">
        <v>8276.9599999999991</v>
      </c>
      <c r="P36" s="1545">
        <v>8081.98</v>
      </c>
      <c r="Q36" s="1545">
        <v>8537.5499999999993</v>
      </c>
      <c r="R36" s="1545">
        <v>7741.84</v>
      </c>
      <c r="S36" s="1545">
        <v>8137.73</v>
      </c>
      <c r="T36" s="1545">
        <v>8259.02</v>
      </c>
      <c r="U36" s="1545">
        <v>7557.45</v>
      </c>
      <c r="V36" s="1545">
        <v>8200.19</v>
      </c>
      <c r="X36" s="1546">
        <v>3816.74</v>
      </c>
      <c r="Y36" s="1546">
        <v>3945.99</v>
      </c>
      <c r="Z36" s="1546">
        <v>4199.7700000000004</v>
      </c>
      <c r="AA36" s="1546">
        <v>3988.05</v>
      </c>
      <c r="AB36" s="1546">
        <v>3879.98</v>
      </c>
      <c r="AC36" s="1546">
        <v>3892.88</v>
      </c>
      <c r="AD36" s="1546">
        <v>4018.76</v>
      </c>
      <c r="AE36" s="1546">
        <v>3780.92</v>
      </c>
      <c r="AF36" s="1546">
        <v>3876.61</v>
      </c>
      <c r="AG36" s="1546">
        <v>3928.91</v>
      </c>
      <c r="AH36" s="1546">
        <v>3563.03</v>
      </c>
      <c r="AI36" s="1546">
        <v>3821.18</v>
      </c>
      <c r="AK36" s="1547">
        <v>28683.11</v>
      </c>
      <c r="AL36" s="1547">
        <v>29250.73</v>
      </c>
      <c r="AM36" s="1547">
        <v>25879.85</v>
      </c>
      <c r="AN36" s="1547">
        <v>25628.58</v>
      </c>
      <c r="AO36" s="1547">
        <v>24294.83</v>
      </c>
      <c r="AP36" s="1547">
        <v>24400.04</v>
      </c>
      <c r="AQ36" s="1547">
        <v>24237.54</v>
      </c>
      <c r="AR36" s="1547">
        <v>23863.8</v>
      </c>
      <c r="AS36" s="1547">
        <v>24051.56</v>
      </c>
      <c r="AT36" s="1547">
        <v>23875.37</v>
      </c>
      <c r="AU36" s="1547">
        <v>23426.36</v>
      </c>
      <c r="AV36" s="1547">
        <v>23088.36</v>
      </c>
      <c r="AX36" s="1548">
        <v>40919.370000000003</v>
      </c>
      <c r="AY36" s="1548">
        <v>40654.25</v>
      </c>
      <c r="AZ36" s="1548">
        <v>38436.74</v>
      </c>
      <c r="BA36" s="1548">
        <v>37591.350000000006</v>
      </c>
      <c r="BB36" s="1548">
        <v>36451.770000000004</v>
      </c>
      <c r="BC36" s="1548">
        <v>36374.9</v>
      </c>
      <c r="BD36" s="1548">
        <v>36793.85</v>
      </c>
      <c r="BE36" s="1548">
        <v>35386.559999999998</v>
      </c>
      <c r="BF36" s="1548">
        <v>36065.9</v>
      </c>
      <c r="BG36" s="1548">
        <v>36063.300000000003</v>
      </c>
      <c r="BH36" s="1548">
        <v>34546.839999999997</v>
      </c>
      <c r="BI36" s="1548">
        <v>35109.730000000003</v>
      </c>
    </row>
    <row r="37" spans="1:61" ht="12.75">
      <c r="A37" s="729" t="s">
        <v>1929</v>
      </c>
      <c r="B37" s="1214">
        <v>9513943.8300000001</v>
      </c>
      <c r="C37" s="1214"/>
      <c r="D37" s="1530" t="s">
        <v>1898</v>
      </c>
      <c r="E37" s="1530" t="s">
        <v>1899</v>
      </c>
      <c r="G37" s="1544">
        <f t="shared" si="0"/>
        <v>2.7644721891801911E-2</v>
      </c>
      <c r="H37" s="1544">
        <v>3.3719193244555763E-3</v>
      </c>
      <c r="I37" s="1544">
        <v>1.3662591854913108E-3</v>
      </c>
      <c r="K37" s="1545">
        <v>8471.09</v>
      </c>
      <c r="L37" s="1545">
        <v>7503.21</v>
      </c>
      <c r="M37" s="1545">
        <v>8408.32</v>
      </c>
      <c r="N37" s="1545">
        <v>8023.57</v>
      </c>
      <c r="O37" s="1545">
        <v>8327.66</v>
      </c>
      <c r="P37" s="1545">
        <v>8131.48</v>
      </c>
      <c r="Q37" s="1545">
        <v>8589.85</v>
      </c>
      <c r="R37" s="1545">
        <v>7789.26</v>
      </c>
      <c r="S37" s="1545">
        <v>8187.58</v>
      </c>
      <c r="T37" s="1545">
        <v>8309.61</v>
      </c>
      <c r="U37" s="1545">
        <v>7603.75</v>
      </c>
      <c r="V37" s="1545">
        <v>8250.43</v>
      </c>
      <c r="X37" s="1546">
        <v>3840.12</v>
      </c>
      <c r="Y37" s="1546">
        <v>3970.16</v>
      </c>
      <c r="Z37" s="1546">
        <v>4225.49</v>
      </c>
      <c r="AA37" s="1546">
        <v>4012.48</v>
      </c>
      <c r="AB37" s="1546">
        <v>3903.75</v>
      </c>
      <c r="AC37" s="1546">
        <v>3916.73</v>
      </c>
      <c r="AD37" s="1546">
        <v>4043.38</v>
      </c>
      <c r="AE37" s="1546">
        <v>3804.08</v>
      </c>
      <c r="AF37" s="1546">
        <v>3900.36</v>
      </c>
      <c r="AG37" s="1546">
        <v>3952.97</v>
      </c>
      <c r="AH37" s="1546">
        <v>3584.86</v>
      </c>
      <c r="AI37" s="1546">
        <v>3844.58</v>
      </c>
      <c r="AK37" s="1547">
        <v>28858.81</v>
      </c>
      <c r="AL37" s="1547">
        <v>29429.91</v>
      </c>
      <c r="AM37" s="1547">
        <v>26038.38</v>
      </c>
      <c r="AN37" s="1547">
        <v>25785.57</v>
      </c>
      <c r="AO37" s="1547">
        <v>24443.65</v>
      </c>
      <c r="AP37" s="1547">
        <v>24549.5</v>
      </c>
      <c r="AQ37" s="1547">
        <v>24386.01</v>
      </c>
      <c r="AR37" s="1547">
        <v>24009.98</v>
      </c>
      <c r="AS37" s="1547">
        <v>24198.89</v>
      </c>
      <c r="AT37" s="1547">
        <v>24021.63</v>
      </c>
      <c r="AU37" s="1547">
        <v>23569.86</v>
      </c>
      <c r="AV37" s="1547">
        <v>23229.79</v>
      </c>
      <c r="AX37" s="1548">
        <v>41170.020000000004</v>
      </c>
      <c r="AY37" s="1548">
        <v>40903.279999999999</v>
      </c>
      <c r="AZ37" s="1548">
        <v>38672.19</v>
      </c>
      <c r="BA37" s="1548">
        <v>37821.619999999995</v>
      </c>
      <c r="BB37" s="1548">
        <v>36675.06</v>
      </c>
      <c r="BC37" s="1548">
        <v>36597.71</v>
      </c>
      <c r="BD37" s="1548">
        <v>37019.24</v>
      </c>
      <c r="BE37" s="1548">
        <v>35603.32</v>
      </c>
      <c r="BF37" s="1548">
        <v>36286.83</v>
      </c>
      <c r="BG37" s="1548">
        <v>36284.21</v>
      </c>
      <c r="BH37" s="1548">
        <v>34758.47</v>
      </c>
      <c r="BI37" s="1548">
        <v>35324.800000000003</v>
      </c>
    </row>
    <row r="38" spans="1:61" ht="12.75">
      <c r="A38" s="729" t="s">
        <v>1930</v>
      </c>
      <c r="B38" s="1214">
        <v>10619882.829999998</v>
      </c>
      <c r="C38" s="1214"/>
      <c r="D38" s="1530" t="s">
        <v>1898</v>
      </c>
      <c r="E38" s="1530" t="s">
        <v>1899</v>
      </c>
      <c r="G38" s="1544">
        <f t="shared" si="0"/>
        <v>3.0858255272973603E-2</v>
      </c>
      <c r="H38" s="1544">
        <v>3.7638847546076974E-3</v>
      </c>
      <c r="I38" s="1544">
        <v>1.5250786345381391E-3</v>
      </c>
      <c r="K38" s="1545">
        <v>9455.7999999999993</v>
      </c>
      <c r="L38" s="1545">
        <v>8375.41</v>
      </c>
      <c r="M38" s="1545">
        <v>9385.73</v>
      </c>
      <c r="N38" s="1545">
        <v>8956.26</v>
      </c>
      <c r="O38" s="1545">
        <v>9295.7000000000007</v>
      </c>
      <c r="P38" s="1545">
        <v>9076.7199999999993</v>
      </c>
      <c r="Q38" s="1545">
        <v>9588.3700000000008</v>
      </c>
      <c r="R38" s="1545">
        <v>8694.7099999999991</v>
      </c>
      <c r="S38" s="1545">
        <v>9139.34</v>
      </c>
      <c r="T38" s="1545">
        <v>9275.56</v>
      </c>
      <c r="U38" s="1545">
        <v>8487.64</v>
      </c>
      <c r="V38" s="1545">
        <v>9209.49</v>
      </c>
      <c r="X38" s="1546">
        <v>4286.51</v>
      </c>
      <c r="Y38" s="1546">
        <v>4431.67</v>
      </c>
      <c r="Z38" s="1546">
        <v>4716.68</v>
      </c>
      <c r="AA38" s="1546">
        <v>4478.91</v>
      </c>
      <c r="AB38" s="1546">
        <v>4357.54</v>
      </c>
      <c r="AC38" s="1546">
        <v>4372.0200000000004</v>
      </c>
      <c r="AD38" s="1546">
        <v>4513.3999999999996</v>
      </c>
      <c r="AE38" s="1546">
        <v>4246.29</v>
      </c>
      <c r="AF38" s="1546">
        <v>4353.75</v>
      </c>
      <c r="AG38" s="1546">
        <v>4412.4799999999996</v>
      </c>
      <c r="AH38" s="1546">
        <v>4001.57</v>
      </c>
      <c r="AI38" s="1546">
        <v>4291.49</v>
      </c>
      <c r="AK38" s="1547">
        <v>32213.47</v>
      </c>
      <c r="AL38" s="1547">
        <v>32850.959999999999</v>
      </c>
      <c r="AM38" s="1547">
        <v>29065.18</v>
      </c>
      <c r="AN38" s="1547">
        <v>28782.98</v>
      </c>
      <c r="AO38" s="1547">
        <v>27285.08</v>
      </c>
      <c r="AP38" s="1547">
        <v>27403.23</v>
      </c>
      <c r="AQ38" s="1547">
        <v>27220.73</v>
      </c>
      <c r="AR38" s="1547">
        <v>26800.99</v>
      </c>
      <c r="AS38" s="1547">
        <v>27011.86</v>
      </c>
      <c r="AT38" s="1547">
        <v>26814</v>
      </c>
      <c r="AU38" s="1547">
        <v>26309.71</v>
      </c>
      <c r="AV38" s="1547">
        <v>25930.11</v>
      </c>
      <c r="AX38" s="1548">
        <v>45955.78</v>
      </c>
      <c r="AY38" s="1548">
        <v>45658.04</v>
      </c>
      <c r="AZ38" s="1548">
        <v>43167.59</v>
      </c>
      <c r="BA38" s="1548">
        <v>42218.15</v>
      </c>
      <c r="BB38" s="1548">
        <v>40938.320000000007</v>
      </c>
      <c r="BC38" s="1548">
        <v>40851.97</v>
      </c>
      <c r="BD38" s="1548">
        <v>41322.5</v>
      </c>
      <c r="BE38" s="1548">
        <v>39741.990000000005</v>
      </c>
      <c r="BF38" s="1548">
        <v>40504.949999999997</v>
      </c>
      <c r="BG38" s="1548">
        <v>40502.04</v>
      </c>
      <c r="BH38" s="1548">
        <v>38798.92</v>
      </c>
      <c r="BI38" s="1548">
        <v>39431.089999999997</v>
      </c>
    </row>
    <row r="39" spans="1:61" ht="12.75">
      <c r="A39" s="729" t="s">
        <v>1931</v>
      </c>
      <c r="B39" s="1214">
        <v>11022670.280000001</v>
      </c>
      <c r="C39" s="1214"/>
      <c r="D39" s="1530" t="s">
        <v>1898</v>
      </c>
      <c r="E39" s="1530" t="s">
        <v>1899</v>
      </c>
      <c r="G39" s="1544">
        <f t="shared" si="0"/>
        <v>3.202863710785965E-2</v>
      </c>
      <c r="H39" s="1544">
        <v>3.9066401471737683E-3</v>
      </c>
      <c r="I39" s="1544">
        <v>1.5829213192540027E-3</v>
      </c>
      <c r="K39" s="1545">
        <v>9814.44</v>
      </c>
      <c r="L39" s="1545">
        <v>8693.07</v>
      </c>
      <c r="M39" s="1545">
        <v>9741.7099999999991</v>
      </c>
      <c r="N39" s="1545">
        <v>9295.9500000000007</v>
      </c>
      <c r="O39" s="1545">
        <v>9648.26</v>
      </c>
      <c r="P39" s="1545">
        <v>9420.98</v>
      </c>
      <c r="Q39" s="1545">
        <v>9952.0300000000007</v>
      </c>
      <c r="R39" s="1545">
        <v>9024.48</v>
      </c>
      <c r="S39" s="1545">
        <v>9485.9699999999993</v>
      </c>
      <c r="T39" s="1545">
        <v>9627.36</v>
      </c>
      <c r="U39" s="1545">
        <v>8809.5499999999993</v>
      </c>
      <c r="V39" s="1545">
        <v>9558.7800000000007</v>
      </c>
      <c r="X39" s="1546">
        <v>4449.09</v>
      </c>
      <c r="Y39" s="1546">
        <v>4599.75</v>
      </c>
      <c r="Z39" s="1546">
        <v>4895.57</v>
      </c>
      <c r="AA39" s="1546">
        <v>4648.78</v>
      </c>
      <c r="AB39" s="1546">
        <v>4522.8100000000004</v>
      </c>
      <c r="AC39" s="1546">
        <v>4537.84</v>
      </c>
      <c r="AD39" s="1546">
        <v>4684.58</v>
      </c>
      <c r="AE39" s="1546">
        <v>4407.34</v>
      </c>
      <c r="AF39" s="1546">
        <v>4518.88</v>
      </c>
      <c r="AG39" s="1546">
        <v>4579.84</v>
      </c>
      <c r="AH39" s="1546">
        <v>4153.3500000000004</v>
      </c>
      <c r="AI39" s="1546">
        <v>4454.26</v>
      </c>
      <c r="AK39" s="1547">
        <v>33435.26</v>
      </c>
      <c r="AL39" s="1547">
        <v>34096.92</v>
      </c>
      <c r="AM39" s="1547">
        <v>30167.56</v>
      </c>
      <c r="AN39" s="1547">
        <v>29874.66</v>
      </c>
      <c r="AO39" s="1547">
        <v>28319.94</v>
      </c>
      <c r="AP39" s="1547">
        <v>28442.57</v>
      </c>
      <c r="AQ39" s="1547">
        <v>28253.15</v>
      </c>
      <c r="AR39" s="1547">
        <v>27817.49</v>
      </c>
      <c r="AS39" s="1547">
        <v>28036.36</v>
      </c>
      <c r="AT39" s="1547">
        <v>27830.99</v>
      </c>
      <c r="AU39" s="1547">
        <v>27307.58</v>
      </c>
      <c r="AV39" s="1547">
        <v>26913.58</v>
      </c>
      <c r="AX39" s="1548">
        <v>47698.79</v>
      </c>
      <c r="AY39" s="1548">
        <v>47389.74</v>
      </c>
      <c r="AZ39" s="1548">
        <v>44804.84</v>
      </c>
      <c r="BA39" s="1548">
        <v>43819.39</v>
      </c>
      <c r="BB39" s="1548">
        <v>42491.009999999995</v>
      </c>
      <c r="BC39" s="1548">
        <v>42401.39</v>
      </c>
      <c r="BD39" s="1548">
        <v>42889.760000000002</v>
      </c>
      <c r="BE39" s="1548">
        <v>41249.31</v>
      </c>
      <c r="BF39" s="1548">
        <v>42041.21</v>
      </c>
      <c r="BG39" s="1548">
        <v>42038.19</v>
      </c>
      <c r="BH39" s="1548">
        <v>40270.480000000003</v>
      </c>
      <c r="BI39" s="1548">
        <v>40926.620000000003</v>
      </c>
    </row>
    <row r="40" spans="1:61" ht="12.75">
      <c r="A40" s="729" t="s">
        <v>1932</v>
      </c>
      <c r="B40" s="1214">
        <v>11051862.430000002</v>
      </c>
      <c r="C40" s="1214"/>
      <c r="D40" s="1530" t="s">
        <v>1898</v>
      </c>
      <c r="E40" s="1530" t="s">
        <v>1899</v>
      </c>
      <c r="G40" s="1544">
        <f t="shared" si="0"/>
        <v>3.2113460907809893E-2</v>
      </c>
      <c r="H40" s="1544">
        <v>3.9169863901689196E-3</v>
      </c>
      <c r="I40" s="1544">
        <v>1.5871134864345548E-3</v>
      </c>
      <c r="K40" s="1545">
        <v>9840.43</v>
      </c>
      <c r="L40" s="1545">
        <v>8716.1</v>
      </c>
      <c r="M40" s="1545">
        <v>9767.51</v>
      </c>
      <c r="N40" s="1545">
        <v>9320.57</v>
      </c>
      <c r="O40" s="1545">
        <v>9673.81</v>
      </c>
      <c r="P40" s="1545">
        <v>9445.93</v>
      </c>
      <c r="Q40" s="1545">
        <v>9978.39</v>
      </c>
      <c r="R40" s="1545">
        <v>9048.3799999999992</v>
      </c>
      <c r="S40" s="1545">
        <v>9511.1</v>
      </c>
      <c r="T40" s="1545">
        <v>9652.85</v>
      </c>
      <c r="U40" s="1545">
        <v>8832.8799999999992</v>
      </c>
      <c r="V40" s="1545">
        <v>9584.1</v>
      </c>
      <c r="X40" s="1546">
        <v>4460.87</v>
      </c>
      <c r="Y40" s="1546">
        <v>4611.9399999999996</v>
      </c>
      <c r="Z40" s="1546">
        <v>4908.54</v>
      </c>
      <c r="AA40" s="1546">
        <v>4661.1000000000004</v>
      </c>
      <c r="AB40" s="1546">
        <v>4534.79</v>
      </c>
      <c r="AC40" s="1546">
        <v>4549.8599999999997</v>
      </c>
      <c r="AD40" s="1546">
        <v>4696.99</v>
      </c>
      <c r="AE40" s="1546">
        <v>4419.01</v>
      </c>
      <c r="AF40" s="1546">
        <v>4530.8500000000004</v>
      </c>
      <c r="AG40" s="1546">
        <v>4591.97</v>
      </c>
      <c r="AH40" s="1546">
        <v>4164.34</v>
      </c>
      <c r="AI40" s="1546">
        <v>4466.0600000000004</v>
      </c>
      <c r="AK40" s="1547">
        <v>33523.800000000003</v>
      </c>
      <c r="AL40" s="1547">
        <v>34187.22</v>
      </c>
      <c r="AM40" s="1547">
        <v>30247.45</v>
      </c>
      <c r="AN40" s="1547">
        <v>29953.77</v>
      </c>
      <c r="AO40" s="1547">
        <v>28394.94</v>
      </c>
      <c r="AP40" s="1547">
        <v>28517.9</v>
      </c>
      <c r="AQ40" s="1547">
        <v>28327.98</v>
      </c>
      <c r="AR40" s="1547">
        <v>27891.16</v>
      </c>
      <c r="AS40" s="1547">
        <v>28110.61</v>
      </c>
      <c r="AT40" s="1547">
        <v>27904.69</v>
      </c>
      <c r="AU40" s="1547">
        <v>27379.9</v>
      </c>
      <c r="AV40" s="1547">
        <v>26984.86</v>
      </c>
      <c r="AX40" s="1548">
        <v>47825.100000000006</v>
      </c>
      <c r="AY40" s="1548">
        <v>47515.26</v>
      </c>
      <c r="AZ40" s="1548">
        <v>44923.5</v>
      </c>
      <c r="BA40" s="1548">
        <v>43935.44</v>
      </c>
      <c r="BB40" s="1548">
        <v>42603.539999999994</v>
      </c>
      <c r="BC40" s="1548">
        <v>42513.69</v>
      </c>
      <c r="BD40" s="1548">
        <v>43003.360000000001</v>
      </c>
      <c r="BE40" s="1548">
        <v>41358.550000000003</v>
      </c>
      <c r="BF40" s="1548">
        <v>42152.56</v>
      </c>
      <c r="BG40" s="1548">
        <v>42149.509999999995</v>
      </c>
      <c r="BH40" s="1548">
        <v>40377.120000000003</v>
      </c>
      <c r="BI40" s="1548">
        <v>41035.020000000004</v>
      </c>
    </row>
    <row r="41" spans="1:61" ht="12.75">
      <c r="A41" s="729" t="s">
        <v>1933</v>
      </c>
      <c r="B41" s="1214">
        <v>11558083.279999999</v>
      </c>
      <c r="C41" s="1214"/>
      <c r="D41" s="1530" t="s">
        <v>1898</v>
      </c>
      <c r="E41" s="1530" t="s">
        <v>1899</v>
      </c>
      <c r="G41" s="1544">
        <f t="shared" si="0"/>
        <v>3.3584389774338794E-2</v>
      </c>
      <c r="H41" s="1544">
        <v>4.096400510859321E-3</v>
      </c>
      <c r="I41" s="1544">
        <v>1.6598098254668313E-3</v>
      </c>
      <c r="K41" s="1545">
        <v>10291.17</v>
      </c>
      <c r="L41" s="1545">
        <v>9115.33</v>
      </c>
      <c r="M41" s="1545">
        <v>10214.9</v>
      </c>
      <c r="N41" s="1545">
        <v>9747.49</v>
      </c>
      <c r="O41" s="1545">
        <v>10116.92</v>
      </c>
      <c r="P41" s="1545">
        <v>9878.59</v>
      </c>
      <c r="Q41" s="1545">
        <v>10435.44</v>
      </c>
      <c r="R41" s="1545">
        <v>9462.84</v>
      </c>
      <c r="S41" s="1545">
        <v>9946.74</v>
      </c>
      <c r="T41" s="1545">
        <v>10094.99</v>
      </c>
      <c r="U41" s="1545">
        <v>9237.4699999999993</v>
      </c>
      <c r="V41" s="1545">
        <v>10023.09</v>
      </c>
      <c r="X41" s="1546">
        <v>4665.2</v>
      </c>
      <c r="Y41" s="1546">
        <v>4823.18</v>
      </c>
      <c r="Z41" s="1546">
        <v>5133.37</v>
      </c>
      <c r="AA41" s="1546">
        <v>4874.59</v>
      </c>
      <c r="AB41" s="1546">
        <v>4742.5</v>
      </c>
      <c r="AC41" s="1546">
        <v>4758.2700000000004</v>
      </c>
      <c r="AD41" s="1546">
        <v>4912.13</v>
      </c>
      <c r="AE41" s="1546">
        <v>4621.42</v>
      </c>
      <c r="AF41" s="1546">
        <v>4738.38</v>
      </c>
      <c r="AG41" s="1546">
        <v>4802.3</v>
      </c>
      <c r="AH41" s="1546">
        <v>4355.09</v>
      </c>
      <c r="AI41" s="1546">
        <v>4670.62</v>
      </c>
      <c r="AK41" s="1547">
        <v>35059.33</v>
      </c>
      <c r="AL41" s="1547">
        <v>35753.129999999997</v>
      </c>
      <c r="AM41" s="1547">
        <v>31632.91</v>
      </c>
      <c r="AN41" s="1547">
        <v>31325.78</v>
      </c>
      <c r="AO41" s="1547">
        <v>29695.55</v>
      </c>
      <c r="AP41" s="1547">
        <v>29824.14</v>
      </c>
      <c r="AQ41" s="1547">
        <v>29625.52</v>
      </c>
      <c r="AR41" s="1547">
        <v>29168.69</v>
      </c>
      <c r="AS41" s="1547">
        <v>29398.19</v>
      </c>
      <c r="AT41" s="1547">
        <v>29182.84</v>
      </c>
      <c r="AU41" s="1547">
        <v>28634.01</v>
      </c>
      <c r="AV41" s="1547">
        <v>28220.87</v>
      </c>
      <c r="AX41" s="1548">
        <v>50015.7</v>
      </c>
      <c r="AY41" s="1548">
        <v>49691.64</v>
      </c>
      <c r="AZ41" s="1548">
        <v>46981.18</v>
      </c>
      <c r="BA41" s="1548">
        <v>45947.86</v>
      </c>
      <c r="BB41" s="1548">
        <v>44554.97</v>
      </c>
      <c r="BC41" s="1548">
        <v>44461</v>
      </c>
      <c r="BD41" s="1548">
        <v>44973.09</v>
      </c>
      <c r="BE41" s="1548">
        <v>43252.95</v>
      </c>
      <c r="BF41" s="1548">
        <v>44083.31</v>
      </c>
      <c r="BG41" s="1548">
        <v>44080.130000000005</v>
      </c>
      <c r="BH41" s="1548">
        <v>42226.57</v>
      </c>
      <c r="BI41" s="1548">
        <v>42914.58</v>
      </c>
    </row>
    <row r="42" spans="1:61" ht="12.75">
      <c r="A42" s="729" t="s">
        <v>1934</v>
      </c>
      <c r="B42" s="1214">
        <v>13077006.08</v>
      </c>
      <c r="C42" s="1214"/>
      <c r="D42" s="1530" t="s">
        <v>1898</v>
      </c>
      <c r="E42" s="1530" t="s">
        <v>1899</v>
      </c>
      <c r="G42" s="1544">
        <f t="shared" si="0"/>
        <v>3.7997932583863352E-2</v>
      </c>
      <c r="H42" s="1544">
        <v>4.6347351103895535E-3</v>
      </c>
      <c r="I42" s="1544">
        <v>1.8779362160188115E-3</v>
      </c>
      <c r="K42" s="1545">
        <v>11643.59</v>
      </c>
      <c r="L42" s="1545">
        <v>10313.23</v>
      </c>
      <c r="M42" s="1545">
        <v>11557.31</v>
      </c>
      <c r="N42" s="1545">
        <v>11028.47</v>
      </c>
      <c r="O42" s="1545">
        <v>11446.45</v>
      </c>
      <c r="P42" s="1545">
        <v>11176.8</v>
      </c>
      <c r="Q42" s="1545">
        <v>11806.83</v>
      </c>
      <c r="R42" s="1545">
        <v>10706.41</v>
      </c>
      <c r="S42" s="1545">
        <v>11253.91</v>
      </c>
      <c r="T42" s="1545">
        <v>11421.64</v>
      </c>
      <c r="U42" s="1545">
        <v>10451.42</v>
      </c>
      <c r="V42" s="1545">
        <v>11340.29</v>
      </c>
      <c r="X42" s="1546">
        <v>5278.28</v>
      </c>
      <c r="Y42" s="1546">
        <v>5457.03</v>
      </c>
      <c r="Z42" s="1546">
        <v>5807.98</v>
      </c>
      <c r="AA42" s="1546">
        <v>5515.2</v>
      </c>
      <c r="AB42" s="1546">
        <v>5365.74</v>
      </c>
      <c r="AC42" s="1546">
        <v>5383.58</v>
      </c>
      <c r="AD42" s="1546">
        <v>5557.67</v>
      </c>
      <c r="AE42" s="1546">
        <v>5228.75</v>
      </c>
      <c r="AF42" s="1546">
        <v>5361.08</v>
      </c>
      <c r="AG42" s="1546">
        <v>5433.4</v>
      </c>
      <c r="AH42" s="1546">
        <v>4927.42</v>
      </c>
      <c r="AI42" s="1546">
        <v>5284.42</v>
      </c>
      <c r="AK42" s="1547">
        <v>39666.71</v>
      </c>
      <c r="AL42" s="1547">
        <v>40451.69</v>
      </c>
      <c r="AM42" s="1547">
        <v>35790</v>
      </c>
      <c r="AN42" s="1547">
        <v>35442.51</v>
      </c>
      <c r="AO42" s="1547">
        <v>33598.03</v>
      </c>
      <c r="AP42" s="1547">
        <v>33743.519999999997</v>
      </c>
      <c r="AQ42" s="1547">
        <v>33518.800000000003</v>
      </c>
      <c r="AR42" s="1547">
        <v>33001.94</v>
      </c>
      <c r="AS42" s="1547">
        <v>33261.599999999999</v>
      </c>
      <c r="AT42" s="1547">
        <v>33017.949999999997</v>
      </c>
      <c r="AU42" s="1547">
        <v>32396.99</v>
      </c>
      <c r="AV42" s="1547">
        <v>31929.56</v>
      </c>
      <c r="AX42" s="1548">
        <v>56588.58</v>
      </c>
      <c r="AY42" s="1548">
        <v>56221.95</v>
      </c>
      <c r="AZ42" s="1548">
        <v>53155.29</v>
      </c>
      <c r="BA42" s="1548">
        <v>51986.18</v>
      </c>
      <c r="BB42" s="1548">
        <v>50410.22</v>
      </c>
      <c r="BC42" s="1548">
        <v>50303.899999999994</v>
      </c>
      <c r="BD42" s="1548">
        <v>50883.3</v>
      </c>
      <c r="BE42" s="1548">
        <v>48937.100000000006</v>
      </c>
      <c r="BF42" s="1548">
        <v>49876.59</v>
      </c>
      <c r="BG42" s="1548">
        <v>49872.99</v>
      </c>
      <c r="BH42" s="1548">
        <v>47775.83</v>
      </c>
      <c r="BI42" s="1548">
        <v>48554.270000000004</v>
      </c>
    </row>
    <row r="43" spans="1:61" ht="12.75">
      <c r="A43" s="729" t="s">
        <v>1935</v>
      </c>
      <c r="B43" s="1214">
        <v>14714370.819999985</v>
      </c>
      <c r="C43" s="1214"/>
      <c r="D43" s="1530" t="s">
        <v>1898</v>
      </c>
      <c r="E43" s="1530" t="s">
        <v>1899</v>
      </c>
      <c r="G43" s="1544">
        <f t="shared" si="0"/>
        <v>4.2755632826954042E-2</v>
      </c>
      <c r="H43" s="1544">
        <v>5.2150477448386608E-3</v>
      </c>
      <c r="I43" s="1544">
        <v>2.1130715769162043E-3</v>
      </c>
      <c r="K43" s="1545">
        <v>13101.48</v>
      </c>
      <c r="L43" s="1545">
        <v>11604.55</v>
      </c>
      <c r="M43" s="1545">
        <v>13004.4</v>
      </c>
      <c r="N43" s="1545">
        <v>12409.34</v>
      </c>
      <c r="O43" s="1545">
        <v>12879.65</v>
      </c>
      <c r="P43" s="1545">
        <v>12576.24</v>
      </c>
      <c r="Q43" s="1545">
        <v>13285.15</v>
      </c>
      <c r="R43" s="1545">
        <v>12046.95</v>
      </c>
      <c r="S43" s="1545">
        <v>12663.01</v>
      </c>
      <c r="T43" s="1545">
        <v>12851.74</v>
      </c>
      <c r="U43" s="1545">
        <v>11760.04</v>
      </c>
      <c r="V43" s="1545">
        <v>12760.2</v>
      </c>
      <c r="X43" s="1546">
        <v>5939.17</v>
      </c>
      <c r="Y43" s="1546">
        <v>6140.3</v>
      </c>
      <c r="Z43" s="1546">
        <v>6535.19</v>
      </c>
      <c r="AA43" s="1546">
        <v>6205.75</v>
      </c>
      <c r="AB43" s="1546">
        <v>6037.58</v>
      </c>
      <c r="AC43" s="1546">
        <v>6057.65</v>
      </c>
      <c r="AD43" s="1546">
        <v>6253.54</v>
      </c>
      <c r="AE43" s="1546">
        <v>5883.44</v>
      </c>
      <c r="AF43" s="1546">
        <v>6032.34</v>
      </c>
      <c r="AG43" s="1546">
        <v>6113.71</v>
      </c>
      <c r="AH43" s="1546">
        <v>5544.38</v>
      </c>
      <c r="AI43" s="1546">
        <v>5946.08</v>
      </c>
      <c r="AK43" s="1547">
        <v>44633.35</v>
      </c>
      <c r="AL43" s="1547">
        <v>45516.62</v>
      </c>
      <c r="AM43" s="1547">
        <v>40271.24</v>
      </c>
      <c r="AN43" s="1547">
        <v>39880.239999999998</v>
      </c>
      <c r="AO43" s="1547">
        <v>37804.83</v>
      </c>
      <c r="AP43" s="1547">
        <v>37968.53</v>
      </c>
      <c r="AQ43" s="1547">
        <v>37715.67</v>
      </c>
      <c r="AR43" s="1547">
        <v>37134.1</v>
      </c>
      <c r="AS43" s="1547">
        <v>37426.269999999997</v>
      </c>
      <c r="AT43" s="1547">
        <v>37152.11</v>
      </c>
      <c r="AU43" s="1547">
        <v>36453.4</v>
      </c>
      <c r="AV43" s="1547">
        <v>35927.449999999997</v>
      </c>
      <c r="AX43" s="1548">
        <v>63674</v>
      </c>
      <c r="AY43" s="1548">
        <v>63261.47</v>
      </c>
      <c r="AZ43" s="1548">
        <v>59810.83</v>
      </c>
      <c r="BA43" s="1548">
        <v>58495.33</v>
      </c>
      <c r="BB43" s="1548">
        <v>56722.06</v>
      </c>
      <c r="BC43" s="1548">
        <v>56602.42</v>
      </c>
      <c r="BD43" s="1548">
        <v>57254.36</v>
      </c>
      <c r="BE43" s="1548">
        <v>55064.49</v>
      </c>
      <c r="BF43" s="1548">
        <v>56121.619999999995</v>
      </c>
      <c r="BG43" s="1548">
        <v>56117.56</v>
      </c>
      <c r="BH43" s="1548">
        <v>53757.820000000007</v>
      </c>
      <c r="BI43" s="1548">
        <v>54633.729999999996</v>
      </c>
    </row>
    <row r="44" spans="1:61" ht="12.75">
      <c r="A44" s="729" t="s">
        <v>1936</v>
      </c>
      <c r="B44" s="1214">
        <v>16965173.420000002</v>
      </c>
      <c r="C44" s="1214"/>
      <c r="D44" s="1530" t="s">
        <v>1898</v>
      </c>
      <c r="E44" s="1530" t="s">
        <v>1899</v>
      </c>
      <c r="G44" s="1544">
        <f t="shared" si="0"/>
        <v>4.9295803025787885E-2</v>
      </c>
      <c r="H44" s="1544">
        <v>6.0127742101288087E-3</v>
      </c>
      <c r="I44" s="1544">
        <v>2.4363002801676241E-3</v>
      </c>
      <c r="K44" s="1545">
        <v>15105.57</v>
      </c>
      <c r="L44" s="1545">
        <v>13379.65</v>
      </c>
      <c r="M44" s="1545">
        <v>14993.63</v>
      </c>
      <c r="N44" s="1545">
        <v>14307.55</v>
      </c>
      <c r="O44" s="1545">
        <v>14849.8</v>
      </c>
      <c r="P44" s="1545">
        <v>14499.99</v>
      </c>
      <c r="Q44" s="1545">
        <v>15317.33</v>
      </c>
      <c r="R44" s="1545">
        <v>13889.73</v>
      </c>
      <c r="S44" s="1545">
        <v>14600.02</v>
      </c>
      <c r="T44" s="1545">
        <v>14817.62</v>
      </c>
      <c r="U44" s="1545">
        <v>13558.93</v>
      </c>
      <c r="V44" s="1545">
        <v>14712.08</v>
      </c>
      <c r="X44" s="1546">
        <v>6847.67</v>
      </c>
      <c r="Y44" s="1546">
        <v>7079.56</v>
      </c>
      <c r="Z44" s="1546">
        <v>7534.86</v>
      </c>
      <c r="AA44" s="1546">
        <v>7155.02</v>
      </c>
      <c r="AB44" s="1546">
        <v>6961.13</v>
      </c>
      <c r="AC44" s="1546">
        <v>6984.27</v>
      </c>
      <c r="AD44" s="1546">
        <v>7210.12</v>
      </c>
      <c r="AE44" s="1546">
        <v>6783.41</v>
      </c>
      <c r="AF44" s="1546">
        <v>6955.08</v>
      </c>
      <c r="AG44" s="1546">
        <v>7048.9</v>
      </c>
      <c r="AH44" s="1546">
        <v>6392.48</v>
      </c>
      <c r="AI44" s="1546">
        <v>6855.63</v>
      </c>
      <c r="AK44" s="1547">
        <v>51460.75</v>
      </c>
      <c r="AL44" s="1547">
        <v>52479.13</v>
      </c>
      <c r="AM44" s="1547">
        <v>46431.39</v>
      </c>
      <c r="AN44" s="1547">
        <v>45980.57</v>
      </c>
      <c r="AO44" s="1547">
        <v>43587.69</v>
      </c>
      <c r="AP44" s="1547">
        <v>43776.44</v>
      </c>
      <c r="AQ44" s="1547">
        <v>43484.89</v>
      </c>
      <c r="AR44" s="1547">
        <v>42814.36</v>
      </c>
      <c r="AS44" s="1547">
        <v>43151.23</v>
      </c>
      <c r="AT44" s="1547">
        <v>42835.13</v>
      </c>
      <c r="AU44" s="1547">
        <v>42029.54</v>
      </c>
      <c r="AV44" s="1547">
        <v>41423.129999999997</v>
      </c>
      <c r="AX44" s="1548">
        <v>73413.989999999991</v>
      </c>
      <c r="AY44" s="1548">
        <v>72938.34</v>
      </c>
      <c r="AZ44" s="1548">
        <v>68959.88</v>
      </c>
      <c r="BA44" s="1548">
        <v>67443.14</v>
      </c>
      <c r="BB44" s="1548">
        <v>65398.62</v>
      </c>
      <c r="BC44" s="1548">
        <v>65260.700000000004</v>
      </c>
      <c r="BD44" s="1548">
        <v>66012.34</v>
      </c>
      <c r="BE44" s="1548">
        <v>63487.5</v>
      </c>
      <c r="BF44" s="1548">
        <v>64706.33</v>
      </c>
      <c r="BG44" s="1548">
        <v>64701.649999999994</v>
      </c>
      <c r="BH44" s="1548">
        <v>61980.95</v>
      </c>
      <c r="BI44" s="1548">
        <v>62990.84</v>
      </c>
    </row>
    <row r="45" spans="1:61" ht="12.75">
      <c r="A45" s="729" t="s">
        <v>1937</v>
      </c>
      <c r="B45" s="1214">
        <v>18609111.859999999</v>
      </c>
      <c r="C45" s="1214"/>
      <c r="D45" s="1530" t="s">
        <v>1898</v>
      </c>
      <c r="E45" s="1530" t="s">
        <v>1899</v>
      </c>
      <c r="G45" s="1544">
        <f t="shared" si="0"/>
        <v>5.4072604507181814E-2</v>
      </c>
      <c r="H45" s="1544">
        <v>6.5954166865928874E-3</v>
      </c>
      <c r="I45" s="1544">
        <v>2.6723796636668067E-3</v>
      </c>
      <c r="K45" s="1545">
        <v>16569.310000000001</v>
      </c>
      <c r="L45" s="1545">
        <v>14676.15</v>
      </c>
      <c r="M45" s="1545">
        <v>16446.52</v>
      </c>
      <c r="N45" s="1545">
        <v>15693.96</v>
      </c>
      <c r="O45" s="1545">
        <v>16288.76</v>
      </c>
      <c r="P45" s="1545">
        <v>15905.05</v>
      </c>
      <c r="Q45" s="1545">
        <v>16801.59</v>
      </c>
      <c r="R45" s="1545">
        <v>15235.66</v>
      </c>
      <c r="S45" s="1545">
        <v>16014.77</v>
      </c>
      <c r="T45" s="1545">
        <v>16253.46</v>
      </c>
      <c r="U45" s="1545">
        <v>14872.8</v>
      </c>
      <c r="V45" s="1545">
        <v>16137.69</v>
      </c>
      <c r="X45" s="1546">
        <v>7511.21</v>
      </c>
      <c r="Y45" s="1546">
        <v>7765.57</v>
      </c>
      <c r="Z45" s="1546">
        <v>8264.99</v>
      </c>
      <c r="AA45" s="1546">
        <v>7848.35</v>
      </c>
      <c r="AB45" s="1546">
        <v>7635.67</v>
      </c>
      <c r="AC45" s="1546">
        <v>7661.05</v>
      </c>
      <c r="AD45" s="1546">
        <v>7908.79</v>
      </c>
      <c r="AE45" s="1546">
        <v>7440.72</v>
      </c>
      <c r="AF45" s="1546">
        <v>7629.04</v>
      </c>
      <c r="AG45" s="1546">
        <v>7731.95</v>
      </c>
      <c r="AH45" s="1546">
        <v>7011.92</v>
      </c>
      <c r="AI45" s="1546">
        <v>7519.94</v>
      </c>
      <c r="AK45" s="1547">
        <v>56447.34</v>
      </c>
      <c r="AL45" s="1547">
        <v>57564.4</v>
      </c>
      <c r="AM45" s="1547">
        <v>50930.62</v>
      </c>
      <c r="AN45" s="1547">
        <v>50436.13</v>
      </c>
      <c r="AO45" s="1547">
        <v>47811.37</v>
      </c>
      <c r="AP45" s="1547">
        <v>48018.41</v>
      </c>
      <c r="AQ45" s="1547">
        <v>47698.61</v>
      </c>
      <c r="AR45" s="1547">
        <v>46963.11</v>
      </c>
      <c r="AS45" s="1547">
        <v>47332.61</v>
      </c>
      <c r="AT45" s="1547">
        <v>46985.89</v>
      </c>
      <c r="AU45" s="1547">
        <v>46102.239999999998</v>
      </c>
      <c r="AV45" s="1547">
        <v>45437.07</v>
      </c>
      <c r="AX45" s="1548">
        <v>80527.86</v>
      </c>
      <c r="AY45" s="1548">
        <v>80006.12</v>
      </c>
      <c r="AZ45" s="1548">
        <v>75642.13</v>
      </c>
      <c r="BA45" s="1548">
        <v>73978.44</v>
      </c>
      <c r="BB45" s="1548">
        <v>71735.8</v>
      </c>
      <c r="BC45" s="1548">
        <v>71584.510000000009</v>
      </c>
      <c r="BD45" s="1548">
        <v>72408.990000000005</v>
      </c>
      <c r="BE45" s="1548">
        <v>69639.490000000005</v>
      </c>
      <c r="BF45" s="1548">
        <v>70976.42</v>
      </c>
      <c r="BG45" s="1548">
        <v>70971.3</v>
      </c>
      <c r="BH45" s="1548">
        <v>67986.959999999992</v>
      </c>
      <c r="BI45" s="1548">
        <v>69094.7</v>
      </c>
    </row>
    <row r="46" spans="1:61" ht="12.75">
      <c r="A46" s="729" t="s">
        <v>1938</v>
      </c>
      <c r="B46" s="1214">
        <v>19149513.430000003</v>
      </c>
      <c r="C46" s="1214"/>
      <c r="D46" s="1530" t="s">
        <v>1898</v>
      </c>
      <c r="E46" s="1530" t="s">
        <v>1899</v>
      </c>
      <c r="G46" s="1544">
        <f t="shared" si="0"/>
        <v>5.5642852490508744E-2</v>
      </c>
      <c r="H46" s="1544">
        <v>6.7869450926260717E-3</v>
      </c>
      <c r="I46" s="1544">
        <v>2.7499845583413246E-3</v>
      </c>
      <c r="K46" s="1545">
        <v>17050.48</v>
      </c>
      <c r="L46" s="1545">
        <v>15102.34</v>
      </c>
      <c r="M46" s="1545">
        <v>16924.12</v>
      </c>
      <c r="N46" s="1545">
        <v>16149.71</v>
      </c>
      <c r="O46" s="1545">
        <v>16761.78</v>
      </c>
      <c r="P46" s="1545">
        <v>16366.92</v>
      </c>
      <c r="Q46" s="1545">
        <v>17289.509999999998</v>
      </c>
      <c r="R46" s="1545">
        <v>15678.1</v>
      </c>
      <c r="S46" s="1545">
        <v>16479.830000000002</v>
      </c>
      <c r="T46" s="1545">
        <v>16725.45</v>
      </c>
      <c r="U46" s="1545">
        <v>15304.7</v>
      </c>
      <c r="V46" s="1545">
        <v>16606.32</v>
      </c>
      <c r="X46" s="1546">
        <v>7729.33</v>
      </c>
      <c r="Y46" s="1546">
        <v>7991.08</v>
      </c>
      <c r="Z46" s="1546">
        <v>8505</v>
      </c>
      <c r="AA46" s="1546">
        <v>8076.26</v>
      </c>
      <c r="AB46" s="1546">
        <v>7857.41</v>
      </c>
      <c r="AC46" s="1546">
        <v>7883.53</v>
      </c>
      <c r="AD46" s="1546">
        <v>8138.45</v>
      </c>
      <c r="AE46" s="1546">
        <v>7656.8</v>
      </c>
      <c r="AF46" s="1546">
        <v>7850.58</v>
      </c>
      <c r="AG46" s="1546">
        <v>7956.48</v>
      </c>
      <c r="AH46" s="1546">
        <v>7215.54</v>
      </c>
      <c r="AI46" s="1546">
        <v>7738.32</v>
      </c>
      <c r="AK46" s="1547">
        <v>58086.55</v>
      </c>
      <c r="AL46" s="1547">
        <v>59236.04</v>
      </c>
      <c r="AM46" s="1547">
        <v>52409.63</v>
      </c>
      <c r="AN46" s="1547">
        <v>51900.77</v>
      </c>
      <c r="AO46" s="1547">
        <v>49199.79</v>
      </c>
      <c r="AP46" s="1547">
        <v>49412.84</v>
      </c>
      <c r="AQ46" s="1547">
        <v>49083.76</v>
      </c>
      <c r="AR46" s="1547">
        <v>48326.9</v>
      </c>
      <c r="AS46" s="1547">
        <v>48707.14</v>
      </c>
      <c r="AT46" s="1547">
        <v>48350.34</v>
      </c>
      <c r="AU46" s="1547">
        <v>47441.03</v>
      </c>
      <c r="AV46" s="1547">
        <v>46756.54</v>
      </c>
      <c r="AX46" s="1548">
        <v>82866.36</v>
      </c>
      <c r="AY46" s="1548">
        <v>82329.459999999992</v>
      </c>
      <c r="AZ46" s="1548">
        <v>77838.75</v>
      </c>
      <c r="BA46" s="1548">
        <v>76126.739999999991</v>
      </c>
      <c r="BB46" s="1548">
        <v>73818.98</v>
      </c>
      <c r="BC46" s="1548">
        <v>73663.289999999994</v>
      </c>
      <c r="BD46" s="1548">
        <v>74511.72</v>
      </c>
      <c r="BE46" s="1548">
        <v>71661.8</v>
      </c>
      <c r="BF46" s="1548">
        <v>73037.55</v>
      </c>
      <c r="BG46" s="1548">
        <v>73032.26999999999</v>
      </c>
      <c r="BH46" s="1548">
        <v>69961.27</v>
      </c>
      <c r="BI46" s="1548">
        <v>71101.179999999993</v>
      </c>
    </row>
    <row r="47" spans="1:61" s="645" customFormat="1" ht="12.75">
      <c r="A47" s="1549" t="s">
        <v>1939</v>
      </c>
      <c r="B47" s="1550">
        <v>25174350.569999997</v>
      </c>
      <c r="C47" s="1550"/>
      <c r="D47" s="1551" t="s">
        <v>1898</v>
      </c>
      <c r="E47" s="1551" t="s">
        <v>1899</v>
      </c>
      <c r="F47" s="1550"/>
      <c r="G47" s="1552">
        <f t="shared" si="0"/>
        <v>7.3149256790848091E-2</v>
      </c>
      <c r="H47" s="1552">
        <v>8.9222598624068439E-3</v>
      </c>
      <c r="I47" s="1552">
        <v>3.6151871736498269E-3</v>
      </c>
      <c r="J47" s="1553"/>
      <c r="K47" s="1554">
        <v>22414.91</v>
      </c>
      <c r="L47" s="1554">
        <v>19853.849999999999</v>
      </c>
      <c r="M47" s="1554">
        <v>22248.81</v>
      </c>
      <c r="N47" s="1554">
        <v>21230.74</v>
      </c>
      <c r="O47" s="1554">
        <v>22035.38</v>
      </c>
      <c r="P47" s="1554">
        <v>21516.3</v>
      </c>
      <c r="Q47" s="1554">
        <v>22729.15</v>
      </c>
      <c r="R47" s="1554">
        <v>20610.75</v>
      </c>
      <c r="S47" s="1554">
        <v>21664.73</v>
      </c>
      <c r="T47" s="1554">
        <v>21987.63</v>
      </c>
      <c r="U47" s="1554">
        <v>20119.88</v>
      </c>
      <c r="V47" s="1554">
        <v>21831.02</v>
      </c>
      <c r="W47" s="1553"/>
      <c r="X47" s="1555">
        <v>10161.14</v>
      </c>
      <c r="Y47" s="1555">
        <v>10505.24</v>
      </c>
      <c r="Z47" s="1555">
        <v>11180.85</v>
      </c>
      <c r="AA47" s="1555">
        <v>10617.22</v>
      </c>
      <c r="AB47" s="1555">
        <v>10329.51</v>
      </c>
      <c r="AC47" s="1555">
        <v>10363.85</v>
      </c>
      <c r="AD47" s="1555">
        <v>10698.98</v>
      </c>
      <c r="AE47" s="1555">
        <v>10065.790000000001</v>
      </c>
      <c r="AF47" s="1555">
        <v>10320.540000000001</v>
      </c>
      <c r="AG47" s="1555">
        <v>10459.76</v>
      </c>
      <c r="AH47" s="1555">
        <v>9485.7000000000007</v>
      </c>
      <c r="AI47" s="1555">
        <v>10172.959999999999</v>
      </c>
      <c r="AJ47" s="1556"/>
      <c r="AK47" s="1557">
        <v>76361.789999999994</v>
      </c>
      <c r="AL47" s="1557">
        <v>77872.94</v>
      </c>
      <c r="AM47" s="1557">
        <v>68898.789999999994</v>
      </c>
      <c r="AN47" s="1557">
        <v>68229.84</v>
      </c>
      <c r="AO47" s="1557">
        <v>64679.08</v>
      </c>
      <c r="AP47" s="1557">
        <v>64959.15</v>
      </c>
      <c r="AQ47" s="1557">
        <v>64526.54</v>
      </c>
      <c r="AR47" s="1557">
        <v>63531.55</v>
      </c>
      <c r="AS47" s="1557">
        <v>64031.42</v>
      </c>
      <c r="AT47" s="1557">
        <v>63562.37</v>
      </c>
      <c r="AU47" s="1557">
        <v>62366.97</v>
      </c>
      <c r="AV47" s="1557">
        <v>61467.13</v>
      </c>
      <c r="AW47" s="1556"/>
      <c r="AX47" s="1558">
        <v>108937.84</v>
      </c>
      <c r="AY47" s="1558">
        <v>108232.03</v>
      </c>
      <c r="AZ47" s="1558">
        <v>102328.45</v>
      </c>
      <c r="BA47" s="1558">
        <v>100077.79999999999</v>
      </c>
      <c r="BB47" s="1558">
        <v>97043.97</v>
      </c>
      <c r="BC47" s="1558">
        <v>96839.3</v>
      </c>
      <c r="BD47" s="1558">
        <v>97954.670000000013</v>
      </c>
      <c r="BE47" s="1558">
        <v>94208.09</v>
      </c>
      <c r="BF47" s="1558">
        <v>96016.69</v>
      </c>
      <c r="BG47" s="1558">
        <v>96009.760000000009</v>
      </c>
      <c r="BH47" s="1558">
        <v>91972.55</v>
      </c>
      <c r="BI47" s="1558">
        <v>93471.11</v>
      </c>
    </row>
    <row r="48" spans="1:61" ht="12.75">
      <c r="A48" s="729" t="s">
        <v>1940</v>
      </c>
      <c r="B48" s="1214">
        <v>38395269.280000001</v>
      </c>
      <c r="C48" s="1214"/>
      <c r="D48" s="1530" t="s">
        <v>1898</v>
      </c>
      <c r="E48" s="1530" t="s">
        <v>1899</v>
      </c>
      <c r="G48" s="1544">
        <f t="shared" si="0"/>
        <v>0.11156535714027287</v>
      </c>
      <c r="H48" s="1544">
        <v>1.3608000295804515E-2</v>
      </c>
      <c r="I48" s="1544">
        <v>5.5137901033006573E-3</v>
      </c>
      <c r="K48" s="1545">
        <v>34186.639999999999</v>
      </c>
      <c r="L48" s="1545">
        <v>30280.59</v>
      </c>
      <c r="M48" s="1545">
        <v>33933.31</v>
      </c>
      <c r="N48" s="1545">
        <v>32380.58</v>
      </c>
      <c r="O48" s="1545">
        <v>33607.800000000003</v>
      </c>
      <c r="P48" s="1545">
        <v>32816.1</v>
      </c>
      <c r="Q48" s="1545">
        <v>34665.910000000003</v>
      </c>
      <c r="R48" s="1545">
        <v>31434.99</v>
      </c>
      <c r="S48" s="1545">
        <v>33042.49</v>
      </c>
      <c r="T48" s="1545">
        <v>33534.97</v>
      </c>
      <c r="U48" s="1545">
        <v>30686.32</v>
      </c>
      <c r="V48" s="1545">
        <v>33296.11</v>
      </c>
      <c r="X48" s="1546">
        <v>15497.51</v>
      </c>
      <c r="Y48" s="1546">
        <v>16022.32</v>
      </c>
      <c r="Z48" s="1546">
        <v>17052.75</v>
      </c>
      <c r="AA48" s="1546">
        <v>16193.11</v>
      </c>
      <c r="AB48" s="1546">
        <v>15754.3</v>
      </c>
      <c r="AC48" s="1546">
        <v>15806.68</v>
      </c>
      <c r="AD48" s="1546">
        <v>16317.81</v>
      </c>
      <c r="AE48" s="1546">
        <v>15352.08</v>
      </c>
      <c r="AF48" s="1546">
        <v>15740.62</v>
      </c>
      <c r="AG48" s="1546">
        <v>15952.95</v>
      </c>
      <c r="AH48" s="1546">
        <v>14467.35</v>
      </c>
      <c r="AI48" s="1546">
        <v>15515.53</v>
      </c>
      <c r="AK48" s="1547">
        <v>116465.03</v>
      </c>
      <c r="AL48" s="1547">
        <v>118769.8</v>
      </c>
      <c r="AM48" s="1547">
        <v>105082.66</v>
      </c>
      <c r="AN48" s="1547">
        <v>104062.39</v>
      </c>
      <c r="AO48" s="1547">
        <v>98646.86</v>
      </c>
      <c r="AP48" s="1547">
        <v>99074.02</v>
      </c>
      <c r="AQ48" s="1547">
        <v>98414.21</v>
      </c>
      <c r="AR48" s="1547">
        <v>96896.68</v>
      </c>
      <c r="AS48" s="1547">
        <v>97659.06</v>
      </c>
      <c r="AT48" s="1547">
        <v>96943.69</v>
      </c>
      <c r="AU48" s="1547">
        <v>95120.49</v>
      </c>
      <c r="AV48" s="1547">
        <v>93748.08</v>
      </c>
      <c r="AX48" s="1548">
        <v>166149.18</v>
      </c>
      <c r="AY48" s="1548">
        <v>165072.71000000002</v>
      </c>
      <c r="AZ48" s="1548">
        <v>156068.72</v>
      </c>
      <c r="BA48" s="1548">
        <v>152636.08000000002</v>
      </c>
      <c r="BB48" s="1548">
        <v>148008.96000000002</v>
      </c>
      <c r="BC48" s="1548">
        <v>147696.79999999999</v>
      </c>
      <c r="BD48" s="1548">
        <v>149397.93</v>
      </c>
      <c r="BE48" s="1548">
        <v>143683.75</v>
      </c>
      <c r="BF48" s="1548">
        <v>146442.16999999998</v>
      </c>
      <c r="BG48" s="1548">
        <v>146431.60999999999</v>
      </c>
      <c r="BH48" s="1548">
        <v>140274.16</v>
      </c>
      <c r="BI48" s="1548">
        <v>142559.72</v>
      </c>
    </row>
    <row r="49" spans="1:61" ht="12.75">
      <c r="A49" s="729" t="s">
        <v>1941</v>
      </c>
      <c r="B49" s="1214">
        <v>41912976.660000004</v>
      </c>
      <c r="C49" s="1214"/>
      <c r="D49" s="1530" t="s">
        <v>1898</v>
      </c>
      <c r="E49" s="1530" t="s">
        <v>1899</v>
      </c>
      <c r="G49" s="1544">
        <f t="shared" si="0"/>
        <v>0.12178677992292547</v>
      </c>
      <c r="H49" s="1544">
        <v>1.4854741469007553E-2</v>
      </c>
      <c r="I49" s="1544">
        <v>6.0189539034736896E-3</v>
      </c>
      <c r="K49" s="1545">
        <v>37318.76</v>
      </c>
      <c r="L49" s="1545">
        <v>33054.839999999997</v>
      </c>
      <c r="M49" s="1545">
        <v>37042.22</v>
      </c>
      <c r="N49" s="1545">
        <v>35347.230000000003</v>
      </c>
      <c r="O49" s="1545">
        <v>36686.879999999997</v>
      </c>
      <c r="P49" s="1545">
        <v>35822.65</v>
      </c>
      <c r="Q49" s="1545">
        <v>37841.94</v>
      </c>
      <c r="R49" s="1545">
        <v>34315.01</v>
      </c>
      <c r="S49" s="1545">
        <v>36069.79</v>
      </c>
      <c r="T49" s="1545">
        <v>36607.379999999997</v>
      </c>
      <c r="U49" s="1545">
        <v>33497.75</v>
      </c>
      <c r="V49" s="1545">
        <v>36346.639999999999</v>
      </c>
      <c r="X49" s="1546">
        <v>16917.37</v>
      </c>
      <c r="Y49" s="1546">
        <v>17490.259999999998</v>
      </c>
      <c r="Z49" s="1546">
        <v>18615.09</v>
      </c>
      <c r="AA49" s="1546">
        <v>17676.7</v>
      </c>
      <c r="AB49" s="1546">
        <v>17197.689999999999</v>
      </c>
      <c r="AC49" s="1546">
        <v>17254.86</v>
      </c>
      <c r="AD49" s="1546">
        <v>17812.82</v>
      </c>
      <c r="AE49" s="1546">
        <v>16758.61</v>
      </c>
      <c r="AF49" s="1546">
        <v>17182.75</v>
      </c>
      <c r="AG49" s="1546">
        <v>17414.53</v>
      </c>
      <c r="AH49" s="1546">
        <v>15792.82</v>
      </c>
      <c r="AI49" s="1546">
        <v>16937.03</v>
      </c>
      <c r="AK49" s="1547">
        <v>127135.35</v>
      </c>
      <c r="AL49" s="1547">
        <v>129651.28</v>
      </c>
      <c r="AM49" s="1547">
        <v>114710.15</v>
      </c>
      <c r="AN49" s="1547">
        <v>113596.41</v>
      </c>
      <c r="AO49" s="1547">
        <v>107684.71</v>
      </c>
      <c r="AP49" s="1547">
        <v>108151.01</v>
      </c>
      <c r="AQ49" s="1547">
        <v>107430.75</v>
      </c>
      <c r="AR49" s="1547">
        <v>105774.18</v>
      </c>
      <c r="AS49" s="1547">
        <v>106606.42</v>
      </c>
      <c r="AT49" s="1547">
        <v>105825.5</v>
      </c>
      <c r="AU49" s="1547">
        <v>103835.26</v>
      </c>
      <c r="AV49" s="1547">
        <v>102337.11</v>
      </c>
      <c r="AX49" s="1548">
        <v>181371.48</v>
      </c>
      <c r="AY49" s="1548">
        <v>180196.38</v>
      </c>
      <c r="AZ49" s="1548">
        <v>170367.46</v>
      </c>
      <c r="BA49" s="1548">
        <v>166620.34000000003</v>
      </c>
      <c r="BB49" s="1548">
        <v>161569.28</v>
      </c>
      <c r="BC49" s="1548">
        <v>161228.51999999999</v>
      </c>
      <c r="BD49" s="1548">
        <v>163085.51</v>
      </c>
      <c r="BE49" s="1548">
        <v>156847.79999999999</v>
      </c>
      <c r="BF49" s="1548">
        <v>159858.96</v>
      </c>
      <c r="BG49" s="1548">
        <v>159847.41</v>
      </c>
      <c r="BH49" s="1548">
        <v>153125.82999999999</v>
      </c>
      <c r="BI49" s="1548">
        <v>155620.78</v>
      </c>
    </row>
    <row r="50" spans="1:61" ht="12.75">
      <c r="B50" s="1214"/>
      <c r="C50" s="1214"/>
      <c r="G50" s="1544"/>
      <c r="H50" s="1544"/>
      <c r="I50" s="1544"/>
      <c r="K50" s="1545"/>
      <c r="L50" s="1545"/>
      <c r="M50" s="1545"/>
      <c r="N50" s="1545"/>
      <c r="O50" s="1545"/>
      <c r="P50" s="1545"/>
      <c r="Q50" s="1545"/>
      <c r="R50" s="1545"/>
      <c r="S50" s="1545"/>
      <c r="T50" s="1545"/>
      <c r="U50" s="1545"/>
      <c r="V50" s="1545"/>
      <c r="X50" s="1546"/>
      <c r="Y50" s="1546"/>
      <c r="Z50" s="1546"/>
      <c r="AA50" s="1546"/>
      <c r="AB50" s="1546"/>
      <c r="AC50" s="1546"/>
      <c r="AD50" s="1546"/>
      <c r="AE50" s="1546"/>
      <c r="AF50" s="1546"/>
      <c r="AG50" s="1546"/>
      <c r="AH50" s="1546"/>
      <c r="AI50" s="1546"/>
      <c r="AK50" s="1547"/>
      <c r="AL50" s="1547"/>
      <c r="AM50" s="1547"/>
      <c r="AN50" s="1547"/>
      <c r="AO50" s="1547"/>
      <c r="AP50" s="1547"/>
      <c r="AQ50" s="1547"/>
      <c r="AR50" s="1547"/>
      <c r="AS50" s="1547"/>
      <c r="AT50" s="1547"/>
      <c r="AU50" s="1547"/>
      <c r="AV50" s="1547"/>
      <c r="AX50" s="1548"/>
      <c r="AY50" s="1548"/>
      <c r="AZ50" s="1548"/>
      <c r="BA50" s="1548"/>
      <c r="BB50" s="1548"/>
      <c r="BC50" s="1548"/>
      <c r="BD50" s="1548"/>
      <c r="BE50" s="1548"/>
      <c r="BF50" s="1548"/>
      <c r="BG50" s="1548"/>
      <c r="BH50" s="1548"/>
      <c r="BI50" s="1548"/>
    </row>
    <row r="51" spans="1:61" ht="12.75">
      <c r="A51" s="1559" t="s">
        <v>1942</v>
      </c>
      <c r="B51" s="1214">
        <f>SUM(B7:B50)</f>
        <v>344150462.69</v>
      </c>
      <c r="C51" s="1214"/>
      <c r="D51" s="1530" t="str">
        <f>+D49</f>
        <v>A53</v>
      </c>
      <c r="E51" s="1530" t="str">
        <f>+E49</f>
        <v>R4</v>
      </c>
      <c r="G51" s="1544">
        <f>SUM(G7:G50)</f>
        <v>0.99999999999999978</v>
      </c>
      <c r="H51" s="1544">
        <f>SUM(H7:H50)</f>
        <v>0.1219733494752763</v>
      </c>
      <c r="I51" s="1544">
        <f>SUM(I7:I50)</f>
        <v>4.9422062947085649E-2</v>
      </c>
      <c r="K51" s="1545"/>
      <c r="L51" s="1545"/>
      <c r="M51" s="1545"/>
      <c r="N51" s="1545"/>
      <c r="O51" s="1545"/>
      <c r="P51" s="1545"/>
      <c r="Q51" s="1545"/>
      <c r="R51" s="1545"/>
      <c r="S51" s="1545"/>
      <c r="T51" s="1545"/>
      <c r="U51" s="1545"/>
      <c r="V51" s="1545"/>
      <c r="X51" s="1546"/>
      <c r="Y51" s="1546"/>
      <c r="Z51" s="1546"/>
      <c r="AA51" s="1546"/>
      <c r="AB51" s="1546"/>
      <c r="AC51" s="1546"/>
      <c r="AD51" s="1546"/>
      <c r="AE51" s="1546"/>
      <c r="AF51" s="1546"/>
      <c r="AG51" s="1546"/>
      <c r="AH51" s="1546"/>
      <c r="AI51" s="1546"/>
      <c r="AK51" s="1547"/>
      <c r="AL51" s="1547"/>
      <c r="AM51" s="1547"/>
      <c r="AN51" s="1547"/>
      <c r="AO51" s="1547"/>
      <c r="AP51" s="1547"/>
      <c r="AQ51" s="1547"/>
      <c r="AR51" s="1547"/>
      <c r="AS51" s="1547"/>
      <c r="AT51" s="1547"/>
      <c r="AU51" s="1547"/>
      <c r="AV51" s="1547"/>
      <c r="AX51" s="1548"/>
      <c r="AY51" s="1548"/>
      <c r="AZ51" s="1548"/>
      <c r="BA51" s="1548"/>
      <c r="BB51" s="1548"/>
      <c r="BC51" s="1548"/>
      <c r="BD51" s="1548"/>
      <c r="BE51" s="1548"/>
      <c r="BF51" s="1548"/>
      <c r="BG51" s="1548"/>
      <c r="BH51" s="1548"/>
      <c r="BI51" s="1548"/>
    </row>
    <row r="52" spans="1:61" ht="12.75">
      <c r="B52" s="1214"/>
      <c r="C52" s="1214"/>
      <c r="G52" s="1544"/>
      <c r="H52" s="1544"/>
      <c r="I52" s="1544"/>
      <c r="K52" s="1545"/>
      <c r="L52" s="1545"/>
      <c r="M52" s="1545"/>
      <c r="N52" s="1545"/>
      <c r="O52" s="1545"/>
      <c r="P52" s="1545"/>
      <c r="Q52" s="1545"/>
      <c r="R52" s="1545"/>
      <c r="S52" s="1545"/>
      <c r="T52" s="1545"/>
      <c r="U52" s="1545"/>
      <c r="V52" s="1545"/>
      <c r="X52" s="1546"/>
      <c r="Y52" s="1546"/>
      <c r="Z52" s="1546"/>
      <c r="AA52" s="1546"/>
      <c r="AB52" s="1546"/>
      <c r="AC52" s="1546"/>
      <c r="AD52" s="1546"/>
      <c r="AE52" s="1546"/>
      <c r="AF52" s="1546"/>
      <c r="AG52" s="1546"/>
      <c r="AH52" s="1546"/>
      <c r="AI52" s="1546"/>
      <c r="AK52" s="1547"/>
      <c r="AL52" s="1547"/>
      <c r="AM52" s="1547"/>
      <c r="AN52" s="1547"/>
      <c r="AO52" s="1547"/>
      <c r="AP52" s="1547"/>
      <c r="AQ52" s="1547"/>
      <c r="AR52" s="1547"/>
      <c r="AS52" s="1547"/>
      <c r="AT52" s="1547"/>
      <c r="AU52" s="1547"/>
      <c r="AV52" s="1547"/>
      <c r="AX52" s="1548"/>
      <c r="AY52" s="1548"/>
      <c r="AZ52" s="1548"/>
      <c r="BA52" s="1548"/>
      <c r="BB52" s="1548"/>
      <c r="BC52" s="1548"/>
      <c r="BD52" s="1548"/>
      <c r="BE52" s="1548"/>
      <c r="BF52" s="1548"/>
      <c r="BG52" s="1548"/>
      <c r="BH52" s="1548"/>
      <c r="BI52" s="1548"/>
    </row>
    <row r="53" spans="1:61" ht="12.75">
      <c r="B53" s="1214"/>
      <c r="C53" s="1214"/>
      <c r="G53" s="1544"/>
      <c r="H53" s="1544"/>
      <c r="I53" s="1544"/>
      <c r="K53" s="1545"/>
      <c r="L53" s="1545"/>
      <c r="M53" s="1545"/>
      <c r="N53" s="1545"/>
      <c r="O53" s="1545"/>
      <c r="P53" s="1545"/>
      <c r="Q53" s="1545"/>
      <c r="R53" s="1545"/>
      <c r="S53" s="1545"/>
      <c r="T53" s="1545"/>
      <c r="U53" s="1545"/>
      <c r="V53" s="1545"/>
      <c r="X53" s="1546"/>
      <c r="Y53" s="1546"/>
      <c r="Z53" s="1546"/>
      <c r="AA53" s="1546"/>
      <c r="AB53" s="1546"/>
      <c r="AC53" s="1546"/>
      <c r="AD53" s="1546"/>
      <c r="AE53" s="1546"/>
      <c r="AF53" s="1546"/>
      <c r="AG53" s="1546"/>
      <c r="AH53" s="1546"/>
      <c r="AI53" s="1546"/>
      <c r="AK53" s="1547"/>
      <c r="AL53" s="1547"/>
      <c r="AM53" s="1547"/>
      <c r="AN53" s="1547"/>
      <c r="AO53" s="1547"/>
      <c r="AP53" s="1547"/>
      <c r="AQ53" s="1547"/>
      <c r="AR53" s="1547"/>
      <c r="AS53" s="1547"/>
      <c r="AT53" s="1547"/>
      <c r="AU53" s="1547"/>
      <c r="AV53" s="1547"/>
      <c r="AX53" s="1548"/>
      <c r="AY53" s="1548"/>
      <c r="AZ53" s="1548"/>
      <c r="BA53" s="1548"/>
      <c r="BB53" s="1548"/>
      <c r="BC53" s="1548"/>
      <c r="BD53" s="1548"/>
      <c r="BE53" s="1548"/>
      <c r="BF53" s="1548"/>
      <c r="BG53" s="1548"/>
      <c r="BH53" s="1548"/>
      <c r="BI53" s="1548"/>
    </row>
    <row r="54" spans="1:61" ht="12.75">
      <c r="B54" s="1214"/>
      <c r="C54" s="1214"/>
      <c r="G54" s="1544"/>
      <c r="H54" s="1544"/>
      <c r="I54" s="1544"/>
      <c r="K54" s="1545"/>
      <c r="L54" s="1545"/>
      <c r="M54" s="1545"/>
      <c r="N54" s="1545"/>
      <c r="O54" s="1545"/>
      <c r="P54" s="1545"/>
      <c r="Q54" s="1545"/>
      <c r="R54" s="1545"/>
      <c r="S54" s="1545"/>
      <c r="T54" s="1545"/>
      <c r="U54" s="1545"/>
      <c r="V54" s="1545"/>
      <c r="X54" s="1546"/>
      <c r="Y54" s="1546"/>
      <c r="Z54" s="1546"/>
      <c r="AA54" s="1546"/>
      <c r="AB54" s="1546"/>
      <c r="AC54" s="1546"/>
      <c r="AD54" s="1546"/>
      <c r="AE54" s="1546"/>
      <c r="AF54" s="1546"/>
      <c r="AG54" s="1546"/>
      <c r="AH54" s="1546"/>
      <c r="AI54" s="1546"/>
      <c r="AK54" s="1547"/>
      <c r="AL54" s="1547"/>
      <c r="AM54" s="1547"/>
      <c r="AN54" s="1547"/>
      <c r="AO54" s="1547"/>
      <c r="AP54" s="1547"/>
      <c r="AQ54" s="1547"/>
      <c r="AR54" s="1547"/>
      <c r="AS54" s="1547"/>
      <c r="AT54" s="1547"/>
      <c r="AU54" s="1547"/>
      <c r="AV54" s="1547"/>
      <c r="AX54" s="1548"/>
      <c r="AY54" s="1548"/>
      <c r="AZ54" s="1548"/>
      <c r="BA54" s="1548"/>
      <c r="BB54" s="1548"/>
      <c r="BC54" s="1548"/>
      <c r="BD54" s="1548"/>
      <c r="BE54" s="1548"/>
      <c r="BF54" s="1548"/>
      <c r="BG54" s="1548"/>
      <c r="BH54" s="1548"/>
      <c r="BI54" s="1548"/>
    </row>
    <row r="55" spans="1:61" ht="12.75">
      <c r="B55" s="1214"/>
      <c r="C55" s="1214"/>
      <c r="G55" s="1544"/>
      <c r="H55" s="1544"/>
      <c r="I55" s="1544"/>
      <c r="K55" s="1545"/>
      <c r="L55" s="1545"/>
      <c r="M55" s="1545"/>
      <c r="N55" s="1545"/>
      <c r="O55" s="1545"/>
      <c r="P55" s="1545"/>
      <c r="Q55" s="1545"/>
      <c r="R55" s="1545"/>
      <c r="S55" s="1545"/>
      <c r="T55" s="1545"/>
      <c r="U55" s="1545"/>
      <c r="V55" s="1545"/>
      <c r="X55" s="1546"/>
      <c r="Y55" s="1546"/>
      <c r="Z55" s="1546"/>
      <c r="AA55" s="1546"/>
      <c r="AB55" s="1546"/>
      <c r="AC55" s="1546"/>
      <c r="AD55" s="1546"/>
      <c r="AE55" s="1546"/>
      <c r="AF55" s="1546"/>
      <c r="AG55" s="1546"/>
      <c r="AH55" s="1546"/>
      <c r="AI55" s="1546"/>
      <c r="AK55" s="1547"/>
      <c r="AL55" s="1547"/>
      <c r="AM55" s="1547"/>
      <c r="AN55" s="1547"/>
      <c r="AO55" s="1547"/>
      <c r="AP55" s="1547"/>
      <c r="AQ55" s="1547"/>
      <c r="AR55" s="1547"/>
      <c r="AS55" s="1547"/>
      <c r="AT55" s="1547"/>
      <c r="AU55" s="1547"/>
      <c r="AV55" s="1547"/>
      <c r="AX55" s="1548"/>
      <c r="AY55" s="1548"/>
      <c r="AZ55" s="1548"/>
      <c r="BA55" s="1548"/>
      <c r="BB55" s="1548"/>
      <c r="BC55" s="1548"/>
      <c r="BD55" s="1548"/>
      <c r="BE55" s="1548"/>
      <c r="BF55" s="1548"/>
      <c r="BG55" s="1548"/>
      <c r="BH55" s="1548"/>
      <c r="BI55" s="1548"/>
    </row>
    <row r="56" spans="1:61" ht="12.75">
      <c r="B56" s="1214"/>
      <c r="C56" s="1214"/>
      <c r="G56" s="1544"/>
      <c r="H56" s="1544"/>
      <c r="I56" s="1544"/>
      <c r="K56" s="1545"/>
      <c r="L56" s="1545"/>
      <c r="M56" s="1545"/>
      <c r="N56" s="1545"/>
      <c r="O56" s="1545"/>
      <c r="P56" s="1545"/>
      <c r="Q56" s="1545"/>
      <c r="R56" s="1545"/>
      <c r="S56" s="1545"/>
      <c r="T56" s="1545"/>
      <c r="U56" s="1545"/>
      <c r="V56" s="1545"/>
      <c r="X56" s="1546"/>
      <c r="Y56" s="1546"/>
      <c r="Z56" s="1546"/>
      <c r="AA56" s="1546"/>
      <c r="AB56" s="1546"/>
      <c r="AC56" s="1546"/>
      <c r="AD56" s="1546"/>
      <c r="AE56" s="1546"/>
      <c r="AF56" s="1546"/>
      <c r="AG56" s="1546"/>
      <c r="AH56" s="1546"/>
      <c r="AI56" s="1546"/>
      <c r="AK56" s="1547"/>
      <c r="AL56" s="1547"/>
      <c r="AM56" s="1547"/>
      <c r="AN56" s="1547"/>
      <c r="AO56" s="1547"/>
      <c r="AP56" s="1547"/>
      <c r="AQ56" s="1547"/>
      <c r="AR56" s="1547"/>
      <c r="AS56" s="1547"/>
      <c r="AT56" s="1547"/>
      <c r="AU56" s="1547"/>
      <c r="AV56" s="1547"/>
      <c r="AX56" s="1548"/>
      <c r="AY56" s="1548"/>
      <c r="AZ56" s="1548"/>
      <c r="BA56" s="1548"/>
      <c r="BB56" s="1548"/>
      <c r="BC56" s="1548"/>
      <c r="BD56" s="1548"/>
      <c r="BE56" s="1548"/>
      <c r="BF56" s="1548"/>
      <c r="BG56" s="1548"/>
      <c r="BH56" s="1548"/>
      <c r="BI56" s="1548"/>
    </row>
    <row r="57" spans="1:61" ht="12.75">
      <c r="B57" s="1214"/>
      <c r="C57" s="1214"/>
      <c r="G57" s="1544"/>
      <c r="H57" s="1544"/>
      <c r="I57" s="1544"/>
      <c r="K57" s="1545"/>
      <c r="L57" s="1545"/>
      <c r="M57" s="1545"/>
      <c r="N57" s="1545"/>
      <c r="O57" s="1545"/>
      <c r="P57" s="1545"/>
      <c r="Q57" s="1545"/>
      <c r="R57" s="1545"/>
      <c r="S57" s="1545"/>
      <c r="T57" s="1545"/>
      <c r="U57" s="1545"/>
      <c r="V57" s="1545"/>
      <c r="X57" s="1546"/>
      <c r="Y57" s="1546"/>
      <c r="Z57" s="1546"/>
      <c r="AA57" s="1546"/>
      <c r="AB57" s="1546"/>
      <c r="AC57" s="1546"/>
      <c r="AD57" s="1546"/>
      <c r="AE57" s="1546"/>
      <c r="AF57" s="1546"/>
      <c r="AG57" s="1546"/>
      <c r="AH57" s="1546"/>
      <c r="AI57" s="1546"/>
      <c r="AK57" s="1547"/>
      <c r="AL57" s="1547"/>
      <c r="AM57" s="1547"/>
      <c r="AN57" s="1547"/>
      <c r="AO57" s="1547"/>
      <c r="AP57" s="1547"/>
      <c r="AQ57" s="1547"/>
      <c r="AR57" s="1547"/>
      <c r="AS57" s="1547"/>
      <c r="AT57" s="1547"/>
      <c r="AU57" s="1547"/>
      <c r="AV57" s="1547"/>
      <c r="AX57" s="1548"/>
      <c r="AY57" s="1548"/>
      <c r="AZ57" s="1548"/>
      <c r="BA57" s="1548"/>
      <c r="BB57" s="1548"/>
      <c r="BC57" s="1548"/>
      <c r="BD57" s="1548"/>
      <c r="BE57" s="1548"/>
      <c r="BF57" s="1548"/>
      <c r="BG57" s="1548"/>
      <c r="BH57" s="1548"/>
      <c r="BI57" s="1548"/>
    </row>
    <row r="58" spans="1:61" ht="12.75">
      <c r="B58" s="1214"/>
      <c r="C58" s="1214"/>
      <c r="G58" s="1544"/>
      <c r="H58" s="1544"/>
      <c r="I58" s="1544"/>
      <c r="K58" s="1545"/>
      <c r="L58" s="1545"/>
      <c r="M58" s="1545"/>
      <c r="N58" s="1545"/>
      <c r="O58" s="1545"/>
      <c r="P58" s="1545"/>
      <c r="Q58" s="1545"/>
      <c r="R58" s="1545"/>
      <c r="S58" s="1545"/>
      <c r="T58" s="1545"/>
      <c r="U58" s="1545"/>
      <c r="V58" s="1545"/>
      <c r="X58" s="1546"/>
      <c r="Y58" s="1546"/>
      <c r="Z58" s="1546"/>
      <c r="AA58" s="1546"/>
      <c r="AB58" s="1546"/>
      <c r="AC58" s="1546"/>
      <c r="AD58" s="1546"/>
      <c r="AE58" s="1546"/>
      <c r="AF58" s="1546"/>
      <c r="AG58" s="1546"/>
      <c r="AH58" s="1546"/>
      <c r="AI58" s="1546"/>
      <c r="AK58" s="1547"/>
      <c r="AL58" s="1547"/>
      <c r="AM58" s="1547"/>
      <c r="AN58" s="1547"/>
      <c r="AO58" s="1547"/>
      <c r="AP58" s="1547"/>
      <c r="AQ58" s="1547"/>
      <c r="AR58" s="1547"/>
      <c r="AS58" s="1547"/>
      <c r="AT58" s="1547"/>
      <c r="AU58" s="1547"/>
      <c r="AV58" s="1547"/>
      <c r="AX58" s="1548"/>
      <c r="AY58" s="1548"/>
      <c r="AZ58" s="1548"/>
      <c r="BA58" s="1548"/>
      <c r="BB58" s="1548"/>
      <c r="BC58" s="1548"/>
      <c r="BD58" s="1548"/>
      <c r="BE58" s="1548"/>
      <c r="BF58" s="1548"/>
      <c r="BG58" s="1548"/>
      <c r="BH58" s="1548"/>
      <c r="BI58" s="1548"/>
    </row>
    <row r="59" spans="1:61" ht="12.75">
      <c r="B59" s="1214"/>
      <c r="C59" s="1214"/>
      <c r="G59" s="1544"/>
      <c r="H59" s="1544"/>
      <c r="I59" s="1544"/>
      <c r="K59" s="1545"/>
      <c r="L59" s="1545"/>
      <c r="M59" s="1545"/>
      <c r="N59" s="1545"/>
      <c r="O59" s="1545"/>
      <c r="P59" s="1545"/>
      <c r="Q59" s="1545"/>
      <c r="R59" s="1545"/>
      <c r="S59" s="1545"/>
      <c r="T59" s="1545"/>
      <c r="U59" s="1545"/>
      <c r="V59" s="1545"/>
      <c r="X59" s="1546"/>
      <c r="Y59" s="1546"/>
      <c r="Z59" s="1546"/>
      <c r="AA59" s="1546"/>
      <c r="AB59" s="1546"/>
      <c r="AC59" s="1546"/>
      <c r="AD59" s="1546"/>
      <c r="AE59" s="1546"/>
      <c r="AF59" s="1546"/>
      <c r="AG59" s="1546"/>
      <c r="AH59" s="1546"/>
      <c r="AI59" s="1546"/>
      <c r="AK59" s="1547"/>
      <c r="AL59" s="1547"/>
      <c r="AM59" s="1547"/>
      <c r="AN59" s="1547"/>
      <c r="AO59" s="1547"/>
      <c r="AP59" s="1547"/>
      <c r="AQ59" s="1547"/>
      <c r="AR59" s="1547"/>
      <c r="AS59" s="1547"/>
      <c r="AT59" s="1547"/>
      <c r="AU59" s="1547"/>
      <c r="AV59" s="1547"/>
      <c r="AX59" s="1548"/>
      <c r="AY59" s="1548"/>
      <c r="AZ59" s="1548"/>
      <c r="BA59" s="1548"/>
      <c r="BB59" s="1548"/>
      <c r="BC59" s="1548"/>
      <c r="BD59" s="1548"/>
      <c r="BE59" s="1548"/>
      <c r="BF59" s="1548"/>
      <c r="BG59" s="1548"/>
      <c r="BH59" s="1548"/>
      <c r="BI59" s="1548"/>
    </row>
    <row r="60" spans="1:61" ht="12.75">
      <c r="B60" s="1214"/>
      <c r="C60" s="1214"/>
      <c r="G60" s="1544"/>
      <c r="H60" s="1544"/>
      <c r="I60" s="1544"/>
      <c r="K60" s="1545"/>
      <c r="L60" s="1545"/>
      <c r="M60" s="1545"/>
      <c r="N60" s="1545"/>
      <c r="O60" s="1545"/>
      <c r="P60" s="1545"/>
      <c r="Q60" s="1545"/>
      <c r="R60" s="1545"/>
      <c r="S60" s="1545"/>
      <c r="T60" s="1545"/>
      <c r="U60" s="1545"/>
      <c r="V60" s="1545"/>
      <c r="X60" s="1546"/>
      <c r="Y60" s="1546"/>
      <c r="Z60" s="1546"/>
      <c r="AA60" s="1546"/>
      <c r="AB60" s="1546"/>
      <c r="AC60" s="1546"/>
      <c r="AD60" s="1546"/>
      <c r="AE60" s="1546"/>
      <c r="AF60" s="1546"/>
      <c r="AG60" s="1546"/>
      <c r="AH60" s="1546"/>
      <c r="AI60" s="1546"/>
      <c r="AK60" s="1547"/>
      <c r="AL60" s="1547"/>
      <c r="AM60" s="1547"/>
      <c r="AN60" s="1547"/>
      <c r="AO60" s="1547"/>
      <c r="AP60" s="1547"/>
      <c r="AQ60" s="1547"/>
      <c r="AR60" s="1547"/>
      <c r="AS60" s="1547"/>
      <c r="AT60" s="1547"/>
      <c r="AU60" s="1547"/>
      <c r="AV60" s="1547"/>
      <c r="AX60" s="1548"/>
      <c r="AY60" s="1548"/>
      <c r="AZ60" s="1548"/>
      <c r="BA60" s="1548"/>
      <c r="BB60" s="1548"/>
      <c r="BC60" s="1548"/>
      <c r="BD60" s="1548"/>
      <c r="BE60" s="1548"/>
      <c r="BF60" s="1548"/>
      <c r="BG60" s="1548"/>
      <c r="BH60" s="1548"/>
      <c r="BI60" s="1548"/>
    </row>
    <row r="61" spans="1:61" ht="12.75">
      <c r="B61" s="1214"/>
      <c r="C61" s="1214"/>
      <c r="G61" s="1544"/>
      <c r="H61" s="1544"/>
      <c r="I61" s="1544"/>
      <c r="K61" s="1545"/>
      <c r="L61" s="1545"/>
      <c r="M61" s="1545"/>
      <c r="N61" s="1545"/>
      <c r="O61" s="1545"/>
      <c r="P61" s="1545"/>
      <c r="Q61" s="1545"/>
      <c r="R61" s="1545"/>
      <c r="S61" s="1545"/>
      <c r="T61" s="1545"/>
      <c r="U61" s="1545"/>
      <c r="V61" s="1545"/>
      <c r="X61" s="1546"/>
      <c r="Y61" s="1546"/>
      <c r="Z61" s="1546"/>
      <c r="AA61" s="1546"/>
      <c r="AB61" s="1546"/>
      <c r="AC61" s="1546"/>
      <c r="AD61" s="1546"/>
      <c r="AE61" s="1546"/>
      <c r="AF61" s="1546"/>
      <c r="AG61" s="1546"/>
      <c r="AH61" s="1546"/>
      <c r="AI61" s="1546"/>
      <c r="AK61" s="1547"/>
      <c r="AL61" s="1547"/>
      <c r="AM61" s="1547"/>
      <c r="AN61" s="1547"/>
      <c r="AO61" s="1547"/>
      <c r="AP61" s="1547"/>
      <c r="AQ61" s="1547"/>
      <c r="AR61" s="1547"/>
      <c r="AS61" s="1547"/>
      <c r="AT61" s="1547"/>
      <c r="AU61" s="1547"/>
      <c r="AV61" s="1547"/>
      <c r="AX61" s="1548"/>
      <c r="AY61" s="1548"/>
      <c r="AZ61" s="1548"/>
      <c r="BA61" s="1548"/>
      <c r="BB61" s="1548"/>
      <c r="BC61" s="1548"/>
      <c r="BD61" s="1548"/>
      <c r="BE61" s="1548"/>
      <c r="BF61" s="1548"/>
      <c r="BG61" s="1548"/>
      <c r="BH61" s="1548"/>
      <c r="BI61" s="1548"/>
    </row>
    <row r="62" spans="1:61" ht="12.75">
      <c r="B62" s="1214"/>
      <c r="C62" s="1214"/>
      <c r="G62" s="1544"/>
      <c r="H62" s="1544"/>
      <c r="I62" s="1544"/>
      <c r="K62" s="1545"/>
      <c r="L62" s="1545"/>
      <c r="M62" s="1545"/>
      <c r="N62" s="1545"/>
      <c r="O62" s="1545"/>
      <c r="P62" s="1545"/>
      <c r="Q62" s="1545"/>
      <c r="R62" s="1545"/>
      <c r="S62" s="1545"/>
      <c r="T62" s="1545"/>
      <c r="U62" s="1545"/>
      <c r="V62" s="1545"/>
      <c r="X62" s="1546"/>
      <c r="Y62" s="1546"/>
      <c r="Z62" s="1546"/>
      <c r="AA62" s="1546"/>
      <c r="AB62" s="1546"/>
      <c r="AC62" s="1546"/>
      <c r="AD62" s="1546"/>
      <c r="AE62" s="1546"/>
      <c r="AF62" s="1546"/>
      <c r="AG62" s="1546"/>
      <c r="AH62" s="1546"/>
      <c r="AI62" s="1546"/>
      <c r="AK62" s="1547"/>
      <c r="AL62" s="1547"/>
      <c r="AM62" s="1547"/>
      <c r="AN62" s="1547"/>
      <c r="AO62" s="1547"/>
      <c r="AP62" s="1547"/>
      <c r="AQ62" s="1547"/>
      <c r="AR62" s="1547"/>
      <c r="AS62" s="1547"/>
      <c r="AT62" s="1547"/>
      <c r="AU62" s="1547"/>
      <c r="AV62" s="1547"/>
      <c r="AX62" s="1548"/>
      <c r="AY62" s="1548"/>
      <c r="AZ62" s="1548"/>
      <c r="BA62" s="1548"/>
      <c r="BB62" s="1548"/>
      <c r="BC62" s="1548"/>
      <c r="BD62" s="1548"/>
      <c r="BE62" s="1548"/>
      <c r="BF62" s="1548"/>
      <c r="BG62" s="1548"/>
      <c r="BH62" s="1548"/>
      <c r="BI62" s="1548"/>
    </row>
    <row r="63" spans="1:61" ht="12.75">
      <c r="B63" s="1214"/>
      <c r="C63" s="1214"/>
      <c r="G63" s="1544"/>
      <c r="H63" s="1544"/>
      <c r="I63" s="1544"/>
      <c r="K63" s="1545"/>
      <c r="L63" s="1545"/>
      <c r="M63" s="1545"/>
      <c r="N63" s="1545"/>
      <c r="O63" s="1545"/>
      <c r="P63" s="1545"/>
      <c r="Q63" s="1545"/>
      <c r="R63" s="1545"/>
      <c r="S63" s="1545"/>
      <c r="T63" s="1545"/>
      <c r="U63" s="1545"/>
      <c r="V63" s="1545"/>
      <c r="X63" s="1546"/>
      <c r="Y63" s="1546"/>
      <c r="Z63" s="1546"/>
      <c r="AA63" s="1546"/>
      <c r="AB63" s="1546"/>
      <c r="AC63" s="1546"/>
      <c r="AD63" s="1546"/>
      <c r="AE63" s="1546"/>
      <c r="AF63" s="1546"/>
      <c r="AG63" s="1546"/>
      <c r="AH63" s="1546"/>
      <c r="AI63" s="1546"/>
      <c r="AK63" s="1547"/>
      <c r="AL63" s="1547"/>
      <c r="AM63" s="1547"/>
      <c r="AN63" s="1547"/>
      <c r="AO63" s="1547"/>
      <c r="AP63" s="1547"/>
      <c r="AQ63" s="1547"/>
      <c r="AR63" s="1547"/>
      <c r="AS63" s="1547"/>
      <c r="AT63" s="1547"/>
      <c r="AU63" s="1547"/>
      <c r="AV63" s="1547"/>
      <c r="AX63" s="1548"/>
      <c r="AY63" s="1548"/>
      <c r="AZ63" s="1548"/>
      <c r="BA63" s="1548"/>
      <c r="BB63" s="1548"/>
      <c r="BC63" s="1548"/>
      <c r="BD63" s="1548"/>
      <c r="BE63" s="1548"/>
      <c r="BF63" s="1548"/>
      <c r="BG63" s="1548"/>
      <c r="BH63" s="1548"/>
      <c r="BI63" s="1548"/>
    </row>
    <row r="64" spans="1:61" ht="12.75">
      <c r="B64" s="1214"/>
      <c r="C64" s="1214"/>
      <c r="G64" s="1544"/>
      <c r="H64" s="1544"/>
      <c r="I64" s="1544"/>
      <c r="K64" s="1545"/>
      <c r="L64" s="1545"/>
      <c r="M64" s="1545"/>
      <c r="N64" s="1545"/>
      <c r="O64" s="1545"/>
      <c r="P64" s="1545"/>
      <c r="Q64" s="1545"/>
      <c r="R64" s="1545"/>
      <c r="S64" s="1545"/>
      <c r="T64" s="1545"/>
      <c r="U64" s="1545"/>
      <c r="V64" s="1545"/>
      <c r="X64" s="1546"/>
      <c r="Y64" s="1546"/>
      <c r="Z64" s="1546"/>
      <c r="AA64" s="1546"/>
      <c r="AB64" s="1546"/>
      <c r="AC64" s="1546"/>
      <c r="AD64" s="1546"/>
      <c r="AE64" s="1546"/>
      <c r="AF64" s="1546"/>
      <c r="AG64" s="1546"/>
      <c r="AH64" s="1546"/>
      <c r="AI64" s="1546"/>
      <c r="AK64" s="1547"/>
      <c r="AL64" s="1547"/>
      <c r="AM64" s="1547"/>
      <c r="AN64" s="1547"/>
      <c r="AO64" s="1547"/>
      <c r="AP64" s="1547"/>
      <c r="AQ64" s="1547"/>
      <c r="AR64" s="1547"/>
      <c r="AS64" s="1547"/>
      <c r="AT64" s="1547"/>
      <c r="AU64" s="1547"/>
      <c r="AV64" s="1547"/>
      <c r="AX64" s="1548"/>
      <c r="AY64" s="1548"/>
      <c r="AZ64" s="1548"/>
      <c r="BA64" s="1548"/>
      <c r="BB64" s="1548"/>
      <c r="BC64" s="1548"/>
      <c r="BD64" s="1548"/>
      <c r="BE64" s="1548"/>
      <c r="BF64" s="1548"/>
      <c r="BG64" s="1548"/>
      <c r="BH64" s="1548"/>
      <c r="BI64" s="1548"/>
    </row>
    <row r="65" spans="2:61" ht="12.75">
      <c r="B65" s="1214"/>
      <c r="C65" s="1214"/>
      <c r="G65" s="1544"/>
      <c r="H65" s="1544"/>
      <c r="I65" s="1544"/>
      <c r="K65" s="1545"/>
      <c r="L65" s="1545"/>
      <c r="M65" s="1545"/>
      <c r="N65" s="1545"/>
      <c r="O65" s="1545"/>
      <c r="P65" s="1545"/>
      <c r="Q65" s="1545"/>
      <c r="R65" s="1545"/>
      <c r="S65" s="1545"/>
      <c r="T65" s="1545"/>
      <c r="U65" s="1545"/>
      <c r="V65" s="1545"/>
      <c r="X65" s="1546"/>
      <c r="Y65" s="1546"/>
      <c r="Z65" s="1546"/>
      <c r="AA65" s="1546"/>
      <c r="AB65" s="1546"/>
      <c r="AC65" s="1546"/>
      <c r="AD65" s="1546"/>
      <c r="AE65" s="1546"/>
      <c r="AF65" s="1546"/>
      <c r="AG65" s="1546"/>
      <c r="AH65" s="1546"/>
      <c r="AI65" s="1546"/>
      <c r="AK65" s="1547"/>
      <c r="AL65" s="1547"/>
      <c r="AM65" s="1547"/>
      <c r="AN65" s="1547"/>
      <c r="AO65" s="1547"/>
      <c r="AP65" s="1547"/>
      <c r="AQ65" s="1547"/>
      <c r="AR65" s="1547"/>
      <c r="AS65" s="1547"/>
      <c r="AT65" s="1547"/>
      <c r="AU65" s="1547"/>
      <c r="AV65" s="1547"/>
      <c r="AX65" s="1548"/>
      <c r="AY65" s="1548"/>
      <c r="AZ65" s="1548"/>
      <c r="BA65" s="1548"/>
      <c r="BB65" s="1548"/>
      <c r="BC65" s="1548"/>
      <c r="BD65" s="1548"/>
      <c r="BE65" s="1548"/>
      <c r="BF65" s="1548"/>
      <c r="BG65" s="1548"/>
      <c r="BH65" s="1548"/>
      <c r="BI65" s="1548"/>
    </row>
    <row r="66" spans="2:61" ht="12.75">
      <c r="B66" s="1214"/>
      <c r="C66" s="1214"/>
      <c r="G66" s="1544"/>
      <c r="H66" s="1544"/>
      <c r="I66" s="1544"/>
      <c r="K66" s="1545"/>
      <c r="L66" s="1545"/>
      <c r="M66" s="1545"/>
      <c r="N66" s="1545"/>
      <c r="O66" s="1545"/>
      <c r="P66" s="1545"/>
      <c r="Q66" s="1545"/>
      <c r="R66" s="1545"/>
      <c r="S66" s="1545"/>
      <c r="T66" s="1545"/>
      <c r="U66" s="1545"/>
      <c r="V66" s="1545"/>
      <c r="X66" s="1546"/>
      <c r="Y66" s="1546"/>
      <c r="Z66" s="1546"/>
      <c r="AA66" s="1546"/>
      <c r="AB66" s="1546"/>
      <c r="AC66" s="1546"/>
      <c r="AD66" s="1546"/>
      <c r="AE66" s="1546"/>
      <c r="AF66" s="1546"/>
      <c r="AG66" s="1546"/>
      <c r="AH66" s="1546"/>
      <c r="AI66" s="1546"/>
      <c r="AK66" s="1547"/>
      <c r="AL66" s="1547"/>
      <c r="AM66" s="1547"/>
      <c r="AN66" s="1547"/>
      <c r="AO66" s="1547"/>
      <c r="AP66" s="1547"/>
      <c r="AQ66" s="1547"/>
      <c r="AR66" s="1547"/>
      <c r="AS66" s="1547"/>
      <c r="AT66" s="1547"/>
      <c r="AU66" s="1547"/>
      <c r="AV66" s="1547"/>
      <c r="AX66" s="1548"/>
      <c r="AY66" s="1548"/>
      <c r="AZ66" s="1548"/>
      <c r="BA66" s="1548"/>
      <c r="BB66" s="1548"/>
      <c r="BC66" s="1548"/>
      <c r="BD66" s="1548"/>
      <c r="BE66" s="1548"/>
      <c r="BF66" s="1548"/>
      <c r="BG66" s="1548"/>
      <c r="BH66" s="1548"/>
      <c r="BI66" s="1548"/>
    </row>
    <row r="67" spans="2:61" ht="12.75">
      <c r="B67" s="1214"/>
      <c r="C67" s="1214"/>
      <c r="G67" s="1544"/>
      <c r="H67" s="1544"/>
      <c r="I67" s="1544"/>
      <c r="K67" s="1545"/>
      <c r="L67" s="1545"/>
      <c r="M67" s="1545"/>
      <c r="N67" s="1545"/>
      <c r="O67" s="1545"/>
      <c r="P67" s="1545"/>
      <c r="Q67" s="1545"/>
      <c r="R67" s="1545"/>
      <c r="S67" s="1545"/>
      <c r="T67" s="1545"/>
      <c r="U67" s="1545"/>
      <c r="V67" s="1545"/>
      <c r="X67" s="1546"/>
      <c r="Y67" s="1546"/>
      <c r="Z67" s="1546"/>
      <c r="AA67" s="1546"/>
      <c r="AB67" s="1546"/>
      <c r="AC67" s="1546"/>
      <c r="AD67" s="1546"/>
      <c r="AE67" s="1546"/>
      <c r="AF67" s="1546"/>
      <c r="AG67" s="1546"/>
      <c r="AH67" s="1546"/>
      <c r="AI67" s="1546"/>
      <c r="AK67" s="1547"/>
      <c r="AL67" s="1547"/>
      <c r="AM67" s="1547"/>
      <c r="AN67" s="1547"/>
      <c r="AO67" s="1547"/>
      <c r="AP67" s="1547"/>
      <c r="AQ67" s="1547"/>
      <c r="AR67" s="1547"/>
      <c r="AS67" s="1547"/>
      <c r="AT67" s="1547"/>
      <c r="AU67" s="1547"/>
      <c r="AV67" s="1547"/>
      <c r="AX67" s="1548"/>
      <c r="AY67" s="1548"/>
      <c r="AZ67" s="1548"/>
      <c r="BA67" s="1548"/>
      <c r="BB67" s="1548"/>
      <c r="BC67" s="1548"/>
      <c r="BD67" s="1548"/>
      <c r="BE67" s="1548"/>
      <c r="BF67" s="1548"/>
      <c r="BG67" s="1548"/>
      <c r="BH67" s="1548"/>
      <c r="BI67" s="1548"/>
    </row>
    <row r="68" spans="2:61" ht="12.75">
      <c r="B68" s="1214"/>
      <c r="C68" s="1214"/>
      <c r="G68" s="1544"/>
      <c r="H68" s="1544"/>
      <c r="I68" s="1544"/>
      <c r="K68" s="1545"/>
      <c r="L68" s="1545"/>
      <c r="M68" s="1545"/>
      <c r="N68" s="1545"/>
      <c r="O68" s="1545"/>
      <c r="P68" s="1545"/>
      <c r="Q68" s="1545"/>
      <c r="R68" s="1545"/>
      <c r="S68" s="1545"/>
      <c r="T68" s="1545"/>
      <c r="U68" s="1545"/>
      <c r="V68" s="1545"/>
      <c r="X68" s="1546"/>
      <c r="Y68" s="1546"/>
      <c r="Z68" s="1546"/>
      <c r="AA68" s="1546"/>
      <c r="AB68" s="1546"/>
      <c r="AC68" s="1546"/>
      <c r="AD68" s="1546"/>
      <c r="AE68" s="1546"/>
      <c r="AF68" s="1546"/>
      <c r="AG68" s="1546"/>
      <c r="AH68" s="1546"/>
      <c r="AI68" s="1546"/>
      <c r="AK68" s="1547"/>
      <c r="AL68" s="1547"/>
      <c r="AM68" s="1547"/>
      <c r="AN68" s="1547"/>
      <c r="AO68" s="1547"/>
      <c r="AP68" s="1547"/>
      <c r="AQ68" s="1547"/>
      <c r="AR68" s="1547"/>
      <c r="AS68" s="1547"/>
      <c r="AT68" s="1547"/>
      <c r="AU68" s="1547"/>
      <c r="AV68" s="1547"/>
      <c r="AX68" s="1548"/>
      <c r="AY68" s="1548"/>
      <c r="AZ68" s="1548"/>
      <c r="BA68" s="1548"/>
      <c r="BB68" s="1548"/>
      <c r="BC68" s="1548"/>
      <c r="BD68" s="1548"/>
      <c r="BE68" s="1548"/>
      <c r="BF68" s="1548"/>
      <c r="BG68" s="1548"/>
      <c r="BH68" s="1548"/>
      <c r="BI68" s="1548"/>
    </row>
    <row r="69" spans="2:61" ht="12.75">
      <c r="B69" s="1214"/>
      <c r="C69" s="1214"/>
      <c r="G69" s="1544"/>
      <c r="H69" s="1544"/>
      <c r="I69" s="1544"/>
      <c r="K69" s="1545"/>
      <c r="L69" s="1545"/>
      <c r="M69" s="1545"/>
      <c r="N69" s="1545"/>
      <c r="O69" s="1545"/>
      <c r="P69" s="1545"/>
      <c r="Q69" s="1545"/>
      <c r="R69" s="1545"/>
      <c r="S69" s="1545"/>
      <c r="T69" s="1545"/>
      <c r="U69" s="1545"/>
      <c r="V69" s="1545"/>
      <c r="X69" s="1546"/>
      <c r="Y69" s="1546"/>
      <c r="Z69" s="1546"/>
      <c r="AA69" s="1546"/>
      <c r="AB69" s="1546"/>
      <c r="AC69" s="1546"/>
      <c r="AD69" s="1546"/>
      <c r="AE69" s="1546"/>
      <c r="AF69" s="1546"/>
      <c r="AG69" s="1546"/>
      <c r="AH69" s="1546"/>
      <c r="AI69" s="1546"/>
      <c r="AK69" s="1547"/>
      <c r="AL69" s="1547"/>
      <c r="AM69" s="1547"/>
      <c r="AN69" s="1547"/>
      <c r="AO69" s="1547"/>
      <c r="AP69" s="1547"/>
      <c r="AQ69" s="1547"/>
      <c r="AR69" s="1547"/>
      <c r="AS69" s="1547"/>
      <c r="AT69" s="1547"/>
      <c r="AU69" s="1547"/>
      <c r="AV69" s="1547"/>
      <c r="AX69" s="1548"/>
      <c r="AY69" s="1548"/>
      <c r="AZ69" s="1548"/>
      <c r="BA69" s="1548"/>
      <c r="BB69" s="1548"/>
      <c r="BC69" s="1548"/>
      <c r="BD69" s="1548"/>
      <c r="BE69" s="1548"/>
      <c r="BF69" s="1548"/>
      <c r="BG69" s="1548"/>
      <c r="BH69" s="1548"/>
      <c r="BI69" s="1548"/>
    </row>
    <row r="70" spans="2:61" ht="12.75">
      <c r="B70" s="1214"/>
      <c r="C70" s="1214"/>
      <c r="G70" s="1544"/>
      <c r="H70" s="1544"/>
      <c r="I70" s="1544"/>
      <c r="K70" s="1545"/>
      <c r="L70" s="1545"/>
      <c r="M70" s="1545"/>
      <c r="N70" s="1545"/>
      <c r="O70" s="1545"/>
      <c r="P70" s="1545"/>
      <c r="Q70" s="1545"/>
      <c r="R70" s="1545"/>
      <c r="S70" s="1545"/>
      <c r="T70" s="1545"/>
      <c r="U70" s="1545"/>
      <c r="V70" s="1545"/>
      <c r="X70" s="1546"/>
      <c r="Y70" s="1546"/>
      <c r="Z70" s="1546"/>
      <c r="AA70" s="1546"/>
      <c r="AB70" s="1546"/>
      <c r="AC70" s="1546"/>
      <c r="AD70" s="1546"/>
      <c r="AE70" s="1546"/>
      <c r="AF70" s="1546"/>
      <c r="AG70" s="1546"/>
      <c r="AH70" s="1546"/>
      <c r="AI70" s="1546"/>
      <c r="AK70" s="1547"/>
      <c r="AL70" s="1547"/>
      <c r="AM70" s="1547"/>
      <c r="AN70" s="1547"/>
      <c r="AO70" s="1547"/>
      <c r="AP70" s="1547"/>
      <c r="AQ70" s="1547"/>
      <c r="AR70" s="1547"/>
      <c r="AS70" s="1547"/>
      <c r="AT70" s="1547"/>
      <c r="AU70" s="1547"/>
      <c r="AV70" s="1547"/>
      <c r="AX70" s="1548"/>
      <c r="AY70" s="1548"/>
      <c r="AZ70" s="1548"/>
      <c r="BA70" s="1548"/>
      <c r="BB70" s="1548"/>
      <c r="BC70" s="1548"/>
      <c r="BD70" s="1548"/>
      <c r="BE70" s="1548"/>
      <c r="BF70" s="1548"/>
      <c r="BG70" s="1548"/>
      <c r="BH70" s="1548"/>
      <c r="BI70" s="1548"/>
    </row>
    <row r="71" spans="2:61" ht="12.75">
      <c r="B71" s="1214"/>
      <c r="C71" s="1214"/>
      <c r="G71" s="1544"/>
      <c r="H71" s="1544"/>
      <c r="I71" s="1544"/>
      <c r="K71" s="1545"/>
      <c r="L71" s="1545"/>
      <c r="M71" s="1545"/>
      <c r="N71" s="1545"/>
      <c r="O71" s="1545"/>
      <c r="P71" s="1545"/>
      <c r="Q71" s="1545"/>
      <c r="R71" s="1545"/>
      <c r="S71" s="1545"/>
      <c r="T71" s="1545"/>
      <c r="U71" s="1545"/>
      <c r="V71" s="1545"/>
      <c r="X71" s="1546"/>
      <c r="Y71" s="1546"/>
      <c r="Z71" s="1546"/>
      <c r="AA71" s="1546"/>
      <c r="AB71" s="1546"/>
      <c r="AC71" s="1546"/>
      <c r="AD71" s="1546"/>
      <c r="AE71" s="1546"/>
      <c r="AF71" s="1546"/>
      <c r="AG71" s="1546"/>
      <c r="AH71" s="1546"/>
      <c r="AI71" s="1546"/>
      <c r="AK71" s="1547"/>
      <c r="AL71" s="1547"/>
      <c r="AM71" s="1547"/>
      <c r="AN71" s="1547"/>
      <c r="AO71" s="1547"/>
      <c r="AP71" s="1547"/>
      <c r="AQ71" s="1547"/>
      <c r="AR71" s="1547"/>
      <c r="AS71" s="1547"/>
      <c r="AT71" s="1547"/>
      <c r="AU71" s="1547"/>
      <c r="AV71" s="1547"/>
      <c r="AX71" s="1548"/>
      <c r="AY71" s="1548"/>
      <c r="AZ71" s="1548"/>
      <c r="BA71" s="1548"/>
      <c r="BB71" s="1548"/>
      <c r="BC71" s="1548"/>
      <c r="BD71" s="1548"/>
      <c r="BE71" s="1548"/>
      <c r="BF71" s="1548"/>
      <c r="BG71" s="1548"/>
      <c r="BH71" s="1548"/>
      <c r="BI71" s="1548"/>
    </row>
    <row r="72" spans="2:61" ht="12.75">
      <c r="B72" s="1214"/>
      <c r="C72" s="1214"/>
      <c r="G72" s="1544"/>
      <c r="H72" s="1544"/>
      <c r="I72" s="1544"/>
      <c r="K72" s="1545"/>
      <c r="L72" s="1545"/>
      <c r="M72" s="1545"/>
      <c r="N72" s="1545"/>
      <c r="O72" s="1545"/>
      <c r="P72" s="1545"/>
      <c r="Q72" s="1545"/>
      <c r="R72" s="1545"/>
      <c r="S72" s="1545"/>
      <c r="T72" s="1545"/>
      <c r="U72" s="1545"/>
      <c r="V72" s="1545"/>
      <c r="X72" s="1546"/>
      <c r="Y72" s="1546"/>
      <c r="Z72" s="1546"/>
      <c r="AA72" s="1546"/>
      <c r="AB72" s="1546"/>
      <c r="AC72" s="1546"/>
      <c r="AD72" s="1546"/>
      <c r="AE72" s="1546"/>
      <c r="AF72" s="1546"/>
      <c r="AG72" s="1546"/>
      <c r="AH72" s="1546"/>
      <c r="AI72" s="1546"/>
      <c r="AK72" s="1547"/>
      <c r="AL72" s="1547"/>
      <c r="AM72" s="1547"/>
      <c r="AN72" s="1547"/>
      <c r="AO72" s="1547"/>
      <c r="AP72" s="1547"/>
      <c r="AQ72" s="1547"/>
      <c r="AR72" s="1547"/>
      <c r="AS72" s="1547"/>
      <c r="AT72" s="1547"/>
      <c r="AU72" s="1547"/>
      <c r="AV72" s="1547"/>
      <c r="AX72" s="1548"/>
      <c r="AY72" s="1548"/>
      <c r="AZ72" s="1548"/>
      <c r="BA72" s="1548"/>
      <c r="BB72" s="1548"/>
      <c r="BC72" s="1548"/>
      <c r="BD72" s="1548"/>
      <c r="BE72" s="1548"/>
      <c r="BF72" s="1548"/>
      <c r="BG72" s="1548"/>
      <c r="BH72" s="1548"/>
      <c r="BI72" s="1548"/>
    </row>
    <row r="73" spans="2:61" ht="12.75">
      <c r="B73" s="1214"/>
      <c r="C73" s="1214"/>
      <c r="G73" s="1544"/>
      <c r="H73" s="1544"/>
      <c r="I73" s="1544"/>
      <c r="K73" s="1545"/>
      <c r="L73" s="1545"/>
      <c r="M73" s="1545"/>
      <c r="N73" s="1545"/>
      <c r="O73" s="1545"/>
      <c r="P73" s="1545"/>
      <c r="Q73" s="1545"/>
      <c r="R73" s="1545"/>
      <c r="S73" s="1545"/>
      <c r="T73" s="1545"/>
      <c r="U73" s="1545"/>
      <c r="V73" s="1545"/>
      <c r="X73" s="1546"/>
      <c r="Y73" s="1546"/>
      <c r="Z73" s="1546"/>
      <c r="AA73" s="1546"/>
      <c r="AB73" s="1546"/>
      <c r="AC73" s="1546"/>
      <c r="AD73" s="1546"/>
      <c r="AE73" s="1546"/>
      <c r="AF73" s="1546"/>
      <c r="AG73" s="1546"/>
      <c r="AH73" s="1546"/>
      <c r="AI73" s="1546"/>
      <c r="AK73" s="1547"/>
      <c r="AL73" s="1547"/>
      <c r="AM73" s="1547"/>
      <c r="AN73" s="1547"/>
      <c r="AO73" s="1547"/>
      <c r="AP73" s="1547"/>
      <c r="AQ73" s="1547"/>
      <c r="AR73" s="1547"/>
      <c r="AS73" s="1547"/>
      <c r="AT73" s="1547"/>
      <c r="AU73" s="1547"/>
      <c r="AV73" s="1547"/>
      <c r="AX73" s="1548"/>
      <c r="AY73" s="1548"/>
      <c r="AZ73" s="1548"/>
      <c r="BA73" s="1548"/>
      <c r="BB73" s="1548"/>
      <c r="BC73" s="1548"/>
      <c r="BD73" s="1548"/>
      <c r="BE73" s="1548"/>
      <c r="BF73" s="1548"/>
      <c r="BG73" s="1548"/>
      <c r="BH73" s="1548"/>
      <c r="BI73" s="1548"/>
    </row>
    <row r="74" spans="2:61" ht="12.75">
      <c r="B74" s="1214"/>
      <c r="C74" s="1214"/>
      <c r="G74" s="1544"/>
      <c r="H74" s="1544"/>
      <c r="I74" s="1544"/>
      <c r="K74" s="1545"/>
      <c r="L74" s="1545"/>
      <c r="M74" s="1545"/>
      <c r="N74" s="1545"/>
      <c r="O74" s="1545"/>
      <c r="P74" s="1545"/>
      <c r="Q74" s="1545"/>
      <c r="R74" s="1545"/>
      <c r="S74" s="1545"/>
      <c r="T74" s="1545"/>
      <c r="U74" s="1545"/>
      <c r="V74" s="1545"/>
      <c r="X74" s="1546"/>
      <c r="Y74" s="1546"/>
      <c r="Z74" s="1546"/>
      <c r="AA74" s="1546"/>
      <c r="AB74" s="1546"/>
      <c r="AC74" s="1546"/>
      <c r="AD74" s="1546"/>
      <c r="AE74" s="1546"/>
      <c r="AF74" s="1546"/>
      <c r="AG74" s="1546"/>
      <c r="AH74" s="1546"/>
      <c r="AI74" s="1546"/>
      <c r="AK74" s="1547"/>
      <c r="AL74" s="1547"/>
      <c r="AM74" s="1547"/>
      <c r="AN74" s="1547"/>
      <c r="AO74" s="1547"/>
      <c r="AP74" s="1547"/>
      <c r="AQ74" s="1547"/>
      <c r="AR74" s="1547"/>
      <c r="AS74" s="1547"/>
      <c r="AT74" s="1547"/>
      <c r="AU74" s="1547"/>
      <c r="AV74" s="1547"/>
      <c r="AX74" s="1548"/>
      <c r="AY74" s="1548"/>
      <c r="AZ74" s="1548"/>
      <c r="BA74" s="1548"/>
      <c r="BB74" s="1548"/>
      <c r="BC74" s="1548"/>
      <c r="BD74" s="1548"/>
      <c r="BE74" s="1548"/>
      <c r="BF74" s="1548"/>
      <c r="BG74" s="1548"/>
      <c r="BH74" s="1548"/>
      <c r="BI74" s="1548"/>
    </row>
    <row r="75" spans="2:61" ht="12.75">
      <c r="B75" s="1214"/>
      <c r="C75" s="1214"/>
      <c r="G75" s="1544"/>
      <c r="H75" s="1544"/>
      <c r="I75" s="1544"/>
      <c r="K75" s="1545"/>
      <c r="L75" s="1545"/>
      <c r="M75" s="1545"/>
      <c r="N75" s="1545"/>
      <c r="O75" s="1545"/>
      <c r="P75" s="1545"/>
      <c r="Q75" s="1545"/>
      <c r="R75" s="1545"/>
      <c r="S75" s="1545"/>
      <c r="T75" s="1545"/>
      <c r="U75" s="1545"/>
      <c r="V75" s="1545"/>
      <c r="X75" s="1546"/>
      <c r="Y75" s="1546"/>
      <c r="Z75" s="1546"/>
      <c r="AA75" s="1546"/>
      <c r="AB75" s="1546"/>
      <c r="AC75" s="1546"/>
      <c r="AD75" s="1546"/>
      <c r="AE75" s="1546"/>
      <c r="AF75" s="1546"/>
      <c r="AG75" s="1546"/>
      <c r="AH75" s="1546"/>
      <c r="AI75" s="1546"/>
      <c r="AK75" s="1547"/>
      <c r="AL75" s="1547"/>
      <c r="AM75" s="1547"/>
      <c r="AN75" s="1547"/>
      <c r="AO75" s="1547"/>
      <c r="AP75" s="1547"/>
      <c r="AQ75" s="1547"/>
      <c r="AR75" s="1547"/>
      <c r="AS75" s="1547"/>
      <c r="AT75" s="1547"/>
      <c r="AU75" s="1547"/>
      <c r="AV75" s="1547"/>
      <c r="AX75" s="1548"/>
      <c r="AY75" s="1548"/>
      <c r="AZ75" s="1548"/>
      <c r="BA75" s="1548"/>
      <c r="BB75" s="1548"/>
      <c r="BC75" s="1548"/>
      <c r="BD75" s="1548"/>
      <c r="BE75" s="1548"/>
      <c r="BF75" s="1548"/>
      <c r="BG75" s="1548"/>
      <c r="BH75" s="1548"/>
      <c r="BI75" s="1548"/>
    </row>
    <row r="76" spans="2:61" ht="12.75">
      <c r="B76" s="1214"/>
      <c r="C76" s="1214"/>
      <c r="G76" s="1544"/>
      <c r="H76" s="1544"/>
      <c r="I76" s="1544"/>
      <c r="K76" s="1545"/>
      <c r="L76" s="1545"/>
      <c r="M76" s="1545"/>
      <c r="N76" s="1545"/>
      <c r="O76" s="1545"/>
      <c r="P76" s="1545"/>
      <c r="Q76" s="1545"/>
      <c r="R76" s="1545"/>
      <c r="S76" s="1545"/>
      <c r="T76" s="1545"/>
      <c r="U76" s="1545"/>
      <c r="V76" s="1545"/>
      <c r="X76" s="1546"/>
      <c r="Y76" s="1546"/>
      <c r="Z76" s="1546"/>
      <c r="AA76" s="1546"/>
      <c r="AB76" s="1546"/>
      <c r="AC76" s="1546"/>
      <c r="AD76" s="1546"/>
      <c r="AE76" s="1546"/>
      <c r="AF76" s="1546"/>
      <c r="AG76" s="1546"/>
      <c r="AH76" s="1546"/>
      <c r="AI76" s="1546"/>
      <c r="AK76" s="1547"/>
      <c r="AL76" s="1547"/>
      <c r="AM76" s="1547"/>
      <c r="AN76" s="1547"/>
      <c r="AO76" s="1547"/>
      <c r="AP76" s="1547"/>
      <c r="AQ76" s="1547"/>
      <c r="AR76" s="1547"/>
      <c r="AS76" s="1547"/>
      <c r="AT76" s="1547"/>
      <c r="AU76" s="1547"/>
      <c r="AV76" s="1547"/>
      <c r="AX76" s="1548"/>
      <c r="AY76" s="1548"/>
      <c r="AZ76" s="1548"/>
      <c r="BA76" s="1548"/>
      <c r="BB76" s="1548"/>
      <c r="BC76" s="1548"/>
      <c r="BD76" s="1548"/>
      <c r="BE76" s="1548"/>
      <c r="BF76" s="1548"/>
      <c r="BG76" s="1548"/>
      <c r="BH76" s="1548"/>
      <c r="BI76" s="1548"/>
    </row>
    <row r="77" spans="2:61" ht="12.75">
      <c r="B77" s="1214"/>
      <c r="C77" s="1214"/>
      <c r="G77" s="1544"/>
      <c r="H77" s="1544"/>
      <c r="I77" s="1544"/>
      <c r="K77" s="1545"/>
      <c r="L77" s="1545"/>
      <c r="M77" s="1545"/>
      <c r="N77" s="1545"/>
      <c r="O77" s="1545"/>
      <c r="P77" s="1545"/>
      <c r="Q77" s="1545"/>
      <c r="R77" s="1545"/>
      <c r="S77" s="1545"/>
      <c r="T77" s="1545"/>
      <c r="U77" s="1545"/>
      <c r="V77" s="1545"/>
      <c r="X77" s="1546"/>
      <c r="Y77" s="1546"/>
      <c r="Z77" s="1546"/>
      <c r="AA77" s="1546"/>
      <c r="AB77" s="1546"/>
      <c r="AC77" s="1546"/>
      <c r="AD77" s="1546"/>
      <c r="AE77" s="1546"/>
      <c r="AF77" s="1546"/>
      <c r="AG77" s="1546"/>
      <c r="AH77" s="1546"/>
      <c r="AI77" s="1546"/>
      <c r="AK77" s="1547"/>
      <c r="AL77" s="1547"/>
      <c r="AM77" s="1547"/>
      <c r="AN77" s="1547"/>
      <c r="AO77" s="1547"/>
      <c r="AP77" s="1547"/>
      <c r="AQ77" s="1547"/>
      <c r="AR77" s="1547"/>
      <c r="AS77" s="1547"/>
      <c r="AT77" s="1547"/>
      <c r="AU77" s="1547"/>
      <c r="AV77" s="1547"/>
      <c r="AX77" s="1548"/>
      <c r="AY77" s="1548"/>
      <c r="AZ77" s="1548"/>
      <c r="BA77" s="1548"/>
      <c r="BB77" s="1548"/>
      <c r="BC77" s="1548"/>
      <c r="BD77" s="1548"/>
      <c r="BE77" s="1548"/>
      <c r="BF77" s="1548"/>
      <c r="BG77" s="1548"/>
      <c r="BH77" s="1548"/>
      <c r="BI77" s="1548"/>
    </row>
    <row r="78" spans="2:61" ht="12.75">
      <c r="B78" s="1214"/>
      <c r="C78" s="1214"/>
      <c r="G78" s="1544"/>
      <c r="H78" s="1544"/>
      <c r="I78" s="1544"/>
      <c r="K78" s="1545"/>
      <c r="L78" s="1545"/>
      <c r="M78" s="1545"/>
      <c r="N78" s="1545"/>
      <c r="O78" s="1545"/>
      <c r="P78" s="1545"/>
      <c r="Q78" s="1545"/>
      <c r="R78" s="1545"/>
      <c r="S78" s="1545"/>
      <c r="T78" s="1545"/>
      <c r="U78" s="1545"/>
      <c r="V78" s="1545"/>
      <c r="X78" s="1546"/>
      <c r="Y78" s="1546"/>
      <c r="Z78" s="1546"/>
      <c r="AA78" s="1546"/>
      <c r="AB78" s="1546"/>
      <c r="AC78" s="1546"/>
      <c r="AD78" s="1546"/>
      <c r="AE78" s="1546"/>
      <c r="AF78" s="1546"/>
      <c r="AG78" s="1546"/>
      <c r="AH78" s="1546"/>
      <c r="AI78" s="1546"/>
      <c r="AK78" s="1547"/>
      <c r="AL78" s="1547"/>
      <c r="AM78" s="1547"/>
      <c r="AN78" s="1547"/>
      <c r="AO78" s="1547"/>
      <c r="AP78" s="1547"/>
      <c r="AQ78" s="1547"/>
      <c r="AR78" s="1547"/>
      <c r="AS78" s="1547"/>
      <c r="AT78" s="1547"/>
      <c r="AU78" s="1547"/>
      <c r="AV78" s="1547"/>
      <c r="AX78" s="1548"/>
      <c r="AY78" s="1548"/>
      <c r="AZ78" s="1548"/>
      <c r="BA78" s="1548"/>
      <c r="BB78" s="1548"/>
      <c r="BC78" s="1548"/>
      <c r="BD78" s="1548"/>
      <c r="BE78" s="1548"/>
      <c r="BF78" s="1548"/>
      <c r="BG78" s="1548"/>
      <c r="BH78" s="1548"/>
      <c r="BI78" s="154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N56"/>
  <sheetViews>
    <sheetView showGridLines="0" zoomScale="85" zoomScaleNormal="85" workbookViewId="0">
      <selection activeCell="E9" sqref="E9"/>
    </sheetView>
  </sheetViews>
  <sheetFormatPr defaultColWidth="16.33203125" defaultRowHeight="15"/>
  <cols>
    <col min="1" max="1" width="16.33203125" style="82" customWidth="1"/>
    <col min="2" max="4" width="16.33203125" style="82"/>
    <col min="5" max="5" width="18" style="82" bestFit="1" customWidth="1"/>
    <col min="6" max="6" width="16.33203125" style="82"/>
    <col min="7" max="7" width="17.33203125" style="82" customWidth="1"/>
    <col min="8" max="16384" width="16.33203125" style="82"/>
  </cols>
  <sheetData>
    <row r="1" spans="1:40" ht="18">
      <c r="A1" s="79"/>
      <c r="B1" s="80" t="str">
        <f>Summary!C3</f>
        <v>Eastside</v>
      </c>
      <c r="C1" s="79"/>
      <c r="D1" s="79"/>
      <c r="E1" s="79"/>
      <c r="F1" s="81" t="s">
        <v>15</v>
      </c>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row>
    <row r="2" spans="1:40">
      <c r="A2" s="79"/>
      <c r="B2" s="83" t="s">
        <v>200</v>
      </c>
      <c r="C2" s="79"/>
      <c r="D2" s="79"/>
      <c r="E2" s="79"/>
      <c r="F2" s="79"/>
      <c r="G2" s="79"/>
      <c r="H2" s="79"/>
      <c r="I2" s="79"/>
      <c r="J2" s="79"/>
      <c r="K2" s="79"/>
      <c r="L2" s="79"/>
      <c r="M2" s="79"/>
      <c r="N2" s="79"/>
      <c r="O2" s="79"/>
      <c r="P2" s="79"/>
      <c r="Q2" s="79"/>
      <c r="R2" s="79"/>
      <c r="S2" s="79"/>
      <c r="T2" s="79"/>
      <c r="U2" s="79"/>
      <c r="V2" s="79"/>
      <c r="W2" s="79"/>
      <c r="X2" s="79"/>
      <c r="Y2" s="79"/>
      <c r="Z2" s="79"/>
      <c r="AA2" s="84" t="s">
        <v>201</v>
      </c>
      <c r="AB2" s="84" t="s">
        <v>202</v>
      </c>
      <c r="AC2" s="79"/>
      <c r="AD2" s="79"/>
      <c r="AE2" s="79" t="s">
        <v>203</v>
      </c>
      <c r="AF2" s="79"/>
      <c r="AG2" s="79"/>
      <c r="AH2" s="79"/>
      <c r="AI2" s="79"/>
      <c r="AJ2" s="79"/>
      <c r="AK2" s="79"/>
      <c r="AL2" s="79"/>
      <c r="AM2" s="79"/>
      <c r="AN2" s="79"/>
    </row>
    <row r="3" spans="1:40">
      <c r="A3" s="79"/>
      <c r="B3" s="83" t="str">
        <f>+'LG Garbage'!B3</f>
        <v>For the test period ended April 30, 2014</v>
      </c>
      <c r="C3" s="79"/>
      <c r="D3" s="79"/>
      <c r="E3" s="79"/>
      <c r="F3" s="79"/>
      <c r="G3" s="79"/>
      <c r="H3" s="79"/>
      <c r="I3" s="79"/>
      <c r="J3" s="79"/>
      <c r="K3" s="79"/>
      <c r="L3" s="79"/>
      <c r="M3" s="79"/>
      <c r="N3" s="79"/>
      <c r="O3" s="79"/>
      <c r="P3" s="79"/>
      <c r="Q3" s="79"/>
      <c r="R3" s="79"/>
      <c r="S3" s="79"/>
      <c r="T3" s="79"/>
      <c r="U3" s="79"/>
      <c r="V3" s="79"/>
      <c r="W3" s="79"/>
      <c r="X3" s="79"/>
      <c r="Y3" s="79"/>
      <c r="Z3" s="79"/>
      <c r="AA3" s="84"/>
      <c r="AB3" s="84"/>
      <c r="AC3" s="79"/>
      <c r="AD3" s="79"/>
      <c r="AE3" s="79"/>
      <c r="AF3" s="79"/>
      <c r="AG3" s="79"/>
      <c r="AH3" s="79"/>
      <c r="AI3" s="79"/>
      <c r="AJ3" s="79"/>
      <c r="AK3" s="79"/>
      <c r="AL3" s="79"/>
      <c r="AM3" s="79"/>
      <c r="AN3" s="79"/>
    </row>
    <row r="4" spans="1:40">
      <c r="A4" s="79"/>
      <c r="B4" s="79"/>
      <c r="C4" s="79"/>
      <c r="D4" s="79"/>
      <c r="E4" s="79"/>
      <c r="F4" s="79"/>
      <c r="G4" s="79"/>
      <c r="H4" s="79"/>
      <c r="I4" s="79"/>
      <c r="J4" s="79" t="s">
        <v>204</v>
      </c>
      <c r="K4" s="79"/>
      <c r="L4" s="79"/>
      <c r="M4" s="79"/>
      <c r="N4" s="79"/>
      <c r="O4" s="79"/>
      <c r="P4" s="79"/>
      <c r="Q4" s="84" t="s">
        <v>205</v>
      </c>
      <c r="R4" s="84" t="s">
        <v>206</v>
      </c>
      <c r="S4" s="84" t="s">
        <v>207</v>
      </c>
      <c r="T4" s="84" t="s">
        <v>208</v>
      </c>
      <c r="U4" s="84" t="s">
        <v>209</v>
      </c>
      <c r="V4" s="79"/>
      <c r="W4" s="84" t="s">
        <v>210</v>
      </c>
      <c r="X4" s="79" t="s">
        <v>211</v>
      </c>
      <c r="Y4" s="84" t="s">
        <v>212</v>
      </c>
      <c r="Z4" s="84" t="s">
        <v>213</v>
      </c>
      <c r="AA4" s="84" t="s">
        <v>214</v>
      </c>
      <c r="AB4" s="79"/>
      <c r="AC4" s="79"/>
      <c r="AD4" s="79"/>
      <c r="AE4" s="79" t="s">
        <v>215</v>
      </c>
      <c r="AF4" s="79"/>
      <c r="AG4" s="79"/>
      <c r="AH4" s="79"/>
      <c r="AI4" s="79"/>
      <c r="AJ4" s="79"/>
      <c r="AK4" s="79"/>
      <c r="AL4" s="79"/>
      <c r="AM4" s="79"/>
      <c r="AN4" s="79"/>
    </row>
    <row r="5" spans="1:40">
      <c r="A5" s="85"/>
      <c r="B5" s="79" t="s">
        <v>216</v>
      </c>
      <c r="C5" s="79" t="s">
        <v>217</v>
      </c>
      <c r="D5" s="79"/>
      <c r="E5" s="158">
        <f>E7+E6</f>
        <v>1238277.2218699718</v>
      </c>
      <c r="F5" s="79" t="s">
        <v>218</v>
      </c>
      <c r="G5" s="79"/>
      <c r="H5" s="79"/>
      <c r="I5" s="79"/>
      <c r="J5" s="79" t="s">
        <v>219</v>
      </c>
      <c r="K5" s="79"/>
      <c r="L5" s="79"/>
      <c r="M5" s="79" t="s">
        <v>220</v>
      </c>
      <c r="N5" s="79"/>
      <c r="O5" s="79"/>
      <c r="P5" s="79"/>
      <c r="Q5" s="87">
        <f>$E$8*1.25</f>
        <v>1401731.4722554595</v>
      </c>
      <c r="R5" s="88">
        <f>100*(+Q5/$E$9)</f>
        <v>262.25443858770132</v>
      </c>
      <c r="S5" s="89">
        <f>EXP(5.7226-(0.68367*LN(+R5)))</f>
        <v>6.7871172703912777</v>
      </c>
      <c r="T5" s="89">
        <f>(+S5*R5)/100</f>
        <v>17.799516293753562</v>
      </c>
      <c r="U5" s="88">
        <f>100*((((T5/100)-((T5/100)-0.03574)*$E$21)-0.03574-0.00619)/0.344)</f>
        <v>26.817026963015888</v>
      </c>
      <c r="V5" s="79">
        <f>+$E$20</f>
        <v>0.25</v>
      </c>
      <c r="W5" s="88">
        <f>U5+V5</f>
        <v>27.067026963015888</v>
      </c>
      <c r="X5" s="88">
        <f>100*($E$17*$E$19+($E$18*(W5/100))/(1-$E$21))</f>
        <v>23.129737584779765</v>
      </c>
      <c r="Y5" s="89">
        <f>X5/R5</f>
        <v>8.8195790734138052E-2</v>
      </c>
      <c r="Z5" s="87">
        <f>$E$8/(1-Y5)</f>
        <v>1229853.0390721157</v>
      </c>
      <c r="AA5" s="79" t="str">
        <f>IF(Z5=$Q$5,"yes","not yet")</f>
        <v>not yet</v>
      </c>
      <c r="AB5" s="88">
        <f>100*(1-Y5)</f>
        <v>91.180420926586194</v>
      </c>
      <c r="AC5" s="79"/>
      <c r="AD5" s="79"/>
      <c r="AE5" s="79">
        <v>0</v>
      </c>
      <c r="AF5" s="79">
        <v>1</v>
      </c>
      <c r="AG5" s="79"/>
      <c r="AH5" s="79"/>
      <c r="AI5" s="79"/>
      <c r="AJ5" s="79"/>
      <c r="AK5" s="79"/>
      <c r="AL5" s="79"/>
      <c r="AM5" s="79"/>
      <c r="AN5" s="79"/>
    </row>
    <row r="6" spans="1:40">
      <c r="A6" s="90" t="s">
        <v>11</v>
      </c>
      <c r="B6" s="79" t="s">
        <v>216</v>
      </c>
      <c r="C6" s="79" t="s">
        <v>221</v>
      </c>
      <c r="D6" s="79"/>
      <c r="E6" s="86">
        <f>(+E8-(($H15/100)*E7))/$H25</f>
        <v>101915.14186997172</v>
      </c>
      <c r="F6" s="91" t="s">
        <v>218</v>
      </c>
      <c r="G6" s="79"/>
      <c r="H6" s="508">
        <f>E6/E7</f>
        <v>8.9685447678764241E-2</v>
      </c>
      <c r="I6" s="79"/>
      <c r="J6" s="79" t="s">
        <v>222</v>
      </c>
      <c r="K6" s="79"/>
      <c r="L6" s="79"/>
      <c r="M6" s="79" t="s">
        <v>223</v>
      </c>
      <c r="N6" s="79"/>
      <c r="O6" s="79"/>
      <c r="P6" s="79"/>
      <c r="Q6" s="87">
        <f>$E$8*1.25</f>
        <v>1401731.4722554595</v>
      </c>
      <c r="R6" s="88">
        <f>100*(+Q6/$E$9)</f>
        <v>262.25443858770132</v>
      </c>
      <c r="S6" s="89">
        <f>EXP(5.70827-(0.68367*LN(+R6)))</f>
        <v>6.6905514266455013</v>
      </c>
      <c r="T6" s="89">
        <f>(+S6*R6)/100</f>
        <v>17.546268082370599</v>
      </c>
      <c r="U6" s="88">
        <f>100*((((T6/100)-((T6/100)-0.03574)*$E$21)-0.03574-0.00619)/0.344)</f>
        <v>26.30758579360597</v>
      </c>
      <c r="V6" s="79">
        <f>+$E$20</f>
        <v>0.25</v>
      </c>
      <c r="W6" s="88">
        <f>U6+V6</f>
        <v>26.55758579360597</v>
      </c>
      <c r="X6" s="88">
        <f>100*($E$17*$E$19+($E$18*(W6/100))/(1-$E$21))</f>
        <v>22.739812055966709</v>
      </c>
      <c r="Y6" s="89">
        <f>X6/R6</f>
        <v>8.6708969268263575E-2</v>
      </c>
      <c r="Z6" s="87">
        <f>$E$8/(1-Y6)</f>
        <v>1227850.8603176628</v>
      </c>
      <c r="AA6" s="79" t="str">
        <f>IF(Z6=$Q$6,"yes","not yet")</f>
        <v>not yet</v>
      </c>
      <c r="AB6" s="88">
        <f>100*(1-Y6)</f>
        <v>91.329103073173641</v>
      </c>
      <c r="AC6" s="79"/>
      <c r="AD6" s="79"/>
      <c r="AE6" s="79">
        <v>50</v>
      </c>
      <c r="AF6" s="79">
        <v>2</v>
      </c>
      <c r="AG6" s="79"/>
      <c r="AH6" s="79"/>
      <c r="AI6" s="79"/>
      <c r="AJ6" s="79"/>
      <c r="AK6" s="79"/>
      <c r="AL6" s="79"/>
      <c r="AM6" s="79"/>
      <c r="AN6" s="79"/>
    </row>
    <row r="7" spans="1:40">
      <c r="A7" s="79"/>
      <c r="B7" s="92" t="s">
        <v>224</v>
      </c>
      <c r="C7" s="79" t="s">
        <v>13</v>
      </c>
      <c r="D7" s="92" t="s">
        <v>225</v>
      </c>
      <c r="E7" s="158">
        <f>+Proforma!N20</f>
        <v>1136362.08</v>
      </c>
      <c r="F7" s="79" t="s">
        <v>226</v>
      </c>
      <c r="G7" s="79"/>
      <c r="H7" s="79"/>
      <c r="I7" s="79"/>
      <c r="J7" s="79" t="s">
        <v>227</v>
      </c>
      <c r="K7" s="79"/>
      <c r="L7" s="79"/>
      <c r="M7" s="79" t="s">
        <v>228</v>
      </c>
      <c r="N7" s="79"/>
      <c r="O7" s="79"/>
      <c r="P7" s="79"/>
      <c r="Q7" s="87">
        <f>$E$8*1.25</f>
        <v>1401731.4722554595</v>
      </c>
      <c r="R7" s="88">
        <f>100*(+Q7/$E$9)</f>
        <v>262.25443858770132</v>
      </c>
      <c r="S7" s="89">
        <f>EXP(5.6985-(0.68367*LN(R7)))</f>
        <v>6.625503018103684</v>
      </c>
      <c r="T7" s="89">
        <f>(+S7*R7)/100</f>
        <v>17.375675743739023</v>
      </c>
      <c r="U7" s="88">
        <f>100*((((T7/100)-((T7/100)-0.03574)*$E$21)-0.03574-0.00619)/0.344)</f>
        <v>25.964417484498277</v>
      </c>
      <c r="V7" s="79">
        <f>+$E$20</f>
        <v>0.25</v>
      </c>
      <c r="W7" s="88">
        <f>U7+V7</f>
        <v>26.214417484498277</v>
      </c>
      <c r="X7" s="88">
        <f>100*($E$17*$E$19+($E$18*(W7/100))/(1-$E$21))</f>
        <v>22.477151532170232</v>
      </c>
      <c r="Y7" s="89">
        <f>X7/R7</f>
        <v>8.5707420828469896E-2</v>
      </c>
      <c r="Z7" s="87">
        <f>$E$8/(1-Y7)</f>
        <v>1226505.829042702</v>
      </c>
      <c r="AA7" s="79" t="str">
        <f>IF(Z7=$Q$7,"yes","not yet")</f>
        <v>not yet</v>
      </c>
      <c r="AB7" s="88">
        <f>100*(1-Y7)</f>
        <v>91.429257917153009</v>
      </c>
      <c r="AC7" s="79"/>
      <c r="AD7" s="79"/>
      <c r="AE7" s="79">
        <v>125</v>
      </c>
      <c r="AF7" s="79">
        <v>3</v>
      </c>
      <c r="AG7" s="79"/>
      <c r="AH7" s="79"/>
      <c r="AI7" s="79"/>
      <c r="AJ7" s="79"/>
      <c r="AK7" s="79"/>
      <c r="AL7" s="79"/>
      <c r="AM7" s="79"/>
      <c r="AN7" s="79"/>
    </row>
    <row r="8" spans="1:40">
      <c r="A8" s="79"/>
      <c r="B8" s="92" t="s">
        <v>224</v>
      </c>
      <c r="C8" s="79" t="s">
        <v>53</v>
      </c>
      <c r="D8" s="92" t="s">
        <v>225</v>
      </c>
      <c r="E8" s="93">
        <f>Proforma!N32+Proforma!N293</f>
        <v>1121385.1778043676</v>
      </c>
      <c r="F8" s="79" t="s">
        <v>226</v>
      </c>
      <c r="G8" s="79"/>
      <c r="H8" s="79"/>
      <c r="I8" s="79"/>
      <c r="J8" s="79" t="s">
        <v>229</v>
      </c>
      <c r="K8" s="79"/>
      <c r="L8" s="79"/>
      <c r="M8" s="79" t="s">
        <v>230</v>
      </c>
      <c r="N8" s="79"/>
      <c r="O8" s="79"/>
      <c r="P8" s="79"/>
      <c r="Q8" s="87">
        <f>$E$8*1.25</f>
        <v>1401731.4722554595</v>
      </c>
      <c r="R8" s="88">
        <f>100*(+Q8/$E$9)</f>
        <v>262.25443858770132</v>
      </c>
      <c r="S8" s="89">
        <f>EXP(5.6922-(0.68367*LN(R8)))</f>
        <v>6.5838935565168297</v>
      </c>
      <c r="T8" s="89">
        <f>(+S8*R8)/100</f>
        <v>17.266553083855054</v>
      </c>
      <c r="U8" s="88">
        <f>100*((((T8/100)-((T8/100)-0.03574)*$E$21)-0.03574-0.00619)/0.344)</f>
        <v>25.744903296592149</v>
      </c>
      <c r="V8" s="79">
        <f>+$E$20</f>
        <v>0.25</v>
      </c>
      <c r="W8" s="88">
        <f>U8+V8</f>
        <v>25.994903296592149</v>
      </c>
      <c r="X8" s="88">
        <f>100*($E$17*$E$19+($E$18*(W8/100))/(1-$E$21))</f>
        <v>22.309135692577986</v>
      </c>
      <c r="Y8" s="89">
        <f>X8/R8</f>
        <v>8.5066761167962149E-2</v>
      </c>
      <c r="Z8" s="87">
        <f>$E$8/(1-Y8)</f>
        <v>1225646.9982835874</v>
      </c>
      <c r="AA8" s="79" t="str">
        <f>IF(Z8=$Q$8,"yes","not yet")</f>
        <v>not yet</v>
      </c>
      <c r="AB8" s="88">
        <f>100*(1-Y8)</f>
        <v>91.493323883203786</v>
      </c>
      <c r="AC8" s="79"/>
      <c r="AD8" s="79"/>
      <c r="AE8" s="79">
        <v>401</v>
      </c>
      <c r="AF8" s="79">
        <v>4</v>
      </c>
      <c r="AG8" s="79"/>
      <c r="AH8" s="79"/>
      <c r="AI8" s="79"/>
      <c r="AJ8" s="79"/>
      <c r="AK8" s="79"/>
      <c r="AL8" s="79"/>
      <c r="AM8" s="79"/>
      <c r="AN8" s="79"/>
    </row>
    <row r="9" spans="1:40">
      <c r="A9" s="79"/>
      <c r="B9" s="92" t="s">
        <v>224</v>
      </c>
      <c r="C9" s="79" t="s">
        <v>231</v>
      </c>
      <c r="D9" s="79"/>
      <c r="E9" s="94">
        <f>'Summary (Staff)'!J47</f>
        <v>534492.94502091035</v>
      </c>
      <c r="F9" s="79" t="s">
        <v>226</v>
      </c>
      <c r="G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row>
    <row r="10" spans="1:40">
      <c r="A10" s="79"/>
      <c r="B10" s="79"/>
      <c r="C10" s="79" t="s">
        <v>232</v>
      </c>
      <c r="D10" s="79"/>
      <c r="E10" s="88">
        <f>$R$5</f>
        <v>262.25443858770132</v>
      </c>
      <c r="F10" s="79" t="s">
        <v>233</v>
      </c>
      <c r="G10" s="79"/>
      <c r="H10" s="79"/>
      <c r="I10" s="79"/>
      <c r="J10" s="79"/>
      <c r="K10" s="79"/>
      <c r="L10" s="79"/>
      <c r="M10" s="79"/>
      <c r="N10" s="79"/>
      <c r="O10" s="79"/>
      <c r="P10" s="79"/>
      <c r="Q10" s="79"/>
      <c r="R10" s="84" t="s">
        <v>234</v>
      </c>
      <c r="S10" s="84" t="s">
        <v>207</v>
      </c>
      <c r="T10" s="84" t="s">
        <v>208</v>
      </c>
      <c r="U10" s="84" t="s">
        <v>209</v>
      </c>
      <c r="V10" s="79"/>
      <c r="W10" s="79"/>
      <c r="X10" s="79"/>
      <c r="Y10" s="79"/>
      <c r="Z10" s="79"/>
      <c r="AA10" s="79"/>
      <c r="AB10" s="79"/>
      <c r="AC10" s="79"/>
      <c r="AD10" s="79"/>
      <c r="AE10" s="79" t="s">
        <v>235</v>
      </c>
      <c r="AF10" s="79"/>
      <c r="AG10" s="79"/>
      <c r="AH10" s="79"/>
      <c r="AI10" s="79"/>
      <c r="AJ10" s="79"/>
      <c r="AK10" s="79"/>
      <c r="AL10" s="79"/>
      <c r="AM10" s="79"/>
      <c r="AN10" s="79"/>
    </row>
    <row r="11" spans="1:40">
      <c r="A11" s="79"/>
      <c r="B11" s="79"/>
      <c r="C11" s="79" t="s">
        <v>236</v>
      </c>
      <c r="D11" s="79"/>
      <c r="E11" s="88">
        <f>HLOOKUP($AF$34,$AF$28:$AN$32,$E$12+1)</f>
        <v>231.23635428932511</v>
      </c>
      <c r="F11" s="79" t="s">
        <v>233</v>
      </c>
      <c r="G11" s="79"/>
      <c r="H11" s="79"/>
      <c r="I11" s="79"/>
      <c r="J11" s="79"/>
      <c r="K11" s="79"/>
      <c r="L11" s="79"/>
      <c r="M11" s="79"/>
      <c r="N11" s="79"/>
      <c r="O11" s="79"/>
      <c r="P11" s="79"/>
      <c r="Q11" s="79"/>
      <c r="R11" s="88">
        <f>100*(+Z5/$E$9)</f>
        <v>230.09715105294822</v>
      </c>
      <c r="S11" s="95">
        <f>EXP(5.7226-(0.68367*LN(+R11)))</f>
        <v>7.4220819230750346</v>
      </c>
      <c r="T11" s="89">
        <f>(+S11*R11)/100</f>
        <v>17.077999053811528</v>
      </c>
      <c r="U11" s="88">
        <f>100*((((T11/100)-((T11/100)-0.03574)*$E$21)-0.03574-0.00619)/0.344)</f>
        <v>25.365602747783651</v>
      </c>
      <c r="V11" s="79">
        <f>+$E$20</f>
        <v>0.25</v>
      </c>
      <c r="W11" s="88">
        <f>U11+V11</f>
        <v>25.615602747783651</v>
      </c>
      <c r="X11" s="88">
        <f>100*($E$17*$E$19+($E$18*(W11/100))/(1-$E$21))</f>
        <v>22.01881960515901</v>
      </c>
      <c r="Y11" s="89">
        <f>X11/R11</f>
        <v>9.5693577710104741E-2</v>
      </c>
      <c r="Z11" s="87">
        <f>$E$8/(1-Y11)</f>
        <v>1240049.9987214324</v>
      </c>
      <c r="AA11" s="79" t="str">
        <f>IF(OR(OR(Z11=Z5,Z11=(Z5+1)),Z11=(Z8189-1)),"yes","not yet")</f>
        <v>not yet</v>
      </c>
      <c r="AB11" s="88">
        <f>100*(1-Y11)</f>
        <v>90.430642228989527</v>
      </c>
      <c r="AC11" s="79"/>
      <c r="AD11" s="79"/>
      <c r="AE11" s="79"/>
      <c r="AF11" s="79"/>
      <c r="AG11" s="79"/>
      <c r="AH11" s="79"/>
      <c r="AI11" s="79"/>
      <c r="AJ11" s="79"/>
      <c r="AK11" s="79"/>
      <c r="AL11" s="79"/>
      <c r="AM11" s="79"/>
      <c r="AN11" s="79"/>
    </row>
    <row r="12" spans="1:40">
      <c r="A12" s="79"/>
      <c r="B12" s="79"/>
      <c r="C12" s="79" t="s">
        <v>237</v>
      </c>
      <c r="D12" s="79"/>
      <c r="E12" s="79">
        <f>VLOOKUP(E10,$AE$5:$AF$8,2)</f>
        <v>3</v>
      </c>
      <c r="F12" s="79" t="s">
        <v>233</v>
      </c>
      <c r="G12" s="79"/>
      <c r="H12" s="79"/>
      <c r="I12" s="79"/>
      <c r="J12" s="79"/>
      <c r="K12" s="79"/>
      <c r="L12" s="79"/>
      <c r="M12" s="79"/>
      <c r="N12" s="79"/>
      <c r="O12" s="79"/>
      <c r="P12" s="79"/>
      <c r="Q12" s="79"/>
      <c r="R12" s="88">
        <f>100*(+Z6/$E$9)</f>
        <v>229.72255700580428</v>
      </c>
      <c r="S12" s="95">
        <f>EXP(5.70827-(0.68367*LN(+R12)))</f>
        <v>7.3246363596767177</v>
      </c>
      <c r="T12" s="89">
        <f>(+S12*R12)/100</f>
        <v>16.826341936826214</v>
      </c>
      <c r="U12" s="88">
        <f>100*((((T12/100)-((T12/100)-0.03574)*$E$21)-0.03574-0.00619)/0.344)</f>
        <v>24.85936226826669</v>
      </c>
      <c r="V12" s="79">
        <f>+$E$20</f>
        <v>0.25</v>
      </c>
      <c r="W12" s="88">
        <f>U12+V12</f>
        <v>25.10936226826669</v>
      </c>
      <c r="X12" s="88">
        <f>100*($E$17*$E$19+($E$18*(W12/100))/(1-$E$21))</f>
        <v>21.631343879726636</v>
      </c>
      <c r="Y12" s="89">
        <f>X12/R12</f>
        <v>9.4162907472687102E-2</v>
      </c>
      <c r="Z12" s="87">
        <f>$E$8/(1-Y12)</f>
        <v>1237954.5804154132</v>
      </c>
      <c r="AA12" s="79" t="str">
        <f>IF(OR(OR(Z12=Z6,Z12=(Z6+1)),Z12=(Z6-1)),"yes","not yet")</f>
        <v>not yet</v>
      </c>
      <c r="AB12" s="88">
        <f>100*(1-Y12)</f>
        <v>90.583709252731296</v>
      </c>
      <c r="AC12" s="79"/>
      <c r="AD12" s="79"/>
      <c r="AE12" s="79"/>
      <c r="AF12" s="79"/>
      <c r="AG12" s="79"/>
      <c r="AH12" s="79"/>
      <c r="AI12" s="79"/>
      <c r="AJ12" s="79"/>
      <c r="AK12" s="79"/>
      <c r="AL12" s="79"/>
      <c r="AM12" s="79"/>
      <c r="AN12" s="79"/>
    </row>
    <row r="13" spans="1:40">
      <c r="A13" s="79"/>
      <c r="B13" s="79"/>
      <c r="C13" s="79"/>
      <c r="D13" s="79"/>
      <c r="E13" s="79"/>
      <c r="F13" s="79"/>
      <c r="G13" s="79"/>
      <c r="H13" s="79"/>
      <c r="I13" s="79"/>
      <c r="J13" s="79"/>
      <c r="K13" s="79"/>
      <c r="L13" s="79"/>
      <c r="M13" s="79"/>
      <c r="N13" s="79"/>
      <c r="O13" s="79"/>
      <c r="P13" s="79"/>
      <c r="Q13" s="79"/>
      <c r="R13" s="88">
        <f>100*(+Z7/$E$9)</f>
        <v>229.47091078905052</v>
      </c>
      <c r="S13" s="95">
        <f>EXP(5.6985-(0.68367*LN(R13)))</f>
        <v>7.2588603268555874</v>
      </c>
      <c r="T13" s="89">
        <f>(+S13*R13)/100</f>
        <v>16.656972904940567</v>
      </c>
      <c r="U13" s="88">
        <f>100*((((T13/100)-((T13/100)-0.03574)*$E$21)-0.03574-0.00619)/0.344)</f>
        <v>24.518654797147889</v>
      </c>
      <c r="V13" s="79">
        <f>+$E$20</f>
        <v>0.25</v>
      </c>
      <c r="W13" s="88">
        <f>U13+V13</f>
        <v>24.768654797147889</v>
      </c>
      <c r="X13" s="88">
        <f>100*($E$17*$E$19+($E$18*(W13/100))/(1-$E$21))</f>
        <v>21.370566877741428</v>
      </c>
      <c r="Y13" s="89">
        <f>X13/R13</f>
        <v>9.3129742694868622E-2</v>
      </c>
      <c r="Z13" s="87">
        <f>$E$8/(1-Y13)</f>
        <v>1236544.2231358341</v>
      </c>
      <c r="AA13" s="79" t="str">
        <f>IF(OR(OR(Z13=Z7,Z13=(Z7+1)),Z13=(Z7-1)),"yes","not yet")</f>
        <v>not yet</v>
      </c>
      <c r="AB13" s="88">
        <f>100*(1-Y13)</f>
        <v>90.687025730513142</v>
      </c>
      <c r="AC13" s="79"/>
      <c r="AD13" s="79"/>
      <c r="AE13" s="79"/>
      <c r="AF13" s="79">
        <v>1</v>
      </c>
      <c r="AG13" s="79">
        <v>2</v>
      </c>
      <c r="AH13" s="79">
        <v>3</v>
      </c>
      <c r="AI13" s="79">
        <v>4</v>
      </c>
      <c r="AJ13" s="79">
        <v>5</v>
      </c>
      <c r="AK13" s="79">
        <v>6</v>
      </c>
      <c r="AL13" s="79">
        <v>7</v>
      </c>
      <c r="AM13" s="79">
        <v>8</v>
      </c>
      <c r="AN13" s="79">
        <v>9</v>
      </c>
    </row>
    <row r="14" spans="1:40">
      <c r="A14" s="79"/>
      <c r="B14" s="79"/>
      <c r="C14" s="79" t="s">
        <v>238</v>
      </c>
      <c r="D14" s="79"/>
      <c r="E14" s="79"/>
      <c r="F14" s="79"/>
      <c r="G14" s="79"/>
      <c r="H14" s="79"/>
      <c r="I14" s="79"/>
      <c r="J14" s="79"/>
      <c r="K14" s="79"/>
      <c r="L14" s="79"/>
      <c r="M14" s="79"/>
      <c r="N14" s="79"/>
      <c r="O14" s="79"/>
      <c r="P14" s="79"/>
      <c r="Q14" s="79"/>
      <c r="R14" s="88">
        <f>100*(+Z8/$E$9)</f>
        <v>229.31022938677663</v>
      </c>
      <c r="S14" s="95">
        <f>EXP(5.6922-(0.68367*LN(R14)))</f>
        <v>7.2167284551033744</v>
      </c>
      <c r="T14" s="89">
        <f>(+S14*R14)/100</f>
        <v>16.548696574618329</v>
      </c>
      <c r="U14" s="88">
        <f>100*((((T14/100)-((T14/100)-0.03574)*$E$21)-0.03574-0.00619)/0.344)</f>
        <v>24.300843109406646</v>
      </c>
      <c r="V14" s="79">
        <f>+$E$20</f>
        <v>0.25</v>
      </c>
      <c r="W14" s="88">
        <f>U14+V14</f>
        <v>24.550843109406646</v>
      </c>
      <c r="X14" s="88">
        <f>100*($E$17*$E$19+($E$18*(W14/100))/(1-$E$21))</f>
        <v>21.203854129294847</v>
      </c>
      <c r="Y14" s="89">
        <f>X14/R14</f>
        <v>9.2467981851478559E-2</v>
      </c>
      <c r="Z14" s="87">
        <f>$E$8/(1-Y14)</f>
        <v>1235642.5507632594</v>
      </c>
      <c r="AA14" s="79" t="str">
        <f>IF(OR(OR(Z14=Z8,Z14=(Z8+1)),Z14=(Z8-1)),"yes","not yet")</f>
        <v>not yet</v>
      </c>
      <c r="AB14" s="88">
        <f>100*(1-Y14)</f>
        <v>90.753201814852147</v>
      </c>
      <c r="AC14" s="79"/>
      <c r="AD14" s="79"/>
      <c r="AE14" s="79"/>
      <c r="AF14" s="79" t="str">
        <f>AA5</f>
        <v>not yet</v>
      </c>
      <c r="AG14" s="79" t="str">
        <f>AA11</f>
        <v>not yet</v>
      </c>
      <c r="AH14" s="79" t="str">
        <f>AA17</f>
        <v>not yet</v>
      </c>
      <c r="AI14" s="79" t="str">
        <f>AA23</f>
        <v>not yet</v>
      </c>
      <c r="AJ14" s="79" t="str">
        <f>AA29</f>
        <v>not yet</v>
      </c>
      <c r="AK14" s="79" t="str">
        <f>AA35</f>
        <v>not yet</v>
      </c>
      <c r="AL14" s="79" t="str">
        <f>AA41</f>
        <v>yes</v>
      </c>
      <c r="AM14" s="79" t="str">
        <f>AA47</f>
        <v>yes</v>
      </c>
      <c r="AN14" s="79" t="str">
        <f>AA53</f>
        <v>yes</v>
      </c>
    </row>
    <row r="15" spans="1:40">
      <c r="A15" s="79"/>
      <c r="B15" s="79"/>
      <c r="C15" s="79" t="s">
        <v>239</v>
      </c>
      <c r="D15" s="79"/>
      <c r="E15" s="92" t="s">
        <v>216</v>
      </c>
      <c r="F15" s="79" t="s">
        <v>240</v>
      </c>
      <c r="G15" s="79"/>
      <c r="H15" s="88">
        <f>HLOOKUP($AF$25,$AF$19:$AN$23,$E$12+1)</f>
        <v>90.731206697361429</v>
      </c>
      <c r="I15" s="79" t="s">
        <v>218</v>
      </c>
      <c r="J15" s="79"/>
      <c r="K15" s="79"/>
      <c r="L15" s="79"/>
      <c r="M15" s="79"/>
      <c r="N15" s="79"/>
      <c r="O15" s="79"/>
      <c r="P15" s="79"/>
      <c r="Q15" s="79"/>
      <c r="R15" s="79"/>
      <c r="S15" s="79"/>
      <c r="T15" s="79"/>
      <c r="U15" s="79"/>
      <c r="V15" s="79"/>
      <c r="W15" s="79"/>
      <c r="X15" s="79"/>
      <c r="Y15" s="79"/>
      <c r="Z15" s="79"/>
      <c r="AA15" s="79"/>
      <c r="AB15" s="79"/>
      <c r="AC15" s="79"/>
      <c r="AD15" s="79"/>
      <c r="AE15" s="79"/>
      <c r="AF15" s="79" t="str">
        <f>AA6</f>
        <v>not yet</v>
      </c>
      <c r="AG15" s="79" t="str">
        <f>AA12</f>
        <v>not yet</v>
      </c>
      <c r="AH15" s="79" t="str">
        <f>AA18</f>
        <v>not yet</v>
      </c>
      <c r="AI15" s="79" t="str">
        <f>AA24</f>
        <v>not yet</v>
      </c>
      <c r="AJ15" s="79" t="str">
        <f>AA30</f>
        <v>not yet</v>
      </c>
      <c r="AK15" s="79" t="str">
        <f>AA36</f>
        <v>not yet</v>
      </c>
      <c r="AL15" s="79" t="str">
        <f>AA42</f>
        <v>yes</v>
      </c>
      <c r="AM15" s="79" t="str">
        <f>AA48</f>
        <v>yes</v>
      </c>
      <c r="AN15" s="79" t="str">
        <f>AA54</f>
        <v>yes</v>
      </c>
    </row>
    <row r="16" spans="1:40">
      <c r="A16" s="79"/>
      <c r="B16" s="79"/>
      <c r="C16" s="96" t="s">
        <v>225</v>
      </c>
      <c r="D16" s="96" t="s">
        <v>225</v>
      </c>
      <c r="E16" s="79"/>
      <c r="F16" s="79"/>
      <c r="G16" s="79"/>
      <c r="H16" s="96" t="s">
        <v>241</v>
      </c>
      <c r="I16" s="79"/>
      <c r="J16" s="79"/>
      <c r="K16" s="79"/>
      <c r="L16" s="79"/>
      <c r="M16" s="79"/>
      <c r="N16" s="79"/>
      <c r="O16" s="79"/>
      <c r="P16" s="79"/>
      <c r="Q16" s="79"/>
      <c r="R16" s="79" t="s">
        <v>242</v>
      </c>
      <c r="S16" s="84" t="s">
        <v>207</v>
      </c>
      <c r="T16" s="84" t="s">
        <v>208</v>
      </c>
      <c r="U16" s="84" t="s">
        <v>209</v>
      </c>
      <c r="V16" s="79"/>
      <c r="W16" s="79"/>
      <c r="X16" s="79"/>
      <c r="Y16" s="79"/>
      <c r="Z16" s="79"/>
      <c r="AA16" s="79"/>
      <c r="AB16" s="79"/>
      <c r="AC16" s="79"/>
      <c r="AD16" s="79"/>
      <c r="AE16" s="79"/>
      <c r="AF16" s="79" t="str">
        <f>AA7</f>
        <v>not yet</v>
      </c>
      <c r="AG16" s="79" t="str">
        <f>AA13</f>
        <v>not yet</v>
      </c>
      <c r="AH16" s="79" t="str">
        <f>AA19</f>
        <v>not yet</v>
      </c>
      <c r="AI16" s="79" t="str">
        <f>AA25</f>
        <v>not yet</v>
      </c>
      <c r="AJ16" s="79" t="str">
        <f>AA31</f>
        <v>not yet</v>
      </c>
      <c r="AK16" s="79" t="str">
        <f>AA37</f>
        <v>not yet</v>
      </c>
      <c r="AL16" s="79" t="str">
        <f>AA43</f>
        <v>yes</v>
      </c>
      <c r="AM16" s="79" t="str">
        <f>AA49</f>
        <v>yes</v>
      </c>
      <c r="AN16" s="79" t="str">
        <f>AA55</f>
        <v>yes</v>
      </c>
    </row>
    <row r="17" spans="1:40">
      <c r="A17" s="79"/>
      <c r="B17" s="92" t="s">
        <v>224</v>
      </c>
      <c r="C17" s="79" t="s">
        <v>243</v>
      </c>
      <c r="D17" s="79"/>
      <c r="E17" s="97">
        <f>'Combined LG'!E17</f>
        <v>0.47034420824062401</v>
      </c>
      <c r="F17" s="79" t="s">
        <v>244</v>
      </c>
      <c r="G17" s="79"/>
      <c r="H17" s="79"/>
      <c r="I17" s="79"/>
      <c r="J17" s="79"/>
      <c r="K17" s="79"/>
      <c r="L17" s="79"/>
      <c r="M17" s="79"/>
      <c r="N17" s="79"/>
      <c r="O17" s="79"/>
      <c r="P17" s="79"/>
      <c r="Q17" s="79"/>
      <c r="R17" s="88">
        <f>100*(+Z11/$E$9)</f>
        <v>232.00493295059664</v>
      </c>
      <c r="S17" s="95">
        <f>EXP(5.7226-(0.68367*LN(+R17)))</f>
        <v>7.380301744646153</v>
      </c>
      <c r="T17" s="89">
        <f>(+S17*R17)/100</f>
        <v>17.122664114218022</v>
      </c>
      <c r="U17" s="88">
        <f>100*((((T17/100)-((T17/100)-0.03574)*$E$21)-0.03574-0.00619)/0.344)</f>
        <v>25.455452229764163</v>
      </c>
      <c r="V17" s="79">
        <f>+$E$20</f>
        <v>0.25</v>
      </c>
      <c r="W17" s="88">
        <f>U17+V17</f>
        <v>25.705452229764163</v>
      </c>
      <c r="X17" s="88">
        <f>100*($E$17*$E$19+($E$18*(W17/100))/(1-$E$21))</f>
        <v>22.087590267756639</v>
      </c>
      <c r="Y17" s="89">
        <f>X17/R17</f>
        <v>9.5203106187660202E-2</v>
      </c>
      <c r="Z17" s="87">
        <f>$E$8/(1-Y17)</f>
        <v>1239377.7934840585</v>
      </c>
      <c r="AA17" s="79" t="str">
        <f>IF(OR(OR(Z17=Z11,Z17=(Z11+1)),Z17=(Z2-1)),"yes","not yet")</f>
        <v>not yet</v>
      </c>
      <c r="AB17" s="88">
        <f>100*(1-Y17)</f>
        <v>90.479689381233982</v>
      </c>
      <c r="AC17" s="79"/>
      <c r="AD17" s="79"/>
      <c r="AE17" s="79"/>
      <c r="AF17" s="79" t="str">
        <f>AA8</f>
        <v>not yet</v>
      </c>
      <c r="AG17" s="79" t="str">
        <f>AA14</f>
        <v>not yet</v>
      </c>
      <c r="AH17" s="79" t="str">
        <f>AA20</f>
        <v>not yet</v>
      </c>
      <c r="AI17" s="79" t="str">
        <f>AA26</f>
        <v>not yet</v>
      </c>
      <c r="AJ17" s="79" t="str">
        <f>AA32</f>
        <v>not yet</v>
      </c>
      <c r="AK17" s="79" t="str">
        <f>AA38</f>
        <v>not yet</v>
      </c>
      <c r="AL17" s="79" t="str">
        <f>AA44</f>
        <v>yes</v>
      </c>
      <c r="AM17" s="79" t="str">
        <f>AA50</f>
        <v>yes</v>
      </c>
      <c r="AN17" s="79" t="str">
        <f>AA56</f>
        <v>yes</v>
      </c>
    </row>
    <row r="18" spans="1:40">
      <c r="A18" s="79"/>
      <c r="B18" s="92" t="s">
        <v>224</v>
      </c>
      <c r="C18" s="79" t="s">
        <v>245</v>
      </c>
      <c r="D18" s="79"/>
      <c r="E18" s="97">
        <f>1-E17</f>
        <v>0.52965579175937605</v>
      </c>
      <c r="F18" s="79" t="s">
        <v>246</v>
      </c>
      <c r="G18" s="79"/>
      <c r="H18" s="99">
        <f>'Combined LG'!H18</f>
        <v>1.4999999999999999E-2</v>
      </c>
      <c r="I18" s="79" t="s">
        <v>224</v>
      </c>
      <c r="J18" s="79"/>
      <c r="K18" s="79"/>
      <c r="L18" s="79"/>
      <c r="M18" s="79"/>
      <c r="N18" s="79"/>
      <c r="O18" s="79"/>
      <c r="P18" s="79"/>
      <c r="Q18" s="79"/>
      <c r="R18" s="88">
        <f>100*(+Z12/$E$9)</f>
        <v>231.61289441659184</v>
      </c>
      <c r="S18" s="95">
        <f>EXP(5.70827-(0.68367*LN(+R18)))</f>
        <v>7.2837129827627605</v>
      </c>
      <c r="T18" s="89">
        <f>(+S18*R18)/100</f>
        <v>16.870018460373906</v>
      </c>
      <c r="U18" s="88">
        <f>100*((((T18/100)-((T18/100)-0.03574)*$E$21)-0.03574-0.00619)/0.344)</f>
        <v>24.94722318191495</v>
      </c>
      <c r="V18" s="79">
        <f>+$E$20</f>
        <v>0.25</v>
      </c>
      <c r="W18" s="88">
        <f>U18+V18</f>
        <v>25.19722318191495</v>
      </c>
      <c r="X18" s="88">
        <f>100*($E$17*$E$19+($E$18*(W18/100))/(1-$E$21))</f>
        <v>21.69859249502009</v>
      </c>
      <c r="Y18" s="89">
        <f>X18/R18</f>
        <v>9.3684734391306354E-2</v>
      </c>
      <c r="Z18" s="87">
        <f>$E$8/(1-Y18)</f>
        <v>1237301.4340117399</v>
      </c>
      <c r="AA18" s="79" t="str">
        <f>IF(OR(OR(Z18=Z12,Z18=(Z12+1)),Z18=(Z12-1)),"yes","not yet")</f>
        <v>not yet</v>
      </c>
      <c r="AB18" s="88">
        <f>100*(1-Y18)</f>
        <v>90.631526560869375</v>
      </c>
      <c r="AC18" s="79"/>
      <c r="AD18" s="79"/>
      <c r="AE18" s="79"/>
      <c r="AF18" s="79"/>
      <c r="AG18" s="79"/>
      <c r="AH18" s="79"/>
      <c r="AI18" s="79"/>
      <c r="AJ18" s="79"/>
      <c r="AK18" s="79"/>
      <c r="AL18" s="79"/>
      <c r="AM18" s="79"/>
      <c r="AN18" s="79"/>
    </row>
    <row r="19" spans="1:40">
      <c r="A19" s="79"/>
      <c r="B19" s="92" t="s">
        <v>224</v>
      </c>
      <c r="C19" s="79" t="s">
        <v>247</v>
      </c>
      <c r="D19" s="79"/>
      <c r="E19" s="97">
        <f>'Combined LG'!E19</f>
        <v>5.129593479716732E-2</v>
      </c>
      <c r="F19" s="79" t="s">
        <v>248</v>
      </c>
      <c r="G19" s="79"/>
      <c r="H19" s="99">
        <f>'Combined LG'!H19</f>
        <v>4.2750000000000002E-3</v>
      </c>
      <c r="I19" s="79" t="s">
        <v>224</v>
      </c>
      <c r="J19" s="79"/>
      <c r="K19" s="79"/>
      <c r="L19" s="79"/>
      <c r="M19" s="79"/>
      <c r="N19" s="79"/>
      <c r="O19" s="79"/>
      <c r="P19" s="79"/>
      <c r="Q19" s="79"/>
      <c r="R19" s="88">
        <f>100*(+Z13/$E$9)</f>
        <v>231.34902614803613</v>
      </c>
      <c r="S19" s="95">
        <f>EXP(5.6985-(0.68367*LN(R19)))</f>
        <v>7.2185209838124544</v>
      </c>
      <c r="T19" s="89">
        <f>(+S19*R19)/100</f>
        <v>16.699977998341751</v>
      </c>
      <c r="U19" s="88">
        <f>100*((((T19/100)-((T19/100)-0.03574)*$E$21)-0.03574-0.00619)/0.344)</f>
        <v>24.605165043175852</v>
      </c>
      <c r="V19" s="79">
        <f>+$E$20</f>
        <v>0.25</v>
      </c>
      <c r="W19" s="88">
        <f>U19+V19</f>
        <v>24.855165043175852</v>
      </c>
      <c r="X19" s="88">
        <f>100*($E$17*$E$19+($E$18*(W19/100))/(1-$E$21))</f>
        <v>21.436781694006228</v>
      </c>
      <c r="Y19" s="89">
        <f>X19/R19</f>
        <v>9.2659917575314166E-2</v>
      </c>
      <c r="Z19" s="87">
        <f>$E$8/(1-Y19)</f>
        <v>1235903.9345067716</v>
      </c>
      <c r="AA19" s="79" t="str">
        <f>IF(OR(OR(Z19=Z13,Z19=(Z13+1)),Z19=(Z13-1)),"yes","not yet")</f>
        <v>not yet</v>
      </c>
      <c r="AB19" s="88">
        <f>100*(1-Y19)</f>
        <v>90.734008242468576</v>
      </c>
      <c r="AC19" s="79"/>
      <c r="AD19" s="79"/>
      <c r="AE19" s="79"/>
      <c r="AF19" s="79" t="str">
        <f>HLOOKUP(1,$AF$13:$AN$17,$E$12+1)</f>
        <v>not yet</v>
      </c>
      <c r="AG19" s="79" t="str">
        <f>HLOOKUP(2,$AF$13:$AN$17,$E$12+1)</f>
        <v>not yet</v>
      </c>
      <c r="AH19" s="79" t="str">
        <f>HLOOKUP(3,$AF$13:$AN$17,$E$12+1)</f>
        <v>not yet</v>
      </c>
      <c r="AI19" s="79" t="str">
        <f>HLOOKUP(4,$AF$13:$AN$17,$E$12+1)</f>
        <v>not yet</v>
      </c>
      <c r="AJ19" s="79" t="str">
        <f>HLOOKUP(5,$AF$13:$AN$17,$E$12+1)</f>
        <v>not yet</v>
      </c>
      <c r="AK19" s="79" t="str">
        <f>HLOOKUP(6,$AF$13:$AN$17,$E$12+1)</f>
        <v>not yet</v>
      </c>
      <c r="AL19" s="79" t="str">
        <f>HLOOKUP(7,$AF$13:$AN$17,$E$12+1)</f>
        <v>yes</v>
      </c>
      <c r="AM19" s="79" t="str">
        <f>HLOOKUP(8,$AF$13:$AN$17,$E$12+1)</f>
        <v>yes</v>
      </c>
      <c r="AN19" s="79" t="str">
        <f>HLOOKUP(9,$AF$13:$AN$17,$E$12+1)</f>
        <v>yes</v>
      </c>
    </row>
    <row r="20" spans="1:40">
      <c r="A20" s="79"/>
      <c r="B20" s="79"/>
      <c r="C20" s="79"/>
      <c r="D20" s="79"/>
      <c r="E20" s="79">
        <v>0.25</v>
      </c>
      <c r="F20" s="79" t="s">
        <v>249</v>
      </c>
      <c r="G20" s="79"/>
      <c r="H20" s="99">
        <f>'Combined LG'!H20</f>
        <v>0</v>
      </c>
      <c r="I20" s="79" t="s">
        <v>224</v>
      </c>
      <c r="J20" s="79"/>
      <c r="K20" s="79"/>
      <c r="L20" s="79"/>
      <c r="M20" s="79"/>
      <c r="N20" s="79"/>
      <c r="O20" s="79"/>
      <c r="P20" s="79"/>
      <c r="Q20" s="79"/>
      <c r="R20" s="88">
        <f>100*(+Z14/$E$9)</f>
        <v>231.18032937084303</v>
      </c>
      <c r="S20" s="95">
        <f>EXP(5.6922-(0.68367*LN(R20)))</f>
        <v>7.1767654517872392</v>
      </c>
      <c r="T20" s="89">
        <f>(+S20*R20)/100</f>
        <v>16.591270009614611</v>
      </c>
      <c r="U20" s="88">
        <f>100*((((T20/100)-((T20/100)-0.03574)*$E$21)-0.03574-0.00619)/0.344)</f>
        <v>24.386485019341027</v>
      </c>
      <c r="V20" s="79">
        <f>+$E$20</f>
        <v>0.25</v>
      </c>
      <c r="W20" s="88">
        <f>U20+V20</f>
        <v>24.636485019341027</v>
      </c>
      <c r="X20" s="88">
        <f>100*($E$17*$E$19+($E$18*(W20/100))/(1-$E$21))</f>
        <v>21.269404322378779</v>
      </c>
      <c r="Y20" s="89">
        <f>X20/R20</f>
        <v>9.2003521148462053E-2</v>
      </c>
      <c r="Z20" s="87">
        <f>$E$8/(1-Y20)</f>
        <v>1235010.4916956618</v>
      </c>
      <c r="AA20" s="79" t="str">
        <f>IF(OR(OR(Z20=Z14,Z20=(Z14+1)),Z20=(Z14-1)),"yes","not yet")</f>
        <v>not yet</v>
      </c>
      <c r="AB20" s="88">
        <f>100*(1-Y20)</f>
        <v>90.799647885153803</v>
      </c>
      <c r="AC20" s="79"/>
      <c r="AD20" s="79"/>
      <c r="AE20" s="79">
        <v>1</v>
      </c>
      <c r="AF20" s="88">
        <f>AB5</f>
        <v>91.180420926586194</v>
      </c>
      <c r="AG20" s="88">
        <f>AB11</f>
        <v>90.430642228989527</v>
      </c>
      <c r="AH20" s="88">
        <f>AB17</f>
        <v>90.479689381233982</v>
      </c>
      <c r="AI20" s="88">
        <f>AB23</f>
        <v>90.476475792744367</v>
      </c>
      <c r="AJ20" s="88">
        <f>AB29</f>
        <v>90.476686326190759</v>
      </c>
      <c r="AK20" s="88">
        <f>AB35</f>
        <v>90.476672533311785</v>
      </c>
      <c r="AL20" s="88">
        <f>AB41</f>
        <v>90.476672866811583</v>
      </c>
      <c r="AM20" s="88">
        <f>AB47</f>
        <v>90.476672866811583</v>
      </c>
      <c r="AN20" s="88">
        <f>AB53</f>
        <v>90.476672866811583</v>
      </c>
    </row>
    <row r="21" spans="1:40">
      <c r="A21" s="79"/>
      <c r="B21" s="92" t="s">
        <v>224</v>
      </c>
      <c r="C21" s="79" t="s">
        <v>250</v>
      </c>
      <c r="D21" s="79"/>
      <c r="E21" s="545">
        <f>'Combined LG'!E21</f>
        <v>0.308</v>
      </c>
      <c r="F21" s="79" t="s">
        <v>251</v>
      </c>
      <c r="G21" s="79"/>
      <c r="H21" s="99">
        <f>'Combined LG'!H21</f>
        <v>1.5137446158343015E-3</v>
      </c>
      <c r="I21" s="79" t="s">
        <v>224</v>
      </c>
      <c r="J21" s="79"/>
      <c r="K21" s="79"/>
      <c r="L21" s="79"/>
      <c r="M21" s="79"/>
      <c r="N21" s="79"/>
      <c r="O21" s="79"/>
      <c r="P21" s="79"/>
      <c r="Q21" s="79"/>
      <c r="R21" s="79"/>
      <c r="S21" s="79"/>
      <c r="T21" s="79"/>
      <c r="U21" s="79"/>
      <c r="V21" s="79"/>
      <c r="W21" s="79"/>
      <c r="X21" s="79"/>
      <c r="Y21" s="79"/>
      <c r="Z21" s="79"/>
      <c r="AA21" s="79"/>
      <c r="AB21" s="79"/>
      <c r="AC21" s="79"/>
      <c r="AD21" s="79"/>
      <c r="AE21" s="79">
        <v>2</v>
      </c>
      <c r="AF21" s="88">
        <f>AB6</f>
        <v>91.329103073173641</v>
      </c>
      <c r="AG21" s="88">
        <f>AB12</f>
        <v>90.583709252731296</v>
      </c>
      <c r="AH21" s="88">
        <f>AB18</f>
        <v>90.631526560869375</v>
      </c>
      <c r="AI21" s="88">
        <f>AB24</f>
        <v>90.628454150792578</v>
      </c>
      <c r="AJ21" s="88">
        <f>AB30</f>
        <v>90.628651542343079</v>
      </c>
      <c r="AK21" s="88">
        <f>AB36</f>
        <v>90.628638860545792</v>
      </c>
      <c r="AL21" s="88">
        <f>AB42</f>
        <v>90.62864034283362</v>
      </c>
      <c r="AM21" s="88">
        <f>AB48</f>
        <v>90.62864034283362</v>
      </c>
      <c r="AN21" s="88">
        <f>AB54</f>
        <v>90.62864034283362</v>
      </c>
    </row>
    <row r="22" spans="1:40">
      <c r="A22" s="79"/>
      <c r="B22" s="79"/>
      <c r="C22" s="79"/>
      <c r="D22" s="79"/>
      <c r="E22" s="79"/>
      <c r="F22" s="79"/>
      <c r="G22" s="79"/>
      <c r="H22" s="96" t="s">
        <v>225</v>
      </c>
      <c r="I22" s="79"/>
      <c r="J22" s="79"/>
      <c r="K22" s="79"/>
      <c r="L22" s="79"/>
      <c r="M22" s="79"/>
      <c r="N22" s="79"/>
      <c r="O22" s="79"/>
      <c r="P22" s="79"/>
      <c r="Q22" s="79"/>
      <c r="R22" s="79" t="s">
        <v>252</v>
      </c>
      <c r="S22" s="84" t="s">
        <v>207</v>
      </c>
      <c r="T22" s="84" t="s">
        <v>208</v>
      </c>
      <c r="U22" s="84" t="s">
        <v>209</v>
      </c>
      <c r="V22" s="79"/>
      <c r="W22" s="79"/>
      <c r="X22" s="79"/>
      <c r="Y22" s="79"/>
      <c r="Z22" s="79"/>
      <c r="AA22" s="79"/>
      <c r="AB22" s="79"/>
      <c r="AC22" s="79"/>
      <c r="AD22" s="79"/>
      <c r="AE22" s="79">
        <v>3</v>
      </c>
      <c r="AF22" s="88">
        <f>AB7</f>
        <v>91.429257917153009</v>
      </c>
      <c r="AG22" s="88">
        <f>AB13</f>
        <v>90.687025730513142</v>
      </c>
      <c r="AH22" s="88">
        <f>AB19</f>
        <v>90.734008242468576</v>
      </c>
      <c r="AI22" s="88">
        <f>AB25</f>
        <v>90.731029543929225</v>
      </c>
      <c r="AJ22" s="88">
        <f>AB31</f>
        <v>90.731218374732364</v>
      </c>
      <c r="AK22" s="88">
        <f>AB37</f>
        <v>90.731206403966979</v>
      </c>
      <c r="AL22" s="88">
        <f>AB43</f>
        <v>90.731206697361429</v>
      </c>
      <c r="AM22" s="88">
        <f>AB49</f>
        <v>90.731206697361429</v>
      </c>
      <c r="AN22" s="88">
        <f>AB55</f>
        <v>90.731206697361429</v>
      </c>
    </row>
    <row r="23" spans="1:40">
      <c r="A23" s="79"/>
      <c r="B23" s="79"/>
      <c r="C23" s="79"/>
      <c r="D23" s="79"/>
      <c r="E23" s="79"/>
      <c r="F23" s="79" t="s">
        <v>253</v>
      </c>
      <c r="G23" s="79"/>
      <c r="H23" s="100">
        <f>SUM(H18:H21)</f>
        <v>2.0788744615834302E-2</v>
      </c>
      <c r="I23" s="79"/>
      <c r="J23" s="79"/>
      <c r="K23" s="79"/>
      <c r="L23" s="79"/>
      <c r="M23" s="79"/>
      <c r="N23" s="79"/>
      <c r="O23" s="79"/>
      <c r="P23" s="79"/>
      <c r="Q23" s="79"/>
      <c r="R23" s="88">
        <f>100*(+Z17/$E$9)</f>
        <v>231.87916791597161</v>
      </c>
      <c r="S23" s="95">
        <f>EXP(5.7226-(0.68367*LN(+R23)))</f>
        <v>7.383038157202094</v>
      </c>
      <c r="T23" s="89">
        <f>(+S23*R23)/100</f>
        <v>17.119727445838897</v>
      </c>
      <c r="U23" s="88">
        <f>100*((((T23/100)-((T23/100)-0.03574)*$E$21)-0.03574-0.00619)/0.344)</f>
        <v>25.449544745699182</v>
      </c>
      <c r="V23" s="79">
        <f>+$E$20</f>
        <v>0.25</v>
      </c>
      <c r="W23" s="88">
        <f>U23+V23</f>
        <v>25.699544745699182</v>
      </c>
      <c r="X23" s="88">
        <f>100*($E$17*$E$19+($E$18*(W23/100))/(1-$E$21))</f>
        <v>22.083068688060475</v>
      </c>
      <c r="Y23" s="89">
        <f>X23/R23</f>
        <v>9.523524207255625E-2</v>
      </c>
      <c r="Z23" s="87">
        <f>$E$8/(1-Y23)</f>
        <v>1239421.8143212597</v>
      </c>
      <c r="AA23" s="79" t="str">
        <f>IF(OR(OR(Z23=Z17,Z23=(Z17+1)),Z23=(Z9-1)),"yes","not yet")</f>
        <v>not yet</v>
      </c>
      <c r="AB23" s="88">
        <f>100*(1-Y23)</f>
        <v>90.476475792744367</v>
      </c>
      <c r="AC23" s="79"/>
      <c r="AD23" s="79"/>
      <c r="AE23" s="79">
        <v>4</v>
      </c>
      <c r="AF23" s="88">
        <f>AB8</f>
        <v>91.493323883203786</v>
      </c>
      <c r="AG23" s="88">
        <f>AB14</f>
        <v>90.753201814852147</v>
      </c>
      <c r="AH23" s="88">
        <f>AB20</f>
        <v>90.799647885153803</v>
      </c>
      <c r="AI23" s="88">
        <f>AB26</f>
        <v>90.796728523758304</v>
      </c>
      <c r="AJ23" s="88">
        <f>AB32</f>
        <v>90.796912001392599</v>
      </c>
      <c r="AK23" s="88">
        <f>AB38</f>
        <v>90.796900470016311</v>
      </c>
      <c r="AL23" s="88">
        <f>AB44</f>
        <v>90.796901833457227</v>
      </c>
      <c r="AM23" s="88">
        <f>AB50</f>
        <v>90.796901833457227</v>
      </c>
      <c r="AN23" s="88">
        <f>AB56</f>
        <v>90.796901833457227</v>
      </c>
    </row>
    <row r="24" spans="1:40">
      <c r="A24" s="79"/>
      <c r="B24" s="79"/>
      <c r="C24" s="79"/>
      <c r="D24" s="79"/>
      <c r="E24" s="79"/>
      <c r="F24" s="79"/>
      <c r="G24" s="79"/>
      <c r="H24" s="79"/>
      <c r="I24" s="79"/>
      <c r="J24" s="79"/>
      <c r="K24" s="79"/>
      <c r="L24" s="79"/>
      <c r="M24" s="79"/>
      <c r="N24" s="79"/>
      <c r="O24" s="79"/>
      <c r="P24" s="79"/>
      <c r="Q24" s="79"/>
      <c r="R24" s="88">
        <f>100*(+Z18/$E$9)</f>
        <v>231.49069516031392</v>
      </c>
      <c r="S24" s="95">
        <f>EXP(5.70827-(0.68367*LN(+R24)))</f>
        <v>7.2863414230634458</v>
      </c>
      <c r="T24" s="89">
        <f>(+S24*R24)/100</f>
        <v>16.867202412003479</v>
      </c>
      <c r="U24" s="88">
        <f>100*((((T24/100)-((T24/100)-0.03574)*$E$21)-0.03574-0.00619)/0.344)</f>
        <v>24.941558340425605</v>
      </c>
      <c r="V24" s="79">
        <f>+$E$20</f>
        <v>0.25</v>
      </c>
      <c r="W24" s="88">
        <f>U24+V24</f>
        <v>25.191558340425605</v>
      </c>
      <c r="X24" s="88">
        <f>100*($E$17*$E$19+($E$18*(W24/100))/(1-$E$21))</f>
        <v>21.694256633597796</v>
      </c>
      <c r="Y24" s="89">
        <f>X24/R24</f>
        <v>9.3715458492074175E-2</v>
      </c>
      <c r="Z24" s="87">
        <f>$E$8/(1-Y24)</f>
        <v>1237343.3799704292</v>
      </c>
      <c r="AA24" s="79" t="str">
        <f>IF(OR(OR(Z24=Z18,Z24=(Z18+1)),Z24=(Z18-1)),"yes","not yet")</f>
        <v>not yet</v>
      </c>
      <c r="AB24" s="88">
        <f>100*(1-Y24)</f>
        <v>90.628454150792578</v>
      </c>
      <c r="AC24" s="79"/>
      <c r="AD24" s="79"/>
      <c r="AE24" s="79"/>
      <c r="AF24" s="79"/>
      <c r="AG24" s="79"/>
      <c r="AH24" s="79"/>
      <c r="AI24" s="79"/>
      <c r="AJ24" s="79"/>
      <c r="AK24" s="79"/>
      <c r="AL24" s="79"/>
      <c r="AM24" s="79"/>
      <c r="AN24" s="79"/>
    </row>
    <row r="25" spans="1:40">
      <c r="A25" s="79"/>
      <c r="B25" s="79"/>
      <c r="C25" s="79"/>
      <c r="D25" s="79"/>
      <c r="E25" s="79"/>
      <c r="F25" s="79" t="s">
        <v>254</v>
      </c>
      <c r="G25" s="79"/>
      <c r="H25" s="89">
        <f>((+H15/100)-H23)</f>
        <v>0.88652332235777997</v>
      </c>
      <c r="I25" s="79"/>
      <c r="J25" s="79"/>
      <c r="K25" s="79"/>
      <c r="L25" s="79"/>
      <c r="M25" s="79"/>
      <c r="N25" s="79"/>
      <c r="O25" s="79"/>
      <c r="P25" s="79"/>
      <c r="Q25" s="79"/>
      <c r="R25" s="88">
        <f>100*(+Z19/$E$9)</f>
        <v>231.22923249406421</v>
      </c>
      <c r="S25" s="95">
        <f>EXP(5.6985-(0.68367*LN(R25)))</f>
        <v>7.2210775099714599</v>
      </c>
      <c r="T25" s="89">
        <f>(+S25*R25)/100</f>
        <v>16.69724210410849</v>
      </c>
      <c r="U25" s="88">
        <f>100*((((T25/100)-((T25/100)-0.03574)*$E$21)-0.03574-0.00619)/0.344)</f>
        <v>24.599661441985685</v>
      </c>
      <c r="V25" s="79">
        <f>+$E$20</f>
        <v>0.25</v>
      </c>
      <c r="W25" s="88">
        <f>U25+V25</f>
        <v>24.849661441985685</v>
      </c>
      <c r="X25" s="88">
        <f>100*($E$17*$E$19+($E$18*(W25/100))/(1-$E$21))</f>
        <v>21.432569245673992</v>
      </c>
      <c r="Y25" s="89">
        <f>X25/R25</f>
        <v>9.2689704560707645E-2</v>
      </c>
      <c r="Z25" s="87">
        <f>$E$8/(1-Y25)</f>
        <v>1235944.5092171326</v>
      </c>
      <c r="AA25" s="79" t="str">
        <f>IF(OR(OR(Z25=Z19,Z25=(Z19+1)),Z25=(Z19-1)),"yes","not yet")</f>
        <v>not yet</v>
      </c>
      <c r="AB25" s="88">
        <f>100*(1-Y25)</f>
        <v>90.731029543929225</v>
      </c>
      <c r="AC25" s="79"/>
      <c r="AD25" s="79"/>
      <c r="AE25" s="79"/>
      <c r="AF25" s="79" t="s">
        <v>255</v>
      </c>
      <c r="AG25" s="79"/>
      <c r="AH25" s="79"/>
      <c r="AI25" s="79"/>
      <c r="AJ25" s="79"/>
      <c r="AK25" s="79"/>
      <c r="AL25" s="79"/>
      <c r="AM25" s="79"/>
      <c r="AN25" s="79"/>
    </row>
    <row r="26" spans="1:40">
      <c r="A26" s="79"/>
      <c r="B26" s="79"/>
      <c r="C26" s="79"/>
      <c r="D26" s="79"/>
      <c r="E26" s="79"/>
      <c r="F26" s="79"/>
      <c r="G26" s="79"/>
      <c r="H26" s="79"/>
      <c r="I26" s="79"/>
      <c r="J26" s="79"/>
      <c r="K26" s="79"/>
      <c r="L26" s="79"/>
      <c r="M26" s="79"/>
      <c r="N26" s="79"/>
      <c r="O26" s="79"/>
      <c r="P26" s="79"/>
      <c r="Q26" s="79"/>
      <c r="R26" s="88">
        <f>100*(+Z20/$E$9)</f>
        <v>231.0620754119301</v>
      </c>
      <c r="S26" s="95">
        <f>EXP(5.6922-(0.68367*LN(R26)))</f>
        <v>7.1792763386658365</v>
      </c>
      <c r="T26" s="89">
        <f>(+S26*R26)/100</f>
        <v>16.588584907678911</v>
      </c>
      <c r="U26" s="88">
        <f>100*((((T26/100)-((T26/100)-0.03574)*$E$21)-0.03574-0.00619)/0.344)</f>
        <v>24.381083593354091</v>
      </c>
      <c r="V26" s="79">
        <f>+$E$20</f>
        <v>0.25</v>
      </c>
      <c r="W26" s="88">
        <f>U26+V26</f>
        <v>24.631083593354091</v>
      </c>
      <c r="X26" s="88">
        <f>100*($E$17*$E$19+($E$18*(W26/100))/(1-$E$21))</f>
        <v>21.265270078798228</v>
      </c>
      <c r="Y26" s="89">
        <f>X26/R26</f>
        <v>9.2032714762416909E-2</v>
      </c>
      <c r="Z26" s="87">
        <f>$E$8/(1-Y26)</f>
        <v>1235050.2006368442</v>
      </c>
      <c r="AA26" s="79" t="str">
        <f>IF(OR(OR(Z26=Z20,Z26=(Z20+1)),Z26=(Z20-1)),"yes","not yet")</f>
        <v>not yet</v>
      </c>
      <c r="AB26" s="88">
        <f>100*(1-Y26)</f>
        <v>90.796728523758304</v>
      </c>
      <c r="AC26" s="79"/>
      <c r="AD26" s="79"/>
      <c r="AE26" s="79"/>
      <c r="AF26" s="88">
        <f>HLOOKUP($AF$25,$AF$19:$AN$23,$E$12+1)</f>
        <v>90.731206697361429</v>
      </c>
      <c r="AG26" s="79"/>
      <c r="AH26" s="79"/>
      <c r="AI26" s="79"/>
      <c r="AJ26" s="79"/>
      <c r="AK26" s="79"/>
      <c r="AL26" s="79"/>
      <c r="AM26" s="79"/>
      <c r="AN26" s="79"/>
    </row>
    <row r="27" spans="1:40">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row>
    <row r="28" spans="1:40">
      <c r="C28" s="528" t="s">
        <v>256</v>
      </c>
      <c r="D28" s="528" t="s">
        <v>510</v>
      </c>
      <c r="E28" s="529"/>
      <c r="F28" s="528" t="s">
        <v>511</v>
      </c>
      <c r="G28" s="529" t="s">
        <v>39</v>
      </c>
      <c r="H28" s="79"/>
      <c r="I28" s="79"/>
      <c r="J28" s="79"/>
      <c r="K28" s="79"/>
      <c r="L28" s="79"/>
      <c r="M28" s="79"/>
      <c r="N28" s="79"/>
      <c r="O28" s="79"/>
      <c r="P28" s="79"/>
      <c r="Q28" s="79"/>
      <c r="R28" s="79" t="s">
        <v>259</v>
      </c>
      <c r="S28" s="84" t="s">
        <v>207</v>
      </c>
      <c r="T28" s="84" t="s">
        <v>208</v>
      </c>
      <c r="U28" s="84" t="s">
        <v>209</v>
      </c>
      <c r="V28" s="79"/>
      <c r="W28" s="79"/>
      <c r="X28" s="79"/>
      <c r="Y28" s="79"/>
      <c r="Z28" s="79"/>
      <c r="AA28" s="79"/>
      <c r="AB28" s="79"/>
      <c r="AC28" s="79"/>
      <c r="AD28" s="79"/>
      <c r="AE28" s="79"/>
      <c r="AF28" s="79" t="str">
        <f>HLOOKUP(1,$AF$13:$AN$17,$E$12+1)</f>
        <v>not yet</v>
      </c>
      <c r="AG28" s="79" t="str">
        <f>HLOOKUP(2,$AF$13:$AN$17,$E$12+1)</f>
        <v>not yet</v>
      </c>
      <c r="AH28" s="79" t="str">
        <f>HLOOKUP(3,$AF$13:$AN$17,$E$12+1)</f>
        <v>not yet</v>
      </c>
      <c r="AI28" s="79" t="str">
        <f>HLOOKUP(4,$AF$13:$AN$17,$E$12+1)</f>
        <v>not yet</v>
      </c>
      <c r="AJ28" s="79" t="str">
        <f>HLOOKUP(5,$AF$13:$AN$17,$E$12+1)</f>
        <v>not yet</v>
      </c>
      <c r="AK28" s="79" t="str">
        <f>HLOOKUP(6,$AF$13:$AN$17,$E$12+1)</f>
        <v>not yet</v>
      </c>
      <c r="AL28" s="79" t="str">
        <f>HLOOKUP(7,$AF$13:$AN$17,$E$12+1)</f>
        <v>yes</v>
      </c>
      <c r="AM28" s="79" t="str">
        <f>HLOOKUP(8,$AF$13:$AN$17,$E$12+1)</f>
        <v>yes</v>
      </c>
      <c r="AN28" s="79" t="str">
        <f>HLOOKUP(9,$AF$13:$AN$17,$E$12+1)</f>
        <v>yes</v>
      </c>
    </row>
    <row r="29" spans="1:40">
      <c r="C29" s="528" t="s">
        <v>264</v>
      </c>
      <c r="D29" s="528" t="s">
        <v>258</v>
      </c>
      <c r="E29" s="530"/>
      <c r="F29" s="528" t="s">
        <v>258</v>
      </c>
      <c r="G29" s="529" t="s">
        <v>13</v>
      </c>
      <c r="H29" s="79"/>
      <c r="I29" s="79"/>
      <c r="J29" s="79"/>
      <c r="K29" s="79"/>
      <c r="L29" s="79"/>
      <c r="M29" s="79"/>
      <c r="N29" s="79"/>
      <c r="O29" s="79"/>
      <c r="P29" s="79"/>
      <c r="Q29" s="79"/>
      <c r="R29" s="88">
        <f>100*(+Z23/$E$9)</f>
        <v>231.88740391564403</v>
      </c>
      <c r="S29" s="95">
        <f>EXP(5.7226-(0.68367*LN(+R29)))</f>
        <v>7.3828588807544904</v>
      </c>
      <c r="T29" s="89">
        <f>(+S29*R29)/100</f>
        <v>17.119919793337161</v>
      </c>
      <c r="U29" s="88">
        <f>100*((((T29/100)-((T29/100)-0.03574)*$E$21)-0.03574-0.00619)/0.344)</f>
        <v>25.449931677294529</v>
      </c>
      <c r="V29" s="79">
        <f>+$E$20</f>
        <v>0.25</v>
      </c>
      <c r="W29" s="88">
        <f>U29+V29</f>
        <v>25.699931677294529</v>
      </c>
      <c r="X29" s="88">
        <f>100*($E$17*$E$19+($E$18*(W29/100))/(1-$E$21))</f>
        <v>22.083364844939794</v>
      </c>
      <c r="Y29" s="89">
        <f>X29/R29</f>
        <v>9.5233136738092417E-2</v>
      </c>
      <c r="Z29" s="87">
        <f>$E$8/(1-Y29)</f>
        <v>1239418.9302661878</v>
      </c>
      <c r="AA29" s="79" t="str">
        <f>IF(OR(OR(Z29=Z23,Z29=(Z23+1)),Z29=(Z15-1)),"yes","not yet")</f>
        <v>not yet</v>
      </c>
      <c r="AB29" s="88">
        <f>100*(1-Y29)</f>
        <v>90.476686326190759</v>
      </c>
      <c r="AC29" s="79"/>
      <c r="AD29" s="79"/>
      <c r="AE29" s="79">
        <v>1</v>
      </c>
      <c r="AF29" s="88">
        <f>R5</f>
        <v>262.25443858770132</v>
      </c>
      <c r="AG29" s="88">
        <f>R11</f>
        <v>230.09715105294822</v>
      </c>
      <c r="AH29" s="88">
        <f>R17</f>
        <v>232.00493295059664</v>
      </c>
      <c r="AI29" s="88">
        <f>R23</f>
        <v>231.87916791597161</v>
      </c>
      <c r="AJ29" s="88">
        <f>R29</f>
        <v>231.88740391564403</v>
      </c>
      <c r="AK29" s="88">
        <f>R35</f>
        <v>231.8868643285272</v>
      </c>
      <c r="AL29" s="88">
        <f>R41</f>
        <v>231.88687737524987</v>
      </c>
      <c r="AM29" s="88">
        <f>R47</f>
        <v>231.88687737524987</v>
      </c>
      <c r="AN29" s="88">
        <f>R53</f>
        <v>231.88687737524987</v>
      </c>
    </row>
    <row r="30" spans="1:40">
      <c r="A30" s="79" t="s">
        <v>341</v>
      </c>
      <c r="B30" s="79" t="s">
        <v>509</v>
      </c>
      <c r="C30" s="527">
        <f>'Resi Price Out'!B60</f>
        <v>7218.25</v>
      </c>
      <c r="D30" s="107">
        <f>'Resi Price Out'!D60</f>
        <v>8.39</v>
      </c>
      <c r="E30" s="86">
        <f>+C30*D30*12</f>
        <v>726733.41000000015</v>
      </c>
      <c r="F30" s="107">
        <f>+'Resi Price Out'!G60</f>
        <v>9.14</v>
      </c>
      <c r="G30" s="533">
        <f>C30*F30*12</f>
        <v>791697.66000000015</v>
      </c>
      <c r="H30" s="79"/>
      <c r="I30" s="79"/>
      <c r="J30" s="79"/>
      <c r="K30" s="79"/>
      <c r="L30" s="79"/>
      <c r="M30" s="79"/>
      <c r="N30" s="79"/>
      <c r="O30" s="79"/>
      <c r="P30" s="79"/>
      <c r="Q30" s="79"/>
      <c r="R30" s="88">
        <f>100*(+Z24/$E$9)</f>
        <v>231.4985429643084</v>
      </c>
      <c r="S30" s="95">
        <f>EXP(5.70827-(0.68367*LN(+R30)))</f>
        <v>7.2861725508269917</v>
      </c>
      <c r="T30" s="89">
        <f>(+S30*R30)/100</f>
        <v>16.867383293029867</v>
      </c>
      <c r="U30" s="88">
        <f>100*((((T30/100)-((T30/100)-0.03574)*$E$21)-0.03574-0.00619)/0.344)</f>
        <v>24.941922205746124</v>
      </c>
      <c r="V30" s="79">
        <f>+$E$20</f>
        <v>0.25</v>
      </c>
      <c r="W30" s="88">
        <f>U30+V30</f>
        <v>25.191922205746124</v>
      </c>
      <c r="X30" s="88">
        <f>100*($E$17*$E$19+($E$18*(W30/100))/(1-$E$21))</f>
        <v>21.694535135583966</v>
      </c>
      <c r="Y30" s="89">
        <f>X30/R30</f>
        <v>9.3713484576569236E-2</v>
      </c>
      <c r="Z30" s="87">
        <f>$E$8/(1-Y30)</f>
        <v>1237340.6850044983</v>
      </c>
      <c r="AA30" s="79" t="str">
        <f>IF(OR(OR(Z30=Z24,Z30=(Z24+1)),Z30=(Z24-1)),"yes","not yet")</f>
        <v>not yet</v>
      </c>
      <c r="AB30" s="88">
        <f>100*(1-Y30)</f>
        <v>90.628651542343079</v>
      </c>
      <c r="AC30" s="79"/>
      <c r="AD30" s="79"/>
      <c r="AE30" s="79">
        <v>2</v>
      </c>
      <c r="AF30" s="88">
        <f>R6</f>
        <v>262.25443858770132</v>
      </c>
      <c r="AG30" s="88">
        <f>R12</f>
        <v>229.72255700580428</v>
      </c>
      <c r="AH30" s="88">
        <f>R18</f>
        <v>231.61289441659184</v>
      </c>
      <c r="AI30" s="88">
        <f>R24</f>
        <v>231.49069516031392</v>
      </c>
      <c r="AJ30" s="88">
        <f>R30</f>
        <v>231.4985429643084</v>
      </c>
      <c r="AK30" s="88">
        <f>R36</f>
        <v>231.49803875448555</v>
      </c>
      <c r="AL30" s="88">
        <f>R42</f>
        <v>231.49809768800463</v>
      </c>
      <c r="AM30" s="88">
        <f>R48</f>
        <v>231.49809768800463</v>
      </c>
      <c r="AN30" s="88">
        <f>R54</f>
        <v>231.49809768800463</v>
      </c>
    </row>
    <row r="31" spans="1:40">
      <c r="A31" s="79" t="s">
        <v>342</v>
      </c>
      <c r="B31" s="79" t="s">
        <v>509</v>
      </c>
      <c r="C31" s="535"/>
      <c r="D31" s="107"/>
      <c r="E31" s="539"/>
      <c r="F31" s="107"/>
      <c r="G31" s="534"/>
      <c r="H31" s="79"/>
      <c r="I31" s="79"/>
      <c r="J31" s="79"/>
      <c r="K31" s="79"/>
      <c r="L31" s="79"/>
      <c r="M31" s="79"/>
      <c r="N31" s="79"/>
      <c r="O31" s="79"/>
      <c r="P31" s="79"/>
      <c r="Q31" s="79"/>
      <c r="R31" s="88">
        <f>100*(+Z25/$E$9)</f>
        <v>231.23682374680925</v>
      </c>
      <c r="S31" s="95">
        <f>EXP(5.6985-(0.68367*LN(R31)))</f>
        <v>7.2209154382516161</v>
      </c>
      <c r="T31" s="89">
        <f>(+S31*R31)/100</f>
        <v>16.697415504856028</v>
      </c>
      <c r="U31" s="88">
        <f>100*((((T31/100)-((T31/100)-0.03574)*$E$21)-0.03574-0.00619)/0.344)</f>
        <v>24.600010259768524</v>
      </c>
      <c r="V31" s="79">
        <f>+$E$20</f>
        <v>0.25</v>
      </c>
      <c r="W31" s="88">
        <f>U31+V31</f>
        <v>24.850010259768524</v>
      </c>
      <c r="X31" s="88">
        <f>100*($E$17*$E$19+($E$18*(W31/100))/(1-$E$21))</f>
        <v>21.432836230296754</v>
      </c>
      <c r="Y31" s="89">
        <f>X31/R31</f>
        <v>9.2687816252676317E-2</v>
      </c>
      <c r="Z31" s="87">
        <f>$E$8/(1-Y31)</f>
        <v>1235941.9369559141</v>
      </c>
      <c r="AA31" s="79" t="str">
        <f>IF(OR(OR(Z31=Z25,Z31=(Z25+1)),Z31=(Z25-1)),"yes","not yet")</f>
        <v>not yet</v>
      </c>
      <c r="AB31" s="88">
        <f>100*(1-Y31)</f>
        <v>90.731218374732364</v>
      </c>
      <c r="AC31" s="79"/>
      <c r="AD31" s="79"/>
      <c r="AE31" s="79">
        <v>3</v>
      </c>
      <c r="AF31" s="88">
        <f>R7</f>
        <v>262.25443858770132</v>
      </c>
      <c r="AG31" s="88">
        <f>R13</f>
        <v>229.47091078905052</v>
      </c>
      <c r="AH31" s="88">
        <f>R19</f>
        <v>231.34902614803613</v>
      </c>
      <c r="AI31" s="88">
        <f>R25</f>
        <v>231.22923249406421</v>
      </c>
      <c r="AJ31" s="88">
        <f>R31</f>
        <v>231.23682374680925</v>
      </c>
      <c r="AK31" s="88">
        <f>R37</f>
        <v>231.23634249420482</v>
      </c>
      <c r="AL31" s="88">
        <f>R43</f>
        <v>231.23635428932511</v>
      </c>
      <c r="AM31" s="88">
        <f>R49</f>
        <v>231.23635428932511</v>
      </c>
      <c r="AN31" s="88">
        <f>R55</f>
        <v>231.23635428932511</v>
      </c>
    </row>
    <row r="32" spans="1:40">
      <c r="C32" s="531">
        <f>SUM(C30:C31)</f>
        <v>7218.25</v>
      </c>
      <c r="D32" s="92"/>
      <c r="E32" s="532">
        <f>SUM(E30:E31)</f>
        <v>726733.41000000015</v>
      </c>
      <c r="F32" s="79"/>
      <c r="G32" s="532">
        <f>SUM(G30:G31)</f>
        <v>791697.66000000015</v>
      </c>
      <c r="H32" s="79"/>
      <c r="I32" s="79"/>
      <c r="J32" s="79"/>
      <c r="K32" s="79"/>
      <c r="L32" s="79"/>
      <c r="M32" s="79"/>
      <c r="N32" s="79"/>
      <c r="O32" s="79"/>
      <c r="P32" s="79"/>
      <c r="Q32" s="79"/>
      <c r="R32" s="88">
        <f>100*(+Z26/$E$9)</f>
        <v>231.06950468514168</v>
      </c>
      <c r="S32" s="95">
        <f>EXP(5.6922-(0.68367*LN(R32)))</f>
        <v>7.1791185291824071</v>
      </c>
      <c r="T32" s="89">
        <f>(+S32*R32)/100</f>
        <v>16.588753626141017</v>
      </c>
      <c r="U32" s="88">
        <f>100*((((T32/100)-((T32/100)-0.03574)*$E$21)-0.03574-0.00619)/0.344)</f>
        <v>24.381422992120886</v>
      </c>
      <c r="V32" s="79">
        <f>+$E$20</f>
        <v>0.25</v>
      </c>
      <c r="W32" s="88">
        <f>U32+V32</f>
        <v>24.631422992120886</v>
      </c>
      <c r="X32" s="88">
        <f>100*($E$17*$E$19+($E$18*(W32/100))/(1-$E$21))</f>
        <v>21.26552985411983</v>
      </c>
      <c r="Y32" s="89">
        <f>X32/R32</f>
        <v>9.2030879986073968E-2</v>
      </c>
      <c r="Z32" s="87">
        <f>$E$8/(1-Y32)</f>
        <v>1235047.7049122201</v>
      </c>
      <c r="AA32" s="79" t="str">
        <f>IF(OR(OR(Z32=Z26,Z32=(Z26+1)),Z32=(Z26-1)),"yes","not yet")</f>
        <v>not yet</v>
      </c>
      <c r="AB32" s="88">
        <f>100*(1-Y32)</f>
        <v>90.796912001392599</v>
      </c>
      <c r="AC32" s="79"/>
      <c r="AD32" s="79"/>
      <c r="AE32" s="79">
        <v>4</v>
      </c>
      <c r="AF32" s="88">
        <f>R8</f>
        <v>262.25443858770132</v>
      </c>
      <c r="AG32" s="88">
        <f>R14</f>
        <v>229.31022938677663</v>
      </c>
      <c r="AH32" s="88">
        <f>R20</f>
        <v>231.18032937084303</v>
      </c>
      <c r="AI32" s="88">
        <f>R26</f>
        <v>231.0620754119301</v>
      </c>
      <c r="AJ32" s="88">
        <f>R32</f>
        <v>231.06950468514168</v>
      </c>
      <c r="AK32" s="88">
        <f>R38</f>
        <v>231.06903775201425</v>
      </c>
      <c r="AL32" s="88">
        <f>R44</f>
        <v>231.06909296093377</v>
      </c>
      <c r="AM32" s="88">
        <f>R50</f>
        <v>231.06909296093377</v>
      </c>
      <c r="AN32" s="88">
        <f>R56</f>
        <v>231.06909296093377</v>
      </c>
    </row>
    <row r="33" spans="1:40">
      <c r="A33" s="79"/>
      <c r="B33" s="79"/>
      <c r="C33" s="90"/>
      <c r="D33" s="79"/>
      <c r="E33" s="86"/>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row>
    <row r="34" spans="1:40">
      <c r="A34" s="79"/>
      <c r="B34" s="79"/>
      <c r="C34" s="90"/>
      <c r="D34" s="79"/>
      <c r="E34" s="88"/>
      <c r="F34" s="104"/>
      <c r="G34" s="79"/>
      <c r="H34" s="79"/>
      <c r="I34" s="79"/>
      <c r="J34" s="79"/>
      <c r="K34" s="79"/>
      <c r="L34" s="79"/>
      <c r="M34" s="79"/>
      <c r="N34" s="79"/>
      <c r="O34" s="79"/>
      <c r="P34" s="79"/>
      <c r="Q34" s="79"/>
      <c r="R34" s="79" t="s">
        <v>260</v>
      </c>
      <c r="S34" s="84" t="s">
        <v>207</v>
      </c>
      <c r="T34" s="84" t="s">
        <v>208</v>
      </c>
      <c r="U34" s="84" t="s">
        <v>209</v>
      </c>
      <c r="V34" s="79"/>
      <c r="W34" s="79"/>
      <c r="X34" s="79"/>
      <c r="Y34" s="79"/>
      <c r="Z34" s="79"/>
      <c r="AA34" s="79"/>
      <c r="AB34" s="79"/>
      <c r="AC34" s="79"/>
      <c r="AD34" s="79"/>
      <c r="AE34" s="79"/>
      <c r="AF34" s="79" t="s">
        <v>255</v>
      </c>
      <c r="AG34" s="79"/>
      <c r="AH34" s="79"/>
      <c r="AI34" s="79"/>
      <c r="AJ34" s="79"/>
      <c r="AK34" s="79"/>
      <c r="AL34" s="79"/>
      <c r="AM34" s="79"/>
      <c r="AN34" s="79"/>
    </row>
    <row r="35" spans="1:40">
      <c r="A35" s="79"/>
      <c r="B35" s="79"/>
      <c r="C35" s="90"/>
      <c r="D35" s="79"/>
      <c r="E35" s="88"/>
      <c r="F35" s="508"/>
      <c r="G35" s="79"/>
      <c r="H35" s="79"/>
      <c r="I35" s="79"/>
      <c r="J35" s="79"/>
      <c r="K35" s="79"/>
      <c r="L35" s="79"/>
      <c r="M35" s="79"/>
      <c r="N35" s="79"/>
      <c r="O35" s="79"/>
      <c r="P35" s="79"/>
      <c r="Q35" s="79"/>
      <c r="R35" s="88">
        <f>100*(+Z29/$E$9)</f>
        <v>231.8868643285272</v>
      </c>
      <c r="S35" s="95">
        <f>EXP(5.7226-(0.68367*LN(+R35)))</f>
        <v>7.382870625844637</v>
      </c>
      <c r="T35" s="89">
        <f>(+S35*R35)/100</f>
        <v>17.119907191703039</v>
      </c>
      <c r="U35" s="88">
        <f>100*((((T35/100)-((T35/100)-0.03574)*$E$21)-0.03574-0.00619)/0.344)</f>
        <v>25.449906327495654</v>
      </c>
      <c r="V35" s="79">
        <f>+$E$20</f>
        <v>0.25</v>
      </c>
      <c r="W35" s="88">
        <f>U35+V35</f>
        <v>25.699906327495654</v>
      </c>
      <c r="X35" s="88">
        <f>100*($E$17*$E$19+($E$18*(W35/100))/(1-$E$21))</f>
        <v>22.08334544224067</v>
      </c>
      <c r="Y35" s="89">
        <f>X35/R35</f>
        <v>9.5233274666882167E-2</v>
      </c>
      <c r="Z35" s="87">
        <f>ROUND($E$8/(1-Y35),0)</f>
        <v>1239419</v>
      </c>
      <c r="AA35" s="79" t="str">
        <f>IF(OR(OR(Z35=Z29,Z35=(Z29+1)),Z35=(Z21-1)),"yes","not yet")</f>
        <v>not yet</v>
      </c>
      <c r="AB35" s="88">
        <f>100*(1-Y35)</f>
        <v>90.476672533311785</v>
      </c>
      <c r="AC35" s="79"/>
      <c r="AD35" s="79"/>
      <c r="AE35" s="79"/>
      <c r="AF35" s="88">
        <f>HLOOKUP($AF$34,$AF$28:$AN$32,$E$12+1)</f>
        <v>231.23635428932511</v>
      </c>
      <c r="AG35" s="79"/>
      <c r="AH35" s="79"/>
      <c r="AI35" s="79"/>
      <c r="AJ35" s="79"/>
      <c r="AK35" s="79"/>
      <c r="AL35" s="79"/>
      <c r="AM35" s="79"/>
      <c r="AN35" s="79"/>
    </row>
    <row r="36" spans="1:40">
      <c r="A36" s="79"/>
      <c r="B36" s="79"/>
      <c r="C36" s="90"/>
      <c r="D36" s="79"/>
      <c r="E36" s="88"/>
      <c r="F36" s="508"/>
      <c r="G36" s="79"/>
      <c r="H36" s="79"/>
      <c r="I36" s="79"/>
      <c r="J36" s="79"/>
      <c r="K36" s="79"/>
      <c r="L36" s="79"/>
      <c r="M36" s="79"/>
      <c r="N36" s="79"/>
      <c r="O36" s="79"/>
      <c r="P36" s="79"/>
      <c r="Q36" s="79"/>
      <c r="R36" s="88">
        <f>100*(+Z30/$E$9)</f>
        <v>231.49803875448555</v>
      </c>
      <c r="S36" s="95">
        <f>EXP(5.70827-(0.68367*LN(+R36)))</f>
        <v>7.2861834003291817</v>
      </c>
      <c r="T36" s="89">
        <f>(+S36*R36)/100</f>
        <v>16.867371671816944</v>
      </c>
      <c r="U36" s="88">
        <f>100*((((T36/100)-((T36/100)-0.03574)*$E$21)-0.03574-0.00619)/0.344)</f>
        <v>24.941898828189903</v>
      </c>
      <c r="V36" s="79">
        <f>+$E$20</f>
        <v>0.25</v>
      </c>
      <c r="W36" s="88">
        <f>U36+V36</f>
        <v>25.191898828189903</v>
      </c>
      <c r="X36" s="88">
        <f>100*($E$17*$E$19+($E$18*(W36/100))/(1-$E$21))</f>
        <v>21.694517242436497</v>
      </c>
      <c r="Y36" s="89">
        <f>X36/R36</f>
        <v>9.3713611394542068E-2</v>
      </c>
      <c r="Z36" s="87">
        <f>ROUND($E$8/(1-Y36),0)</f>
        <v>1237341</v>
      </c>
      <c r="AA36" s="79" t="str">
        <f>IF(OR(OR(Z36=Z30,Z36=(Z30+1)),Z36=(Z30-1)),"yes","not yet")</f>
        <v>not yet</v>
      </c>
      <c r="AB36" s="88">
        <f>100*(1-Y36)</f>
        <v>90.628638860545792</v>
      </c>
      <c r="AC36" s="79"/>
      <c r="AD36" s="79"/>
      <c r="AE36" s="79"/>
      <c r="AF36" s="79"/>
      <c r="AG36" s="79"/>
      <c r="AH36" s="79"/>
      <c r="AI36" s="79"/>
      <c r="AJ36" s="79"/>
      <c r="AK36" s="79"/>
      <c r="AL36" s="79"/>
      <c r="AM36" s="79"/>
      <c r="AN36" s="79"/>
    </row>
    <row r="37" spans="1:40">
      <c r="A37" s="79"/>
      <c r="B37" s="79"/>
      <c r="C37" s="90"/>
      <c r="D37" s="79"/>
      <c r="E37" s="79"/>
      <c r="F37" s="104"/>
      <c r="G37" s="79"/>
      <c r="H37" s="79"/>
      <c r="I37" s="79"/>
      <c r="J37" s="79"/>
      <c r="K37" s="79"/>
      <c r="L37" s="79"/>
      <c r="M37" s="79"/>
      <c r="N37" s="79"/>
      <c r="O37" s="79"/>
      <c r="P37" s="79"/>
      <c r="Q37" s="79"/>
      <c r="R37" s="88">
        <f>100*(+Z31/$E$9)</f>
        <v>231.23634249420482</v>
      </c>
      <c r="S37" s="95">
        <f>EXP(5.6985-(0.68367*LN(R37)))</f>
        <v>7.220925712632007</v>
      </c>
      <c r="T37" s="89">
        <f>(+S37*R37)/100</f>
        <v>16.697404512113849</v>
      </c>
      <c r="U37" s="88">
        <f>100*((((T37/100)-((T37/100)-0.03574)*$E$21)-0.03574-0.00619)/0.344)</f>
        <v>24.599988146461584</v>
      </c>
      <c r="V37" s="79">
        <f>+$E$20</f>
        <v>0.25</v>
      </c>
      <c r="W37" s="88">
        <f>U37+V37</f>
        <v>24.849988146461584</v>
      </c>
      <c r="X37" s="88">
        <f>100*($E$17*$E$19+($E$18*(W37/100))/(1-$E$21))</f>
        <v>21.432819304803839</v>
      </c>
      <c r="Y37" s="89">
        <f>X37/R37</f>
        <v>9.2687935960330203E-2</v>
      </c>
      <c r="Z37" s="87">
        <f>ROUND($E$8/(1-Y37),0)</f>
        <v>1235942</v>
      </c>
      <c r="AA37" s="79" t="str">
        <f>IF(OR(OR(Z37=Z31,Z37=(Z31+1)),Z37=(Z31-1)),"yes","not yet")</f>
        <v>not yet</v>
      </c>
      <c r="AB37" s="88">
        <f>100*(1-Y37)</f>
        <v>90.731206403966979</v>
      </c>
      <c r="AC37" s="79"/>
      <c r="AD37" s="79"/>
      <c r="AE37" s="79"/>
      <c r="AF37" s="79" t="str">
        <f>HLOOKUP(1,$AF$13:$AN$17,$E$12+1)</f>
        <v>not yet</v>
      </c>
      <c r="AG37" s="79" t="str">
        <f>HLOOKUP(2,$AF$13:$AN$17,$E$12+1)</f>
        <v>not yet</v>
      </c>
      <c r="AH37" s="79" t="str">
        <f>HLOOKUP(3,$AF$13:$AN$17,$E$12+1)</f>
        <v>not yet</v>
      </c>
      <c r="AI37" s="79" t="str">
        <f>HLOOKUP(4,$AF$13:$AN$17,$E$12+1)</f>
        <v>not yet</v>
      </c>
      <c r="AJ37" s="79" t="str">
        <f>HLOOKUP(5,$AF$13:$AN$17,$E$12+1)</f>
        <v>not yet</v>
      </c>
      <c r="AK37" s="79" t="str">
        <f>HLOOKUP(6,$AF$13:$AN$17,$E$12+1)</f>
        <v>not yet</v>
      </c>
      <c r="AL37" s="79" t="str">
        <f>HLOOKUP(7,$AF$13:$AN$17,$E$12+1)</f>
        <v>yes</v>
      </c>
      <c r="AM37" s="79" t="str">
        <f>HLOOKUP(8,$AF$13:$AN$17,$E$12+1)</f>
        <v>yes</v>
      </c>
      <c r="AN37" s="79" t="str">
        <f>HLOOKUP(9,$AF$13:$AN$17,$E$12+1)</f>
        <v>yes</v>
      </c>
    </row>
    <row r="38" spans="1:40">
      <c r="A38" s="79"/>
      <c r="B38" s="79"/>
      <c r="C38" s="90"/>
      <c r="D38" s="79"/>
      <c r="E38" s="79"/>
      <c r="F38" s="104"/>
      <c r="G38" s="79"/>
      <c r="H38" s="79"/>
      <c r="I38" s="79"/>
      <c r="J38" s="79"/>
      <c r="K38" s="79"/>
      <c r="L38" s="79"/>
      <c r="M38" s="79"/>
      <c r="N38" s="79"/>
      <c r="O38" s="79"/>
      <c r="P38" s="79"/>
      <c r="Q38" s="79"/>
      <c r="R38" s="88">
        <f>100*(+Z32/$E$9)</f>
        <v>231.06903775201425</v>
      </c>
      <c r="S38" s="95">
        <f>EXP(5.6922-(0.68367*LN(R38)))</f>
        <v>7.1791284473270816</v>
      </c>
      <c r="T38" s="89">
        <f>(+S38*R38)/100</f>
        <v>16.588743022219809</v>
      </c>
      <c r="U38" s="88">
        <f>100*((((T38/100)-((T38/100)-0.03574)*$E$21)-0.03574-0.00619)/0.344)</f>
        <v>24.381401660977065</v>
      </c>
      <c r="V38" s="79">
        <f>+$E$20</f>
        <v>0.25</v>
      </c>
      <c r="W38" s="88">
        <f>U38+V38</f>
        <v>24.631401660977065</v>
      </c>
      <c r="X38" s="88">
        <f>100*($E$17*$E$19+($E$18*(W38/100))/(1-$E$21))</f>
        <v>21.265513527293432</v>
      </c>
      <c r="Y38" s="89">
        <f>X38/R38</f>
        <v>9.2030995299836785E-2</v>
      </c>
      <c r="Z38" s="87">
        <f>ROUND($E$8/(1-Y38),0)</f>
        <v>1235048</v>
      </c>
      <c r="AA38" s="79" t="str">
        <f>IF(OR(OR(Z38=Z32,Z38=(Z32+1)),Z38=(Z32-1)),"yes","not yet")</f>
        <v>not yet</v>
      </c>
      <c r="AB38" s="88">
        <f>100*(1-Y38)</f>
        <v>90.796900470016311</v>
      </c>
      <c r="AC38" s="79"/>
      <c r="AD38" s="79"/>
      <c r="AE38" s="79">
        <v>1</v>
      </c>
      <c r="AF38" s="87">
        <f>Z5</f>
        <v>1229853.0390721157</v>
      </c>
      <c r="AG38" s="87">
        <f>Z11</f>
        <v>1240049.9987214324</v>
      </c>
      <c r="AH38" s="87">
        <f>Z17</f>
        <v>1239377.7934840585</v>
      </c>
      <c r="AI38" s="87">
        <f>Z23</f>
        <v>1239421.8143212597</v>
      </c>
      <c r="AJ38" s="87">
        <f>Z29</f>
        <v>1239418.9302661878</v>
      </c>
      <c r="AK38" s="87">
        <f>Z35</f>
        <v>1239419</v>
      </c>
      <c r="AL38" s="87">
        <f>Z41</f>
        <v>1239419</v>
      </c>
      <c r="AM38" s="87">
        <f>Z47</f>
        <v>1239419</v>
      </c>
      <c r="AN38" s="87">
        <f>Z53</f>
        <v>1239419</v>
      </c>
    </row>
    <row r="39" spans="1:40">
      <c r="A39" s="79"/>
      <c r="B39" s="79"/>
      <c r="C39" s="90"/>
      <c r="D39" s="79"/>
      <c r="E39" s="79"/>
      <c r="F39" s="104"/>
      <c r="G39" s="79"/>
      <c r="H39" s="88"/>
      <c r="I39" s="79"/>
      <c r="J39" s="79"/>
      <c r="K39" s="79"/>
      <c r="L39" s="79"/>
      <c r="M39" s="79"/>
      <c r="N39" s="79"/>
      <c r="O39" s="79"/>
      <c r="P39" s="79"/>
      <c r="Q39" s="79"/>
      <c r="R39" s="79"/>
      <c r="S39" s="79"/>
      <c r="T39" s="79"/>
      <c r="U39" s="79"/>
      <c r="V39" s="79"/>
      <c r="W39" s="79"/>
      <c r="X39" s="79"/>
      <c r="Y39" s="79"/>
      <c r="Z39" s="79"/>
      <c r="AA39" s="79"/>
      <c r="AB39" s="79"/>
      <c r="AC39" s="79"/>
      <c r="AD39" s="79"/>
      <c r="AE39" s="79">
        <v>2</v>
      </c>
      <c r="AF39" s="87">
        <f>Z6</f>
        <v>1227850.8603176628</v>
      </c>
      <c r="AG39" s="87">
        <f>Z12</f>
        <v>1237954.5804154132</v>
      </c>
      <c r="AH39" s="87">
        <f>Z18</f>
        <v>1237301.4340117399</v>
      </c>
      <c r="AI39" s="87">
        <f>Z24</f>
        <v>1237343.3799704292</v>
      </c>
      <c r="AJ39" s="87">
        <f>Z30</f>
        <v>1237340.6850044983</v>
      </c>
      <c r="AK39" s="87">
        <f>Z36</f>
        <v>1237341</v>
      </c>
      <c r="AL39" s="87">
        <f>Z42</f>
        <v>1237341</v>
      </c>
      <c r="AM39" s="87">
        <f>Z48</f>
        <v>1237341</v>
      </c>
      <c r="AN39" s="87">
        <f>Z54</f>
        <v>1237341</v>
      </c>
    </row>
    <row r="40" spans="1:40">
      <c r="A40" s="79"/>
      <c r="B40" s="79"/>
      <c r="C40" s="90"/>
      <c r="D40" s="79"/>
      <c r="E40" s="92"/>
      <c r="F40" s="104"/>
      <c r="G40" s="79"/>
      <c r="H40" s="96"/>
      <c r="I40" s="79"/>
      <c r="J40" s="79"/>
      <c r="K40" s="79"/>
      <c r="L40" s="79"/>
      <c r="M40" s="79"/>
      <c r="N40" s="79"/>
      <c r="O40" s="79"/>
      <c r="P40" s="79"/>
      <c r="Q40" s="79"/>
      <c r="R40" s="79" t="s">
        <v>261</v>
      </c>
      <c r="S40" s="84" t="s">
        <v>207</v>
      </c>
      <c r="T40" s="84" t="s">
        <v>208</v>
      </c>
      <c r="U40" s="84" t="s">
        <v>209</v>
      </c>
      <c r="V40" s="79"/>
      <c r="W40" s="79"/>
      <c r="X40" s="79"/>
      <c r="Y40" s="79"/>
      <c r="Z40" s="79"/>
      <c r="AA40" s="79"/>
      <c r="AB40" s="79"/>
      <c r="AC40" s="79"/>
      <c r="AD40" s="79"/>
      <c r="AE40" s="79">
        <v>3</v>
      </c>
      <c r="AF40" s="87">
        <f>Z7</f>
        <v>1226505.829042702</v>
      </c>
      <c r="AG40" s="87">
        <f>Z13</f>
        <v>1236544.2231358341</v>
      </c>
      <c r="AH40" s="87">
        <f>Z19</f>
        <v>1235903.9345067716</v>
      </c>
      <c r="AI40" s="87">
        <f>Z25</f>
        <v>1235944.5092171326</v>
      </c>
      <c r="AJ40" s="87">
        <f>Z31</f>
        <v>1235941.9369559141</v>
      </c>
      <c r="AK40" s="87">
        <f>Z37</f>
        <v>1235942</v>
      </c>
      <c r="AL40" s="87">
        <f>Z43</f>
        <v>1235942</v>
      </c>
      <c r="AM40" s="87">
        <f>Z49</f>
        <v>1235942</v>
      </c>
      <c r="AN40" s="87">
        <f>Z55</f>
        <v>1235942</v>
      </c>
    </row>
    <row r="41" spans="1:40">
      <c r="A41" s="79"/>
      <c r="B41" s="79"/>
      <c r="C41" s="105"/>
      <c r="D41" s="96"/>
      <c r="E41" s="79"/>
      <c r="F41" s="104"/>
      <c r="G41" s="79"/>
      <c r="H41" s="79"/>
      <c r="I41" s="79"/>
      <c r="J41" s="79"/>
      <c r="K41" s="79"/>
      <c r="L41" s="79"/>
      <c r="M41" s="79"/>
      <c r="N41" s="79"/>
      <c r="O41" s="79"/>
      <c r="P41" s="79"/>
      <c r="Q41" s="79"/>
      <c r="R41" s="88">
        <f>100*(+Z35/$E$9)</f>
        <v>231.88687737524987</v>
      </c>
      <c r="S41" s="95">
        <f>EXP(5.7226-(0.68367*LN(+R41)))</f>
        <v>7.3828703418585597</v>
      </c>
      <c r="T41" s="89">
        <f>(+S41*R41)/100</f>
        <v>17.11990749639925</v>
      </c>
      <c r="U41" s="88">
        <f>100*((((T41/100)-((T41/100)-0.03574)*$E$21)-0.03574-0.00619)/0.344)</f>
        <v>25.449906940431049</v>
      </c>
      <c r="V41" s="79">
        <f>+$E$20</f>
        <v>0.25</v>
      </c>
      <c r="W41" s="88">
        <f>U41+V41</f>
        <v>25.699906940431049</v>
      </c>
      <c r="X41" s="88">
        <f>100*($E$17*$E$19+($E$18*(W41/100))/(1-$E$21))</f>
        <v>22.08334591138053</v>
      </c>
      <c r="Y41" s="89">
        <f>X41/R41</f>
        <v>9.5233271331884195E-2</v>
      </c>
      <c r="Z41" s="87">
        <f>ROUND($E$8/(1-Y41),0)</f>
        <v>1239419</v>
      </c>
      <c r="AA41" s="79" t="str">
        <f>IF(OR(OR(Z41=Z35,Z41=(Z35+1)),Z41=(Z27-1)),"yes","not yet")</f>
        <v>yes</v>
      </c>
      <c r="AB41" s="88">
        <f>100*(1-Y41)</f>
        <v>90.476672866811583</v>
      </c>
      <c r="AC41" s="79"/>
      <c r="AD41" s="79"/>
      <c r="AE41" s="79">
        <v>4</v>
      </c>
      <c r="AF41" s="87">
        <f>Z8</f>
        <v>1225646.9982835874</v>
      </c>
      <c r="AG41" s="87">
        <f>Z14</f>
        <v>1235642.5507632594</v>
      </c>
      <c r="AH41" s="87">
        <f>Z20</f>
        <v>1235010.4916956618</v>
      </c>
      <c r="AI41" s="87">
        <f>Z26</f>
        <v>1235050.2006368442</v>
      </c>
      <c r="AJ41" s="87">
        <f>Z32</f>
        <v>1235047.7049122201</v>
      </c>
      <c r="AK41" s="87">
        <f>Z38</f>
        <v>1235048</v>
      </c>
      <c r="AL41" s="87">
        <f>Z44</f>
        <v>1235048</v>
      </c>
      <c r="AM41" s="87">
        <f>Z50</f>
        <v>1235048</v>
      </c>
      <c r="AN41" s="87">
        <f>Z56</f>
        <v>1235048</v>
      </c>
    </row>
    <row r="42" spans="1:40">
      <c r="A42" s="79"/>
      <c r="B42" s="79"/>
      <c r="C42" s="106"/>
      <c r="D42" s="96"/>
      <c r="E42" s="79"/>
      <c r="F42" s="104"/>
      <c r="G42" s="79"/>
      <c r="H42" s="95"/>
      <c r="I42" s="79"/>
      <c r="J42" s="79"/>
      <c r="K42" s="79"/>
      <c r="L42" s="79"/>
      <c r="M42" s="79"/>
      <c r="N42" s="79"/>
      <c r="O42" s="79"/>
      <c r="P42" s="79"/>
      <c r="Q42" s="79"/>
      <c r="R42" s="88">
        <f>100*(+Z36/$E$9)</f>
        <v>231.49809768800463</v>
      </c>
      <c r="S42" s="95">
        <f>EXP(5.70827-(0.68367*LN(+R42)))</f>
        <v>7.2861821322055746</v>
      </c>
      <c r="T42" s="89">
        <f>(+S42*R42)/100</f>
        <v>16.867373030139198</v>
      </c>
      <c r="U42" s="88">
        <f>100*((((T42/100)-((T42/100)-0.03574)*$E$21)-0.03574-0.00619)/0.344)</f>
        <v>24.941901560628857</v>
      </c>
      <c r="V42" s="79">
        <f>+$E$20</f>
        <v>0.25</v>
      </c>
      <c r="W42" s="88">
        <f>U42+V42</f>
        <v>25.191901560628857</v>
      </c>
      <c r="X42" s="88">
        <f>100*($E$17*$E$19+($E$18*(W42/100))/(1-$E$21))</f>
        <v>21.694519333841292</v>
      </c>
      <c r="Y42" s="89">
        <f>X42/R42</f>
        <v>9.3713596571663837E-2</v>
      </c>
      <c r="Z42" s="87">
        <f>ROUND($E$8/(1-Y42),0)</f>
        <v>1237341</v>
      </c>
      <c r="AA42" s="79" t="str">
        <f>IF(OR(OR(Z42=Z36,Z42=(Z36+1)),Z42=(Z36-1)),"yes","not yet")</f>
        <v>yes</v>
      </c>
      <c r="AB42" s="88">
        <f>100*(1-Y42)</f>
        <v>90.62864034283362</v>
      </c>
      <c r="AC42" s="79"/>
      <c r="AD42" s="79"/>
      <c r="AE42" s="79"/>
      <c r="AF42" s="79"/>
      <c r="AG42" s="79"/>
      <c r="AH42" s="79"/>
      <c r="AI42" s="79"/>
      <c r="AJ42" s="79"/>
      <c r="AK42" s="79"/>
      <c r="AL42" s="79"/>
      <c r="AM42" s="79"/>
      <c r="AN42" s="79"/>
    </row>
    <row r="43" spans="1:40">
      <c r="A43" s="79"/>
      <c r="B43" s="79"/>
      <c r="C43" s="90"/>
      <c r="D43" s="79"/>
      <c r="E43" s="98"/>
      <c r="F43" s="104"/>
      <c r="G43" s="79"/>
      <c r="H43" s="95"/>
      <c r="I43" s="79"/>
      <c r="J43" s="79"/>
      <c r="K43" s="79"/>
      <c r="L43" s="79"/>
      <c r="M43" s="79"/>
      <c r="N43" s="79"/>
      <c r="O43" s="79"/>
      <c r="P43" s="79"/>
      <c r="Q43" s="79"/>
      <c r="R43" s="88">
        <f>100*(+Z37/$E$9)</f>
        <v>231.23635428932511</v>
      </c>
      <c r="S43" s="95">
        <f>EXP(5.6985-(0.68367*LN(R43)))</f>
        <v>7.2209254608146489</v>
      </c>
      <c r="T43" s="89">
        <f>(+S43*R43)/100</f>
        <v>16.697404781537443</v>
      </c>
      <c r="U43" s="88">
        <f>100*((((T43/100)-((T43/100)-0.03574)*$E$21)-0.03574-0.00619)/0.344)</f>
        <v>24.599988688441606</v>
      </c>
      <c r="V43" s="79">
        <f>+$E$20</f>
        <v>0.25</v>
      </c>
      <c r="W43" s="88">
        <f>U43+V43</f>
        <v>24.849988688441606</v>
      </c>
      <c r="X43" s="88">
        <f>100*($E$17*$E$19+($E$18*(W43/100))/(1-$E$21))</f>
        <v>21.432819719634555</v>
      </c>
      <c r="Y43" s="89">
        <f>X43/R43</f>
        <v>9.2687933026385672E-2</v>
      </c>
      <c r="Z43" s="87">
        <f>ROUND($E$8/(1-Y43),0)</f>
        <v>1235942</v>
      </c>
      <c r="AA43" s="79" t="str">
        <f>IF(OR(OR(Z43=Z37,Z43=(Z37+1)),Z43=(Z37-1)),"yes","not yet")</f>
        <v>yes</v>
      </c>
      <c r="AB43" s="88">
        <f>100*(1-Y43)</f>
        <v>90.731206697361429</v>
      </c>
      <c r="AC43" s="79"/>
      <c r="AD43" s="79"/>
      <c r="AE43" s="79"/>
      <c r="AF43" s="79" t="s">
        <v>255</v>
      </c>
      <c r="AG43" s="79"/>
      <c r="AH43" s="79"/>
      <c r="AI43" s="79"/>
      <c r="AJ43" s="79"/>
      <c r="AK43" s="79"/>
      <c r="AL43" s="79"/>
      <c r="AM43" s="79"/>
      <c r="AN43" s="79"/>
    </row>
    <row r="44" spans="1:40">
      <c r="A44" s="79"/>
      <c r="B44" s="79"/>
      <c r="C44" s="90"/>
      <c r="D44" s="79"/>
      <c r="E44" s="98"/>
      <c r="F44" s="104"/>
      <c r="G44" s="79"/>
      <c r="H44" s="95"/>
      <c r="I44" s="79"/>
      <c r="J44" s="79"/>
      <c r="K44" s="79"/>
      <c r="L44" s="79"/>
      <c r="M44" s="79"/>
      <c r="N44" s="79"/>
      <c r="O44" s="79"/>
      <c r="P44" s="79"/>
      <c r="Q44" s="79"/>
      <c r="R44" s="88">
        <f>100*(+Z38/$E$9)</f>
        <v>231.06909296093377</v>
      </c>
      <c r="S44" s="95">
        <f>EXP(5.6922-(0.68367*LN(R44)))</f>
        <v>7.1791272746305212</v>
      </c>
      <c r="T44" s="89">
        <f>(+S44*R44)/100</f>
        <v>16.588744275999751</v>
      </c>
      <c r="U44" s="88">
        <f>100*((((T44/100)-((T44/100)-0.03574)*$E$21)-0.03574-0.00619)/0.344)</f>
        <v>24.38140418311578</v>
      </c>
      <c r="V44" s="79">
        <f>+$E$20</f>
        <v>0.25</v>
      </c>
      <c r="W44" s="88">
        <f>U44+V44</f>
        <v>24.63140418311578</v>
      </c>
      <c r="X44" s="88">
        <f>100*($E$17*$E$19+($E$18*(W44/100))/(1-$E$21))</f>
        <v>21.265515457734725</v>
      </c>
      <c r="Y44" s="89">
        <f>X44/R44</f>
        <v>9.2030981665427794E-2</v>
      </c>
      <c r="Z44" s="87">
        <f>ROUND($E$8/(1-Y44),0)</f>
        <v>1235048</v>
      </c>
      <c r="AA44" s="79" t="str">
        <f>IF(OR(OR(Z44=Z38,Z44=(Z38+1)),Z44=(Z38-1)),"yes","not yet")</f>
        <v>yes</v>
      </c>
      <c r="AB44" s="88">
        <f>100*(1-Y44)</f>
        <v>90.796901833457227</v>
      </c>
      <c r="AC44" s="79"/>
      <c r="AD44" s="79"/>
      <c r="AE44" s="79"/>
      <c r="AF44" s="87">
        <f>HLOOKUP($AF$34,$AF$37:$AN$41,$E$12+1)</f>
        <v>1235942</v>
      </c>
      <c r="AG44" s="79"/>
      <c r="AH44" s="79"/>
      <c r="AI44" s="79"/>
      <c r="AJ44" s="79"/>
      <c r="AK44" s="79"/>
      <c r="AL44" s="79"/>
      <c r="AM44" s="79"/>
      <c r="AN44" s="79"/>
    </row>
    <row r="45" spans="1:40">
      <c r="A45" s="79"/>
      <c r="B45" s="79"/>
      <c r="C45" s="79"/>
      <c r="D45" s="79"/>
      <c r="E45" s="98"/>
      <c r="F45" s="79"/>
      <c r="G45" s="79"/>
      <c r="H45" s="95"/>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row>
    <row r="46" spans="1:40">
      <c r="A46" s="79"/>
      <c r="B46" s="79"/>
      <c r="C46" s="79"/>
      <c r="D46" s="79"/>
      <c r="E46" s="79"/>
      <c r="F46" s="79"/>
      <c r="G46" s="79"/>
      <c r="H46" s="96"/>
      <c r="I46" s="79"/>
      <c r="J46" s="79"/>
      <c r="K46" s="79"/>
      <c r="L46" s="79"/>
      <c r="M46" s="79"/>
      <c r="N46" s="79"/>
      <c r="O46" s="79"/>
      <c r="P46" s="79"/>
      <c r="Q46" s="79"/>
      <c r="R46" s="79" t="s">
        <v>262</v>
      </c>
      <c r="S46" s="84" t="s">
        <v>207</v>
      </c>
      <c r="T46" s="84" t="s">
        <v>208</v>
      </c>
      <c r="U46" s="84" t="s">
        <v>209</v>
      </c>
      <c r="V46" s="79"/>
      <c r="W46" s="79"/>
      <c r="X46" s="79"/>
      <c r="Y46" s="79"/>
      <c r="Z46" s="79"/>
      <c r="AA46" s="79"/>
      <c r="AB46" s="79"/>
      <c r="AC46" s="79"/>
      <c r="AD46" s="79"/>
      <c r="AE46" s="79"/>
      <c r="AF46" s="79"/>
      <c r="AG46" s="79"/>
      <c r="AH46" s="79"/>
      <c r="AI46" s="79"/>
      <c r="AJ46" s="79"/>
      <c r="AK46" s="79"/>
      <c r="AL46" s="79"/>
      <c r="AM46" s="79"/>
      <c r="AN46" s="79"/>
    </row>
    <row r="47" spans="1:40">
      <c r="A47" s="79"/>
      <c r="B47" s="79"/>
      <c r="C47" s="79"/>
      <c r="D47" s="79"/>
      <c r="E47" s="79"/>
      <c r="F47" s="79"/>
      <c r="G47" s="79"/>
      <c r="H47" s="100"/>
      <c r="I47" s="79"/>
      <c r="J47" s="79"/>
      <c r="K47" s="79"/>
      <c r="L47" s="79"/>
      <c r="M47" s="79"/>
      <c r="N47" s="79"/>
      <c r="O47" s="79"/>
      <c r="P47" s="79"/>
      <c r="Q47" s="79"/>
      <c r="R47" s="88">
        <f>100*(+Z41/$E$9)</f>
        <v>231.88687737524987</v>
      </c>
      <c r="S47" s="95">
        <f>EXP(5.7226-(0.68367*LN(+R47)))</f>
        <v>7.3828703418585597</v>
      </c>
      <c r="T47" s="89">
        <f>(+S47*R47)/100</f>
        <v>17.11990749639925</v>
      </c>
      <c r="U47" s="88">
        <f>100*((((T47/100)-((T47/100)-0.03574)*$E$21)-0.03574-0.00619)/0.344)</f>
        <v>25.449906940431049</v>
      </c>
      <c r="V47" s="79">
        <f>+$E$20</f>
        <v>0.25</v>
      </c>
      <c r="W47" s="88">
        <f>U47+V47</f>
        <v>25.699906940431049</v>
      </c>
      <c r="X47" s="88">
        <f>100*($E$17*$E$19+($E$18*(W47/100))/(1-$E$21))</f>
        <v>22.08334591138053</v>
      </c>
      <c r="Y47" s="89">
        <f>X47/R47</f>
        <v>9.5233271331884195E-2</v>
      </c>
      <c r="Z47" s="87">
        <f>ROUND($E$8/(1-Y47),0)</f>
        <v>1239419</v>
      </c>
      <c r="AA47" s="79" t="str">
        <f>IF(OR(OR(Z47=Z41,Z47=(Z41+1)),Z47=(Z33-1)),"yes","not yet")</f>
        <v>yes</v>
      </c>
      <c r="AB47" s="88">
        <f>100*(1-Y47)</f>
        <v>90.476672866811583</v>
      </c>
      <c r="AC47" s="79"/>
      <c r="AD47" s="79"/>
      <c r="AE47" s="79"/>
      <c r="AF47" s="79"/>
      <c r="AG47" s="79"/>
      <c r="AH47" s="79"/>
      <c r="AI47" s="79"/>
      <c r="AJ47" s="79"/>
      <c r="AK47" s="79"/>
      <c r="AL47" s="79"/>
      <c r="AM47" s="79"/>
      <c r="AN47" s="79"/>
    </row>
    <row r="48" spans="1:40">
      <c r="A48" s="79"/>
      <c r="B48" s="79"/>
      <c r="C48" s="79"/>
      <c r="D48" s="79"/>
      <c r="E48" s="79"/>
      <c r="F48" s="79"/>
      <c r="G48" s="79"/>
      <c r="H48" s="79"/>
      <c r="I48" s="79"/>
      <c r="J48" s="79"/>
      <c r="K48" s="79"/>
      <c r="L48" s="79"/>
      <c r="M48" s="79"/>
      <c r="N48" s="79"/>
      <c r="O48" s="79"/>
      <c r="P48" s="79"/>
      <c r="Q48" s="79"/>
      <c r="R48" s="88">
        <f>100*(+Z42/$E$9)</f>
        <v>231.49809768800463</v>
      </c>
      <c r="S48" s="95">
        <f>EXP(5.70827-(0.68367*LN(+R48)))</f>
        <v>7.2861821322055746</v>
      </c>
      <c r="T48" s="89">
        <f>(+S48*R48)/100</f>
        <v>16.867373030139198</v>
      </c>
      <c r="U48" s="88">
        <f>100*((((T48/100)-((T48/100)-0.03574)*$E$21)-0.03574-0.00619)/0.344)</f>
        <v>24.941901560628857</v>
      </c>
      <c r="V48" s="79">
        <f>+$E$20</f>
        <v>0.25</v>
      </c>
      <c r="W48" s="88">
        <f>U48+V48</f>
        <v>25.191901560628857</v>
      </c>
      <c r="X48" s="88">
        <f>100*($E$17*$E$19+($E$18*(W48/100))/(1-$E$21))</f>
        <v>21.694519333841292</v>
      </c>
      <c r="Y48" s="89">
        <f>X48/R48</f>
        <v>9.3713596571663837E-2</v>
      </c>
      <c r="Z48" s="87">
        <f>ROUND($E$8/(1-Y48),0)</f>
        <v>1237341</v>
      </c>
      <c r="AA48" s="79" t="str">
        <f>IF(OR(OR(Z48=Z42,Z48=(Z42+1)),Z48=(Z42-1)),"yes","not yet")</f>
        <v>yes</v>
      </c>
      <c r="AB48" s="88">
        <f>100*(1-Y48)</f>
        <v>90.62864034283362</v>
      </c>
      <c r="AC48" s="79"/>
      <c r="AD48" s="79"/>
      <c r="AE48" s="79"/>
      <c r="AF48" s="79"/>
      <c r="AG48" s="79"/>
      <c r="AH48" s="79"/>
      <c r="AI48" s="79"/>
      <c r="AJ48" s="79"/>
      <c r="AK48" s="79"/>
      <c r="AL48" s="79"/>
      <c r="AM48" s="79"/>
      <c r="AN48" s="79"/>
    </row>
    <row r="49" spans="1:40">
      <c r="A49" s="79"/>
      <c r="B49" s="79"/>
      <c r="C49" s="79"/>
      <c r="D49" s="79"/>
      <c r="E49" s="79"/>
      <c r="F49" s="79"/>
      <c r="G49" s="79"/>
      <c r="H49" s="89"/>
      <c r="I49" s="79"/>
      <c r="J49" s="79"/>
      <c r="K49" s="79"/>
      <c r="L49" s="79"/>
      <c r="M49" s="79"/>
      <c r="N49" s="79"/>
      <c r="O49" s="79"/>
      <c r="P49" s="79"/>
      <c r="Q49" s="79"/>
      <c r="R49" s="88">
        <f>100*(+Z43/$E$9)</f>
        <v>231.23635428932511</v>
      </c>
      <c r="S49" s="95">
        <f>EXP(5.6985-(0.68367*LN(R49)))</f>
        <v>7.2209254608146489</v>
      </c>
      <c r="T49" s="89">
        <f>(+S49*R49)/100</f>
        <v>16.697404781537443</v>
      </c>
      <c r="U49" s="88">
        <f>100*((((T49/100)-((T49/100)-0.03574)*$E$21)-0.03574-0.00619)/0.344)</f>
        <v>24.599988688441606</v>
      </c>
      <c r="V49" s="79">
        <f>+$E$20</f>
        <v>0.25</v>
      </c>
      <c r="W49" s="88">
        <f>U49+V49</f>
        <v>24.849988688441606</v>
      </c>
      <c r="X49" s="88">
        <f>100*($E$17*$E$19+($E$18*(W49/100))/(1-$E$21))</f>
        <v>21.432819719634555</v>
      </c>
      <c r="Y49" s="89">
        <f>X49/R49</f>
        <v>9.2687933026385672E-2</v>
      </c>
      <c r="Z49" s="87">
        <f>ROUND($E$8/(1-Y49),0)</f>
        <v>1235942</v>
      </c>
      <c r="AA49" s="79" t="str">
        <f>IF(OR(OR(Z49=Z43,Z49=(Z43+1)),Z49=(Z43-1)),"yes","not yet")</f>
        <v>yes</v>
      </c>
      <c r="AB49" s="88">
        <f>100*(1-Y49)</f>
        <v>90.731206697361429</v>
      </c>
      <c r="AC49" s="79"/>
      <c r="AD49" s="79"/>
      <c r="AE49" s="79"/>
      <c r="AF49" s="79"/>
      <c r="AG49" s="79"/>
      <c r="AH49" s="79"/>
      <c r="AI49" s="79"/>
      <c r="AJ49" s="79"/>
      <c r="AK49" s="79"/>
      <c r="AL49" s="79"/>
      <c r="AM49" s="79"/>
      <c r="AN49" s="79"/>
    </row>
    <row r="50" spans="1:40">
      <c r="A50" s="79"/>
      <c r="B50" s="79"/>
      <c r="C50" s="79"/>
      <c r="D50" s="79"/>
      <c r="E50" s="79"/>
      <c r="F50" s="79"/>
      <c r="G50" s="79"/>
      <c r="H50" s="79"/>
      <c r="I50" s="79"/>
      <c r="J50" s="79"/>
      <c r="K50" s="79"/>
      <c r="L50" s="79"/>
      <c r="M50" s="79"/>
      <c r="N50" s="79"/>
      <c r="O50" s="79"/>
      <c r="P50" s="79"/>
      <c r="Q50" s="79"/>
      <c r="R50" s="88">
        <f>100*(+Z44/$E$9)</f>
        <v>231.06909296093377</v>
      </c>
      <c r="S50" s="95">
        <f>EXP(5.6922-(0.68367*LN(R50)))</f>
        <v>7.1791272746305212</v>
      </c>
      <c r="T50" s="89">
        <f>(+S50*R50)/100</f>
        <v>16.588744275999751</v>
      </c>
      <c r="U50" s="88">
        <f>100*((((T50/100)-((T50/100)-0.03574)*$E$21)-0.03574-0.00619)/0.344)</f>
        <v>24.38140418311578</v>
      </c>
      <c r="V50" s="79">
        <f>+$E$20</f>
        <v>0.25</v>
      </c>
      <c r="W50" s="88">
        <f>U50+V50</f>
        <v>24.63140418311578</v>
      </c>
      <c r="X50" s="88">
        <f>100*($E$17*$E$19+($E$18*(W50/100))/(1-$E$21))</f>
        <v>21.265515457734725</v>
      </c>
      <c r="Y50" s="89">
        <f>X50/R50</f>
        <v>9.2030981665427794E-2</v>
      </c>
      <c r="Z50" s="87">
        <f>ROUND($E$8/(1-Y50),0)</f>
        <v>1235048</v>
      </c>
      <c r="AA50" s="79" t="str">
        <f>IF(OR(OR(Z50=Z44,Z50=(Z44+1)),Z50=(Z44-1)),"yes","not yet")</f>
        <v>yes</v>
      </c>
      <c r="AB50" s="88">
        <f>100*(1-Y50)</f>
        <v>90.796901833457227</v>
      </c>
      <c r="AC50" s="79"/>
      <c r="AD50" s="79"/>
      <c r="AE50" s="79"/>
      <c r="AF50" s="79"/>
      <c r="AG50" s="79"/>
      <c r="AH50" s="79"/>
      <c r="AI50" s="79"/>
      <c r="AJ50" s="79"/>
      <c r="AK50" s="79"/>
      <c r="AL50" s="79"/>
      <c r="AM50" s="79"/>
      <c r="AN50" s="79"/>
    </row>
    <row r="51" spans="1:40">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row>
    <row r="52" spans="1:40">
      <c r="A52" s="79"/>
      <c r="B52" s="79"/>
      <c r="C52" s="79"/>
      <c r="D52" s="79"/>
      <c r="E52" s="79"/>
      <c r="F52" s="79"/>
      <c r="G52" s="79"/>
      <c r="H52" s="79"/>
      <c r="I52" s="79"/>
      <c r="J52" s="79"/>
      <c r="K52" s="79"/>
      <c r="L52" s="79"/>
      <c r="M52" s="79"/>
      <c r="N52" s="79"/>
      <c r="O52" s="79"/>
      <c r="P52" s="79"/>
      <c r="Q52" s="79"/>
      <c r="R52" s="79" t="s">
        <v>263</v>
      </c>
      <c r="S52" s="84" t="s">
        <v>207</v>
      </c>
      <c r="T52" s="84" t="s">
        <v>208</v>
      </c>
      <c r="U52" s="84" t="s">
        <v>209</v>
      </c>
      <c r="V52" s="79"/>
      <c r="W52" s="79"/>
      <c r="X52" s="79"/>
      <c r="Y52" s="79"/>
      <c r="Z52" s="79"/>
      <c r="AA52" s="79"/>
      <c r="AB52" s="79"/>
      <c r="AC52" s="79"/>
      <c r="AD52" s="79"/>
      <c r="AE52" s="79"/>
      <c r="AF52" s="79"/>
      <c r="AG52" s="79"/>
      <c r="AH52" s="79"/>
      <c r="AI52" s="79"/>
      <c r="AJ52" s="79"/>
      <c r="AK52" s="79"/>
      <c r="AL52" s="79"/>
      <c r="AM52" s="79"/>
      <c r="AN52" s="79"/>
    </row>
    <row r="53" spans="1:40">
      <c r="A53" s="79"/>
      <c r="B53" s="79"/>
      <c r="C53" s="79"/>
      <c r="D53" s="79"/>
      <c r="E53" s="79"/>
      <c r="F53" s="79"/>
      <c r="G53" s="79"/>
      <c r="H53" s="79"/>
      <c r="I53" s="79"/>
      <c r="J53" s="79"/>
      <c r="K53" s="79"/>
      <c r="L53" s="79"/>
      <c r="M53" s="79"/>
      <c r="N53" s="79"/>
      <c r="O53" s="79"/>
      <c r="P53" s="79"/>
      <c r="Q53" s="79"/>
      <c r="R53" s="88">
        <f>100*(+Z47/$E$9)</f>
        <v>231.88687737524987</v>
      </c>
      <c r="S53" s="95">
        <f>EXP(5.7226-(0.68367*LN(+R53)))</f>
        <v>7.3828703418585597</v>
      </c>
      <c r="T53" s="89">
        <f>(+S53*R53)/100</f>
        <v>17.11990749639925</v>
      </c>
      <c r="U53" s="88">
        <f>100*((((T53/100)-((T53/100)-0.03574)*$E$21)-0.03574-0.00619)/0.344)</f>
        <v>25.449906940431049</v>
      </c>
      <c r="V53" s="79">
        <f>+$E$20</f>
        <v>0.25</v>
      </c>
      <c r="W53" s="88">
        <f>U53+V53</f>
        <v>25.699906940431049</v>
      </c>
      <c r="X53" s="88">
        <f>100*($E$17*$E$19+($E$18*(W53/100))/(1-$E$21))</f>
        <v>22.08334591138053</v>
      </c>
      <c r="Y53" s="89">
        <f>X53/R53</f>
        <v>9.5233271331884195E-2</v>
      </c>
      <c r="Z53" s="87">
        <f>ROUND($E$8/(1-Y53),0)</f>
        <v>1239419</v>
      </c>
      <c r="AA53" s="79" t="str">
        <f>IF(OR(OR(Z53=Z47,Z53=(Z47+1)),Z53=(Z39-1)),"yes","not yet")</f>
        <v>yes</v>
      </c>
      <c r="AB53" s="88">
        <f>100*(1-Y53)</f>
        <v>90.476672866811583</v>
      </c>
      <c r="AC53" s="79"/>
      <c r="AD53" s="79"/>
      <c r="AE53" s="79"/>
      <c r="AF53" s="79"/>
      <c r="AG53" s="79"/>
      <c r="AH53" s="79"/>
      <c r="AI53" s="79"/>
      <c r="AJ53" s="79"/>
      <c r="AK53" s="79"/>
      <c r="AL53" s="79"/>
      <c r="AM53" s="79"/>
      <c r="AN53" s="79"/>
    </row>
    <row r="54" spans="1:40">
      <c r="A54" s="79"/>
      <c r="B54" s="79"/>
      <c r="C54" s="79"/>
      <c r="D54" s="79"/>
      <c r="E54" s="79"/>
      <c r="F54" s="79"/>
      <c r="G54" s="79"/>
      <c r="H54" s="79"/>
      <c r="I54" s="79"/>
      <c r="J54" s="79"/>
      <c r="K54" s="79"/>
      <c r="L54" s="79"/>
      <c r="M54" s="79"/>
      <c r="N54" s="79"/>
      <c r="O54" s="79"/>
      <c r="P54" s="79"/>
      <c r="Q54" s="79"/>
      <c r="R54" s="88">
        <f>100*(+Z48/$E$9)</f>
        <v>231.49809768800463</v>
      </c>
      <c r="S54" s="95">
        <f>EXP(5.70827-(0.68367*LN(+R54)))</f>
        <v>7.2861821322055746</v>
      </c>
      <c r="T54" s="89">
        <f>(+S54*R54)/100</f>
        <v>16.867373030139198</v>
      </c>
      <c r="U54" s="88">
        <f>100*((((T54/100)-((T54/100)-0.03574)*$E$21)-0.03574-0.00619)/0.344)</f>
        <v>24.941901560628857</v>
      </c>
      <c r="V54" s="79">
        <f>+$E$20</f>
        <v>0.25</v>
      </c>
      <c r="W54" s="88">
        <f>U54+V54</f>
        <v>25.191901560628857</v>
      </c>
      <c r="X54" s="88">
        <f>100*($E$17*$E$19+($E$18*(W54/100))/(1-$E$21))</f>
        <v>21.694519333841292</v>
      </c>
      <c r="Y54" s="89">
        <f>X54/R54</f>
        <v>9.3713596571663837E-2</v>
      </c>
      <c r="Z54" s="87">
        <f>ROUND($E$8/(1-Y54),0)</f>
        <v>1237341</v>
      </c>
      <c r="AA54" s="79" t="str">
        <f>IF(OR(OR(Z54=Z48,Z54=(Z48+1)),Z54=(Z48-1)),"yes","not yet")</f>
        <v>yes</v>
      </c>
      <c r="AB54" s="88">
        <f>100*(1-Y54)</f>
        <v>90.62864034283362</v>
      </c>
      <c r="AC54" s="79"/>
      <c r="AD54" s="79"/>
      <c r="AE54" s="79"/>
      <c r="AF54" s="79"/>
      <c r="AG54" s="79"/>
      <c r="AH54" s="79"/>
      <c r="AI54" s="79"/>
      <c r="AJ54" s="79"/>
      <c r="AK54" s="79"/>
      <c r="AL54" s="79"/>
      <c r="AM54" s="79"/>
      <c r="AN54" s="79"/>
    </row>
    <row r="55" spans="1:40">
      <c r="A55" s="79"/>
      <c r="B55" s="79"/>
      <c r="C55" s="79"/>
      <c r="D55" s="79"/>
      <c r="E55" s="79"/>
      <c r="F55" s="79"/>
      <c r="G55" s="79"/>
      <c r="H55" s="79"/>
      <c r="I55" s="79"/>
      <c r="J55" s="79"/>
      <c r="K55" s="79"/>
      <c r="L55" s="79"/>
      <c r="M55" s="79"/>
      <c r="N55" s="79"/>
      <c r="O55" s="79"/>
      <c r="P55" s="79"/>
      <c r="Q55" s="79"/>
      <c r="R55" s="88">
        <f>100*(+Z49/$E$9)</f>
        <v>231.23635428932511</v>
      </c>
      <c r="S55" s="95">
        <f>EXP(5.6985-(0.68367*LN(R55)))</f>
        <v>7.2209254608146489</v>
      </c>
      <c r="T55" s="89">
        <f>(+S55*R55)/100</f>
        <v>16.697404781537443</v>
      </c>
      <c r="U55" s="88">
        <f>100*((((T55/100)-((T55/100)-0.03574)*$E$21)-0.03574-0.00619)/0.344)</f>
        <v>24.599988688441606</v>
      </c>
      <c r="V55" s="79">
        <f>+$E$20</f>
        <v>0.25</v>
      </c>
      <c r="W55" s="88">
        <f>U55+V55</f>
        <v>24.849988688441606</v>
      </c>
      <c r="X55" s="88">
        <f>100*($E$17*$E$19+($E$18*(W55/100))/(1-$E$21))</f>
        <v>21.432819719634555</v>
      </c>
      <c r="Y55" s="89">
        <f>X55/R55</f>
        <v>9.2687933026385672E-2</v>
      </c>
      <c r="Z55" s="87">
        <f>ROUND($E$8/(1-Y55),0)</f>
        <v>1235942</v>
      </c>
      <c r="AA55" s="79" t="str">
        <f>IF(OR(OR(Z55=Z49,Z55=(Z49+1)),Z55=(Z49-1)),"yes","not yet")</f>
        <v>yes</v>
      </c>
      <c r="AB55" s="88">
        <f>100*(1-Y55)</f>
        <v>90.731206697361429</v>
      </c>
      <c r="AC55" s="79"/>
      <c r="AD55" s="79"/>
      <c r="AE55" s="79"/>
      <c r="AF55" s="79"/>
      <c r="AG55" s="79"/>
      <c r="AH55" s="79"/>
      <c r="AI55" s="79"/>
      <c r="AJ55" s="79"/>
      <c r="AK55" s="79"/>
      <c r="AL55" s="79"/>
      <c r="AM55" s="79"/>
      <c r="AN55" s="79"/>
    </row>
    <row r="56" spans="1:40">
      <c r="A56" s="79"/>
      <c r="B56" s="79"/>
      <c r="C56" s="79"/>
      <c r="D56" s="79"/>
      <c r="E56" s="79"/>
      <c r="F56" s="79"/>
      <c r="G56" s="79"/>
      <c r="H56" s="79"/>
      <c r="I56" s="79"/>
      <c r="J56" s="79"/>
      <c r="K56" s="79"/>
      <c r="L56" s="79"/>
      <c r="M56" s="79"/>
      <c r="N56" s="79"/>
      <c r="O56" s="79"/>
      <c r="P56" s="79"/>
      <c r="Q56" s="79"/>
      <c r="R56" s="88">
        <f>100*(+Z50/$E$9)</f>
        <v>231.06909296093377</v>
      </c>
      <c r="S56" s="95">
        <f>EXP(5.6922-(0.68367*LN(R56)))</f>
        <v>7.1791272746305212</v>
      </c>
      <c r="T56" s="89">
        <f>(+S56*R56)/100</f>
        <v>16.588744275999751</v>
      </c>
      <c r="U56" s="88">
        <f>100*((((T56/100)-((T56/100)-0.03574)*$E$21)-0.03574-0.00619)/0.344)</f>
        <v>24.38140418311578</v>
      </c>
      <c r="V56" s="79">
        <f>+$E$20</f>
        <v>0.25</v>
      </c>
      <c r="W56" s="88">
        <f>U56+V56</f>
        <v>24.63140418311578</v>
      </c>
      <c r="X56" s="88">
        <f>100*($E$17*$E$19+($E$18*(W56/100))/(1-$E$21))</f>
        <v>21.265515457734725</v>
      </c>
      <c r="Y56" s="89">
        <f>X56/R56</f>
        <v>9.2030981665427794E-2</v>
      </c>
      <c r="Z56" s="87">
        <f>ROUND($E$8/(1-Y56),0)</f>
        <v>1235048</v>
      </c>
      <c r="AA56" s="79" t="str">
        <f>IF(OR(OR(Z56=Z50,Z56=(Z50+1)),Z56=(Z50-1)),"yes","not yet")</f>
        <v>yes</v>
      </c>
      <c r="AB56" s="88">
        <f>100*(1-Y56)</f>
        <v>90.796901833457227</v>
      </c>
      <c r="AC56" s="79"/>
      <c r="AD56" s="79"/>
      <c r="AE56" s="79"/>
      <c r="AF56" s="79"/>
      <c r="AG56" s="79"/>
      <c r="AH56" s="79"/>
      <c r="AI56" s="79"/>
      <c r="AJ56" s="79"/>
      <c r="AK56" s="79"/>
      <c r="AL56" s="79"/>
      <c r="AM56" s="79"/>
      <c r="AN56" s="79"/>
    </row>
  </sheetData>
  <customSheetViews>
    <customSheetView guid="{3B54C4DD-9207-4EC3-9D58-6DDE29113D77}" scale="75" showPageBreaks="1" showGridLines="0" fitToPage="1" printArea="1" showRuler="0">
      <selection activeCell="D21" sqref="D21"/>
      <pageMargins left="0.75" right="0.75" top="1" bottom="1" header="0.5" footer="0.5"/>
      <pageSetup scale="98" orientation="landscape" horizontalDpi="1200" verticalDpi="1200" r:id="rId1"/>
      <headerFooter alignWithMargins="0">
        <oddHeader>&amp;L&amp;12&amp;A</oddHeader>
      </headerFooter>
    </customSheetView>
    <customSheetView guid="{F69ABAD1-EF76-489D-B027-1BD1F4CFE8A6}" scale="75" showGridLines="0" fitToPage="1">
      <selection activeCell="D21" sqref="D21"/>
      <pageMargins left="0.75" right="0.75" top="1" bottom="1" header="0.5" footer="0.5"/>
      <pageSetup scale="97" orientation="landscape" horizontalDpi="1200" verticalDpi="1200" r:id="rId2"/>
      <headerFooter alignWithMargins="0">
        <oddHeader>&amp;L&amp;12&amp;A</oddHeader>
      </headerFooter>
    </customSheetView>
  </customSheetViews>
  <phoneticPr fontId="0" type="noConversion"/>
  <pageMargins left="0.75" right="0.75" top="1" bottom="1" header="0.5" footer="0.5"/>
  <pageSetup scale="97" orientation="landscape" r:id="rId3"/>
  <headerFooter alignWithMargins="0">
    <oddHeader>&amp;L&amp;12&amp;A</oddHeader>
  </headerFooter>
  <legacy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workbookViewId="0">
      <selection activeCell="J35" sqref="J35"/>
    </sheetView>
  </sheetViews>
  <sheetFormatPr defaultColWidth="27.6640625" defaultRowHeight="11.25"/>
  <cols>
    <col min="1" max="1" width="27.6640625" style="1207" customWidth="1"/>
    <col min="2" max="2" width="16.83203125" style="1207" customWidth="1"/>
    <col min="3" max="3" width="17.5" style="1207" customWidth="1"/>
    <col min="4" max="4" width="17.1640625" style="1207" customWidth="1"/>
    <col min="5" max="5" width="17" style="1207" customWidth="1"/>
    <col min="6" max="6" width="17.6640625" style="1207" customWidth="1"/>
    <col min="7" max="8" width="18.5" style="1207" customWidth="1"/>
    <col min="9" max="9" width="18.83203125" style="1207" customWidth="1"/>
    <col min="10" max="10" width="19.6640625" style="1207" customWidth="1"/>
    <col min="11" max="11" width="20.1640625" style="1207" customWidth="1"/>
    <col min="12" max="13" width="20" style="1213" customWidth="1"/>
    <col min="14" max="14" width="18" style="1213" customWidth="1"/>
    <col min="15" max="15" width="19.6640625" style="1213" customWidth="1"/>
    <col min="16" max="16" width="9.1640625" style="1213" customWidth="1"/>
    <col min="17" max="17" width="6.33203125" style="1213" bestFit="1" customWidth="1"/>
    <col min="18" max="18" width="11.5" style="1213" bestFit="1" customWidth="1"/>
    <col min="19" max="19" width="6.33203125" style="1213" bestFit="1" customWidth="1"/>
    <col min="20" max="23" width="27.6640625" style="1213" customWidth="1"/>
    <col min="24" max="16384" width="27.6640625" style="541"/>
  </cols>
  <sheetData>
    <row r="1" spans="1:21">
      <c r="A1" s="1529"/>
      <c r="B1" s="1529" t="s">
        <v>1876</v>
      </c>
      <c r="C1" s="1529" t="s">
        <v>1876</v>
      </c>
      <c r="D1" s="1529" t="s">
        <v>1876</v>
      </c>
      <c r="E1" s="1529" t="s">
        <v>1876</v>
      </c>
      <c r="F1" s="1529" t="s">
        <v>1876</v>
      </c>
      <c r="G1" s="1529" t="s">
        <v>1876</v>
      </c>
      <c r="H1" s="1529" t="s">
        <v>1876</v>
      </c>
      <c r="I1" s="1529" t="s">
        <v>1876</v>
      </c>
      <c r="J1" s="1529" t="s">
        <v>1876</v>
      </c>
      <c r="K1" s="1529" t="s">
        <v>1876</v>
      </c>
      <c r="L1" s="1529" t="s">
        <v>1876</v>
      </c>
      <c r="M1" s="1529" t="s">
        <v>1876</v>
      </c>
      <c r="N1" s="1529"/>
      <c r="O1" s="1529"/>
    </row>
    <row r="2" spans="1:21">
      <c r="A2" s="1529"/>
      <c r="B2" s="1529" t="s">
        <v>1835</v>
      </c>
      <c r="C2" s="1529" t="s">
        <v>1835</v>
      </c>
      <c r="D2" s="1529" t="s">
        <v>1835</v>
      </c>
      <c r="E2" s="1529" t="s">
        <v>1835</v>
      </c>
      <c r="F2" s="1529" t="s">
        <v>1835</v>
      </c>
      <c r="G2" s="1529" t="s">
        <v>1835</v>
      </c>
      <c r="H2" s="1529" t="s">
        <v>1835</v>
      </c>
      <c r="I2" s="1529" t="s">
        <v>1835</v>
      </c>
      <c r="J2" s="1529" t="s">
        <v>1835</v>
      </c>
      <c r="K2" s="1560" t="s">
        <v>1835</v>
      </c>
      <c r="L2" s="1561" t="s">
        <v>1835</v>
      </c>
      <c r="M2" s="1561" t="s">
        <v>1835</v>
      </c>
      <c r="N2" s="1561"/>
      <c r="O2" s="1561"/>
    </row>
    <row r="3" spans="1:21">
      <c r="A3" s="1529"/>
      <c r="B3" s="1529" t="s">
        <v>1834</v>
      </c>
      <c r="C3" s="1529" t="s">
        <v>1834</v>
      </c>
      <c r="D3" s="1529" t="s">
        <v>1834</v>
      </c>
      <c r="E3" s="1529" t="s">
        <v>1834</v>
      </c>
      <c r="F3" s="1529" t="s">
        <v>1834</v>
      </c>
      <c r="G3" s="1529" t="s">
        <v>1834</v>
      </c>
      <c r="H3" s="1529" t="s">
        <v>1834</v>
      </c>
      <c r="I3" s="1529" t="s">
        <v>1834</v>
      </c>
      <c r="J3" s="1529" t="s">
        <v>1834</v>
      </c>
      <c r="K3" s="1560" t="s">
        <v>1834</v>
      </c>
      <c r="L3" s="1561" t="s">
        <v>1834</v>
      </c>
      <c r="M3" s="1561" t="s">
        <v>1834</v>
      </c>
      <c r="N3" s="1561"/>
      <c r="O3" s="1561"/>
    </row>
    <row r="4" spans="1:21">
      <c r="A4" s="1529"/>
      <c r="B4" s="1529" t="s">
        <v>1943</v>
      </c>
      <c r="C4" s="1529" t="s">
        <v>1943</v>
      </c>
      <c r="D4" s="1529" t="s">
        <v>1943</v>
      </c>
      <c r="E4" s="1529" t="s">
        <v>1943</v>
      </c>
      <c r="F4" s="1529" t="s">
        <v>1943</v>
      </c>
      <c r="G4" s="1529" t="s">
        <v>1943</v>
      </c>
      <c r="H4" s="1529" t="s">
        <v>1943</v>
      </c>
      <c r="I4" s="1529" t="s">
        <v>1943</v>
      </c>
      <c r="J4" s="1529" t="s">
        <v>1943</v>
      </c>
      <c r="K4" s="1560" t="s">
        <v>1943</v>
      </c>
      <c r="L4" s="1561" t="s">
        <v>1943</v>
      </c>
      <c r="M4" s="1561" t="s">
        <v>1943</v>
      </c>
      <c r="N4" s="1561"/>
      <c r="O4" s="1561"/>
    </row>
    <row r="6" spans="1:21">
      <c r="A6" s="1560"/>
      <c r="B6" s="1560" t="s">
        <v>1878</v>
      </c>
      <c r="C6" s="1560" t="s">
        <v>1879</v>
      </c>
      <c r="D6" s="1560" t="s">
        <v>1880</v>
      </c>
      <c r="E6" s="1560" t="s">
        <v>1881</v>
      </c>
      <c r="F6" s="1560" t="s">
        <v>1882</v>
      </c>
      <c r="G6" s="1560" t="s">
        <v>1883</v>
      </c>
      <c r="H6" s="1560" t="s">
        <v>1884</v>
      </c>
      <c r="I6" s="1560" t="s">
        <v>1885</v>
      </c>
      <c r="J6" s="1560" t="s">
        <v>1886</v>
      </c>
      <c r="K6" s="1560" t="s">
        <v>1887</v>
      </c>
      <c r="L6" s="1561" t="s">
        <v>1888</v>
      </c>
      <c r="M6" s="1561" t="s">
        <v>1889</v>
      </c>
      <c r="N6" s="1561" t="s">
        <v>27</v>
      </c>
      <c r="O6" s="1561" t="s">
        <v>1944</v>
      </c>
      <c r="Q6" s="2252" t="s">
        <v>1741</v>
      </c>
      <c r="R6" s="2253"/>
      <c r="S6" s="2253"/>
      <c r="T6" s="2253"/>
      <c r="U6" s="2253"/>
    </row>
    <row r="7" spans="1:21">
      <c r="Q7" s="1562"/>
      <c r="R7" s="1562"/>
      <c r="S7" s="1562"/>
      <c r="T7" s="1562"/>
      <c r="U7" s="1562"/>
    </row>
    <row r="8" spans="1:21" ht="12.75">
      <c r="A8" s="1563" t="s">
        <v>1945</v>
      </c>
      <c r="B8" s="1564">
        <v>-21122500.18</v>
      </c>
      <c r="C8" s="1564">
        <v>-21540500.390000001</v>
      </c>
      <c r="D8" s="1564">
        <v>-19058154.060000002</v>
      </c>
      <c r="E8" s="1564">
        <v>-18873114.380000003</v>
      </c>
      <c r="F8" s="1564">
        <v>-17890934.73</v>
      </c>
      <c r="G8" s="1564">
        <v>-17968407.050000001</v>
      </c>
      <c r="H8" s="1564">
        <v>-17848741.380000003</v>
      </c>
      <c r="I8" s="1564">
        <v>-17573515.710000001</v>
      </c>
      <c r="J8" s="1564">
        <v>-17711785</v>
      </c>
      <c r="K8" s="1564">
        <v>-17582041.32</v>
      </c>
      <c r="L8" s="1564">
        <v>-17251379.639999997</v>
      </c>
      <c r="M8" s="1564">
        <v>-17002474.959999997</v>
      </c>
      <c r="N8" s="1564">
        <f>SUM(B8:M8)</f>
        <v>-221423548.80000001</v>
      </c>
      <c r="O8" s="1564">
        <f>-N8*'[23]2014 A53 Division Expense'!I51</f>
        <v>10943208.566760691</v>
      </c>
      <c r="Q8" s="1565">
        <f>'[24]2014 A53 Division Expense'!$B$47/'[24]2014 A53 Division Expense'!$B$51</f>
        <v>7.3149256790848091E-2</v>
      </c>
      <c r="R8" s="1562">
        <f>Q8*O8</f>
        <v>800487.57356578647</v>
      </c>
      <c r="S8" s="1566">
        <f>R8/N8*-1</f>
        <v>3.6151871736498265E-3</v>
      </c>
      <c r="T8" s="1562"/>
      <c r="U8" s="1562"/>
    </row>
    <row r="9" spans="1:21">
      <c r="A9" s="1567" t="s">
        <v>1946</v>
      </c>
      <c r="B9" s="1568">
        <v>-1138853.1000000001</v>
      </c>
      <c r="C9" s="1568">
        <v>-1177419.2699999998</v>
      </c>
      <c r="D9" s="1569">
        <v>-1253141.26</v>
      </c>
      <c r="E9" s="1569">
        <v>-1189969.95</v>
      </c>
      <c r="F9" s="1569">
        <v>-1157723.6199999999</v>
      </c>
      <c r="G9" s="1568">
        <v>-1161572.2599999998</v>
      </c>
      <c r="H9" s="1568">
        <v>-1199133.53</v>
      </c>
      <c r="I9" s="1568">
        <v>-1128165.94</v>
      </c>
      <c r="J9" s="1568">
        <v>-1156718.07</v>
      </c>
      <c r="K9" s="1568">
        <v>-1172321.27</v>
      </c>
      <c r="L9" s="1570">
        <v>-1063150.1499999999</v>
      </c>
      <c r="M9" s="1570">
        <v>-1140177.02</v>
      </c>
      <c r="N9" s="1570">
        <f>SUM(B9:M9)</f>
        <v>-13938345.439999999</v>
      </c>
      <c r="O9" s="1570">
        <f>-N9*'[23]2014 A53 Division Expense'!H51</f>
        <v>1700106.6794602438</v>
      </c>
      <c r="Q9" s="1565">
        <f>'[24]2014 A53 Division Expense'!$B$47/'[24]2014 A53 Division Expense'!$B$51</f>
        <v>7.3149256790848091E-2</v>
      </c>
      <c r="R9" s="1562">
        <f>Q9*O9</f>
        <v>124361.54006767344</v>
      </c>
      <c r="S9" s="1566">
        <f>R9/N9*-1</f>
        <v>8.9222598624068422E-3</v>
      </c>
      <c r="T9" s="1562"/>
      <c r="U9" s="1562"/>
    </row>
    <row r="10" spans="1:21">
      <c r="A10" s="1571" t="s">
        <v>1947</v>
      </c>
      <c r="B10" s="1572">
        <v>-306427.06</v>
      </c>
      <c r="C10" s="1572">
        <v>-271415.67000000004</v>
      </c>
      <c r="D10" s="1572">
        <v>-304156.31</v>
      </c>
      <c r="E10" s="1572">
        <v>-290238.63</v>
      </c>
      <c r="F10" s="1572">
        <v>-301238.63</v>
      </c>
      <c r="G10" s="1572">
        <v>-294142.39</v>
      </c>
      <c r="H10" s="1572">
        <v>-310722.87</v>
      </c>
      <c r="I10" s="1572">
        <v>-281762.99</v>
      </c>
      <c r="J10" s="1572">
        <v>-296171.63</v>
      </c>
      <c r="K10" s="1572">
        <v>-300585.86</v>
      </c>
      <c r="L10" s="1573">
        <v>-275052.41000000003</v>
      </c>
      <c r="M10" s="1573">
        <v>-298444.86</v>
      </c>
      <c r="N10" s="1573">
        <f>SUM(B10:M10)</f>
        <v>-3530359.3099999996</v>
      </c>
      <c r="O10" s="1573">
        <f>-N10*'[23]2014 A53 Division Expense'!G51</f>
        <v>3530359.3099999987</v>
      </c>
      <c r="Q10" s="1565">
        <f>'[24]2014 A53 Division Expense'!$B$47/'[24]2014 A53 Division Expense'!$B$51</f>
        <v>7.3149256790848091E-2</v>
      </c>
      <c r="R10" s="1562">
        <f>Q10*O10</f>
        <v>258243.15973115119</v>
      </c>
      <c r="S10" s="1566">
        <f>R10/N10*-1</f>
        <v>7.3149256790848077E-2</v>
      </c>
      <c r="T10" s="1562"/>
      <c r="U10" s="1562"/>
    </row>
    <row r="11" spans="1:21">
      <c r="A11" s="1574"/>
      <c r="B11" s="1575">
        <f t="shared" ref="B11:M11" si="0">SUM(B7:B10)</f>
        <v>-22567780.34</v>
      </c>
      <c r="C11" s="1575">
        <f t="shared" si="0"/>
        <v>-22989335.330000002</v>
      </c>
      <c r="D11" s="1575">
        <f t="shared" si="0"/>
        <v>-20615451.630000003</v>
      </c>
      <c r="E11" s="1575">
        <f t="shared" si="0"/>
        <v>-20353322.960000001</v>
      </c>
      <c r="F11" s="1575">
        <f t="shared" si="0"/>
        <v>-19349896.98</v>
      </c>
      <c r="G11" s="1575">
        <f t="shared" si="0"/>
        <v>-19424121.700000003</v>
      </c>
      <c r="H11" s="1575">
        <f t="shared" si="0"/>
        <v>-19358597.780000005</v>
      </c>
      <c r="I11" s="1575">
        <f t="shared" si="0"/>
        <v>-18983444.640000001</v>
      </c>
      <c r="J11" s="1575">
        <f t="shared" si="0"/>
        <v>-19164674.699999999</v>
      </c>
      <c r="K11" s="1575">
        <f t="shared" si="0"/>
        <v>-19054948.449999999</v>
      </c>
      <c r="L11" s="1575">
        <f t="shared" si="0"/>
        <v>-18589582.199999996</v>
      </c>
      <c r="M11" s="1575">
        <f t="shared" si="0"/>
        <v>-18441096.839999996</v>
      </c>
      <c r="N11" s="1575">
        <f>SUM(B11:M11)</f>
        <v>-238892253.54999998</v>
      </c>
      <c r="O11" s="1575">
        <f>SUM(O8:O10)</f>
        <v>16173674.556220934</v>
      </c>
      <c r="Q11" s="1562"/>
      <c r="R11" s="1562"/>
      <c r="S11" s="1562"/>
      <c r="T11" s="1562"/>
      <c r="U11" s="1562"/>
    </row>
    <row r="12" spans="1:21">
      <c r="A12" s="1560"/>
      <c r="B12" s="1560"/>
      <c r="C12" s="1560"/>
      <c r="G12" s="1560"/>
      <c r="H12" s="1560"/>
      <c r="I12" s="1560"/>
      <c r="J12" s="1560"/>
      <c r="K12" s="1560"/>
    </row>
    <row r="14" spans="1:21">
      <c r="A14" s="1560"/>
      <c r="B14" s="1560"/>
      <c r="C14" s="1560"/>
      <c r="G14" s="1560"/>
      <c r="H14" s="1560"/>
      <c r="I14" s="1560"/>
      <c r="J14" s="1560"/>
      <c r="K14" s="1560"/>
    </row>
    <row r="15" spans="1:21">
      <c r="A15" s="1560"/>
      <c r="B15" s="1560"/>
      <c r="C15" s="1560"/>
      <c r="G15" s="1560"/>
      <c r="H15" s="1560"/>
      <c r="I15" s="1560"/>
      <c r="J15" s="1560"/>
      <c r="K15" s="1560"/>
    </row>
    <row r="16" spans="1:21">
      <c r="A16" s="1560"/>
      <c r="B16" s="1560"/>
      <c r="C16" s="1560"/>
      <c r="G16" s="1560"/>
      <c r="H16" s="1560"/>
      <c r="I16" s="1560"/>
      <c r="J16" s="1560"/>
      <c r="K16" s="1560"/>
    </row>
    <row r="18" spans="1:11" ht="12.75">
      <c r="A18" s="1576" t="s">
        <v>1948</v>
      </c>
      <c r="B18" s="1560"/>
      <c r="C18" s="1560"/>
      <c r="G18" s="1560"/>
      <c r="H18" s="1560"/>
      <c r="I18" s="1560"/>
      <c r="J18" s="1560"/>
      <c r="K18" s="1560"/>
    </row>
    <row r="19" spans="1:11" ht="15">
      <c r="A19" s="1577" t="s">
        <v>1949</v>
      </c>
      <c r="B19" s="1560"/>
      <c r="C19" s="1560"/>
      <c r="G19" s="1560"/>
      <c r="H19" s="1560"/>
      <c r="I19" s="1560"/>
      <c r="J19" s="1560"/>
      <c r="K19" s="1560"/>
    </row>
    <row r="22" spans="1:11">
      <c r="A22" s="1560"/>
      <c r="B22" s="1560"/>
      <c r="C22" s="1560"/>
      <c r="G22" s="1560"/>
      <c r="H22" s="1560"/>
      <c r="I22" s="1560"/>
      <c r="J22" s="1560"/>
      <c r="K22" s="1560"/>
    </row>
    <row r="23" spans="1:11">
      <c r="A23" s="1560"/>
      <c r="B23" s="1560"/>
      <c r="C23" s="1560"/>
      <c r="G23" s="1560"/>
      <c r="H23" s="1560"/>
      <c r="I23" s="1560"/>
      <c r="J23" s="1560"/>
      <c r="K23" s="1560"/>
    </row>
    <row r="24" spans="1:11">
      <c r="A24" s="1560"/>
      <c r="B24" s="1560"/>
      <c r="C24" s="1560"/>
      <c r="G24" s="1560"/>
      <c r="H24" s="1560"/>
      <c r="I24" s="1560"/>
      <c r="J24" s="1560"/>
      <c r="K24" s="1560"/>
    </row>
    <row r="25" spans="1:11">
      <c r="A25" s="1560"/>
      <c r="B25" s="1560"/>
      <c r="C25" s="1560"/>
      <c r="G25" s="1560"/>
      <c r="H25" s="1560"/>
      <c r="I25" s="1560"/>
      <c r="J25" s="1560"/>
      <c r="K25" s="1560"/>
    </row>
    <row r="26" spans="1:11">
      <c r="A26" s="1560"/>
      <c r="B26" s="1560"/>
      <c r="C26" s="1560"/>
      <c r="G26" s="1560"/>
      <c r="H26" s="1560"/>
      <c r="I26" s="1560"/>
      <c r="J26" s="1560"/>
      <c r="K26" s="1560"/>
    </row>
    <row r="27" spans="1:11">
      <c r="A27" s="1560"/>
      <c r="B27" s="1560"/>
      <c r="C27" s="1560"/>
      <c r="G27" s="1560"/>
      <c r="H27" s="1560"/>
      <c r="I27" s="1560"/>
      <c r="J27" s="1560"/>
      <c r="K27" s="1560"/>
    </row>
    <row r="28" spans="1:11">
      <c r="A28" s="1560"/>
      <c r="B28" s="1560"/>
      <c r="C28" s="1560"/>
      <c r="G28" s="1560"/>
      <c r="H28" s="1560"/>
      <c r="I28" s="1560"/>
      <c r="J28" s="1560"/>
      <c r="K28" s="1560"/>
    </row>
    <row r="29" spans="1:11">
      <c r="A29" s="1560"/>
      <c r="B29" s="1560"/>
      <c r="C29" s="1560"/>
      <c r="G29" s="1560"/>
      <c r="H29" s="1560"/>
      <c r="I29" s="1560"/>
      <c r="J29" s="1560"/>
      <c r="K29" s="1560"/>
    </row>
    <row r="30" spans="1:11">
      <c r="A30" s="1560"/>
      <c r="B30" s="1560"/>
      <c r="C30" s="1560"/>
      <c r="G30" s="1560"/>
      <c r="H30" s="1560"/>
      <c r="I30" s="1560"/>
      <c r="J30" s="1560"/>
      <c r="K30" s="1560"/>
    </row>
    <row r="31" spans="1:11">
      <c r="A31" s="1560"/>
      <c r="B31" s="1560"/>
      <c r="C31" s="1560"/>
      <c r="G31" s="1560"/>
      <c r="H31" s="1560"/>
      <c r="I31" s="1560"/>
      <c r="J31" s="1560"/>
      <c r="K31" s="1560"/>
    </row>
    <row r="32" spans="1:11">
      <c r="A32" s="1560"/>
      <c r="B32" s="1560"/>
      <c r="C32" s="1560"/>
      <c r="G32" s="1560"/>
      <c r="H32" s="1560"/>
      <c r="I32" s="1560"/>
      <c r="J32" s="1560"/>
      <c r="K32" s="1560"/>
    </row>
    <row r="33" spans="1:11">
      <c r="A33" s="1560"/>
      <c r="B33" s="1560"/>
      <c r="C33" s="1560"/>
      <c r="G33" s="1560"/>
      <c r="H33" s="1560"/>
      <c r="I33" s="1560"/>
      <c r="J33" s="1560"/>
      <c r="K33" s="1560"/>
    </row>
    <row r="36" spans="1:11">
      <c r="A36" s="1560"/>
      <c r="B36" s="1560"/>
      <c r="C36" s="1560"/>
      <c r="G36" s="1560"/>
      <c r="H36" s="1560"/>
      <c r="I36" s="1560"/>
      <c r="J36" s="1560"/>
      <c r="K36" s="1560"/>
    </row>
    <row r="37" spans="1:11">
      <c r="A37" s="1560"/>
      <c r="B37" s="1560"/>
      <c r="C37" s="1560"/>
      <c r="G37" s="1560"/>
      <c r="H37" s="1560"/>
      <c r="I37" s="1560"/>
      <c r="J37" s="1560"/>
      <c r="K37" s="1560"/>
    </row>
    <row r="38" spans="1:11">
      <c r="A38" s="1560"/>
      <c r="B38" s="1560"/>
      <c r="C38" s="1560"/>
      <c r="G38" s="1560"/>
      <c r="H38" s="1560"/>
      <c r="I38" s="1560"/>
      <c r="J38" s="1560"/>
      <c r="K38" s="1560"/>
    </row>
    <row r="39" spans="1:11">
      <c r="A39" s="1560"/>
      <c r="B39" s="1560"/>
      <c r="C39" s="1560"/>
      <c r="G39" s="1560"/>
      <c r="H39" s="1560"/>
      <c r="I39" s="1560"/>
      <c r="J39" s="1560"/>
      <c r="K39" s="1560"/>
    </row>
    <row r="41" spans="1:11">
      <c r="A41" s="1560"/>
      <c r="B41" s="1560"/>
      <c r="C41" s="1560"/>
      <c r="G41" s="1560"/>
      <c r="H41" s="1560"/>
      <c r="I41" s="1560"/>
      <c r="J41" s="1560"/>
      <c r="K41" s="1560"/>
    </row>
    <row r="42" spans="1:11">
      <c r="A42" s="1560"/>
      <c r="B42" s="1560"/>
      <c r="C42" s="1560"/>
      <c r="G42" s="1560"/>
      <c r="H42" s="1560"/>
      <c r="I42" s="1560"/>
      <c r="J42" s="1560"/>
      <c r="K42" s="1560"/>
    </row>
    <row r="43" spans="1:11">
      <c r="A43" s="1560"/>
      <c r="B43" s="1560"/>
      <c r="C43" s="1560"/>
      <c r="G43" s="1560"/>
      <c r="H43" s="1560"/>
      <c r="I43" s="1560"/>
      <c r="J43" s="1560"/>
      <c r="K43" s="1560"/>
    </row>
    <row r="44" spans="1:11">
      <c r="A44" s="1560"/>
      <c r="B44" s="1560"/>
      <c r="C44" s="1560"/>
      <c r="G44" s="1560"/>
      <c r="H44" s="1560"/>
      <c r="I44" s="1560"/>
      <c r="J44" s="1560"/>
      <c r="K44" s="1560"/>
    </row>
    <row r="45" spans="1:11">
      <c r="A45" s="1560"/>
      <c r="B45" s="1560"/>
      <c r="C45" s="1560"/>
      <c r="G45" s="1560"/>
      <c r="H45" s="1560"/>
      <c r="I45" s="1560"/>
      <c r="J45" s="1560"/>
      <c r="K45" s="1560"/>
    </row>
    <row r="46" spans="1:11">
      <c r="A46" s="1560"/>
      <c r="B46" s="1560"/>
      <c r="C46" s="1560"/>
      <c r="G46" s="1560"/>
      <c r="H46" s="1560"/>
      <c r="I46" s="1560"/>
      <c r="J46" s="1560"/>
      <c r="K46" s="1560"/>
    </row>
    <row r="47" spans="1:11">
      <c r="A47" s="1560"/>
      <c r="B47" s="1560"/>
      <c r="C47" s="1560"/>
      <c r="G47" s="1560"/>
      <c r="H47" s="1560"/>
      <c r="I47" s="1560"/>
      <c r="J47" s="1560"/>
      <c r="K47" s="1560"/>
    </row>
    <row r="48" spans="1:11">
      <c r="A48" s="1560"/>
      <c r="B48" s="1560"/>
      <c r="C48" s="1560"/>
      <c r="G48" s="1560"/>
      <c r="H48" s="1560"/>
      <c r="I48" s="1560"/>
      <c r="J48" s="1560"/>
      <c r="K48" s="1560"/>
    </row>
    <row r="49" spans="1:11">
      <c r="A49" s="1560"/>
      <c r="B49" s="1560"/>
      <c r="C49" s="1560"/>
      <c r="G49" s="1560"/>
      <c r="H49" s="1560"/>
      <c r="I49" s="1560"/>
      <c r="J49" s="1560"/>
      <c r="K49" s="1560"/>
    </row>
    <row r="50" spans="1:11">
      <c r="A50" s="1560"/>
      <c r="B50" s="1560"/>
      <c r="C50" s="1560"/>
      <c r="G50" s="1560"/>
      <c r="H50" s="1560"/>
      <c r="I50" s="1560"/>
      <c r="J50" s="1560"/>
      <c r="K50" s="1560"/>
    </row>
  </sheetData>
  <mergeCells count="1">
    <mergeCell ref="Q6:U6"/>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58"/>
  <sheetViews>
    <sheetView workbookViewId="0">
      <selection activeCell="N33" sqref="N33"/>
    </sheetView>
  </sheetViews>
  <sheetFormatPr defaultRowHeight="11.25"/>
  <cols>
    <col min="1" max="1" width="18" bestFit="1" customWidth="1"/>
    <col min="2" max="2" width="45.83203125" bestFit="1" customWidth="1"/>
    <col min="3" max="3" width="25.33203125" bestFit="1" customWidth="1"/>
    <col min="4" max="4" width="23.5" bestFit="1" customWidth="1"/>
    <col min="5" max="5" width="20.5" bestFit="1" customWidth="1"/>
    <col min="6" max="6" width="12.33203125" customWidth="1"/>
    <col min="7" max="7" width="2.1640625" customWidth="1"/>
    <col min="8" max="8" width="11.83203125" bestFit="1" customWidth="1"/>
    <col min="9" max="9" width="19.33203125" bestFit="1" customWidth="1"/>
    <col min="10" max="10" width="22.6640625" bestFit="1" customWidth="1"/>
    <col min="11" max="11" width="14.5" customWidth="1"/>
    <col min="12" max="12" width="29.5" bestFit="1" customWidth="1"/>
    <col min="13" max="13" width="2.6640625" customWidth="1"/>
    <col min="14" max="14" width="17" bestFit="1" customWidth="1"/>
  </cols>
  <sheetData>
    <row r="1" spans="1:15" ht="12.75">
      <c r="A1" s="1578" t="s">
        <v>1950</v>
      </c>
      <c r="B1" s="1529"/>
      <c r="C1" s="1033"/>
      <c r="H1" s="729"/>
      <c r="I1" s="1529"/>
      <c r="J1" s="1529"/>
      <c r="K1" s="1529"/>
    </row>
    <row r="2" spans="1:15" ht="12.75">
      <c r="A2" s="1579"/>
      <c r="B2" s="1580"/>
      <c r="C2" s="1581" t="s">
        <v>1896</v>
      </c>
      <c r="D2" s="1582" t="s">
        <v>1892</v>
      </c>
      <c r="E2" s="1582" t="s">
        <v>1891</v>
      </c>
      <c r="H2" s="1583" t="s">
        <v>1890</v>
      </c>
      <c r="I2" s="1584" t="s">
        <v>1836</v>
      </c>
      <c r="J2" s="1584" t="s">
        <v>1951</v>
      </c>
      <c r="K2" s="1584" t="s">
        <v>488</v>
      </c>
      <c r="L2" s="1584" t="s">
        <v>1952</v>
      </c>
    </row>
    <row r="3" spans="1:15" ht="12.75">
      <c r="A3" s="1585"/>
      <c r="B3" s="1586"/>
      <c r="C3" s="1139"/>
      <c r="D3" s="1587"/>
      <c r="E3" s="1139"/>
      <c r="H3" s="1588">
        <v>4176</v>
      </c>
      <c r="I3" s="1589">
        <v>5.7188062497222199E-2</v>
      </c>
      <c r="J3" s="1590">
        <v>7.0757504946380298E-3</v>
      </c>
      <c r="K3" s="1590">
        <v>2.8257060159725999E-3</v>
      </c>
      <c r="L3" s="1216">
        <f>-(($C$4*K3)+($D$4*J3)+($E$4*I3))</f>
        <v>844159.46750953374</v>
      </c>
    </row>
    <row r="4" spans="1:15" ht="12.75">
      <c r="A4" s="1585" t="s">
        <v>1943</v>
      </c>
      <c r="B4" s="1591" t="s">
        <v>1943</v>
      </c>
      <c r="C4" s="1592">
        <f>-SUM(C8:C126)</f>
        <v>-203087880.49000001</v>
      </c>
      <c r="D4" s="1593">
        <f>-SUM(D8:D125)</f>
        <v>-13097583.959999999</v>
      </c>
      <c r="E4" s="1592">
        <f>-SUM(E8:E125)</f>
        <v>-3105850.73</v>
      </c>
      <c r="F4" s="1426"/>
      <c r="H4" s="729"/>
      <c r="I4" s="1544"/>
      <c r="J4" s="1544"/>
      <c r="K4" s="1544"/>
      <c r="L4" s="1216"/>
    </row>
    <row r="5" spans="1:15" ht="12.75">
      <c r="A5" s="1585"/>
      <c r="B5" s="1594" t="s">
        <v>1953</v>
      </c>
      <c r="C5" s="1595">
        <f>C6</f>
        <v>-156433931.68873474</v>
      </c>
      <c r="D5" s="1595">
        <f>D6</f>
        <v>-7772383.8615381839</v>
      </c>
      <c r="E5" s="1595">
        <f>E6-E25</f>
        <v>-2504678.4397615548</v>
      </c>
      <c r="H5" s="729"/>
      <c r="I5" s="1544"/>
      <c r="J5" s="1544"/>
      <c r="K5" s="1544"/>
      <c r="L5" s="1216"/>
    </row>
    <row r="6" spans="1:15" ht="12.75">
      <c r="A6" s="1585"/>
      <c r="B6" s="1594" t="s">
        <v>1954</v>
      </c>
      <c r="C6" s="1596">
        <f>+C4+C130+C131+C132</f>
        <v>-156433931.68873474</v>
      </c>
      <c r="D6" s="1597">
        <f>+D4+D130+D131+D132</f>
        <v>-7772383.8615381839</v>
      </c>
      <c r="E6" s="1598">
        <f>+E4+E130+E131+E132</f>
        <v>-2449774.9997615549</v>
      </c>
      <c r="H6" s="729"/>
      <c r="I6" s="1599">
        <f>-E$6*I3</f>
        <v>140097.88579049631</v>
      </c>
      <c r="J6" s="1599">
        <f>-D$6*J3</f>
        <v>54995.448952795443</v>
      </c>
      <c r="K6" s="1599">
        <f>-C$6*K3</f>
        <v>442036.30187510449</v>
      </c>
      <c r="L6" s="1216">
        <f>SUM(I6:K6)</f>
        <v>637129.63661839627</v>
      </c>
    </row>
    <row r="7" spans="1:15" ht="12.75">
      <c r="A7" s="1585"/>
      <c r="B7" s="1600"/>
      <c r="C7" s="1601"/>
      <c r="D7" s="1602"/>
      <c r="E7" s="1602"/>
      <c r="H7" s="729"/>
      <c r="I7" s="1580"/>
      <c r="J7" s="1580"/>
      <c r="K7" s="1580"/>
      <c r="L7" s="1603"/>
    </row>
    <row r="8" spans="1:15" ht="12.75">
      <c r="A8" s="1529" t="s">
        <v>1955</v>
      </c>
      <c r="B8" s="1585" t="s">
        <v>1956</v>
      </c>
      <c r="C8" s="1604">
        <v>-14220297.189999999</v>
      </c>
      <c r="D8" s="1604" t="s">
        <v>1957</v>
      </c>
      <c r="E8" s="1604" t="s">
        <v>1957</v>
      </c>
      <c r="I8" s="1605" t="s">
        <v>1958</v>
      </c>
      <c r="J8" s="1580"/>
      <c r="K8" s="1580"/>
      <c r="L8" s="1606">
        <f>+L3-L6</f>
        <v>207029.83089113748</v>
      </c>
      <c r="N8" s="1603"/>
    </row>
    <row r="9" spans="1:15" ht="12.75">
      <c r="A9" s="1529" t="s">
        <v>1959</v>
      </c>
      <c r="B9" s="1585" t="s">
        <v>1960</v>
      </c>
      <c r="C9" s="1604">
        <v>-67606011</v>
      </c>
      <c r="D9" s="1604" t="s">
        <v>1957</v>
      </c>
      <c r="E9" s="1604" t="s">
        <v>1957</v>
      </c>
      <c r="L9" s="1607"/>
    </row>
    <row r="10" spans="1:15" ht="12.75">
      <c r="A10" s="1529" t="s">
        <v>1961</v>
      </c>
      <c r="B10" s="1585" t="s">
        <v>1962</v>
      </c>
      <c r="C10" s="1604">
        <v>-7065918.2300000004</v>
      </c>
      <c r="D10" s="1604" t="s">
        <v>1957</v>
      </c>
      <c r="E10" s="1604" t="s">
        <v>1957</v>
      </c>
      <c r="L10" s="1607"/>
    </row>
    <row r="11" spans="1:15" ht="12.75">
      <c r="A11" s="1529" t="s">
        <v>1963</v>
      </c>
      <c r="B11" s="1585" t="s">
        <v>1964</v>
      </c>
      <c r="C11" s="1604">
        <v>6085970.25</v>
      </c>
      <c r="D11" s="1604" t="s">
        <v>1957</v>
      </c>
      <c r="E11" s="1604" t="s">
        <v>1957</v>
      </c>
      <c r="J11" s="1587"/>
    </row>
    <row r="12" spans="1:15" ht="13.5" thickBot="1">
      <c r="A12" s="1529" t="s">
        <v>1965</v>
      </c>
      <c r="B12" s="1585" t="s">
        <v>1966</v>
      </c>
      <c r="C12" s="1604">
        <v>0</v>
      </c>
      <c r="D12" s="1604" t="s">
        <v>1957</v>
      </c>
      <c r="E12" s="1604" t="s">
        <v>1957</v>
      </c>
    </row>
    <row r="13" spans="1:15" ht="12.75">
      <c r="A13" s="1529" t="s">
        <v>1967</v>
      </c>
      <c r="B13" s="1529" t="s">
        <v>1968</v>
      </c>
      <c r="C13" s="1604">
        <v>13574054.219999999</v>
      </c>
      <c r="D13" s="1604" t="s">
        <v>1957</v>
      </c>
      <c r="E13" s="1604" t="s">
        <v>1957</v>
      </c>
      <c r="G13" s="1608"/>
      <c r="H13" s="1609"/>
      <c r="I13" s="1609"/>
      <c r="J13" s="1609"/>
      <c r="K13" s="1609"/>
      <c r="L13" s="1609"/>
      <c r="M13" s="1610"/>
    </row>
    <row r="14" spans="1:15" ht="12.75">
      <c r="A14" s="1529" t="s">
        <v>1969</v>
      </c>
      <c r="B14" s="1585" t="s">
        <v>1970</v>
      </c>
      <c r="C14" s="1604">
        <v>59345003</v>
      </c>
      <c r="D14" s="1604" t="s">
        <v>1957</v>
      </c>
      <c r="E14" s="1604" t="s">
        <v>1957</v>
      </c>
      <c r="F14" s="1139"/>
      <c r="G14" s="1611"/>
      <c r="H14" s="1612" t="s">
        <v>1890</v>
      </c>
      <c r="I14" s="1613" t="s">
        <v>1836</v>
      </c>
      <c r="J14" s="1613" t="s">
        <v>1951</v>
      </c>
      <c r="K14" s="1613" t="s">
        <v>488</v>
      </c>
      <c r="L14" s="1613" t="s">
        <v>1952</v>
      </c>
      <c r="M14" s="1614"/>
    </row>
    <row r="15" spans="1:15" ht="12.75">
      <c r="A15" s="1529" t="s">
        <v>1971</v>
      </c>
      <c r="B15" s="1585" t="s">
        <v>1246</v>
      </c>
      <c r="C15" s="1599">
        <v>29801</v>
      </c>
      <c r="D15" s="1615" t="s">
        <v>1957</v>
      </c>
      <c r="E15" s="1615" t="s">
        <v>1957</v>
      </c>
      <c r="G15" s="1611"/>
      <c r="H15" s="1616">
        <v>4197</v>
      </c>
      <c r="I15" s="1617">
        <f>'[24]Essbase Mgmt Fee'!C34</f>
        <v>3.7937031289958414E-2</v>
      </c>
      <c r="J15" s="1617">
        <f>I15*(J3/I3)</f>
        <v>4.6938636525421769E-3</v>
      </c>
      <c r="K15" s="1617">
        <f>I15*(K3/I3)</f>
        <v>1.8744978036173761E-3</v>
      </c>
      <c r="L15" s="1618">
        <f>'[24]Essbase Mgmt Fee'!B34</f>
        <v>480567.54</v>
      </c>
      <c r="M15" s="1614"/>
    </row>
    <row r="16" spans="1:15" ht="14.25">
      <c r="A16" s="1529" t="s">
        <v>1972</v>
      </c>
      <c r="B16" s="1585" t="s">
        <v>1270</v>
      </c>
      <c r="C16" s="1599">
        <v>30743</v>
      </c>
      <c r="D16" s="1615" t="s">
        <v>1957</v>
      </c>
      <c r="E16" s="1615" t="s">
        <v>1957</v>
      </c>
      <c r="G16" s="1611"/>
      <c r="H16" s="1619" t="s">
        <v>1973</v>
      </c>
      <c r="I16" s="1597">
        <f>-I15*E5</f>
        <v>95020.064340518322</v>
      </c>
      <c r="J16" s="1597">
        <f>-J15*D5</f>
        <v>36482.510101279491</v>
      </c>
      <c r="K16" s="1597">
        <f>-K15*C5</f>
        <v>293235.06136176392</v>
      </c>
      <c r="L16" s="1620">
        <f>SUM(I16:K16)</f>
        <v>424737.63580356172</v>
      </c>
      <c r="M16" s="1614"/>
      <c r="N16" s="1621">
        <f>+L16-L15</f>
        <v>-55829.904196438263</v>
      </c>
      <c r="O16" s="507" t="s">
        <v>1974</v>
      </c>
    </row>
    <row r="17" spans="1:15" ht="14.25">
      <c r="A17" s="1529" t="s">
        <v>1975</v>
      </c>
      <c r="B17" s="1585" t="s">
        <v>1277</v>
      </c>
      <c r="C17" s="1599">
        <v>7812</v>
      </c>
      <c r="D17" s="1615" t="s">
        <v>1957</v>
      </c>
      <c r="E17" s="1615" t="s">
        <v>1957</v>
      </c>
      <c r="G17" s="1611"/>
      <c r="H17" s="1619" t="s">
        <v>1976</v>
      </c>
      <c r="I17" s="1622">
        <f>-E$6*I15</f>
        <v>92937.190819311974</v>
      </c>
      <c r="J17" s="1622">
        <f>-D$6*J15</f>
        <v>36482.510101279491</v>
      </c>
      <c r="K17" s="1622">
        <f>-C$6*K15</f>
        <v>293235.06136176392</v>
      </c>
      <c r="L17" s="1623">
        <f>SUM(I17:K17)</f>
        <v>422654.7622823554</v>
      </c>
      <c r="M17" s="1614"/>
      <c r="N17" s="1624"/>
    </row>
    <row r="18" spans="1:15" ht="14.25">
      <c r="A18" s="1529" t="s">
        <v>1977</v>
      </c>
      <c r="B18" s="1625" t="s">
        <v>1279</v>
      </c>
      <c r="C18" s="1604">
        <v>1296000</v>
      </c>
      <c r="D18" s="1626" t="s">
        <v>1957</v>
      </c>
      <c r="E18" s="1626" t="s">
        <v>1957</v>
      </c>
      <c r="G18" s="1611"/>
      <c r="H18" s="1619"/>
      <c r="I18" s="1619"/>
      <c r="J18" s="1619"/>
      <c r="K18" s="1619"/>
      <c r="L18" s="1619"/>
      <c r="M18" s="1614"/>
      <c r="N18" s="1624"/>
    </row>
    <row r="19" spans="1:15" ht="14.25">
      <c r="A19" s="1529" t="s">
        <v>1978</v>
      </c>
      <c r="B19" s="1585" t="s">
        <v>1281</v>
      </c>
      <c r="C19" s="1599">
        <v>375548</v>
      </c>
      <c r="D19" s="1615">
        <v>5012.88</v>
      </c>
      <c r="E19" s="1615" t="s">
        <v>1957</v>
      </c>
      <c r="G19" s="1611"/>
      <c r="H19" s="1619"/>
      <c r="I19" s="1627" t="str">
        <f>+I8</f>
        <v xml:space="preserve">Total Mgmt fee disallowed by staff </v>
      </c>
      <c r="J19" s="1619"/>
      <c r="K19" s="1619"/>
      <c r="L19" s="1606">
        <f>+L15-L17</f>
        <v>57912.777717644582</v>
      </c>
      <c r="M19" s="1614"/>
      <c r="N19" s="1621">
        <f>-L19</f>
        <v>-57912.777717644582</v>
      </c>
      <c r="O19" s="507" t="s">
        <v>1979</v>
      </c>
    </row>
    <row r="20" spans="1:15" ht="15" thickBot="1">
      <c r="A20" s="1529" t="s">
        <v>1980</v>
      </c>
      <c r="B20" s="1585" t="s">
        <v>1981</v>
      </c>
      <c r="C20" s="1599">
        <v>649585</v>
      </c>
      <c r="D20" s="1615">
        <v>32666.520000000004</v>
      </c>
      <c r="E20" s="1615">
        <v>1709.3999999999999</v>
      </c>
      <c r="G20" s="1628"/>
      <c r="H20" s="1629"/>
      <c r="I20" s="1629"/>
      <c r="J20" s="1629"/>
      <c r="K20" s="1629"/>
      <c r="L20" s="1629"/>
      <c r="M20" s="1630"/>
      <c r="N20" s="1624"/>
    </row>
    <row r="21" spans="1:15" ht="14.25">
      <c r="A21" s="1529" t="s">
        <v>1982</v>
      </c>
      <c r="B21" s="1585" t="s">
        <v>1282</v>
      </c>
      <c r="C21" s="1599">
        <v>17140779</v>
      </c>
      <c r="D21" s="1615">
        <v>1102.1300000000001</v>
      </c>
      <c r="E21" s="1615" t="s">
        <v>1957</v>
      </c>
      <c r="L21" s="1603"/>
      <c r="N21" s="1621">
        <f>+N19-N16</f>
        <v>-2082.8735212063184</v>
      </c>
      <c r="O21" s="507" t="s">
        <v>1983</v>
      </c>
    </row>
    <row r="22" spans="1:15" ht="12.75">
      <c r="A22" s="1529" t="s">
        <v>1984</v>
      </c>
      <c r="B22" s="1625" t="s">
        <v>1985</v>
      </c>
      <c r="C22" s="1604">
        <v>1289896</v>
      </c>
      <c r="D22" s="1626" t="s">
        <v>1957</v>
      </c>
      <c r="E22" s="1626" t="s">
        <v>1957</v>
      </c>
    </row>
    <row r="23" spans="1:15" ht="12.75">
      <c r="A23" s="1529" t="s">
        <v>1986</v>
      </c>
      <c r="B23" s="1625" t="s">
        <v>1987</v>
      </c>
      <c r="C23" s="1604">
        <v>3505167</v>
      </c>
      <c r="D23" s="1626" t="s">
        <v>1957</v>
      </c>
      <c r="E23" s="1626" t="s">
        <v>1957</v>
      </c>
    </row>
    <row r="24" spans="1:15" ht="12.75">
      <c r="A24" s="1529" t="s">
        <v>1988</v>
      </c>
      <c r="B24" s="1631" t="s">
        <v>1989</v>
      </c>
      <c r="C24" s="1604">
        <v>3692</v>
      </c>
      <c r="D24" s="1626" t="s">
        <v>1957</v>
      </c>
      <c r="E24" s="1632" t="s">
        <v>1957</v>
      </c>
    </row>
    <row r="25" spans="1:15" ht="18">
      <c r="A25" s="1529" t="s">
        <v>1990</v>
      </c>
      <c r="B25" s="1625" t="s">
        <v>1991</v>
      </c>
      <c r="C25" s="1633">
        <v>0</v>
      </c>
      <c r="D25" s="1626" t="s">
        <v>1957</v>
      </c>
      <c r="E25" s="1634">
        <v>54903.44</v>
      </c>
      <c r="F25" s="507" t="s">
        <v>1992</v>
      </c>
    </row>
    <row r="26" spans="1:15">
      <c r="A26" s="1529" t="s">
        <v>1993</v>
      </c>
      <c r="B26" s="1631" t="s">
        <v>1291</v>
      </c>
      <c r="C26" s="1635">
        <v>0</v>
      </c>
      <c r="D26" s="1636" t="s">
        <v>1957</v>
      </c>
      <c r="E26" s="1636">
        <v>87108.46</v>
      </c>
    </row>
    <row r="27" spans="1:15" ht="13.5" thickBot="1">
      <c r="A27" s="1529" t="s">
        <v>1994</v>
      </c>
      <c r="B27" s="1585" t="s">
        <v>1995</v>
      </c>
      <c r="C27" s="1599">
        <v>779854</v>
      </c>
      <c r="D27" s="1615" t="s">
        <v>1957</v>
      </c>
      <c r="E27" s="1615" t="s">
        <v>1957</v>
      </c>
    </row>
    <row r="28" spans="1:15" ht="12.75">
      <c r="A28" s="1529" t="s">
        <v>1996</v>
      </c>
      <c r="B28" s="1585" t="s">
        <v>1997</v>
      </c>
      <c r="C28" s="1599">
        <v>66038</v>
      </c>
      <c r="D28" s="1615" t="s">
        <v>1957</v>
      </c>
      <c r="E28" s="1615" t="s">
        <v>1957</v>
      </c>
      <c r="G28" s="1608"/>
      <c r="H28" s="1609"/>
      <c r="I28" s="1609"/>
      <c r="J28" s="1609"/>
      <c r="K28" s="1609"/>
      <c r="L28" s="1609"/>
      <c r="M28" s="1610"/>
    </row>
    <row r="29" spans="1:15" ht="12.75">
      <c r="A29" s="1529" t="s">
        <v>1998</v>
      </c>
      <c r="B29" s="1625" t="s">
        <v>1294</v>
      </c>
      <c r="C29" s="1604">
        <v>712446</v>
      </c>
      <c r="D29" s="1626" t="s">
        <v>1957</v>
      </c>
      <c r="E29" s="1626">
        <v>12855.119999999999</v>
      </c>
      <c r="G29" s="1611"/>
      <c r="H29" s="1612" t="s">
        <v>1890</v>
      </c>
      <c r="I29" s="1613" t="s">
        <v>1836</v>
      </c>
      <c r="J29" s="1613" t="s">
        <v>1951</v>
      </c>
      <c r="K29" s="1613" t="s">
        <v>488</v>
      </c>
      <c r="L29" s="1613" t="s">
        <v>1952</v>
      </c>
      <c r="M29" s="1614"/>
    </row>
    <row r="30" spans="1:15" ht="12.75">
      <c r="A30" s="1529" t="s">
        <v>1999</v>
      </c>
      <c r="B30" s="1625" t="s">
        <v>1295</v>
      </c>
      <c r="C30" s="1604">
        <v>2442486</v>
      </c>
      <c r="D30" s="1626" t="s">
        <v>1957</v>
      </c>
      <c r="E30" s="1626" t="s">
        <v>1957</v>
      </c>
      <c r="G30" s="1611"/>
      <c r="H30" s="1616">
        <v>4172</v>
      </c>
      <c r="I30" s="1617">
        <f>+'[24]Essbase Mgmt Fee'!C33</f>
        <v>8.1674482553220865E-2</v>
      </c>
      <c r="J30" s="1617">
        <f>I30*(J15/I15)</f>
        <v>1.0105400237214341E-2</v>
      </c>
      <c r="K30" s="1617">
        <f>I30*(K15/I15)</f>
        <v>4.0355988054901395E-3</v>
      </c>
      <c r="L30" s="1618">
        <f>+'[24]Essbase Mgmt Fee'!B33</f>
        <v>1034611.93</v>
      </c>
      <c r="M30" s="1614"/>
    </row>
    <row r="31" spans="1:15" ht="12.75">
      <c r="A31" s="1529" t="s">
        <v>2000</v>
      </c>
      <c r="B31" s="1625" t="s">
        <v>1296</v>
      </c>
      <c r="C31" s="1604">
        <v>427339</v>
      </c>
      <c r="D31" s="1626" t="s">
        <v>1957</v>
      </c>
      <c r="E31" s="1626">
        <v>15326.51</v>
      </c>
      <c r="G31" s="1611"/>
      <c r="H31" s="1619"/>
      <c r="I31" s="1597"/>
      <c r="J31" s="1620"/>
      <c r="K31" s="1620"/>
      <c r="L31" s="1620"/>
      <c r="M31" s="1614"/>
    </row>
    <row r="32" spans="1:15" ht="12.75">
      <c r="A32" s="1529" t="s">
        <v>2001</v>
      </c>
      <c r="B32" s="1625" t="s">
        <v>1300</v>
      </c>
      <c r="C32" s="1604">
        <v>624404</v>
      </c>
      <c r="D32" s="1626" t="s">
        <v>1957</v>
      </c>
      <c r="E32" s="1626">
        <v>21951.89</v>
      </c>
      <c r="G32" s="1611"/>
      <c r="H32" s="1619" t="s">
        <v>1973</v>
      </c>
      <c r="I32" s="1622">
        <f>-E$6*I30</f>
        <v>200084.10547734177</v>
      </c>
      <c r="J32" s="1622">
        <f>-D$6*J30</f>
        <v>78543.049718108872</v>
      </c>
      <c r="K32" s="1622">
        <f>-C$6*K30</f>
        <v>631304.58786118403</v>
      </c>
      <c r="L32" s="1623">
        <f>SUM(I32:K32)</f>
        <v>909931.74305663467</v>
      </c>
      <c r="M32" s="1614"/>
    </row>
    <row r="33" spans="1:13" ht="12.75">
      <c r="A33" s="1529" t="s">
        <v>2002</v>
      </c>
      <c r="B33" s="1625" t="s">
        <v>1301</v>
      </c>
      <c r="C33" s="1604">
        <v>193687</v>
      </c>
      <c r="D33" s="1626" t="s">
        <v>1957</v>
      </c>
      <c r="E33" s="1626">
        <v>1420.0899999999997</v>
      </c>
      <c r="G33" s="1611"/>
      <c r="H33" s="1619"/>
      <c r="I33" s="1619"/>
      <c r="J33" s="1619"/>
      <c r="K33" s="1619"/>
      <c r="L33" s="1619"/>
      <c r="M33" s="1614"/>
    </row>
    <row r="34" spans="1:13" ht="12.75">
      <c r="A34" s="1529" t="s">
        <v>2003</v>
      </c>
      <c r="B34" s="1631" t="s">
        <v>1302</v>
      </c>
      <c r="C34" s="1604">
        <v>3180</v>
      </c>
      <c r="D34" s="1626" t="s">
        <v>1957</v>
      </c>
      <c r="E34" s="1626">
        <v>6000</v>
      </c>
      <c r="G34" s="1611"/>
      <c r="H34" s="1619"/>
      <c r="I34" s="1627">
        <f>+I23</f>
        <v>0</v>
      </c>
      <c r="J34" s="1619"/>
      <c r="K34" s="1619"/>
      <c r="L34" s="1606">
        <f>+L30-L32</f>
        <v>124680.18694336538</v>
      </c>
      <c r="M34" s="1614"/>
    </row>
    <row r="35" spans="1:13" ht="13.5" thickBot="1">
      <c r="A35" s="1529" t="s">
        <v>2004</v>
      </c>
      <c r="B35" s="1625" t="s">
        <v>1303</v>
      </c>
      <c r="C35" s="1604">
        <v>845463</v>
      </c>
      <c r="D35" s="1626" t="s">
        <v>1957</v>
      </c>
      <c r="E35" s="1626">
        <v>3810</v>
      </c>
      <c r="G35" s="1628"/>
      <c r="H35" s="1629"/>
      <c r="I35" s="1629"/>
      <c r="J35" s="1629"/>
      <c r="K35" s="1629"/>
      <c r="L35" s="1629"/>
      <c r="M35" s="1630"/>
    </row>
    <row r="36" spans="1:13" ht="12.75">
      <c r="A36" s="1529" t="s">
        <v>2005</v>
      </c>
      <c r="B36" s="1631" t="s">
        <v>2006</v>
      </c>
      <c r="C36" s="1604">
        <v>0</v>
      </c>
      <c r="D36" s="1626" t="s">
        <v>1957</v>
      </c>
      <c r="E36" s="1626">
        <v>37838.799999999996</v>
      </c>
      <c r="L36" s="1603"/>
    </row>
    <row r="37" spans="1:13" ht="12.75">
      <c r="A37" s="1529" t="s">
        <v>2007</v>
      </c>
      <c r="B37" s="1625" t="s">
        <v>1304</v>
      </c>
      <c r="C37" s="1604">
        <v>176109</v>
      </c>
      <c r="D37" s="1626" t="s">
        <v>1957</v>
      </c>
      <c r="E37" s="1626">
        <v>5940</v>
      </c>
    </row>
    <row r="38" spans="1:13" ht="12.75">
      <c r="A38" s="1529" t="s">
        <v>2008</v>
      </c>
      <c r="B38" s="1625" t="s">
        <v>1305</v>
      </c>
      <c r="C38" s="1604">
        <v>16536</v>
      </c>
      <c r="D38" s="1626" t="s">
        <v>1957</v>
      </c>
      <c r="E38" s="1626" t="s">
        <v>1957</v>
      </c>
    </row>
    <row r="39" spans="1:13" ht="12.75">
      <c r="A39" s="1529" t="s">
        <v>2009</v>
      </c>
      <c r="B39" s="1625" t="s">
        <v>2010</v>
      </c>
      <c r="C39" s="1604">
        <v>9564</v>
      </c>
      <c r="D39" s="1626" t="s">
        <v>1957</v>
      </c>
      <c r="E39" s="1626" t="s">
        <v>1957</v>
      </c>
    </row>
    <row r="40" spans="1:13" ht="12.75">
      <c r="A40" s="1529" t="s">
        <v>2011</v>
      </c>
      <c r="B40" s="1625" t="s">
        <v>1306</v>
      </c>
      <c r="C40" s="1604">
        <v>1692</v>
      </c>
      <c r="D40" s="1626" t="s">
        <v>1957</v>
      </c>
      <c r="E40" s="1626" t="s">
        <v>1957</v>
      </c>
    </row>
    <row r="41" spans="1:13" ht="12.75">
      <c r="A41" s="1529" t="s">
        <v>2012</v>
      </c>
      <c r="B41" s="1625" t="s">
        <v>1307</v>
      </c>
      <c r="C41" s="1604">
        <v>16440</v>
      </c>
      <c r="D41" s="1626" t="s">
        <v>1957</v>
      </c>
      <c r="E41" s="1626" t="s">
        <v>1957</v>
      </c>
    </row>
    <row r="42" spans="1:13" ht="12.75">
      <c r="A42" s="1529" t="s">
        <v>2013</v>
      </c>
      <c r="B42" s="1625" t="s">
        <v>1309</v>
      </c>
      <c r="C42" s="1604">
        <v>2652</v>
      </c>
      <c r="D42" s="1626" t="s">
        <v>1957</v>
      </c>
      <c r="E42" s="1626" t="s">
        <v>1957</v>
      </c>
    </row>
    <row r="43" spans="1:13" ht="12.75">
      <c r="A43" s="1529" t="s">
        <v>2014</v>
      </c>
      <c r="B43" s="1625" t="s">
        <v>2015</v>
      </c>
      <c r="C43" s="1604">
        <v>453176</v>
      </c>
      <c r="D43" s="1626" t="s">
        <v>1957</v>
      </c>
      <c r="E43" s="1626" t="s">
        <v>1957</v>
      </c>
    </row>
    <row r="44" spans="1:13" ht="12.75">
      <c r="A44" s="1529" t="s">
        <v>2016</v>
      </c>
      <c r="B44" s="1585" t="s">
        <v>1008</v>
      </c>
      <c r="C44" s="1599">
        <v>500000</v>
      </c>
      <c r="D44" s="1615">
        <v>4240016.84</v>
      </c>
      <c r="E44" s="1615">
        <v>1292240.57</v>
      </c>
    </row>
    <row r="45" spans="1:13" ht="12.75">
      <c r="A45" s="1529" t="s">
        <v>2017</v>
      </c>
      <c r="B45" s="1585" t="s">
        <v>2018</v>
      </c>
      <c r="C45" s="1599">
        <v>36661063</v>
      </c>
      <c r="D45" s="1615" t="s">
        <v>1957</v>
      </c>
      <c r="E45" s="1615" t="s">
        <v>1957</v>
      </c>
    </row>
    <row r="46" spans="1:13" ht="12.75">
      <c r="A46" s="1529" t="s">
        <v>2019</v>
      </c>
      <c r="B46" s="1585" t="s">
        <v>2020</v>
      </c>
      <c r="C46" s="1599">
        <v>0</v>
      </c>
      <c r="D46" s="1615" t="s">
        <v>1957</v>
      </c>
      <c r="E46" s="1615" t="s">
        <v>1957</v>
      </c>
    </row>
    <row r="47" spans="1:13" ht="12.75">
      <c r="A47" s="1529" t="s">
        <v>2021</v>
      </c>
      <c r="B47" s="1585" t="s">
        <v>1311</v>
      </c>
      <c r="C47" s="1599">
        <v>8000</v>
      </c>
      <c r="D47" s="1615" t="s">
        <v>1957</v>
      </c>
      <c r="E47" s="1615">
        <v>273741.57999999996</v>
      </c>
    </row>
    <row r="48" spans="1:13" ht="12.75">
      <c r="A48" s="1529" t="s">
        <v>2022</v>
      </c>
      <c r="B48" s="1585" t="s">
        <v>2023</v>
      </c>
      <c r="C48" s="1599">
        <v>23407375</v>
      </c>
      <c r="D48" s="1615" t="s">
        <v>1957</v>
      </c>
      <c r="E48" s="1615" t="s">
        <v>1957</v>
      </c>
    </row>
    <row r="49" spans="1:5" ht="12.75">
      <c r="A49" s="1529" t="s">
        <v>2024</v>
      </c>
      <c r="B49" s="1585" t="s">
        <v>2025</v>
      </c>
      <c r="C49" s="1599">
        <v>274463</v>
      </c>
      <c r="D49" s="1615" t="s">
        <v>1957</v>
      </c>
      <c r="E49" s="1615" t="s">
        <v>1957</v>
      </c>
    </row>
    <row r="50" spans="1:5" ht="12.75">
      <c r="A50" s="1529" t="s">
        <v>2026</v>
      </c>
      <c r="B50" s="1585" t="s">
        <v>2027</v>
      </c>
      <c r="C50" s="1599">
        <v>0</v>
      </c>
      <c r="D50" s="1615" t="s">
        <v>1957</v>
      </c>
      <c r="E50" s="1615" t="s">
        <v>1957</v>
      </c>
    </row>
    <row r="51" spans="1:5" ht="12.75">
      <c r="A51" s="1529" t="s">
        <v>2028</v>
      </c>
      <c r="B51" s="1585" t="s">
        <v>1312</v>
      </c>
      <c r="C51" s="1599">
        <v>220000</v>
      </c>
      <c r="D51" s="1615">
        <v>36000</v>
      </c>
      <c r="E51" s="1615">
        <v>4500</v>
      </c>
    </row>
    <row r="52" spans="1:5" ht="12.75">
      <c r="A52" s="1529" t="s">
        <v>2029</v>
      </c>
      <c r="B52" s="1625" t="s">
        <v>1313</v>
      </c>
      <c r="C52" s="1604">
        <v>1486752</v>
      </c>
      <c r="D52" s="1626" t="s">
        <v>1957</v>
      </c>
      <c r="E52" s="1626" t="s">
        <v>1957</v>
      </c>
    </row>
    <row r="53" spans="1:5" ht="12.75">
      <c r="A53" s="1529" t="s">
        <v>2030</v>
      </c>
      <c r="B53" s="1625" t="s">
        <v>1009</v>
      </c>
      <c r="C53" s="1604">
        <v>16953849</v>
      </c>
      <c r="D53" s="1604">
        <v>1835640.48</v>
      </c>
      <c r="E53" s="1604">
        <v>411687</v>
      </c>
    </row>
    <row r="54" spans="1:5" ht="12.75">
      <c r="A54" s="1529" t="s">
        <v>2031</v>
      </c>
      <c r="B54" s="1585" t="s">
        <v>2032</v>
      </c>
      <c r="C54" s="1599">
        <v>6433080</v>
      </c>
      <c r="D54" s="1615">
        <v>1352304</v>
      </c>
      <c r="E54" s="1615" t="s">
        <v>1957</v>
      </c>
    </row>
    <row r="55" spans="1:5" ht="12.75">
      <c r="A55" s="1529" t="s">
        <v>2033</v>
      </c>
      <c r="B55" s="1585" t="s">
        <v>2034</v>
      </c>
      <c r="C55" s="1604">
        <v>5760446</v>
      </c>
      <c r="D55" s="1604">
        <v>3233160</v>
      </c>
      <c r="E55" s="1626" t="s">
        <v>1957</v>
      </c>
    </row>
    <row r="56" spans="1:5" ht="12.75">
      <c r="A56" s="1529" t="s">
        <v>2035</v>
      </c>
      <c r="B56" s="1585" t="s">
        <v>2036</v>
      </c>
      <c r="C56" s="1604">
        <v>5254601</v>
      </c>
      <c r="D56" s="1626" t="s">
        <v>1957</v>
      </c>
      <c r="E56" s="1626" t="s">
        <v>1957</v>
      </c>
    </row>
    <row r="57" spans="1:5" ht="12.75">
      <c r="A57" s="1529" t="s">
        <v>2037</v>
      </c>
      <c r="B57" s="1585" t="s">
        <v>2038</v>
      </c>
      <c r="C57" s="1599">
        <v>1145000</v>
      </c>
      <c r="D57" s="1615" t="s">
        <v>1957</v>
      </c>
      <c r="E57" s="1615" t="s">
        <v>1957</v>
      </c>
    </row>
    <row r="58" spans="1:5" ht="12.75">
      <c r="A58" s="1529" t="s">
        <v>2039</v>
      </c>
      <c r="B58" s="1585" t="s">
        <v>1314</v>
      </c>
      <c r="C58" s="1637">
        <v>4376625</v>
      </c>
      <c r="D58" s="1638">
        <v>278000</v>
      </c>
      <c r="E58" s="1638">
        <v>148982.17000000001</v>
      </c>
    </row>
    <row r="59" spans="1:5" ht="12.75">
      <c r="A59" s="1529" t="s">
        <v>2040</v>
      </c>
      <c r="B59" s="1585" t="s">
        <v>2041</v>
      </c>
      <c r="C59" s="1599">
        <v>0</v>
      </c>
      <c r="D59" s="1615" t="s">
        <v>1957</v>
      </c>
      <c r="E59" s="1615" t="s">
        <v>1957</v>
      </c>
    </row>
    <row r="60" spans="1:5" ht="12.75">
      <c r="A60" s="1529" t="s">
        <v>2042</v>
      </c>
      <c r="B60" s="1585" t="s">
        <v>1315</v>
      </c>
      <c r="C60" s="1599">
        <v>0</v>
      </c>
      <c r="D60" s="1615" t="s">
        <v>1957</v>
      </c>
      <c r="E60" s="1615" t="s">
        <v>1957</v>
      </c>
    </row>
    <row r="61" spans="1:5" ht="12.75">
      <c r="A61" s="1529" t="s">
        <v>2043</v>
      </c>
      <c r="B61" s="1585" t="s">
        <v>1316</v>
      </c>
      <c r="C61" s="1599">
        <v>0</v>
      </c>
      <c r="D61" s="1615" t="s">
        <v>1957</v>
      </c>
      <c r="E61" s="1615" t="s">
        <v>1957</v>
      </c>
    </row>
    <row r="62" spans="1:5" ht="12.75">
      <c r="A62" s="1529" t="s">
        <v>2044</v>
      </c>
      <c r="B62" s="1585" t="s">
        <v>2045</v>
      </c>
      <c r="C62" s="1599">
        <v>322875</v>
      </c>
      <c r="D62" s="1615" t="s">
        <v>1957</v>
      </c>
      <c r="E62" s="1615" t="s">
        <v>1957</v>
      </c>
    </row>
    <row r="63" spans="1:5" ht="12.75">
      <c r="A63" s="1529" t="s">
        <v>2046</v>
      </c>
      <c r="B63" s="1585" t="s">
        <v>1317</v>
      </c>
      <c r="C63" s="1599">
        <v>5118184</v>
      </c>
      <c r="D63" s="1615">
        <v>163125</v>
      </c>
      <c r="E63" s="1615">
        <v>122818.43</v>
      </c>
    </row>
    <row r="64" spans="1:5" ht="12.75">
      <c r="A64" s="1529" t="s">
        <v>2047</v>
      </c>
      <c r="B64" s="1585" t="s">
        <v>1318</v>
      </c>
      <c r="C64" s="1599">
        <v>2526306</v>
      </c>
      <c r="D64" s="1615">
        <v>147000</v>
      </c>
      <c r="E64" s="1615">
        <v>43638.96</v>
      </c>
    </row>
    <row r="65" spans="1:5" ht="12.75">
      <c r="A65" s="1529" t="s">
        <v>2048</v>
      </c>
      <c r="B65" s="1585" t="s">
        <v>2049</v>
      </c>
      <c r="C65" s="1639">
        <v>1696900</v>
      </c>
      <c r="D65" s="1640" t="s">
        <v>1957</v>
      </c>
      <c r="E65" s="1640">
        <v>15000</v>
      </c>
    </row>
    <row r="66" spans="1:5" ht="12.75">
      <c r="A66" s="1529" t="s">
        <v>2050</v>
      </c>
      <c r="B66" s="1585" t="s">
        <v>1319</v>
      </c>
      <c r="C66" s="1599">
        <v>589255</v>
      </c>
      <c r="D66" s="1615">
        <v>40000</v>
      </c>
      <c r="E66" s="1615">
        <v>55000</v>
      </c>
    </row>
    <row r="67" spans="1:5" ht="12.75">
      <c r="A67" s="1529" t="s">
        <v>2051</v>
      </c>
      <c r="B67" s="1625" t="s">
        <v>1320</v>
      </c>
      <c r="C67" s="1604">
        <v>9108</v>
      </c>
      <c r="D67" s="1626" t="s">
        <v>1957</v>
      </c>
      <c r="E67" s="1626" t="s">
        <v>1957</v>
      </c>
    </row>
    <row r="68" spans="1:5">
      <c r="A68" s="1529" t="s">
        <v>2052</v>
      </c>
      <c r="B68" s="1529" t="s">
        <v>1321</v>
      </c>
      <c r="C68" s="1599">
        <v>70054</v>
      </c>
      <c r="D68" s="1615">
        <v>600</v>
      </c>
      <c r="E68" s="1615">
        <v>19200</v>
      </c>
    </row>
    <row r="69" spans="1:5" ht="12.75">
      <c r="A69" s="1529" t="s">
        <v>2053</v>
      </c>
      <c r="B69" s="1585" t="s">
        <v>1322</v>
      </c>
      <c r="C69" s="1599">
        <v>3221032</v>
      </c>
      <c r="D69" s="1615">
        <v>369876</v>
      </c>
      <c r="E69" s="1615">
        <v>89328.270000000019</v>
      </c>
    </row>
    <row r="70" spans="1:5" ht="12.75">
      <c r="A70" s="1529" t="s">
        <v>2054</v>
      </c>
      <c r="B70" s="1585" t="s">
        <v>2055</v>
      </c>
      <c r="C70" s="1599">
        <v>0</v>
      </c>
      <c r="D70" s="1615" t="s">
        <v>1957</v>
      </c>
      <c r="E70" s="1615" t="s">
        <v>1957</v>
      </c>
    </row>
    <row r="71" spans="1:5" ht="12.75">
      <c r="A71" s="1529" t="s">
        <v>2056</v>
      </c>
      <c r="B71" s="1585" t="s">
        <v>1323</v>
      </c>
      <c r="C71" s="1599">
        <v>739893</v>
      </c>
      <c r="D71" s="1615">
        <v>118096</v>
      </c>
      <c r="E71" s="1615">
        <v>15030</v>
      </c>
    </row>
    <row r="72" spans="1:5" ht="12.75">
      <c r="A72" s="1529" t="s">
        <v>2057</v>
      </c>
      <c r="B72" s="1585" t="s">
        <v>1324</v>
      </c>
      <c r="C72" s="1599">
        <v>183969</v>
      </c>
      <c r="D72" s="1615">
        <v>24000</v>
      </c>
      <c r="E72" s="1615">
        <v>17000.04</v>
      </c>
    </row>
    <row r="73" spans="1:5" ht="12.75">
      <c r="A73" s="1529" t="s">
        <v>2058</v>
      </c>
      <c r="B73" s="1585" t="s">
        <v>1325</v>
      </c>
      <c r="C73" s="1599">
        <v>41580</v>
      </c>
      <c r="D73" s="1615">
        <v>2400</v>
      </c>
      <c r="E73" s="1615">
        <v>1200</v>
      </c>
    </row>
    <row r="74" spans="1:5" ht="12.75">
      <c r="A74" s="1529" t="s">
        <v>2059</v>
      </c>
      <c r="B74" s="1585" t="s">
        <v>1326</v>
      </c>
      <c r="C74" s="1599">
        <v>727991</v>
      </c>
      <c r="D74" s="1615">
        <v>1800</v>
      </c>
      <c r="E74" s="1615">
        <v>30000</v>
      </c>
    </row>
    <row r="75" spans="1:5">
      <c r="A75" s="1529" t="s">
        <v>2060</v>
      </c>
      <c r="B75" s="1529" t="s">
        <v>2061</v>
      </c>
      <c r="C75" s="1599">
        <v>744</v>
      </c>
      <c r="D75" s="1615" t="s">
        <v>1957</v>
      </c>
      <c r="E75" s="1615" t="s">
        <v>1957</v>
      </c>
    </row>
    <row r="76" spans="1:5" ht="12.75">
      <c r="A76" s="1529" t="s">
        <v>2062</v>
      </c>
      <c r="B76" s="1658" t="s">
        <v>1327</v>
      </c>
      <c r="C76" s="1599">
        <v>841122</v>
      </c>
      <c r="D76" s="1615">
        <v>6000</v>
      </c>
      <c r="E76" s="1615">
        <v>20000</v>
      </c>
    </row>
    <row r="77" spans="1:5" ht="12.75">
      <c r="A77" s="1529" t="s">
        <v>2063</v>
      </c>
      <c r="B77" s="1585" t="s">
        <v>1328</v>
      </c>
      <c r="C77" s="1599">
        <v>9584715</v>
      </c>
      <c r="D77" s="1615">
        <v>42000</v>
      </c>
      <c r="E77" s="1615">
        <v>14400</v>
      </c>
    </row>
    <row r="78" spans="1:5" ht="12.75">
      <c r="A78" s="1529" t="s">
        <v>2064</v>
      </c>
      <c r="B78" s="1585" t="s">
        <v>2065</v>
      </c>
      <c r="C78" s="1599">
        <v>-8486784</v>
      </c>
      <c r="D78" s="1615" t="s">
        <v>1957</v>
      </c>
      <c r="E78" s="1615" t="s">
        <v>1957</v>
      </c>
    </row>
    <row r="79" spans="1:5" ht="12.75">
      <c r="A79" s="1529" t="s">
        <v>2066</v>
      </c>
      <c r="B79" s="1585" t="s">
        <v>1010</v>
      </c>
      <c r="C79" s="1599">
        <v>5669065</v>
      </c>
      <c r="D79" s="1615">
        <v>12000</v>
      </c>
      <c r="E79" s="1615">
        <v>6000</v>
      </c>
    </row>
    <row r="80" spans="1:5" ht="12.75">
      <c r="A80" s="1529" t="s">
        <v>2067</v>
      </c>
      <c r="B80" s="1585" t="s">
        <v>2068</v>
      </c>
      <c r="C80" s="1599">
        <v>-4482360</v>
      </c>
      <c r="D80" s="1615" t="s">
        <v>1957</v>
      </c>
      <c r="E80" s="1615" t="s">
        <v>1957</v>
      </c>
    </row>
    <row r="81" spans="1:5" ht="12.75">
      <c r="A81" s="1529" t="s">
        <v>2069</v>
      </c>
      <c r="B81" s="1585" t="s">
        <v>1011</v>
      </c>
      <c r="C81" s="1599">
        <v>443700</v>
      </c>
      <c r="D81" s="1615" t="s">
        <v>1957</v>
      </c>
      <c r="E81" s="1615">
        <v>1500</v>
      </c>
    </row>
    <row r="82" spans="1:5" ht="12.75">
      <c r="A82" s="1529" t="s">
        <v>2070</v>
      </c>
      <c r="B82" s="1585" t="s">
        <v>1330</v>
      </c>
      <c r="C82" s="1599">
        <v>635400</v>
      </c>
      <c r="D82" s="1615" t="s">
        <v>1957</v>
      </c>
      <c r="E82" s="1615" t="s">
        <v>1957</v>
      </c>
    </row>
    <row r="83" spans="1:5" ht="12.75">
      <c r="A83" s="1529" t="s">
        <v>2071</v>
      </c>
      <c r="B83" s="1585" t="s">
        <v>1012</v>
      </c>
      <c r="C83" s="1599">
        <v>-276414</v>
      </c>
      <c r="D83" s="1615">
        <v>469032</v>
      </c>
      <c r="E83" s="1615" t="s">
        <v>1957</v>
      </c>
    </row>
    <row r="84" spans="1:5" ht="12.75">
      <c r="A84" s="1529" t="s">
        <v>2072</v>
      </c>
      <c r="B84" s="1585" t="s">
        <v>2073</v>
      </c>
      <c r="C84" s="1599">
        <v>5382292</v>
      </c>
      <c r="D84" s="1615" t="s">
        <v>1957</v>
      </c>
      <c r="E84" s="1615" t="s">
        <v>1957</v>
      </c>
    </row>
    <row r="85" spans="1:5" ht="12.75">
      <c r="A85" s="1529" t="s">
        <v>2074</v>
      </c>
      <c r="B85" s="1585" t="s">
        <v>2075</v>
      </c>
      <c r="C85" s="1599">
        <v>2280</v>
      </c>
      <c r="D85" s="1615" t="s">
        <v>1957</v>
      </c>
      <c r="E85" s="1615" t="s">
        <v>1957</v>
      </c>
    </row>
    <row r="86" spans="1:5" ht="12.75">
      <c r="A86" s="1529" t="s">
        <v>2076</v>
      </c>
      <c r="B86" s="1585" t="s">
        <v>2077</v>
      </c>
      <c r="C86" s="1599">
        <v>3691410</v>
      </c>
      <c r="D86" s="1615" t="s">
        <v>1957</v>
      </c>
      <c r="E86" s="1615" t="s">
        <v>1957</v>
      </c>
    </row>
    <row r="87" spans="1:5" ht="12.75">
      <c r="A87" s="1529" t="s">
        <v>2078</v>
      </c>
      <c r="B87" s="1585" t="s">
        <v>1331</v>
      </c>
      <c r="C87" s="1599">
        <v>0</v>
      </c>
      <c r="D87" s="1615" t="s">
        <v>1957</v>
      </c>
      <c r="E87" s="1615">
        <v>14400</v>
      </c>
    </row>
    <row r="88" spans="1:5" ht="12.75">
      <c r="A88" s="1529" t="s">
        <v>2079</v>
      </c>
      <c r="B88" s="1625" t="s">
        <v>1332</v>
      </c>
      <c r="C88" s="1604">
        <v>730000</v>
      </c>
      <c r="D88" s="1626" t="s">
        <v>1957</v>
      </c>
      <c r="E88" s="1626" t="s">
        <v>1957</v>
      </c>
    </row>
    <row r="89" spans="1:5" ht="12.75">
      <c r="A89" s="1529" t="s">
        <v>2080</v>
      </c>
      <c r="B89" s="1625" t="s">
        <v>2081</v>
      </c>
      <c r="C89" s="1604">
        <v>20400</v>
      </c>
      <c r="D89" s="1626" t="s">
        <v>1957</v>
      </c>
      <c r="E89" s="1626" t="s">
        <v>1957</v>
      </c>
    </row>
    <row r="90" spans="1:5" ht="12.75">
      <c r="A90" s="1529" t="s">
        <v>2082</v>
      </c>
      <c r="B90" s="1585" t="s">
        <v>1333</v>
      </c>
      <c r="C90" s="1599">
        <v>1216140</v>
      </c>
      <c r="D90" s="1615" t="s">
        <v>1957</v>
      </c>
      <c r="E90" s="1615">
        <v>6000</v>
      </c>
    </row>
    <row r="91" spans="1:5" ht="12.75">
      <c r="A91" s="1529" t="s">
        <v>2083</v>
      </c>
      <c r="B91" s="1625" t="s">
        <v>1334</v>
      </c>
      <c r="C91" s="1604">
        <v>1482850</v>
      </c>
      <c r="D91" s="1604">
        <v>94670.11</v>
      </c>
      <c r="E91" s="1604">
        <v>31500</v>
      </c>
    </row>
    <row r="92" spans="1:5" ht="12.75">
      <c r="A92" s="1529" t="s">
        <v>2084</v>
      </c>
      <c r="B92" s="1585" t="s">
        <v>2085</v>
      </c>
      <c r="C92" s="1599">
        <v>20040</v>
      </c>
      <c r="D92" s="1615" t="s">
        <v>1957</v>
      </c>
      <c r="E92" s="1615" t="s">
        <v>1957</v>
      </c>
    </row>
    <row r="93" spans="1:5" ht="12.75">
      <c r="A93" s="1529" t="s">
        <v>2086</v>
      </c>
      <c r="B93" s="1585" t="s">
        <v>1335</v>
      </c>
      <c r="C93" s="1599">
        <v>286962</v>
      </c>
      <c r="D93" s="1615" t="s">
        <v>1957</v>
      </c>
      <c r="E93" s="1615">
        <v>40000</v>
      </c>
    </row>
    <row r="94" spans="1:5" ht="12.75">
      <c r="A94" s="1529" t="s">
        <v>2087</v>
      </c>
      <c r="B94" s="1585" t="s">
        <v>2088</v>
      </c>
      <c r="C94" s="1599">
        <v>105160</v>
      </c>
      <c r="D94" s="1615" t="s">
        <v>1957</v>
      </c>
      <c r="E94" s="1615" t="s">
        <v>1957</v>
      </c>
    </row>
    <row r="95" spans="1:5" ht="12.75">
      <c r="A95" s="1529" t="s">
        <v>2089</v>
      </c>
      <c r="B95" s="1585" t="s">
        <v>1336</v>
      </c>
      <c r="C95" s="1599">
        <v>950451.84</v>
      </c>
      <c r="D95" s="1615" t="s">
        <v>1957</v>
      </c>
      <c r="E95" s="1615" t="s">
        <v>1957</v>
      </c>
    </row>
    <row r="96" spans="1:5">
      <c r="A96" s="1529" t="s">
        <v>2090</v>
      </c>
      <c r="B96" s="1529" t="s">
        <v>2091</v>
      </c>
      <c r="C96" s="1599">
        <v>21578.6</v>
      </c>
      <c r="D96" s="1615" t="s">
        <v>1957</v>
      </c>
      <c r="E96" s="1615" t="s">
        <v>1957</v>
      </c>
    </row>
    <row r="97" spans="1:5" ht="12.75">
      <c r="A97" s="1529" t="s">
        <v>2092</v>
      </c>
      <c r="B97" s="1625" t="s">
        <v>1337</v>
      </c>
      <c r="C97" s="1604">
        <v>9152840</v>
      </c>
      <c r="D97" s="1604">
        <v>30000</v>
      </c>
      <c r="E97" s="1604">
        <v>12000</v>
      </c>
    </row>
    <row r="98" spans="1:5" ht="12.75">
      <c r="A98" s="1529" t="s">
        <v>2093</v>
      </c>
      <c r="B98" s="1585" t="s">
        <v>2094</v>
      </c>
      <c r="C98" s="1599">
        <v>2044384</v>
      </c>
      <c r="D98" s="1615" t="s">
        <v>1957</v>
      </c>
      <c r="E98" s="1615" t="s">
        <v>1957</v>
      </c>
    </row>
    <row r="99" spans="1:5" ht="12.75">
      <c r="A99" s="1529" t="s">
        <v>2095</v>
      </c>
      <c r="B99" s="1585" t="s">
        <v>2096</v>
      </c>
      <c r="C99" s="1599">
        <v>2045000</v>
      </c>
      <c r="D99" s="1615" t="s">
        <v>1957</v>
      </c>
      <c r="E99" s="1615" t="s">
        <v>1957</v>
      </c>
    </row>
    <row r="100" spans="1:5" ht="12.75">
      <c r="A100" s="1529" t="s">
        <v>2097</v>
      </c>
      <c r="B100" s="1625" t="s">
        <v>1339</v>
      </c>
      <c r="C100" s="1604">
        <v>180000</v>
      </c>
      <c r="D100" s="1626" t="s">
        <v>1957</v>
      </c>
      <c r="E100" s="1626" t="s">
        <v>1957</v>
      </c>
    </row>
    <row r="101" spans="1:5" ht="12.75">
      <c r="A101" s="1529" t="s">
        <v>2098</v>
      </c>
      <c r="B101" s="1585" t="s">
        <v>1340</v>
      </c>
      <c r="C101" s="1599">
        <v>6216</v>
      </c>
      <c r="D101" s="1615">
        <v>780</v>
      </c>
      <c r="E101" s="1615">
        <v>594</v>
      </c>
    </row>
    <row r="102" spans="1:5" ht="12.75">
      <c r="A102" s="1529" t="s">
        <v>2099</v>
      </c>
      <c r="B102" s="1585" t="s">
        <v>1341</v>
      </c>
      <c r="C102" s="1599">
        <v>4332</v>
      </c>
      <c r="D102" s="1615" t="s">
        <v>1957</v>
      </c>
      <c r="E102" s="1615" t="s">
        <v>1957</v>
      </c>
    </row>
    <row r="103" spans="1:5" ht="12.75">
      <c r="A103" s="1529" t="s">
        <v>2100</v>
      </c>
      <c r="B103" s="1585" t="s">
        <v>1342</v>
      </c>
      <c r="C103" s="1599">
        <v>12563454</v>
      </c>
      <c r="D103" s="1615">
        <v>59832</v>
      </c>
      <c r="E103" s="1615">
        <v>89220</v>
      </c>
    </row>
    <row r="104" spans="1:5" ht="12.75">
      <c r="A104" s="1529" t="s">
        <v>2101</v>
      </c>
      <c r="B104" s="1585" t="s">
        <v>2102</v>
      </c>
      <c r="C104" s="1599">
        <v>0</v>
      </c>
      <c r="D104" s="1615" t="s">
        <v>1957</v>
      </c>
      <c r="E104" s="1615" t="s">
        <v>1957</v>
      </c>
    </row>
    <row r="105" spans="1:5" ht="12.75">
      <c r="A105" s="1529" t="s">
        <v>2103</v>
      </c>
      <c r="B105" s="1585" t="s">
        <v>2104</v>
      </c>
      <c r="C105" s="1599">
        <v>435935</v>
      </c>
      <c r="D105" s="1615">
        <v>9000</v>
      </c>
      <c r="E105" s="1615" t="s">
        <v>1957</v>
      </c>
    </row>
    <row r="106" spans="1:5" ht="12.75">
      <c r="A106" s="1529" t="s">
        <v>2105</v>
      </c>
      <c r="B106" s="1585" t="s">
        <v>2106</v>
      </c>
      <c r="C106" s="1599">
        <v>40041</v>
      </c>
      <c r="D106" s="1615" t="s">
        <v>1957</v>
      </c>
      <c r="E106" s="1615">
        <v>31140</v>
      </c>
    </row>
    <row r="107" spans="1:5" ht="12.75">
      <c r="A107" s="1529" t="s">
        <v>2107</v>
      </c>
      <c r="B107" s="1585" t="s">
        <v>2108</v>
      </c>
      <c r="C107" s="1599">
        <v>179150</v>
      </c>
      <c r="D107" s="1615">
        <v>3066</v>
      </c>
      <c r="E107" s="1615">
        <v>120</v>
      </c>
    </row>
    <row r="108" spans="1:5" ht="12.75">
      <c r="A108" s="1529" t="s">
        <v>2109</v>
      </c>
      <c r="B108" s="1585" t="s">
        <v>1343</v>
      </c>
      <c r="C108" s="1599">
        <v>11284257</v>
      </c>
      <c r="D108" s="1615" t="s">
        <v>1957</v>
      </c>
      <c r="E108" s="1615" t="s">
        <v>1957</v>
      </c>
    </row>
    <row r="109" spans="1:5" ht="12.75">
      <c r="A109" s="1529" t="s">
        <v>2110</v>
      </c>
      <c r="B109" s="1585" t="s">
        <v>2111</v>
      </c>
      <c r="C109" s="1599">
        <v>1707974</v>
      </c>
      <c r="D109" s="1615" t="s">
        <v>1957</v>
      </c>
      <c r="E109" s="1615" t="s">
        <v>1957</v>
      </c>
    </row>
    <row r="110" spans="1:5" ht="12.75">
      <c r="A110" s="1529" t="s">
        <v>2112</v>
      </c>
      <c r="B110" s="1585" t="s">
        <v>1013</v>
      </c>
      <c r="C110" s="1599">
        <v>1647184</v>
      </c>
      <c r="D110" s="1615" t="s">
        <v>1957</v>
      </c>
      <c r="E110" s="1615" t="s">
        <v>1957</v>
      </c>
    </row>
    <row r="111" spans="1:5" ht="12.75">
      <c r="A111" s="1529" t="s">
        <v>2113</v>
      </c>
      <c r="B111" s="1585" t="s">
        <v>1344</v>
      </c>
      <c r="C111" s="1599">
        <v>3487288</v>
      </c>
      <c r="D111" s="1615">
        <v>12000</v>
      </c>
      <c r="E111" s="1615">
        <v>2000</v>
      </c>
    </row>
    <row r="112" spans="1:5">
      <c r="A112" s="1529" t="s">
        <v>2114</v>
      </c>
      <c r="B112" s="1641" t="s">
        <v>1014</v>
      </c>
      <c r="C112" s="1599">
        <v>10000</v>
      </c>
      <c r="D112" s="1615" t="s">
        <v>1957</v>
      </c>
      <c r="E112" s="1615">
        <v>24000</v>
      </c>
    </row>
    <row r="113" spans="1:5" ht="12.75">
      <c r="A113" s="1529" t="s">
        <v>2115</v>
      </c>
      <c r="B113" s="1585" t="s">
        <v>2116</v>
      </c>
      <c r="C113" s="1599">
        <v>0</v>
      </c>
      <c r="D113" s="1599">
        <v>467004</v>
      </c>
      <c r="E113" s="1599" t="s">
        <v>1957</v>
      </c>
    </row>
    <row r="114" spans="1:5">
      <c r="A114" s="1641" t="s">
        <v>2117</v>
      </c>
      <c r="B114" s="1641" t="s">
        <v>1346</v>
      </c>
      <c r="C114" s="1599">
        <v>0</v>
      </c>
      <c r="D114" s="1601">
        <v>-600</v>
      </c>
      <c r="E114" s="1642" t="s">
        <v>1957</v>
      </c>
    </row>
    <row r="115" spans="1:5">
      <c r="A115" s="1529" t="s">
        <v>2118</v>
      </c>
      <c r="B115" s="1529" t="s">
        <v>2119</v>
      </c>
      <c r="C115" s="1599">
        <v>-1860</v>
      </c>
      <c r="D115" s="1599" t="s">
        <v>1957</v>
      </c>
      <c r="E115" s="1599" t="s">
        <v>1957</v>
      </c>
    </row>
    <row r="116" spans="1:5">
      <c r="A116" s="1529" t="s">
        <v>2120</v>
      </c>
      <c r="B116" s="1529" t="s">
        <v>2121</v>
      </c>
      <c r="C116" s="1599">
        <v>-1281</v>
      </c>
      <c r="D116" s="1599" t="s">
        <v>1957</v>
      </c>
      <c r="E116" s="1599" t="s">
        <v>1957</v>
      </c>
    </row>
    <row r="117" spans="1:5" ht="12.75">
      <c r="A117" s="1529" t="s">
        <v>2122</v>
      </c>
      <c r="B117" s="1585" t="s">
        <v>1347</v>
      </c>
      <c r="C117" s="1599">
        <v>-43046</v>
      </c>
      <c r="D117" s="1599">
        <v>12000</v>
      </c>
      <c r="E117" s="1599">
        <v>24746</v>
      </c>
    </row>
    <row r="118" spans="1:5" ht="12.75">
      <c r="A118" s="1529" t="s">
        <v>2123</v>
      </c>
      <c r="B118" s="1625" t="s">
        <v>2124</v>
      </c>
      <c r="C118" s="1604">
        <v>151500</v>
      </c>
      <c r="D118" s="1633" t="s">
        <v>1957</v>
      </c>
      <c r="E118" s="1633" t="s">
        <v>1957</v>
      </c>
    </row>
    <row r="119" spans="1:5" ht="12.75">
      <c r="A119" s="1529" t="s">
        <v>2125</v>
      </c>
      <c r="B119" s="1625" t="s">
        <v>2126</v>
      </c>
      <c r="C119" s="1604">
        <v>517440</v>
      </c>
      <c r="D119" s="1633" t="s">
        <v>1957</v>
      </c>
      <c r="E119" s="1633" t="s">
        <v>1957</v>
      </c>
    </row>
    <row r="120" spans="1:5" ht="12.75">
      <c r="A120" s="1529" t="s">
        <v>2127</v>
      </c>
      <c r="B120" s="1625" t="s">
        <v>2128</v>
      </c>
      <c r="C120" s="1604">
        <v>90000</v>
      </c>
      <c r="D120" s="1633" t="s">
        <v>1957</v>
      </c>
      <c r="E120" s="1633" t="s">
        <v>1957</v>
      </c>
    </row>
    <row r="121" spans="1:5" ht="12.75">
      <c r="A121" s="1529" t="s">
        <v>2129</v>
      </c>
      <c r="B121" s="1625" t="s">
        <v>2130</v>
      </c>
      <c r="C121" s="1604">
        <v>42433</v>
      </c>
      <c r="D121" s="1633" t="s">
        <v>1957</v>
      </c>
      <c r="E121" s="1633" t="s">
        <v>1957</v>
      </c>
    </row>
    <row r="122" spans="1:5" ht="12.75">
      <c r="A122" s="1529" t="s">
        <v>2131</v>
      </c>
      <c r="B122" s="1631" t="s">
        <v>2132</v>
      </c>
      <c r="C122" s="1604">
        <v>8400</v>
      </c>
      <c r="D122" s="1633" t="s">
        <v>1957</v>
      </c>
      <c r="E122" s="1633" t="s">
        <v>1957</v>
      </c>
    </row>
    <row r="123" spans="1:5" ht="12.75">
      <c r="A123" s="1529" t="s">
        <v>2133</v>
      </c>
      <c r="B123" s="1625" t="s">
        <v>2134</v>
      </c>
      <c r="C123" s="1604">
        <v>246576</v>
      </c>
      <c r="D123" s="1633" t="s">
        <v>1957</v>
      </c>
      <c r="E123" s="1633" t="s">
        <v>1957</v>
      </c>
    </row>
    <row r="124" spans="1:5" ht="12.75">
      <c r="A124" s="1529" t="s">
        <v>2135</v>
      </c>
      <c r="B124" s="1625" t="s">
        <v>2136</v>
      </c>
      <c r="C124" s="1604">
        <v>0</v>
      </c>
      <c r="D124" s="1633" t="s">
        <v>1957</v>
      </c>
      <c r="E124" s="1633" t="s">
        <v>1957</v>
      </c>
    </row>
    <row r="125" spans="1:5" ht="12.75">
      <c r="A125" s="1529" t="s">
        <v>2137</v>
      </c>
      <c r="B125" s="1585" t="s">
        <v>1348</v>
      </c>
      <c r="C125" s="1599">
        <v>261012</v>
      </c>
      <c r="D125" s="1599" t="s">
        <v>1957</v>
      </c>
      <c r="E125" s="1599" t="s">
        <v>1957</v>
      </c>
    </row>
    <row r="126" spans="1:5" ht="12.75">
      <c r="B126" s="1643" t="s">
        <v>2138</v>
      </c>
      <c r="C126" s="1644">
        <v>248608</v>
      </c>
    </row>
    <row r="127" spans="1:5">
      <c r="C127" s="1139"/>
    </row>
    <row r="129" spans="1:6" ht="12.75">
      <c r="B129" s="1645" t="s">
        <v>2139</v>
      </c>
    </row>
    <row r="130" spans="1:6" ht="18">
      <c r="B130" s="1604" t="s">
        <v>2140</v>
      </c>
      <c r="C130" s="1646">
        <f>+SUM(C8:C14)+C123+C122+C121+C120+C119+C118+C100+C97+C91+C89+C88+C67+C56+C55+C24+C30+C53+C52+C23+C29+C34+C33+C32+C39+C38+C43+C42+C41+C40+C37+C36+C35+C31+C22+C18+C25</f>
        <v>44219925.049999997</v>
      </c>
      <c r="D130" s="1646">
        <f>+SUM(D8:D14)+D123+D122+D121+D120+D119+D118+D100+D97+D91+D89+D88+D67+D56+D55+D24+D30+D53+D52+D23+D29+D34+D33+D32+D39+D38+D43+D42+D41+D40+D37+D36+D35+D31+D22+D18+D25</f>
        <v>5193470.59</v>
      </c>
      <c r="E130" s="1646">
        <f>+SUM(E8:E14)+E123+E122+E121+E120+E119+E118+E100+E97+E91+E89+E88+E67+E56+E55+E24+E30+E53+E52+E23+E29+E34+E33+E32+E39+E38+E43+E42+E41+E40+E37+E36+E35+E31+E22+E18+E25</f>
        <v>615232.85000000009</v>
      </c>
      <c r="F130" s="1426"/>
    </row>
    <row r="131" spans="1:6" ht="12.75">
      <c r="B131" s="1647" t="s">
        <v>2141</v>
      </c>
      <c r="C131" s="1648">
        <f>0.66*C65</f>
        <v>1119954</v>
      </c>
      <c r="D131" s="1649">
        <f>0.66*D65</f>
        <v>0</v>
      </c>
      <c r="E131" s="1650">
        <f>0.66*E65</f>
        <v>9900</v>
      </c>
      <c r="F131" s="1651" t="s">
        <v>2142</v>
      </c>
    </row>
    <row r="132" spans="1:6" ht="12.75">
      <c r="B132" s="1652" t="s">
        <v>2143</v>
      </c>
      <c r="C132" s="635">
        <f>+C158</f>
        <v>1314069.7512652536</v>
      </c>
      <c r="D132" s="1653">
        <f>+D158</f>
        <v>131729.50846181487</v>
      </c>
      <c r="E132" s="635">
        <f>+E158</f>
        <v>30942.880238444843</v>
      </c>
      <c r="F132" s="1426"/>
    </row>
    <row r="135" spans="1:6" ht="12.75">
      <c r="B135" s="1645" t="s">
        <v>2144</v>
      </c>
    </row>
    <row r="136" spans="1:6" ht="12.75">
      <c r="A136" s="1585" t="s">
        <v>2016</v>
      </c>
      <c r="B136" s="1600" t="s">
        <v>1008</v>
      </c>
      <c r="C136" s="1654">
        <f>SUMIF($A$8:$A$125,$A136,C$8:C$125)</f>
        <v>500000</v>
      </c>
      <c r="D136" s="1654">
        <f>SUMIF($A$8:$A$125,$A136,D$8:D$125)</f>
        <v>4240016.84</v>
      </c>
      <c r="E136" s="1654">
        <f>SUMIF($A$8:$A$125,$A136,E$8:E$125)</f>
        <v>1292240.57</v>
      </c>
    </row>
    <row r="137" spans="1:6" ht="12.75">
      <c r="A137" s="1585" t="s">
        <v>2017</v>
      </c>
      <c r="B137" s="1600" t="s">
        <v>2018</v>
      </c>
      <c r="C137" s="1654">
        <f t="shared" ref="C137:E152" si="0">SUMIF($A$8:$A$125,$A137,C$8:C$125)</f>
        <v>36661063</v>
      </c>
      <c r="D137" s="1615">
        <f t="shared" si="0"/>
        <v>0</v>
      </c>
      <c r="E137" s="1615">
        <f t="shared" si="0"/>
        <v>0</v>
      </c>
    </row>
    <row r="138" spans="1:6" ht="12.75">
      <c r="A138" s="1585" t="s">
        <v>2019</v>
      </c>
      <c r="B138" s="1600" t="s">
        <v>2020</v>
      </c>
      <c r="C138" s="1654">
        <f t="shared" si="0"/>
        <v>0</v>
      </c>
      <c r="D138" s="1615">
        <f t="shared" si="0"/>
        <v>0</v>
      </c>
      <c r="E138" s="1615">
        <f t="shared" si="0"/>
        <v>0</v>
      </c>
    </row>
    <row r="139" spans="1:6" ht="12.75">
      <c r="A139" s="1585" t="s">
        <v>2021</v>
      </c>
      <c r="B139" s="1600" t="s">
        <v>1311</v>
      </c>
      <c r="C139" s="1654">
        <f t="shared" si="0"/>
        <v>8000</v>
      </c>
      <c r="D139" s="1615">
        <f t="shared" si="0"/>
        <v>0</v>
      </c>
      <c r="E139" s="1615">
        <f t="shared" si="0"/>
        <v>273741.57999999996</v>
      </c>
    </row>
    <row r="140" spans="1:6" ht="12.75">
      <c r="A140" s="1585" t="s">
        <v>2022</v>
      </c>
      <c r="B140" s="1600" t="s">
        <v>2023</v>
      </c>
      <c r="C140" s="1654">
        <f t="shared" si="0"/>
        <v>23407375</v>
      </c>
      <c r="D140" s="1615">
        <f t="shared" si="0"/>
        <v>0</v>
      </c>
      <c r="E140" s="1615">
        <f t="shared" si="0"/>
        <v>0</v>
      </c>
    </row>
    <row r="141" spans="1:6" ht="12.75">
      <c r="A141" s="1585" t="s">
        <v>2024</v>
      </c>
      <c r="B141" s="1600" t="s">
        <v>2025</v>
      </c>
      <c r="C141" s="1654">
        <f t="shared" si="0"/>
        <v>274463</v>
      </c>
      <c r="D141" s="1615">
        <f t="shared" si="0"/>
        <v>0</v>
      </c>
      <c r="E141" s="1615">
        <f t="shared" si="0"/>
        <v>0</v>
      </c>
    </row>
    <row r="142" spans="1:6" ht="12.75">
      <c r="A142" s="1585" t="s">
        <v>2026</v>
      </c>
      <c r="B142" s="1600" t="s">
        <v>2027</v>
      </c>
      <c r="C142" s="1654">
        <f t="shared" si="0"/>
        <v>0</v>
      </c>
      <c r="D142" s="1615">
        <f t="shared" si="0"/>
        <v>0</v>
      </c>
      <c r="E142" s="1615">
        <f t="shared" si="0"/>
        <v>0</v>
      </c>
    </row>
    <row r="143" spans="1:6" ht="12.75">
      <c r="A143" s="1585" t="s">
        <v>2028</v>
      </c>
      <c r="B143" s="1600" t="s">
        <v>1312</v>
      </c>
      <c r="C143" s="1654">
        <f t="shared" si="0"/>
        <v>220000</v>
      </c>
      <c r="D143" s="1615">
        <f t="shared" si="0"/>
        <v>36000</v>
      </c>
      <c r="E143" s="1615">
        <f t="shared" si="0"/>
        <v>4500</v>
      </c>
    </row>
    <row r="144" spans="1:6" ht="12.75">
      <c r="A144" s="1585" t="s">
        <v>2029</v>
      </c>
      <c r="B144" s="1600" t="s">
        <v>1313</v>
      </c>
      <c r="C144" s="1604">
        <f t="shared" si="0"/>
        <v>1486752</v>
      </c>
      <c r="D144" s="1626">
        <f t="shared" si="0"/>
        <v>0</v>
      </c>
      <c r="E144" s="1626">
        <f t="shared" si="0"/>
        <v>0</v>
      </c>
    </row>
    <row r="145" spans="1:5" ht="12.75">
      <c r="A145" s="1585" t="s">
        <v>2030</v>
      </c>
      <c r="B145" s="1600" t="s">
        <v>1009</v>
      </c>
      <c r="C145" s="1604">
        <f t="shared" si="0"/>
        <v>16953849</v>
      </c>
      <c r="D145" s="1632">
        <f t="shared" si="0"/>
        <v>1835640.48</v>
      </c>
      <c r="E145" s="1632">
        <f t="shared" si="0"/>
        <v>411687</v>
      </c>
    </row>
    <row r="146" spans="1:5" ht="12.75">
      <c r="A146" s="1585" t="s">
        <v>2031</v>
      </c>
      <c r="B146" s="1600" t="s">
        <v>2032</v>
      </c>
      <c r="C146" s="1654">
        <f t="shared" si="0"/>
        <v>6433080</v>
      </c>
      <c r="D146" s="1615">
        <f t="shared" si="0"/>
        <v>1352304</v>
      </c>
      <c r="E146" s="1615">
        <f t="shared" si="0"/>
        <v>0</v>
      </c>
    </row>
    <row r="147" spans="1:5" ht="12.75">
      <c r="A147" s="1585" t="s">
        <v>2033</v>
      </c>
      <c r="B147" s="1600" t="s">
        <v>2034</v>
      </c>
      <c r="C147" s="1604">
        <f t="shared" si="0"/>
        <v>5760446</v>
      </c>
      <c r="D147" s="1632">
        <f t="shared" si="0"/>
        <v>3233160</v>
      </c>
      <c r="E147" s="1626">
        <f t="shared" si="0"/>
        <v>0</v>
      </c>
    </row>
    <row r="148" spans="1:5" ht="12.75">
      <c r="A148" s="1585" t="s">
        <v>2035</v>
      </c>
      <c r="B148" s="1600" t="s">
        <v>2036</v>
      </c>
      <c r="C148" s="1604">
        <f t="shared" si="0"/>
        <v>5254601</v>
      </c>
      <c r="D148" s="1626">
        <f t="shared" si="0"/>
        <v>0</v>
      </c>
      <c r="E148" s="1626">
        <f t="shared" si="0"/>
        <v>0</v>
      </c>
    </row>
    <row r="149" spans="1:5" ht="12.75">
      <c r="A149" s="1585" t="s">
        <v>2037</v>
      </c>
      <c r="B149" s="1600" t="s">
        <v>2038</v>
      </c>
      <c r="C149" s="1654">
        <f t="shared" si="0"/>
        <v>1145000</v>
      </c>
      <c r="D149" s="1615">
        <f t="shared" si="0"/>
        <v>0</v>
      </c>
      <c r="E149" s="1615">
        <f t="shared" si="0"/>
        <v>0</v>
      </c>
    </row>
    <row r="150" spans="1:5" ht="12.75">
      <c r="A150" s="1585" t="s">
        <v>2040</v>
      </c>
      <c r="B150" s="1600" t="s">
        <v>2041</v>
      </c>
      <c r="C150" s="1654">
        <f t="shared" si="0"/>
        <v>0</v>
      </c>
      <c r="D150" s="1615">
        <f t="shared" si="0"/>
        <v>0</v>
      </c>
      <c r="E150" s="1615">
        <f t="shared" si="0"/>
        <v>0</v>
      </c>
    </row>
    <row r="151" spans="1:5" ht="12.75">
      <c r="A151" s="1585" t="s">
        <v>2042</v>
      </c>
      <c r="B151" s="1600" t="s">
        <v>1315</v>
      </c>
      <c r="C151" s="1654">
        <f t="shared" si="0"/>
        <v>0</v>
      </c>
      <c r="D151" s="1615">
        <f t="shared" si="0"/>
        <v>0</v>
      </c>
      <c r="E151" s="1615">
        <f t="shared" si="0"/>
        <v>0</v>
      </c>
    </row>
    <row r="152" spans="1:5" ht="12.75">
      <c r="A152" s="1585" t="s">
        <v>2043</v>
      </c>
      <c r="B152" s="1600" t="s">
        <v>1316</v>
      </c>
      <c r="C152" s="1654">
        <f t="shared" si="0"/>
        <v>0</v>
      </c>
      <c r="D152" s="1615">
        <f t="shared" si="0"/>
        <v>0</v>
      </c>
      <c r="E152" s="1615">
        <f t="shared" si="0"/>
        <v>0</v>
      </c>
    </row>
    <row r="153" spans="1:5" ht="12.75">
      <c r="B153" s="1655" t="s">
        <v>2145</v>
      </c>
      <c r="C153" s="1139">
        <f>SUM(C136:C152)</f>
        <v>98104629</v>
      </c>
      <c r="D153" s="1139">
        <f>SUM(D136:D152)</f>
        <v>10697121.32</v>
      </c>
      <c r="E153" s="1139">
        <f>SUM(E136:E152)</f>
        <v>1982169.15</v>
      </c>
    </row>
    <row r="155" spans="1:5" ht="12.75">
      <c r="A155" s="1585" t="s">
        <v>2039</v>
      </c>
      <c r="B155" s="1600" t="s">
        <v>1314</v>
      </c>
      <c r="C155" s="1639">
        <f>SUMIF($A$8:$A$125,$A155,C$8:C$125)</f>
        <v>4376625</v>
      </c>
      <c r="D155" s="1640">
        <f>SUMIF($A$8:$A$125,$A155,D$8:D$125)</f>
        <v>278000</v>
      </c>
      <c r="E155" s="1640">
        <f>SUMIF($A$8:$A$125,$A155,E$8:E$125)</f>
        <v>148982.17000000001</v>
      </c>
    </row>
    <row r="156" spans="1:5" ht="12.75">
      <c r="B156" s="1655" t="s">
        <v>2146</v>
      </c>
      <c r="C156" s="1587">
        <f>+C155/C153</f>
        <v>4.4611809295971139E-2</v>
      </c>
      <c r="D156" s="1587">
        <f>+D155/D153</f>
        <v>2.5988300186914212E-2</v>
      </c>
      <c r="E156" s="1587">
        <f>+E155/E153</f>
        <v>7.5161178852975297E-2</v>
      </c>
    </row>
    <row r="157" spans="1:5">
      <c r="B157" s="1656" t="s">
        <v>2147</v>
      </c>
      <c r="C157" s="1139">
        <f>+C148+C147+C145+C144</f>
        <v>29455648</v>
      </c>
      <c r="D157" s="1139">
        <f>+D147+D145</f>
        <v>5068800.4800000004</v>
      </c>
      <c r="E157" s="1139">
        <f>+E145</f>
        <v>411687</v>
      </c>
    </row>
    <row r="158" spans="1:5" ht="12.75">
      <c r="B158" s="645" t="s">
        <v>2148</v>
      </c>
      <c r="C158" s="1657">
        <f>+C157*C156</f>
        <v>1314069.7512652536</v>
      </c>
      <c r="D158" s="1657">
        <f>+D157*D156</f>
        <v>131729.50846181487</v>
      </c>
      <c r="E158" s="1657">
        <f>+E157*E156</f>
        <v>30942.880238444843</v>
      </c>
    </row>
  </sheetData>
  <pageMargins left="0.7" right="0.7" top="0.75" bottom="0.75" header="0.3" footer="0.3"/>
  <legacy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P158"/>
  <sheetViews>
    <sheetView topLeftCell="A28" workbookViewId="0">
      <selection activeCell="H108" sqref="H108"/>
    </sheetView>
  </sheetViews>
  <sheetFormatPr defaultRowHeight="11.25"/>
  <cols>
    <col min="1" max="1" width="18" bestFit="1" customWidth="1"/>
    <col min="2" max="2" width="45.83203125" bestFit="1" customWidth="1"/>
    <col min="3" max="3" width="25.33203125" bestFit="1" customWidth="1"/>
    <col min="4" max="4" width="23.5" bestFit="1" customWidth="1"/>
    <col min="5" max="5" width="20.5" bestFit="1" customWidth="1"/>
    <col min="6" max="6" width="12.33203125" customWidth="1"/>
    <col min="7" max="7" width="2.1640625" customWidth="1"/>
    <col min="8" max="8" width="11.83203125" bestFit="1" customWidth="1"/>
    <col min="9" max="9" width="19.33203125" bestFit="1" customWidth="1"/>
    <col min="10" max="10" width="22.6640625" bestFit="1" customWidth="1"/>
    <col min="11" max="11" width="14.5" customWidth="1"/>
    <col min="12" max="12" width="29.5" bestFit="1" customWidth="1"/>
    <col min="13" max="13" width="2.6640625" customWidth="1"/>
    <col min="14" max="14" width="17" bestFit="1" customWidth="1"/>
    <col min="16" max="16" width="12.5" bestFit="1" customWidth="1"/>
  </cols>
  <sheetData>
    <row r="1" spans="1:15" ht="12.75">
      <c r="A1" s="1578" t="s">
        <v>1950</v>
      </c>
      <c r="B1" s="1529"/>
      <c r="C1" s="1033"/>
      <c r="H1" s="729"/>
      <c r="I1" s="1529"/>
      <c r="J1" s="1529"/>
      <c r="K1" s="1529"/>
    </row>
    <row r="2" spans="1:15" ht="12.75">
      <c r="A2" s="1579"/>
      <c r="B2" s="1580"/>
      <c r="C2" s="1581" t="s">
        <v>1896</v>
      </c>
      <c r="D2" s="1582" t="s">
        <v>1892</v>
      </c>
      <c r="E2" s="1582" t="s">
        <v>1891</v>
      </c>
      <c r="H2" s="1583" t="s">
        <v>1890</v>
      </c>
      <c r="I2" s="1584" t="s">
        <v>1836</v>
      </c>
      <c r="J2" s="1584" t="s">
        <v>1951</v>
      </c>
      <c r="K2" s="1584" t="s">
        <v>488</v>
      </c>
      <c r="L2" s="1584" t="s">
        <v>1952</v>
      </c>
    </row>
    <row r="3" spans="1:15" ht="12.75">
      <c r="A3" s="1585"/>
      <c r="B3" s="1586"/>
      <c r="C3" s="1139"/>
      <c r="D3" s="1587"/>
      <c r="E3" s="1139"/>
      <c r="H3" s="1588">
        <v>4176</v>
      </c>
      <c r="I3" s="1589">
        <v>5.7188062497222199E-2</v>
      </c>
      <c r="J3" s="1590">
        <v>7.0757504946380298E-3</v>
      </c>
      <c r="K3" s="1590">
        <v>2.8257060159725999E-3</v>
      </c>
      <c r="L3" s="1216">
        <f>-(($C$4*K3)+($D$4*J3)+($E$4*I3))</f>
        <v>844159.46750953374</v>
      </c>
    </row>
    <row r="4" spans="1:15" ht="12.75">
      <c r="A4" s="1585" t="s">
        <v>1943</v>
      </c>
      <c r="B4" s="1591" t="s">
        <v>1943</v>
      </c>
      <c r="C4" s="1592">
        <f>-SUM(C8:C126)</f>
        <v>-203087880.49000001</v>
      </c>
      <c r="D4" s="1593">
        <f>-SUM(D8:D125)</f>
        <v>-13097583.959999999</v>
      </c>
      <c r="E4" s="1592">
        <f>-SUM(E8:E125)</f>
        <v>-3105850.73</v>
      </c>
      <c r="F4" s="1426"/>
      <c r="H4" s="729"/>
      <c r="I4" s="1544"/>
      <c r="J4" s="1544"/>
      <c r="K4" s="1544"/>
      <c r="L4" s="1216"/>
    </row>
    <row r="5" spans="1:15" ht="12.75">
      <c r="A5" s="1585"/>
      <c r="B5" s="1594" t="s">
        <v>1953</v>
      </c>
      <c r="C5" s="1595">
        <f>C6</f>
        <v>-158026833.44</v>
      </c>
      <c r="D5" s="1595">
        <f>D6</f>
        <v>-7898113.3699999982</v>
      </c>
      <c r="E5" s="1595">
        <f>E6-E25</f>
        <v>-2414412.86</v>
      </c>
      <c r="H5" s="729"/>
      <c r="I5" s="1544"/>
      <c r="J5" s="1544"/>
      <c r="K5" s="1544"/>
      <c r="L5" s="1216"/>
    </row>
    <row r="6" spans="1:15" ht="12.75">
      <c r="A6" s="1585"/>
      <c r="B6" s="1594" t="s">
        <v>1954</v>
      </c>
      <c r="C6" s="1597">
        <f>+C4+SUM(C8:C14,C18,C22:C26,C29:C43,C52:C53,C55:C56,C67,C76,C88:C89,C91,C97,C100,C118:C124)</f>
        <v>-158026833.44</v>
      </c>
      <c r="D6" s="1597">
        <f>+D4+SUM(D8:D14,D18,D22:D26,D29:D43,D52:D53,D55:D56,D67,D76,D88:D89,D91,D97,D100,D118:D124)</f>
        <v>-7898113.3699999982</v>
      </c>
      <c r="E6" s="1597">
        <f>+E4+SUM(E8:E14,E18,E22:E26,E29:E43,E52:E53,E55:E56,E67,E76,E88:E89,E91,E97,E100,E112,E118:E124)</f>
        <v>-2359509.42</v>
      </c>
      <c r="H6" s="729"/>
      <c r="I6" s="1599">
        <f>-E$6*I3</f>
        <v>134935.77217374451</v>
      </c>
      <c r="J6" s="1599">
        <f>-D$6*J3</f>
        <v>55885.079584484723</v>
      </c>
      <c r="K6" s="1599">
        <f>-C$6*K3</f>
        <v>446537.37393650803</v>
      </c>
      <c r="L6" s="1216">
        <f>SUM(I6:K6)</f>
        <v>637358.22569473728</v>
      </c>
    </row>
    <row r="7" spans="1:15" ht="12.75">
      <c r="A7" s="1585"/>
      <c r="B7" s="1600"/>
      <c r="C7" s="1601"/>
      <c r="D7" s="1602"/>
      <c r="E7" s="1602"/>
      <c r="H7" s="729"/>
      <c r="I7" s="1580"/>
      <c r="J7" s="1580"/>
      <c r="K7" s="1580"/>
      <c r="L7" s="1603"/>
    </row>
    <row r="8" spans="1:15" ht="12.75">
      <c r="A8" s="1529" t="s">
        <v>1955</v>
      </c>
      <c r="B8" s="1658" t="s">
        <v>1956</v>
      </c>
      <c r="C8" s="1604">
        <v>-14220297.189999999</v>
      </c>
      <c r="D8" s="1604" t="s">
        <v>1957</v>
      </c>
      <c r="E8" s="1604" t="s">
        <v>1957</v>
      </c>
      <c r="I8" s="1605" t="s">
        <v>1958</v>
      </c>
      <c r="J8" s="1580"/>
      <c r="K8" s="1580"/>
      <c r="L8" s="1606">
        <f>+L3-L6</f>
        <v>206801.24181479646</v>
      </c>
      <c r="N8" s="1603"/>
    </row>
    <row r="9" spans="1:15" ht="12.75">
      <c r="A9" s="1529" t="s">
        <v>1959</v>
      </c>
      <c r="B9" s="1658" t="s">
        <v>1960</v>
      </c>
      <c r="C9" s="1604">
        <v>-67606011</v>
      </c>
      <c r="D9" s="1604" t="s">
        <v>1957</v>
      </c>
      <c r="E9" s="1604" t="s">
        <v>1957</v>
      </c>
      <c r="L9" s="1607"/>
    </row>
    <row r="10" spans="1:15" ht="12.75">
      <c r="A10" s="1529" t="s">
        <v>1961</v>
      </c>
      <c r="B10" s="1658" t="s">
        <v>1962</v>
      </c>
      <c r="C10" s="1604">
        <v>-7065918.2300000004</v>
      </c>
      <c r="D10" s="1604" t="s">
        <v>1957</v>
      </c>
      <c r="E10" s="1604" t="s">
        <v>1957</v>
      </c>
      <c r="L10" s="1607"/>
    </row>
    <row r="11" spans="1:15" ht="12.75">
      <c r="A11" s="1529" t="s">
        <v>1963</v>
      </c>
      <c r="B11" s="1658" t="s">
        <v>1964</v>
      </c>
      <c r="C11" s="1604">
        <v>6085970.25</v>
      </c>
      <c r="D11" s="1604" t="s">
        <v>1957</v>
      </c>
      <c r="E11" s="1604" t="s">
        <v>1957</v>
      </c>
      <c r="J11" s="1587"/>
    </row>
    <row r="12" spans="1:15" ht="13.5" thickBot="1">
      <c r="A12" s="1529" t="s">
        <v>1965</v>
      </c>
      <c r="B12" s="1658" t="s">
        <v>1966</v>
      </c>
      <c r="C12" s="1604">
        <v>0</v>
      </c>
      <c r="D12" s="1604" t="s">
        <v>1957</v>
      </c>
      <c r="E12" s="1604" t="s">
        <v>1957</v>
      </c>
    </row>
    <row r="13" spans="1:15" ht="12.75">
      <c r="A13" s="1529" t="s">
        <v>1967</v>
      </c>
      <c r="B13" s="1641" t="s">
        <v>1968</v>
      </c>
      <c r="C13" s="1604">
        <v>13574054.219999999</v>
      </c>
      <c r="D13" s="1604" t="s">
        <v>1957</v>
      </c>
      <c r="E13" s="1604" t="s">
        <v>1957</v>
      </c>
      <c r="G13" s="1608"/>
      <c r="H13" s="1609"/>
      <c r="I13" s="1609"/>
      <c r="J13" s="1609"/>
      <c r="K13" s="1609"/>
      <c r="L13" s="1609"/>
      <c r="M13" s="1610"/>
    </row>
    <row r="14" spans="1:15" ht="12.75">
      <c r="A14" s="1529" t="s">
        <v>1969</v>
      </c>
      <c r="B14" s="1658" t="s">
        <v>1970</v>
      </c>
      <c r="C14" s="1604">
        <v>59345003</v>
      </c>
      <c r="D14" s="1604" t="s">
        <v>1957</v>
      </c>
      <c r="E14" s="1604" t="s">
        <v>1957</v>
      </c>
      <c r="F14" s="1139"/>
      <c r="G14" s="1611"/>
      <c r="H14" s="1612" t="s">
        <v>1890</v>
      </c>
      <c r="I14" s="1613" t="s">
        <v>1836</v>
      </c>
      <c r="J14" s="1613" t="s">
        <v>1951</v>
      </c>
      <c r="K14" s="1613" t="s">
        <v>488</v>
      </c>
      <c r="L14" s="1613" t="s">
        <v>1952</v>
      </c>
      <c r="M14" s="1614"/>
    </row>
    <row r="15" spans="1:15" ht="12.75">
      <c r="A15" s="1529" t="s">
        <v>1971</v>
      </c>
      <c r="B15" s="1658" t="s">
        <v>1246</v>
      </c>
      <c r="C15" s="1599">
        <v>29801</v>
      </c>
      <c r="D15" s="1615" t="s">
        <v>1957</v>
      </c>
      <c r="E15" s="1615" t="s">
        <v>1957</v>
      </c>
      <c r="G15" s="1611"/>
      <c r="H15" s="1616">
        <v>4197</v>
      </c>
      <c r="I15" s="1617">
        <f>'[24]Essbase Mgmt Fee'!C34</f>
        <v>3.7937031289958414E-2</v>
      </c>
      <c r="J15" s="1617">
        <f>I15*(J3/I3)</f>
        <v>4.6938636525421769E-3</v>
      </c>
      <c r="K15" s="1617">
        <f>I15*(K3/I3)</f>
        <v>1.8744978036173761E-3</v>
      </c>
      <c r="L15" s="1618">
        <f>'[24]Essbase Mgmt Fee'!B34</f>
        <v>480567.54</v>
      </c>
      <c r="M15" s="1614"/>
    </row>
    <row r="16" spans="1:15" ht="14.25">
      <c r="A16" s="1529" t="s">
        <v>1972</v>
      </c>
      <c r="B16" s="1658" t="s">
        <v>1270</v>
      </c>
      <c r="C16" s="1599">
        <v>30743</v>
      </c>
      <c r="D16" s="1615" t="s">
        <v>1957</v>
      </c>
      <c r="E16" s="1615" t="s">
        <v>1957</v>
      </c>
      <c r="G16" s="1611"/>
      <c r="H16" s="1619" t="s">
        <v>1973</v>
      </c>
      <c r="I16" s="1597">
        <f>-I15*E5</f>
        <v>91595.656216697986</v>
      </c>
      <c r="J16" s="1597">
        <f>-J15*D5</f>
        <v>37072.667271100392</v>
      </c>
      <c r="K16" s="1597">
        <f>-K15*C5</f>
        <v>296220.95219588891</v>
      </c>
      <c r="L16" s="1620">
        <f>SUM(I16:K16)</f>
        <v>424889.2756836873</v>
      </c>
      <c r="M16" s="1614"/>
      <c r="N16" s="1621">
        <f>+L16-L15</f>
        <v>-55678.264316312678</v>
      </c>
      <c r="O16" s="507" t="s">
        <v>1974</v>
      </c>
    </row>
    <row r="17" spans="1:16" ht="14.25">
      <c r="A17" s="1529" t="s">
        <v>1975</v>
      </c>
      <c r="B17" s="1658" t="s">
        <v>1277</v>
      </c>
      <c r="C17" s="1599">
        <v>7812</v>
      </c>
      <c r="D17" s="1615" t="s">
        <v>1957</v>
      </c>
      <c r="E17" s="1615" t="s">
        <v>1957</v>
      </c>
      <c r="G17" s="1611"/>
      <c r="H17" s="1619" t="s">
        <v>1976</v>
      </c>
      <c r="I17" s="1622">
        <f>-E$6*I15</f>
        <v>89512.782695491624</v>
      </c>
      <c r="J17" s="1622">
        <f>-D$6*J15</f>
        <v>37072.667271100392</v>
      </c>
      <c r="K17" s="1622">
        <f>-C$6*K15</f>
        <v>296220.95219588891</v>
      </c>
      <c r="L17" s="1623">
        <f>SUM(I17:K17)</f>
        <v>422806.40216248092</v>
      </c>
      <c r="M17" s="1614"/>
      <c r="N17" s="1624"/>
    </row>
    <row r="18" spans="1:16" ht="14.25">
      <c r="A18" s="1529" t="s">
        <v>1977</v>
      </c>
      <c r="B18" s="1658" t="s">
        <v>1279</v>
      </c>
      <c r="C18" s="1604">
        <v>1296000</v>
      </c>
      <c r="D18" s="1626" t="s">
        <v>1957</v>
      </c>
      <c r="E18" s="1626" t="s">
        <v>1957</v>
      </c>
      <c r="G18" s="1611"/>
      <c r="H18" s="1619"/>
      <c r="I18" s="1619"/>
      <c r="J18" s="1619"/>
      <c r="K18" s="1619"/>
      <c r="L18" s="1619"/>
      <c r="M18" s="1614"/>
      <c r="N18" s="1624"/>
    </row>
    <row r="19" spans="1:16" ht="14.25">
      <c r="A19" s="1529" t="s">
        <v>1978</v>
      </c>
      <c r="B19" s="1658" t="s">
        <v>1281</v>
      </c>
      <c r="C19" s="1599">
        <v>375548</v>
      </c>
      <c r="D19" s="1615">
        <v>5012.88</v>
      </c>
      <c r="E19" s="1615" t="s">
        <v>1957</v>
      </c>
      <c r="G19" s="1611"/>
      <c r="H19" s="1619"/>
      <c r="I19" s="1627" t="str">
        <f>+I8</f>
        <v xml:space="preserve">Total Mgmt fee disallowed by staff </v>
      </c>
      <c r="J19" s="1619"/>
      <c r="K19" s="1619"/>
      <c r="L19" s="1606">
        <f>+L15-L17</f>
        <v>57761.137837519054</v>
      </c>
      <c r="M19" s="1614"/>
      <c r="N19" s="1621">
        <f>-L19</f>
        <v>-57761.137837519054</v>
      </c>
      <c r="O19" s="507" t="s">
        <v>1979</v>
      </c>
    </row>
    <row r="20" spans="1:16" ht="15" thickBot="1">
      <c r="A20" s="1529" t="s">
        <v>1980</v>
      </c>
      <c r="B20" s="1658" t="s">
        <v>1981</v>
      </c>
      <c r="C20" s="1599">
        <v>649585</v>
      </c>
      <c r="D20" s="1615">
        <v>32666.520000000004</v>
      </c>
      <c r="E20" s="1615">
        <v>1709.3999999999999</v>
      </c>
      <c r="G20" s="1628"/>
      <c r="H20" s="1629"/>
      <c r="I20" s="1629"/>
      <c r="J20" s="1629"/>
      <c r="K20" s="1629"/>
      <c r="L20" s="1629"/>
      <c r="M20" s="1630"/>
      <c r="N20" s="1624"/>
    </row>
    <row r="21" spans="1:16" ht="14.25">
      <c r="A21" s="1529" t="s">
        <v>1982</v>
      </c>
      <c r="B21" s="1658" t="s">
        <v>1282</v>
      </c>
      <c r="C21" s="1599">
        <v>17140779</v>
      </c>
      <c r="D21" s="1615">
        <v>1102.1300000000001</v>
      </c>
      <c r="E21" s="1615" t="s">
        <v>1957</v>
      </c>
      <c r="L21" s="1603"/>
      <c r="N21" s="1621">
        <f>+N19-N16</f>
        <v>-2082.8735212063766</v>
      </c>
      <c r="O21" s="507" t="s">
        <v>1983</v>
      </c>
    </row>
    <row r="22" spans="1:16" ht="12.75">
      <c r="A22" s="1529" t="s">
        <v>1984</v>
      </c>
      <c r="B22" s="1658" t="s">
        <v>1985</v>
      </c>
      <c r="C22" s="1604">
        <v>1289896</v>
      </c>
      <c r="D22" s="1626" t="s">
        <v>1957</v>
      </c>
      <c r="E22" s="1626" t="s">
        <v>1957</v>
      </c>
    </row>
    <row r="23" spans="1:16" ht="12.75">
      <c r="A23" s="1529" t="s">
        <v>1986</v>
      </c>
      <c r="B23" s="1658" t="s">
        <v>1987</v>
      </c>
      <c r="C23" s="1604">
        <v>3505167</v>
      </c>
      <c r="D23" s="1626" t="s">
        <v>1957</v>
      </c>
      <c r="E23" s="1626" t="s">
        <v>1957</v>
      </c>
    </row>
    <row r="24" spans="1:16" ht="12.75">
      <c r="A24" s="1529" t="s">
        <v>1988</v>
      </c>
      <c r="B24" s="1641" t="s">
        <v>1989</v>
      </c>
      <c r="C24" s="1604">
        <v>3692</v>
      </c>
      <c r="D24" s="1626" t="s">
        <v>1957</v>
      </c>
      <c r="E24" s="1632" t="s">
        <v>1957</v>
      </c>
    </row>
    <row r="25" spans="1:16" ht="18">
      <c r="A25" s="1529" t="s">
        <v>1990</v>
      </c>
      <c r="B25" s="1658" t="s">
        <v>1991</v>
      </c>
      <c r="C25" s="1633">
        <v>0</v>
      </c>
      <c r="D25" s="1626" t="s">
        <v>1957</v>
      </c>
      <c r="E25" s="1634">
        <v>54903.44</v>
      </c>
      <c r="F25" s="507" t="s">
        <v>1992</v>
      </c>
    </row>
    <row r="26" spans="1:16">
      <c r="A26" s="1529" t="s">
        <v>1993</v>
      </c>
      <c r="B26" s="1641" t="s">
        <v>1291</v>
      </c>
      <c r="C26" s="1635">
        <v>0</v>
      </c>
      <c r="D26" s="1636" t="s">
        <v>1957</v>
      </c>
      <c r="E26" s="1636">
        <v>87108.46</v>
      </c>
    </row>
    <row r="27" spans="1:16" ht="13.5" thickBot="1">
      <c r="A27" s="1529" t="s">
        <v>1994</v>
      </c>
      <c r="B27" s="1658" t="s">
        <v>1995</v>
      </c>
      <c r="C27" s="1599">
        <v>779854</v>
      </c>
      <c r="D27" s="1615" t="s">
        <v>1957</v>
      </c>
      <c r="E27" s="1615" t="s">
        <v>1957</v>
      </c>
    </row>
    <row r="28" spans="1:16" ht="12.75">
      <c r="A28" s="1529" t="s">
        <v>1996</v>
      </c>
      <c r="B28" s="1658" t="s">
        <v>1997</v>
      </c>
      <c r="C28" s="1599">
        <v>66038</v>
      </c>
      <c r="D28" s="1615" t="s">
        <v>1957</v>
      </c>
      <c r="E28" s="1615" t="s">
        <v>1957</v>
      </c>
      <c r="G28" s="1608"/>
      <c r="H28" s="1609"/>
      <c r="I28" s="1609"/>
      <c r="J28" s="1609"/>
      <c r="K28" s="1609"/>
      <c r="L28" s="1609"/>
      <c r="M28" s="1610"/>
    </row>
    <row r="29" spans="1:16" ht="12.75">
      <c r="A29" s="1529" t="s">
        <v>1998</v>
      </c>
      <c r="B29" s="1658" t="s">
        <v>1294</v>
      </c>
      <c r="C29" s="1604">
        <v>712446</v>
      </c>
      <c r="D29" s="1626" t="s">
        <v>1957</v>
      </c>
      <c r="E29" s="1626">
        <v>12855.119999999999</v>
      </c>
      <c r="G29" s="1611"/>
      <c r="H29" s="1612" t="s">
        <v>1890</v>
      </c>
      <c r="I29" s="1613" t="s">
        <v>1836</v>
      </c>
      <c r="J29" s="1613" t="s">
        <v>1951</v>
      </c>
      <c r="K29" s="1613" t="s">
        <v>488</v>
      </c>
      <c r="L29" s="1613" t="s">
        <v>1952</v>
      </c>
      <c r="M29" s="1614"/>
    </row>
    <row r="30" spans="1:16" ht="12.75">
      <c r="A30" s="1529" t="s">
        <v>1999</v>
      </c>
      <c r="B30" s="1658" t="s">
        <v>1295</v>
      </c>
      <c r="C30" s="1604">
        <v>2442486</v>
      </c>
      <c r="D30" s="1626" t="s">
        <v>1957</v>
      </c>
      <c r="E30" s="1626" t="s">
        <v>1957</v>
      </c>
      <c r="G30" s="1611"/>
      <c r="H30" s="1616">
        <v>4172</v>
      </c>
      <c r="I30" s="1617">
        <f>+'[24]Essbase Mgmt Fee'!C33</f>
        <v>8.1674482553220865E-2</v>
      </c>
      <c r="J30" s="1617">
        <f>I30*(J15/I15)</f>
        <v>1.0105400237214341E-2</v>
      </c>
      <c r="K30" s="1617">
        <f>I30*(K15/I15)</f>
        <v>4.0355988054901395E-3</v>
      </c>
      <c r="L30" s="1618">
        <f>+'[24]Essbase Mgmt Fee'!B33</f>
        <v>1034611.93</v>
      </c>
      <c r="M30" s="1614"/>
    </row>
    <row r="31" spans="1:16" ht="12.75">
      <c r="A31" s="1529" t="s">
        <v>2000</v>
      </c>
      <c r="B31" s="1658" t="s">
        <v>1296</v>
      </c>
      <c r="C31" s="1604">
        <v>427339</v>
      </c>
      <c r="D31" s="1626" t="s">
        <v>1957</v>
      </c>
      <c r="E31" s="1626">
        <v>15326.51</v>
      </c>
      <c r="G31" s="1611"/>
      <c r="H31" s="1619"/>
      <c r="I31" s="1597"/>
      <c r="J31" s="1620"/>
      <c r="K31" s="1620"/>
      <c r="L31" s="1620"/>
      <c r="M31" s="1614"/>
      <c r="O31" s="1659"/>
      <c r="P31" s="1659"/>
    </row>
    <row r="32" spans="1:16" ht="12.75">
      <c r="A32" s="1529" t="s">
        <v>2001</v>
      </c>
      <c r="B32" s="1658" t="s">
        <v>1300</v>
      </c>
      <c r="C32" s="1604">
        <v>624404</v>
      </c>
      <c r="D32" s="1626" t="s">
        <v>1957</v>
      </c>
      <c r="E32" s="1626">
        <v>21951.89</v>
      </c>
      <c r="G32" s="1611"/>
      <c r="H32" s="1619" t="s">
        <v>1973</v>
      </c>
      <c r="I32" s="1622">
        <f>-E$6*I30</f>
        <v>192711.71095795027</v>
      </c>
      <c r="J32" s="1622">
        <f>-D$6*J30</f>
        <v>79813.596722743736</v>
      </c>
      <c r="K32" s="1622">
        <f>-C$6*K30</f>
        <v>637732.90026585327</v>
      </c>
      <c r="L32" s="1623">
        <f>SUM(I32:K32)</f>
        <v>910258.20794654731</v>
      </c>
      <c r="M32" s="1614"/>
      <c r="P32" s="1603"/>
    </row>
    <row r="33" spans="1:13" ht="12.75">
      <c r="A33" s="1529" t="s">
        <v>2002</v>
      </c>
      <c r="B33" s="1658" t="s">
        <v>1301</v>
      </c>
      <c r="C33" s="1604">
        <v>193687</v>
      </c>
      <c r="D33" s="1626" t="s">
        <v>1957</v>
      </c>
      <c r="E33" s="1626">
        <v>1420.0899999999997</v>
      </c>
      <c r="G33" s="1611"/>
      <c r="H33" s="1619"/>
      <c r="I33" s="1619"/>
      <c r="J33" s="1619"/>
      <c r="K33" s="1619"/>
      <c r="L33" s="1619"/>
      <c r="M33" s="1614"/>
    </row>
    <row r="34" spans="1:13" ht="12.75">
      <c r="A34" s="1529" t="s">
        <v>2003</v>
      </c>
      <c r="B34" s="1641" t="s">
        <v>1302</v>
      </c>
      <c r="C34" s="1604">
        <v>3180</v>
      </c>
      <c r="D34" s="1626" t="s">
        <v>1957</v>
      </c>
      <c r="E34" s="1626">
        <v>6000</v>
      </c>
      <c r="G34" s="1611"/>
      <c r="H34" s="1619"/>
      <c r="I34" s="1627">
        <f>+I23</f>
        <v>0</v>
      </c>
      <c r="J34" s="1619"/>
      <c r="K34" s="1619"/>
      <c r="L34" s="1606">
        <f>+L30-L32</f>
        <v>124353.72205345274</v>
      </c>
      <c r="M34" s="1614"/>
    </row>
    <row r="35" spans="1:13" ht="13.5" thickBot="1">
      <c r="A35" s="1529" t="s">
        <v>2004</v>
      </c>
      <c r="B35" s="1658" t="s">
        <v>1303</v>
      </c>
      <c r="C35" s="1604">
        <v>845463</v>
      </c>
      <c r="D35" s="1626" t="s">
        <v>1957</v>
      </c>
      <c r="E35" s="1626">
        <v>3810</v>
      </c>
      <c r="G35" s="1628"/>
      <c r="H35" s="1629"/>
      <c r="I35" s="1629"/>
      <c r="J35" s="1629"/>
      <c r="K35" s="1629"/>
      <c r="L35" s="1629"/>
      <c r="M35" s="1630"/>
    </row>
    <row r="36" spans="1:13" ht="12.75">
      <c r="A36" s="1529" t="s">
        <v>2005</v>
      </c>
      <c r="B36" s="1641" t="s">
        <v>2006</v>
      </c>
      <c r="C36" s="1604">
        <v>0</v>
      </c>
      <c r="D36" s="1626" t="s">
        <v>1957</v>
      </c>
      <c r="E36" s="1626">
        <v>37838.799999999996</v>
      </c>
      <c r="L36" s="1603"/>
    </row>
    <row r="37" spans="1:13" ht="12.75">
      <c r="A37" s="1529" t="s">
        <v>2007</v>
      </c>
      <c r="B37" s="1658" t="s">
        <v>1304</v>
      </c>
      <c r="C37" s="1604">
        <v>176109</v>
      </c>
      <c r="D37" s="1626" t="s">
        <v>1957</v>
      </c>
      <c r="E37" s="1626">
        <v>5940</v>
      </c>
    </row>
    <row r="38" spans="1:13" ht="12.75">
      <c r="A38" s="1529" t="s">
        <v>2008</v>
      </c>
      <c r="B38" s="1658" t="s">
        <v>1305</v>
      </c>
      <c r="C38" s="1604">
        <v>16536</v>
      </c>
      <c r="D38" s="1626" t="s">
        <v>1957</v>
      </c>
      <c r="E38" s="1626" t="s">
        <v>1957</v>
      </c>
    </row>
    <row r="39" spans="1:13" ht="13.5" thickBot="1">
      <c r="A39" s="1529" t="s">
        <v>2009</v>
      </c>
      <c r="B39" s="1658" t="s">
        <v>2010</v>
      </c>
      <c r="C39" s="1604">
        <v>9564</v>
      </c>
      <c r="D39" s="1626" t="s">
        <v>1957</v>
      </c>
      <c r="E39" s="1626" t="s">
        <v>1957</v>
      </c>
      <c r="G39" s="2254" t="s">
        <v>2149</v>
      </c>
      <c r="H39" s="2254"/>
      <c r="I39" s="2254"/>
      <c r="J39" s="2254"/>
      <c r="K39" s="2254"/>
      <c r="L39" s="2254"/>
      <c r="M39" s="2254"/>
    </row>
    <row r="40" spans="1:13" ht="12.75">
      <c r="A40" s="1529" t="s">
        <v>2011</v>
      </c>
      <c r="B40" s="1658" t="s">
        <v>1306</v>
      </c>
      <c r="C40" s="1604">
        <v>1692</v>
      </c>
      <c r="D40" s="1626" t="s">
        <v>1957</v>
      </c>
      <c r="E40" s="1626" t="s">
        <v>1957</v>
      </c>
      <c r="G40" s="1660"/>
      <c r="H40" s="1661"/>
      <c r="I40" s="1661"/>
      <c r="J40" s="1661"/>
      <c r="K40" s="1661"/>
      <c r="L40" s="1661"/>
      <c r="M40" s="1662"/>
    </row>
    <row r="41" spans="1:13" ht="12.75">
      <c r="A41" s="1529" t="s">
        <v>2012</v>
      </c>
      <c r="B41" s="1658" t="s">
        <v>1307</v>
      </c>
      <c r="C41" s="1604">
        <v>16440</v>
      </c>
      <c r="D41" s="1626" t="s">
        <v>1957</v>
      </c>
      <c r="E41" s="1626" t="s">
        <v>1957</v>
      </c>
      <c r="G41" s="1663"/>
      <c r="H41" s="1664" t="s">
        <v>1890</v>
      </c>
      <c r="I41" s="1665" t="s">
        <v>1836</v>
      </c>
      <c r="J41" s="1665" t="s">
        <v>1951</v>
      </c>
      <c r="K41" s="1665" t="s">
        <v>488</v>
      </c>
      <c r="L41" s="1665" t="s">
        <v>1952</v>
      </c>
      <c r="M41" s="1666"/>
    </row>
    <row r="42" spans="1:13" ht="12.75">
      <c r="A42" s="1529" t="s">
        <v>2013</v>
      </c>
      <c r="B42" s="1658" t="s">
        <v>1309</v>
      </c>
      <c r="C42" s="1604">
        <v>2652</v>
      </c>
      <c r="D42" s="1626" t="s">
        <v>1957</v>
      </c>
      <c r="E42" s="1626" t="s">
        <v>1957</v>
      </c>
      <c r="G42" s="1663"/>
      <c r="H42" s="1667">
        <v>4172</v>
      </c>
      <c r="I42" s="1668">
        <f>'[24]2014 BUD CC Pull'!S10</f>
        <v>7.3149256790848077E-2</v>
      </c>
      <c r="J42" s="1668">
        <f>'[24]2014 BUD CC Pull'!S9</f>
        <v>8.9222598624068422E-3</v>
      </c>
      <c r="K42" s="1668">
        <f>'[24]2014 BUD CC Pull'!S8</f>
        <v>3.6151871736498265E-3</v>
      </c>
      <c r="L42" s="1669">
        <f>'[24]Essbase Mgmt Fee'!B33</f>
        <v>1034611.93</v>
      </c>
      <c r="M42" s="1666"/>
    </row>
    <row r="43" spans="1:13" ht="12.75">
      <c r="A43" s="1529" t="s">
        <v>2014</v>
      </c>
      <c r="B43" s="1658" t="s">
        <v>2015</v>
      </c>
      <c r="C43" s="1604">
        <v>453176</v>
      </c>
      <c r="D43" s="1626" t="s">
        <v>1957</v>
      </c>
      <c r="E43" s="1626" t="s">
        <v>1957</v>
      </c>
      <c r="G43" s="1663"/>
      <c r="H43" s="1475"/>
      <c r="I43" s="1670"/>
      <c r="J43" s="1671"/>
      <c r="K43" s="1671"/>
      <c r="L43" s="1671"/>
      <c r="M43" s="1666"/>
    </row>
    <row r="44" spans="1:13" ht="12.75">
      <c r="A44" s="1529" t="s">
        <v>2016</v>
      </c>
      <c r="B44" s="1658" t="s">
        <v>1008</v>
      </c>
      <c r="C44" s="1599">
        <v>500000</v>
      </c>
      <c r="D44" s="1615">
        <v>4240016.84</v>
      </c>
      <c r="E44" s="1615">
        <v>1292240.57</v>
      </c>
      <c r="G44" s="1663"/>
      <c r="H44" s="1475" t="s">
        <v>1973</v>
      </c>
      <c r="I44" s="1672">
        <f>-E$6*I42</f>
        <v>172596.360464005</v>
      </c>
      <c r="J44" s="1672">
        <f>-D$6*J42</f>
        <v>70469.01990988983</v>
      </c>
      <c r="K44" s="1672">
        <f>-C$6*K42</f>
        <v>571296.58134478552</v>
      </c>
      <c r="L44" s="1673">
        <f>SUM(I44:K44)</f>
        <v>814361.96171868034</v>
      </c>
      <c r="M44" s="1666"/>
    </row>
    <row r="45" spans="1:13" ht="12.75">
      <c r="A45" s="1529" t="s">
        <v>2017</v>
      </c>
      <c r="B45" s="1658" t="s">
        <v>2018</v>
      </c>
      <c r="C45" s="1599">
        <v>36661063</v>
      </c>
      <c r="D45" s="1615" t="s">
        <v>1957</v>
      </c>
      <c r="E45" s="1615" t="s">
        <v>1957</v>
      </c>
      <c r="G45" s="1663"/>
      <c r="H45" s="1475"/>
      <c r="I45" s="1475"/>
      <c r="J45" s="1475"/>
      <c r="K45" s="1475"/>
      <c r="L45" s="1475"/>
      <c r="M45" s="1666"/>
    </row>
    <row r="46" spans="1:13" ht="12.75">
      <c r="A46" s="1529" t="s">
        <v>2019</v>
      </c>
      <c r="B46" s="1658" t="s">
        <v>2020</v>
      </c>
      <c r="C46" s="1599">
        <v>0</v>
      </c>
      <c r="D46" s="1615" t="s">
        <v>1957</v>
      </c>
      <c r="E46" s="1615" t="s">
        <v>1957</v>
      </c>
      <c r="G46" s="1663"/>
      <c r="H46" s="1475"/>
      <c r="I46" s="1674">
        <f>+I35</f>
        <v>0</v>
      </c>
      <c r="J46" s="1475"/>
      <c r="K46" s="1475"/>
      <c r="L46" s="1675">
        <f>+L42-L44</f>
        <v>220249.96828131971</v>
      </c>
      <c r="M46" s="1666"/>
    </row>
    <row r="47" spans="1:13" ht="13.5" thickBot="1">
      <c r="A47" s="1529" t="s">
        <v>2021</v>
      </c>
      <c r="B47" s="1658" t="s">
        <v>1311</v>
      </c>
      <c r="C47" s="1599">
        <v>8000</v>
      </c>
      <c r="D47" s="1615" t="s">
        <v>1957</v>
      </c>
      <c r="E47" s="1615">
        <v>273741.57999999996</v>
      </c>
      <c r="G47" s="1676"/>
      <c r="H47" s="1677"/>
      <c r="I47" s="1677"/>
      <c r="J47" s="1677"/>
      <c r="K47" s="1677"/>
      <c r="L47" s="1677"/>
      <c r="M47" s="1678"/>
    </row>
    <row r="48" spans="1:13" ht="12.75">
      <c r="A48" s="1529" t="s">
        <v>2022</v>
      </c>
      <c r="B48" s="1658" t="s">
        <v>2023</v>
      </c>
      <c r="C48" s="1599">
        <v>23407375</v>
      </c>
      <c r="D48" s="1615" t="s">
        <v>1957</v>
      </c>
      <c r="E48" s="1615" t="s">
        <v>1957</v>
      </c>
      <c r="L48" s="1603"/>
    </row>
    <row r="49" spans="1:10" ht="12.75">
      <c r="A49" s="1529" t="s">
        <v>2024</v>
      </c>
      <c r="B49" s="1658" t="s">
        <v>2025</v>
      </c>
      <c r="C49" s="1599">
        <v>274463</v>
      </c>
      <c r="D49" s="1615" t="s">
        <v>1957</v>
      </c>
      <c r="E49" s="1615" t="s">
        <v>1957</v>
      </c>
    </row>
    <row r="50" spans="1:10" ht="12.75">
      <c r="A50" s="1529" t="s">
        <v>2026</v>
      </c>
      <c r="B50" s="1658" t="s">
        <v>2027</v>
      </c>
      <c r="C50" s="1599">
        <v>0</v>
      </c>
      <c r="D50" s="1615" t="s">
        <v>1957</v>
      </c>
      <c r="E50" s="1615" t="s">
        <v>1957</v>
      </c>
    </row>
    <row r="51" spans="1:10" ht="12.75">
      <c r="A51" s="1529" t="s">
        <v>2028</v>
      </c>
      <c r="B51" s="1658" t="s">
        <v>1312</v>
      </c>
      <c r="C51" s="1599">
        <v>220000</v>
      </c>
      <c r="D51" s="1615">
        <v>36000</v>
      </c>
      <c r="E51" s="1615">
        <v>4500</v>
      </c>
      <c r="I51" t="s">
        <v>2150</v>
      </c>
    </row>
    <row r="52" spans="1:10" ht="12.75">
      <c r="A52" s="1529" t="s">
        <v>2029</v>
      </c>
      <c r="B52" s="1658" t="s">
        <v>1313</v>
      </c>
      <c r="C52" s="1604">
        <v>1486752</v>
      </c>
      <c r="D52" s="1626" t="s">
        <v>1957</v>
      </c>
      <c r="E52" s="1626" t="s">
        <v>1957</v>
      </c>
      <c r="I52" t="s">
        <v>2151</v>
      </c>
    </row>
    <row r="53" spans="1:10" ht="12.75">
      <c r="A53" s="1529" t="s">
        <v>2030</v>
      </c>
      <c r="B53" s="1658" t="s">
        <v>1009</v>
      </c>
      <c r="C53" s="1604">
        <v>16953849</v>
      </c>
      <c r="D53" s="1604">
        <v>1835640.48</v>
      </c>
      <c r="E53" s="1604">
        <v>411687</v>
      </c>
      <c r="I53" t="s">
        <v>2152</v>
      </c>
    </row>
    <row r="54" spans="1:10" ht="12.75">
      <c r="A54" s="1529" t="s">
        <v>2031</v>
      </c>
      <c r="B54" s="1658" t="s">
        <v>2032</v>
      </c>
      <c r="C54" s="1599">
        <v>6433080</v>
      </c>
      <c r="D54" s="1615">
        <v>1352304</v>
      </c>
      <c r="E54" s="1615" t="s">
        <v>1957</v>
      </c>
      <c r="I54" t="s">
        <v>2153</v>
      </c>
    </row>
    <row r="55" spans="1:10" ht="12.75">
      <c r="A55" s="1529" t="s">
        <v>2033</v>
      </c>
      <c r="B55" s="1658" t="s">
        <v>2034</v>
      </c>
      <c r="C55" s="1604">
        <v>5760446</v>
      </c>
      <c r="D55" s="1604">
        <v>3233160</v>
      </c>
      <c r="E55" s="1626" t="s">
        <v>1957</v>
      </c>
      <c r="I55" t="s">
        <v>2154</v>
      </c>
    </row>
    <row r="56" spans="1:10" ht="12.75">
      <c r="A56" s="1529" t="s">
        <v>2035</v>
      </c>
      <c r="B56" s="1658" t="s">
        <v>2036</v>
      </c>
      <c r="C56" s="1604">
        <v>5254601</v>
      </c>
      <c r="D56" s="1626" t="s">
        <v>1957</v>
      </c>
      <c r="E56" s="1626" t="s">
        <v>1957</v>
      </c>
    </row>
    <row r="57" spans="1:10" ht="12.75">
      <c r="A57" s="1529" t="s">
        <v>2037</v>
      </c>
      <c r="B57" s="1658" t="s">
        <v>2038</v>
      </c>
      <c r="C57" s="1599">
        <v>1145000</v>
      </c>
      <c r="D57" s="1615" t="s">
        <v>1957</v>
      </c>
      <c r="E57" s="1615" t="s">
        <v>1957</v>
      </c>
      <c r="I57" s="2255" t="s">
        <v>2473</v>
      </c>
      <c r="J57" s="2255"/>
    </row>
    <row r="58" spans="1:10" ht="12.75">
      <c r="A58" s="1529" t="s">
        <v>2039</v>
      </c>
      <c r="B58" s="1658" t="s">
        <v>1314</v>
      </c>
      <c r="C58" s="1637">
        <v>4376625</v>
      </c>
      <c r="D58" s="1638">
        <v>278000</v>
      </c>
      <c r="E58" s="1638">
        <v>148982.17000000001</v>
      </c>
    </row>
    <row r="59" spans="1:10" ht="12.75">
      <c r="A59" s="1529" t="s">
        <v>2040</v>
      </c>
      <c r="B59" s="1658" t="s">
        <v>2041</v>
      </c>
      <c r="C59" s="1599">
        <v>0</v>
      </c>
      <c r="D59" s="1615" t="s">
        <v>1957</v>
      </c>
      <c r="E59" s="1615" t="s">
        <v>1957</v>
      </c>
      <c r="I59" s="2256" t="s">
        <v>2474</v>
      </c>
      <c r="J59" s="2256"/>
    </row>
    <row r="60" spans="1:10" ht="12.75">
      <c r="A60" s="1529" t="s">
        <v>2042</v>
      </c>
      <c r="B60" s="1658" t="s">
        <v>1315</v>
      </c>
      <c r="C60" s="1599">
        <v>0</v>
      </c>
      <c r="D60" s="1615" t="s">
        <v>1957</v>
      </c>
      <c r="E60" s="1615" t="s">
        <v>1957</v>
      </c>
    </row>
    <row r="61" spans="1:10" ht="12.75">
      <c r="A61" s="1529" t="s">
        <v>2043</v>
      </c>
      <c r="B61" s="1658" t="s">
        <v>1316</v>
      </c>
      <c r="C61" s="1599">
        <v>0</v>
      </c>
      <c r="D61" s="1615" t="s">
        <v>1957</v>
      </c>
      <c r="E61" s="1615" t="s">
        <v>1957</v>
      </c>
    </row>
    <row r="62" spans="1:10" ht="12.75">
      <c r="A62" s="1529" t="s">
        <v>2044</v>
      </c>
      <c r="B62" s="1658" t="s">
        <v>2045</v>
      </c>
      <c r="C62" s="1599">
        <v>322875</v>
      </c>
      <c r="D62" s="1615" t="s">
        <v>1957</v>
      </c>
      <c r="E62" s="1615" t="s">
        <v>1957</v>
      </c>
    </row>
    <row r="63" spans="1:10" ht="12.75">
      <c r="A63" s="1529" t="s">
        <v>2046</v>
      </c>
      <c r="B63" s="1658" t="s">
        <v>1317</v>
      </c>
      <c r="C63" s="1599">
        <v>5118184</v>
      </c>
      <c r="D63" s="1615">
        <v>163125</v>
      </c>
      <c r="E63" s="1615">
        <v>122818.43</v>
      </c>
    </row>
    <row r="64" spans="1:10" ht="12.75">
      <c r="A64" s="1529" t="s">
        <v>2047</v>
      </c>
      <c r="B64" s="1658" t="s">
        <v>1318</v>
      </c>
      <c r="C64" s="1599">
        <v>2526306</v>
      </c>
      <c r="D64" s="1615">
        <v>147000</v>
      </c>
      <c r="E64" s="1615">
        <v>43638.96</v>
      </c>
    </row>
    <row r="65" spans="1:9" ht="12.75">
      <c r="A65" s="1529" t="s">
        <v>2048</v>
      </c>
      <c r="B65" s="1658" t="s">
        <v>2049</v>
      </c>
      <c r="C65" s="1639">
        <v>1696900</v>
      </c>
      <c r="D65" s="1640" t="s">
        <v>1957</v>
      </c>
      <c r="E65" s="1640">
        <v>15000</v>
      </c>
    </row>
    <row r="66" spans="1:9" ht="12.75">
      <c r="A66" s="1529" t="s">
        <v>2050</v>
      </c>
      <c r="B66" s="1658" t="s">
        <v>1319</v>
      </c>
      <c r="C66" s="1599">
        <v>589255</v>
      </c>
      <c r="D66" s="1615">
        <v>40000</v>
      </c>
      <c r="E66" s="1615">
        <v>55000</v>
      </c>
    </row>
    <row r="67" spans="1:9" ht="12.75">
      <c r="A67" s="1529" t="s">
        <v>2051</v>
      </c>
      <c r="B67" s="1658" t="s">
        <v>1320</v>
      </c>
      <c r="C67" s="1604">
        <v>9108</v>
      </c>
      <c r="D67" s="1626" t="s">
        <v>1957</v>
      </c>
      <c r="E67" s="1626" t="s">
        <v>1957</v>
      </c>
    </row>
    <row r="68" spans="1:9">
      <c r="A68" s="1529" t="s">
        <v>2052</v>
      </c>
      <c r="B68" s="1641" t="s">
        <v>1321</v>
      </c>
      <c r="C68" s="1599">
        <v>70054</v>
      </c>
      <c r="D68" s="1615">
        <v>600</v>
      </c>
      <c r="E68" s="1615">
        <v>19200</v>
      </c>
    </row>
    <row r="69" spans="1:9" ht="12.75">
      <c r="A69" s="1529" t="s">
        <v>2053</v>
      </c>
      <c r="B69" s="1658" t="s">
        <v>1322</v>
      </c>
      <c r="C69" s="1599">
        <v>3221032</v>
      </c>
      <c r="D69" s="1615">
        <v>369876</v>
      </c>
      <c r="E69" s="1615">
        <v>89328.270000000019</v>
      </c>
    </row>
    <row r="70" spans="1:9" ht="12.75">
      <c r="A70" s="1529" t="s">
        <v>2054</v>
      </c>
      <c r="B70" s="1658" t="s">
        <v>2055</v>
      </c>
      <c r="C70" s="1599">
        <v>0</v>
      </c>
      <c r="D70" s="1615" t="s">
        <v>1957</v>
      </c>
      <c r="E70" s="1615" t="s">
        <v>1957</v>
      </c>
    </row>
    <row r="71" spans="1:9" ht="12.75">
      <c r="A71" s="1529" t="s">
        <v>2056</v>
      </c>
      <c r="B71" s="1658" t="s">
        <v>1323</v>
      </c>
      <c r="C71" s="1599">
        <v>739893</v>
      </c>
      <c r="D71" s="1615">
        <v>118096</v>
      </c>
      <c r="E71" s="1615">
        <v>15030</v>
      </c>
    </row>
    <row r="72" spans="1:9" ht="12.75">
      <c r="A72" s="1529" t="s">
        <v>2057</v>
      </c>
      <c r="B72" s="1658" t="s">
        <v>1324</v>
      </c>
      <c r="C72" s="1599">
        <v>183969</v>
      </c>
      <c r="D72" s="1615">
        <v>24000</v>
      </c>
      <c r="E72" s="1615">
        <v>17000.04</v>
      </c>
    </row>
    <row r="73" spans="1:9" ht="12.75">
      <c r="A73" s="1529" t="s">
        <v>2058</v>
      </c>
      <c r="B73" s="1658" t="s">
        <v>1325</v>
      </c>
      <c r="C73" s="1599">
        <v>41580</v>
      </c>
      <c r="D73" s="1615">
        <v>2400</v>
      </c>
      <c r="E73" s="1615">
        <v>1200</v>
      </c>
    </row>
    <row r="74" spans="1:9" ht="12.75">
      <c r="A74" s="1529" t="s">
        <v>2059</v>
      </c>
      <c r="B74" s="1658" t="s">
        <v>1326</v>
      </c>
      <c r="C74" s="1599">
        <v>727991</v>
      </c>
      <c r="D74" s="1615">
        <v>1800</v>
      </c>
      <c r="E74" s="1615">
        <v>30000</v>
      </c>
    </row>
    <row r="75" spans="1:9">
      <c r="A75" s="1529" t="s">
        <v>2060</v>
      </c>
      <c r="B75" s="1641" t="s">
        <v>2061</v>
      </c>
      <c r="C75" s="1599">
        <v>744</v>
      </c>
      <c r="D75" s="1615" t="s">
        <v>1957</v>
      </c>
      <c r="E75" s="1615" t="s">
        <v>1957</v>
      </c>
    </row>
    <row r="76" spans="1:9" ht="12.75">
      <c r="A76" s="1529" t="s">
        <v>2062</v>
      </c>
      <c r="B76" s="1658" t="s">
        <v>1327</v>
      </c>
      <c r="C76" s="1679">
        <v>841122</v>
      </c>
      <c r="D76" s="1680">
        <v>6000</v>
      </c>
      <c r="E76" s="1680">
        <f>20000</f>
        <v>20000</v>
      </c>
      <c r="H76" s="1139"/>
      <c r="I76" s="1139"/>
    </row>
    <row r="77" spans="1:9" ht="12.75">
      <c r="A77" s="1529" t="s">
        <v>2063</v>
      </c>
      <c r="B77" s="1658" t="s">
        <v>1328</v>
      </c>
      <c r="C77" s="1599">
        <v>9584715</v>
      </c>
      <c r="D77" s="1615">
        <v>42000</v>
      </c>
      <c r="E77" s="1615">
        <v>14400</v>
      </c>
    </row>
    <row r="78" spans="1:9" ht="12.75">
      <c r="A78" s="1529" t="s">
        <v>2064</v>
      </c>
      <c r="B78" s="1658" t="s">
        <v>2065</v>
      </c>
      <c r="C78" s="1599">
        <v>-8486784</v>
      </c>
      <c r="D78" s="1615" t="s">
        <v>1957</v>
      </c>
      <c r="E78" s="1615" t="s">
        <v>1957</v>
      </c>
    </row>
    <row r="79" spans="1:9" ht="12.75">
      <c r="A79" s="1529" t="s">
        <v>2066</v>
      </c>
      <c r="B79" s="1658" t="s">
        <v>1010</v>
      </c>
      <c r="C79" s="1599">
        <v>5669065</v>
      </c>
      <c r="D79" s="1615">
        <v>12000</v>
      </c>
      <c r="E79" s="1615">
        <v>6000</v>
      </c>
    </row>
    <row r="80" spans="1:9" ht="12.75">
      <c r="A80" s="1529" t="s">
        <v>2067</v>
      </c>
      <c r="B80" s="1658" t="s">
        <v>2068</v>
      </c>
      <c r="C80" s="1599">
        <v>-4482360</v>
      </c>
      <c r="D80" s="1615" t="s">
        <v>1957</v>
      </c>
      <c r="E80" s="1615" t="s">
        <v>1957</v>
      </c>
    </row>
    <row r="81" spans="1:5" ht="12.75">
      <c r="A81" s="1529" t="s">
        <v>2069</v>
      </c>
      <c r="B81" s="1658" t="s">
        <v>1011</v>
      </c>
      <c r="C81" s="1599">
        <v>443700</v>
      </c>
      <c r="D81" s="1615" t="s">
        <v>1957</v>
      </c>
      <c r="E81" s="1615">
        <v>1500</v>
      </c>
    </row>
    <row r="82" spans="1:5" ht="12.75">
      <c r="A82" s="1529" t="s">
        <v>2070</v>
      </c>
      <c r="B82" s="1658" t="s">
        <v>1330</v>
      </c>
      <c r="C82" s="1599">
        <v>635400</v>
      </c>
      <c r="D82" s="1615" t="s">
        <v>1957</v>
      </c>
      <c r="E82" s="1615" t="s">
        <v>1957</v>
      </c>
    </row>
    <row r="83" spans="1:5" ht="12.75">
      <c r="A83" s="1529" t="s">
        <v>2071</v>
      </c>
      <c r="B83" s="1658" t="s">
        <v>1012</v>
      </c>
      <c r="C83" s="1599">
        <v>-276414</v>
      </c>
      <c r="D83" s="1615">
        <v>469032</v>
      </c>
      <c r="E83" s="1615" t="s">
        <v>1957</v>
      </c>
    </row>
    <row r="84" spans="1:5" ht="12.75">
      <c r="A84" s="1529" t="s">
        <v>2072</v>
      </c>
      <c r="B84" s="1658" t="s">
        <v>2073</v>
      </c>
      <c r="C84" s="1599">
        <v>5382292</v>
      </c>
      <c r="D84" s="1615" t="s">
        <v>1957</v>
      </c>
      <c r="E84" s="1615" t="s">
        <v>1957</v>
      </c>
    </row>
    <row r="85" spans="1:5" ht="12.75">
      <c r="A85" s="1529" t="s">
        <v>2074</v>
      </c>
      <c r="B85" s="1658" t="s">
        <v>2075</v>
      </c>
      <c r="C85" s="1599">
        <v>2280</v>
      </c>
      <c r="D85" s="1615" t="s">
        <v>1957</v>
      </c>
      <c r="E85" s="1615" t="s">
        <v>1957</v>
      </c>
    </row>
    <row r="86" spans="1:5" ht="12.75">
      <c r="A86" s="1529" t="s">
        <v>2076</v>
      </c>
      <c r="B86" s="1658" t="s">
        <v>2077</v>
      </c>
      <c r="C86" s="1599">
        <v>3691410</v>
      </c>
      <c r="D86" s="1615" t="s">
        <v>1957</v>
      </c>
      <c r="E86" s="1615" t="s">
        <v>1957</v>
      </c>
    </row>
    <row r="87" spans="1:5" ht="12.75">
      <c r="A87" s="1529" t="s">
        <v>2078</v>
      </c>
      <c r="B87" s="1658" t="s">
        <v>1331</v>
      </c>
      <c r="C87" s="1599">
        <v>0</v>
      </c>
      <c r="D87" s="1615" t="s">
        <v>1957</v>
      </c>
      <c r="E87" s="1615">
        <v>14400</v>
      </c>
    </row>
    <row r="88" spans="1:5" ht="12.75">
      <c r="A88" s="1529" t="s">
        <v>2079</v>
      </c>
      <c r="B88" s="1658" t="s">
        <v>1332</v>
      </c>
      <c r="C88" s="1604">
        <v>730000</v>
      </c>
      <c r="D88" s="1626" t="s">
        <v>1957</v>
      </c>
      <c r="E88" s="1626" t="s">
        <v>1957</v>
      </c>
    </row>
    <row r="89" spans="1:5" ht="12.75">
      <c r="A89" s="1529" t="s">
        <v>2080</v>
      </c>
      <c r="B89" s="1658" t="s">
        <v>2081</v>
      </c>
      <c r="C89" s="1604">
        <v>20400</v>
      </c>
      <c r="D89" s="1626" t="s">
        <v>1957</v>
      </c>
      <c r="E89" s="1626" t="s">
        <v>1957</v>
      </c>
    </row>
    <row r="90" spans="1:5" ht="12.75">
      <c r="A90" s="1529" t="s">
        <v>2082</v>
      </c>
      <c r="B90" s="1658" t="s">
        <v>1333</v>
      </c>
      <c r="C90" s="1599">
        <v>1216140</v>
      </c>
      <c r="D90" s="1615" t="s">
        <v>1957</v>
      </c>
      <c r="E90" s="1615">
        <v>6000</v>
      </c>
    </row>
    <row r="91" spans="1:5" ht="12.75">
      <c r="A91" s="1529" t="s">
        <v>2083</v>
      </c>
      <c r="B91" s="1658" t="s">
        <v>1334</v>
      </c>
      <c r="C91" s="1604">
        <v>1482850</v>
      </c>
      <c r="D91" s="1604">
        <v>94670.11</v>
      </c>
      <c r="E91" s="1604">
        <v>31500</v>
      </c>
    </row>
    <row r="92" spans="1:5" ht="12.75">
      <c r="A92" s="1529" t="s">
        <v>2084</v>
      </c>
      <c r="B92" s="1658" t="s">
        <v>2085</v>
      </c>
      <c r="C92" s="1599">
        <v>20040</v>
      </c>
      <c r="D92" s="1615" t="s">
        <v>1957</v>
      </c>
      <c r="E92" s="1615" t="s">
        <v>1957</v>
      </c>
    </row>
    <row r="93" spans="1:5" ht="12.75">
      <c r="A93" s="1529" t="s">
        <v>2086</v>
      </c>
      <c r="B93" s="1658" t="s">
        <v>1335</v>
      </c>
      <c r="C93" s="1599">
        <v>286962</v>
      </c>
      <c r="D93" s="1615" t="s">
        <v>1957</v>
      </c>
      <c r="E93" s="1615">
        <v>40000</v>
      </c>
    </row>
    <row r="94" spans="1:5" ht="12.75">
      <c r="A94" s="1529" t="s">
        <v>2087</v>
      </c>
      <c r="B94" s="1658" t="s">
        <v>2088</v>
      </c>
      <c r="C94" s="1599">
        <v>105160</v>
      </c>
      <c r="D94" s="1615" t="s">
        <v>1957</v>
      </c>
      <c r="E94" s="1615" t="s">
        <v>1957</v>
      </c>
    </row>
    <row r="95" spans="1:5" ht="12.75">
      <c r="A95" s="1529" t="s">
        <v>2089</v>
      </c>
      <c r="B95" s="1658" t="s">
        <v>1336</v>
      </c>
      <c r="C95" s="1599">
        <v>950451.84</v>
      </c>
      <c r="D95" s="1615" t="s">
        <v>1957</v>
      </c>
      <c r="E95" s="1615" t="s">
        <v>1957</v>
      </c>
    </row>
    <row r="96" spans="1:5">
      <c r="A96" s="1529" t="s">
        <v>2090</v>
      </c>
      <c r="B96" s="1641" t="s">
        <v>2091</v>
      </c>
      <c r="C96" s="1599">
        <v>21578.6</v>
      </c>
      <c r="D96" s="1615" t="s">
        <v>1957</v>
      </c>
      <c r="E96" s="1615" t="s">
        <v>1957</v>
      </c>
    </row>
    <row r="97" spans="1:5" ht="12.75">
      <c r="A97" s="1529" t="s">
        <v>2092</v>
      </c>
      <c r="B97" s="1658" t="s">
        <v>1337</v>
      </c>
      <c r="C97" s="1604">
        <v>9152840</v>
      </c>
      <c r="D97" s="1604">
        <v>30000</v>
      </c>
      <c r="E97" s="1604">
        <v>12000</v>
      </c>
    </row>
    <row r="98" spans="1:5" ht="12.75">
      <c r="A98" s="1529" t="s">
        <v>2093</v>
      </c>
      <c r="B98" s="1658" t="s">
        <v>2094</v>
      </c>
      <c r="C98" s="1599">
        <v>2044384</v>
      </c>
      <c r="D98" s="1615" t="s">
        <v>1957</v>
      </c>
      <c r="E98" s="1615" t="s">
        <v>1957</v>
      </c>
    </row>
    <row r="99" spans="1:5" ht="12.75">
      <c r="A99" s="1529" t="s">
        <v>2095</v>
      </c>
      <c r="B99" s="1658" t="s">
        <v>2096</v>
      </c>
      <c r="C99" s="1599">
        <v>2045000</v>
      </c>
      <c r="D99" s="1615" t="s">
        <v>1957</v>
      </c>
      <c r="E99" s="1615" t="s">
        <v>1957</v>
      </c>
    </row>
    <row r="100" spans="1:5" ht="12.75">
      <c r="A100" s="1529" t="s">
        <v>2097</v>
      </c>
      <c r="B100" s="1658" t="s">
        <v>1339</v>
      </c>
      <c r="C100" s="1604">
        <v>180000</v>
      </c>
      <c r="D100" s="1626" t="s">
        <v>1957</v>
      </c>
      <c r="E100" s="1626" t="s">
        <v>1957</v>
      </c>
    </row>
    <row r="101" spans="1:5" ht="12.75">
      <c r="A101" s="1529" t="s">
        <v>2098</v>
      </c>
      <c r="B101" s="1658" t="s">
        <v>1340</v>
      </c>
      <c r="C101" s="1599">
        <v>6216</v>
      </c>
      <c r="D101" s="1615">
        <v>780</v>
      </c>
      <c r="E101" s="1615">
        <v>594</v>
      </c>
    </row>
    <row r="102" spans="1:5" ht="12.75">
      <c r="A102" s="1529" t="s">
        <v>2099</v>
      </c>
      <c r="B102" s="1658" t="s">
        <v>1341</v>
      </c>
      <c r="C102" s="1599">
        <v>4332</v>
      </c>
      <c r="D102" s="1615" t="s">
        <v>1957</v>
      </c>
      <c r="E102" s="1615" t="s">
        <v>1957</v>
      </c>
    </row>
    <row r="103" spans="1:5" ht="12.75">
      <c r="A103" s="1529" t="s">
        <v>2100</v>
      </c>
      <c r="B103" s="1658" t="s">
        <v>1342</v>
      </c>
      <c r="C103" s="1599">
        <v>12563454</v>
      </c>
      <c r="D103" s="1615">
        <v>59832</v>
      </c>
      <c r="E103" s="1615">
        <v>89220</v>
      </c>
    </row>
    <row r="104" spans="1:5" ht="12.75">
      <c r="A104" s="1529" t="s">
        <v>2101</v>
      </c>
      <c r="B104" s="1658" t="s">
        <v>2102</v>
      </c>
      <c r="C104" s="1599">
        <v>0</v>
      </c>
      <c r="D104" s="1615" t="s">
        <v>1957</v>
      </c>
      <c r="E104" s="1615" t="s">
        <v>1957</v>
      </c>
    </row>
    <row r="105" spans="1:5" ht="12.75">
      <c r="A105" s="1529" t="s">
        <v>2103</v>
      </c>
      <c r="B105" s="1658" t="s">
        <v>2104</v>
      </c>
      <c r="C105" s="1599">
        <v>435935</v>
      </c>
      <c r="D105" s="1615">
        <v>9000</v>
      </c>
      <c r="E105" s="1615" t="s">
        <v>1957</v>
      </c>
    </row>
    <row r="106" spans="1:5" ht="12.75">
      <c r="A106" s="1529" t="s">
        <v>2105</v>
      </c>
      <c r="B106" s="1658" t="s">
        <v>2106</v>
      </c>
      <c r="C106" s="1599">
        <v>40041</v>
      </c>
      <c r="D106" s="1615" t="s">
        <v>1957</v>
      </c>
      <c r="E106" s="1615">
        <v>31140</v>
      </c>
    </row>
    <row r="107" spans="1:5" ht="12.75">
      <c r="A107" s="1529" t="s">
        <v>2107</v>
      </c>
      <c r="B107" s="1658" t="s">
        <v>2108</v>
      </c>
      <c r="C107" s="1599">
        <v>179150</v>
      </c>
      <c r="D107" s="1615">
        <v>3066</v>
      </c>
      <c r="E107" s="1615">
        <v>120</v>
      </c>
    </row>
    <row r="108" spans="1:5" ht="12.75">
      <c r="A108" s="1529" t="s">
        <v>2109</v>
      </c>
      <c r="B108" s="1658" t="s">
        <v>1343</v>
      </c>
      <c r="C108" s="1599">
        <v>11284257</v>
      </c>
      <c r="D108" s="1615" t="s">
        <v>1957</v>
      </c>
      <c r="E108" s="1615" t="s">
        <v>1957</v>
      </c>
    </row>
    <row r="109" spans="1:5" ht="12.75">
      <c r="A109" s="1529" t="s">
        <v>2110</v>
      </c>
      <c r="B109" s="1658" t="s">
        <v>2111</v>
      </c>
      <c r="C109" s="1599">
        <v>1707974</v>
      </c>
      <c r="D109" s="1615" t="s">
        <v>1957</v>
      </c>
      <c r="E109" s="1615" t="s">
        <v>1957</v>
      </c>
    </row>
    <row r="110" spans="1:5" ht="12.75">
      <c r="A110" s="1529" t="s">
        <v>2112</v>
      </c>
      <c r="B110" s="1658" t="s">
        <v>1013</v>
      </c>
      <c r="C110" s="1599">
        <v>1647184</v>
      </c>
      <c r="D110" s="1615" t="s">
        <v>1957</v>
      </c>
      <c r="E110" s="1615" t="s">
        <v>1957</v>
      </c>
    </row>
    <row r="111" spans="1:5" ht="12.75">
      <c r="A111" s="1529" t="s">
        <v>2113</v>
      </c>
      <c r="B111" s="1658" t="s">
        <v>1344</v>
      </c>
      <c r="C111" s="1599">
        <v>3487288</v>
      </c>
      <c r="D111" s="1615">
        <v>12000</v>
      </c>
      <c r="E111" s="1615">
        <v>2000</v>
      </c>
    </row>
    <row r="112" spans="1:5">
      <c r="A112" s="1529" t="s">
        <v>2114</v>
      </c>
      <c r="B112" s="1641" t="s">
        <v>1014</v>
      </c>
      <c r="C112" s="1679">
        <v>10000</v>
      </c>
      <c r="D112" s="1680" t="s">
        <v>1957</v>
      </c>
      <c r="E112" s="1680">
        <v>24000</v>
      </c>
    </row>
    <row r="113" spans="1:5" ht="12.75">
      <c r="A113" s="1529" t="s">
        <v>2115</v>
      </c>
      <c r="B113" s="1658" t="s">
        <v>2116</v>
      </c>
      <c r="C113" s="1599">
        <v>0</v>
      </c>
      <c r="D113" s="1599">
        <v>467004</v>
      </c>
      <c r="E113" s="1599" t="s">
        <v>1957</v>
      </c>
    </row>
    <row r="114" spans="1:5">
      <c r="A114" s="1641" t="s">
        <v>2117</v>
      </c>
      <c r="B114" s="1641" t="s">
        <v>1346</v>
      </c>
      <c r="C114" s="1599">
        <v>0</v>
      </c>
      <c r="D114" s="1601">
        <v>-600</v>
      </c>
      <c r="E114" s="1642" t="s">
        <v>1957</v>
      </c>
    </row>
    <row r="115" spans="1:5">
      <c r="A115" s="1529" t="s">
        <v>2118</v>
      </c>
      <c r="B115" s="1641" t="s">
        <v>2119</v>
      </c>
      <c r="C115" s="1599">
        <v>-1860</v>
      </c>
      <c r="D115" s="1599" t="s">
        <v>1957</v>
      </c>
      <c r="E115" s="1599" t="s">
        <v>1957</v>
      </c>
    </row>
    <row r="116" spans="1:5">
      <c r="A116" s="1529" t="s">
        <v>2120</v>
      </c>
      <c r="B116" s="1641" t="s">
        <v>2121</v>
      </c>
      <c r="C116" s="1599">
        <v>-1281</v>
      </c>
      <c r="D116" s="1599" t="s">
        <v>1957</v>
      </c>
      <c r="E116" s="1599" t="s">
        <v>1957</v>
      </c>
    </row>
    <row r="117" spans="1:5" ht="12.75">
      <c r="A117" s="1529" t="s">
        <v>2122</v>
      </c>
      <c r="B117" s="1658" t="s">
        <v>1347</v>
      </c>
      <c r="C117" s="1599">
        <v>-43046</v>
      </c>
      <c r="D117" s="1599">
        <v>12000</v>
      </c>
      <c r="E117" s="1599">
        <v>24746</v>
      </c>
    </row>
    <row r="118" spans="1:5" ht="12.75">
      <c r="A118" s="1529" t="s">
        <v>2123</v>
      </c>
      <c r="B118" s="1658" t="s">
        <v>2124</v>
      </c>
      <c r="C118" s="1604">
        <v>151500</v>
      </c>
      <c r="D118" s="1633" t="s">
        <v>1957</v>
      </c>
      <c r="E118" s="1633" t="s">
        <v>1957</v>
      </c>
    </row>
    <row r="119" spans="1:5" ht="12.75">
      <c r="A119" s="1529" t="s">
        <v>2125</v>
      </c>
      <c r="B119" s="1658" t="s">
        <v>2126</v>
      </c>
      <c r="C119" s="1604">
        <v>517440</v>
      </c>
      <c r="D119" s="1633" t="s">
        <v>1957</v>
      </c>
      <c r="E119" s="1633" t="s">
        <v>1957</v>
      </c>
    </row>
    <row r="120" spans="1:5" ht="12.75">
      <c r="A120" s="1529" t="s">
        <v>2127</v>
      </c>
      <c r="B120" s="1658" t="s">
        <v>2128</v>
      </c>
      <c r="C120" s="1604">
        <v>90000</v>
      </c>
      <c r="D120" s="1633" t="s">
        <v>1957</v>
      </c>
      <c r="E120" s="1633" t="s">
        <v>1957</v>
      </c>
    </row>
    <row r="121" spans="1:5" ht="12.75">
      <c r="A121" s="1529" t="s">
        <v>2129</v>
      </c>
      <c r="B121" s="1658" t="s">
        <v>2130</v>
      </c>
      <c r="C121" s="1604">
        <v>42433</v>
      </c>
      <c r="D121" s="1633" t="s">
        <v>1957</v>
      </c>
      <c r="E121" s="1633" t="s">
        <v>1957</v>
      </c>
    </row>
    <row r="122" spans="1:5" ht="12.75">
      <c r="A122" s="1529" t="s">
        <v>2131</v>
      </c>
      <c r="B122" s="1641" t="s">
        <v>2132</v>
      </c>
      <c r="C122" s="1604">
        <v>8400</v>
      </c>
      <c r="D122" s="1633" t="s">
        <v>1957</v>
      </c>
      <c r="E122" s="1633" t="s">
        <v>1957</v>
      </c>
    </row>
    <row r="123" spans="1:5" ht="12.75">
      <c r="A123" s="1529" t="s">
        <v>2133</v>
      </c>
      <c r="B123" s="1658" t="s">
        <v>2134</v>
      </c>
      <c r="C123" s="1604">
        <v>246576</v>
      </c>
      <c r="D123" s="1633" t="s">
        <v>1957</v>
      </c>
      <c r="E123" s="1633" t="s">
        <v>1957</v>
      </c>
    </row>
    <row r="124" spans="1:5" ht="12.75">
      <c r="A124" s="1529" t="s">
        <v>2135</v>
      </c>
      <c r="B124" s="1658" t="s">
        <v>2136</v>
      </c>
      <c r="C124" s="1604">
        <v>0</v>
      </c>
      <c r="D124" s="1633" t="s">
        <v>1957</v>
      </c>
      <c r="E124" s="1633" t="s">
        <v>1957</v>
      </c>
    </row>
    <row r="125" spans="1:5" ht="12.75">
      <c r="A125" s="1529" t="s">
        <v>2137</v>
      </c>
      <c r="B125" s="1585" t="s">
        <v>1348</v>
      </c>
      <c r="C125" s="1599">
        <v>261012</v>
      </c>
      <c r="D125" s="1599" t="s">
        <v>1957</v>
      </c>
      <c r="E125" s="1599" t="s">
        <v>1957</v>
      </c>
    </row>
    <row r="126" spans="1:5" ht="12.75">
      <c r="B126" s="2116" t="s">
        <v>2138</v>
      </c>
      <c r="C126" s="2117">
        <v>248608</v>
      </c>
    </row>
    <row r="127" spans="1:5">
      <c r="C127" s="1139"/>
    </row>
    <row r="129" spans="1:6" ht="12.75">
      <c r="B129" s="1645" t="s">
        <v>2139</v>
      </c>
    </row>
    <row r="130" spans="1:6" ht="18">
      <c r="B130" s="1604" t="s">
        <v>2140</v>
      </c>
      <c r="C130" s="1646">
        <f>+SUM(C8:C14)+C123+C122+C121+C120+C119+C118+C100+C97+C91+C89+C88+C67+C56+C55+C24+C30+C53+C52+C23+C29+C34+C33+C32+C39+C38+C43+C42+C41+C40+C37+C36+C35+C31+C22+C18+C25+C124+C112+C76+C26</f>
        <v>45071047.049999997</v>
      </c>
      <c r="D130" s="1646">
        <f>+SUM(D8:D14)+D123+D122+D121+D120+D119+D118+D100+D97+D91+D89+D88+D67+D56+D55+D24+D30+D53+D52+D23+D29+D34+D33+D32+D39+D38+D43+D42+D41+D40+D37+D36+D35+D31+D22+D18+D25+D124+D112+D76+D26</f>
        <v>5199470.59</v>
      </c>
      <c r="E130" s="1646">
        <f>+SUM(E8:E14)+E123+E122+E121+E120+E119+E118+E100+E97+E91+E89+E88+E67+E56+E55+E24+E30+E53+E52+E23+E29+E34+E33+E32+E39+E38+E43+E42+E41+E40+E37+E36+E35+E31+E22+E18+E25+E124+E112+E76+E26</f>
        <v>746341.31</v>
      </c>
      <c r="F130" s="1426"/>
    </row>
    <row r="131" spans="1:6" ht="12.75">
      <c r="B131" s="1647" t="s">
        <v>2141</v>
      </c>
      <c r="C131" s="1648">
        <f>0.66*C65</f>
        <v>1119954</v>
      </c>
      <c r="D131" s="1649">
        <f>0.66*D65</f>
        <v>0</v>
      </c>
      <c r="E131" s="1650">
        <f>0.66*E65</f>
        <v>9900</v>
      </c>
      <c r="F131" s="1651" t="s">
        <v>2142</v>
      </c>
    </row>
    <row r="132" spans="1:6" ht="12.75">
      <c r="B132" s="1652" t="s">
        <v>2143</v>
      </c>
      <c r="C132" s="635">
        <f>+C158</f>
        <v>1314069.7512652536</v>
      </c>
      <c r="D132" s="1653">
        <f>+D158</f>
        <v>131729.50846181487</v>
      </c>
      <c r="E132" s="635">
        <f>+E158</f>
        <v>30942.880238444843</v>
      </c>
      <c r="F132" s="1426"/>
    </row>
    <row r="135" spans="1:6" ht="12.75">
      <c r="B135" s="1645" t="s">
        <v>2144</v>
      </c>
    </row>
    <row r="136" spans="1:6" ht="12.75">
      <c r="A136" s="1585" t="s">
        <v>2016</v>
      </c>
      <c r="B136" s="1600" t="s">
        <v>1008</v>
      </c>
      <c r="C136" s="1654">
        <f>SUMIF($A$8:$A$125,$A136,C$8:C$125)</f>
        <v>500000</v>
      </c>
      <c r="D136" s="1654">
        <f>SUMIF($A$8:$A$125,$A136,D$8:D$125)</f>
        <v>4240016.84</v>
      </c>
      <c r="E136" s="1654">
        <f>SUMIF($A$8:$A$125,$A136,E$8:E$125)</f>
        <v>1292240.57</v>
      </c>
    </row>
    <row r="137" spans="1:6" ht="12.75">
      <c r="A137" s="1585" t="s">
        <v>2017</v>
      </c>
      <c r="B137" s="1600" t="s">
        <v>2018</v>
      </c>
      <c r="C137" s="1654">
        <f t="shared" ref="C137:E152" si="0">SUMIF($A$8:$A$125,$A137,C$8:C$125)</f>
        <v>36661063</v>
      </c>
      <c r="D137" s="1615">
        <f t="shared" si="0"/>
        <v>0</v>
      </c>
      <c r="E137" s="1615">
        <f t="shared" si="0"/>
        <v>0</v>
      </c>
    </row>
    <row r="138" spans="1:6" ht="12.75">
      <c r="A138" s="1585" t="s">
        <v>2019</v>
      </c>
      <c r="B138" s="1600" t="s">
        <v>2020</v>
      </c>
      <c r="C138" s="1654">
        <f t="shared" si="0"/>
        <v>0</v>
      </c>
      <c r="D138" s="1615">
        <f t="shared" si="0"/>
        <v>0</v>
      </c>
      <c r="E138" s="1615">
        <f t="shared" si="0"/>
        <v>0</v>
      </c>
    </row>
    <row r="139" spans="1:6" ht="12.75">
      <c r="A139" s="1585" t="s">
        <v>2021</v>
      </c>
      <c r="B139" s="1600" t="s">
        <v>1311</v>
      </c>
      <c r="C139" s="1654">
        <f t="shared" si="0"/>
        <v>8000</v>
      </c>
      <c r="D139" s="1615">
        <f t="shared" si="0"/>
        <v>0</v>
      </c>
      <c r="E139" s="1615">
        <f t="shared" si="0"/>
        <v>273741.57999999996</v>
      </c>
    </row>
    <row r="140" spans="1:6" ht="12.75">
      <c r="A140" s="1585" t="s">
        <v>2022</v>
      </c>
      <c r="B140" s="1600" t="s">
        <v>2023</v>
      </c>
      <c r="C140" s="1654">
        <f t="shared" si="0"/>
        <v>23407375</v>
      </c>
      <c r="D140" s="1615">
        <f t="shared" si="0"/>
        <v>0</v>
      </c>
      <c r="E140" s="1615">
        <f t="shared" si="0"/>
        <v>0</v>
      </c>
    </row>
    <row r="141" spans="1:6" ht="12.75">
      <c r="A141" s="1585" t="s">
        <v>2024</v>
      </c>
      <c r="B141" s="1600" t="s">
        <v>2025</v>
      </c>
      <c r="C141" s="1654">
        <f t="shared" si="0"/>
        <v>274463</v>
      </c>
      <c r="D141" s="1615">
        <f t="shared" si="0"/>
        <v>0</v>
      </c>
      <c r="E141" s="1615">
        <f t="shared" si="0"/>
        <v>0</v>
      </c>
    </row>
    <row r="142" spans="1:6" ht="12.75">
      <c r="A142" s="1585" t="s">
        <v>2026</v>
      </c>
      <c r="B142" s="1600" t="s">
        <v>2027</v>
      </c>
      <c r="C142" s="1654">
        <f t="shared" si="0"/>
        <v>0</v>
      </c>
      <c r="D142" s="1615">
        <f t="shared" si="0"/>
        <v>0</v>
      </c>
      <c r="E142" s="1615">
        <f t="shared" si="0"/>
        <v>0</v>
      </c>
    </row>
    <row r="143" spans="1:6" ht="12.75">
      <c r="A143" s="1585" t="s">
        <v>2028</v>
      </c>
      <c r="B143" s="1600" t="s">
        <v>1312</v>
      </c>
      <c r="C143" s="1654">
        <f t="shared" si="0"/>
        <v>220000</v>
      </c>
      <c r="D143" s="1615">
        <f t="shared" si="0"/>
        <v>36000</v>
      </c>
      <c r="E143" s="1615">
        <f t="shared" si="0"/>
        <v>4500</v>
      </c>
    </row>
    <row r="144" spans="1:6" ht="12.75">
      <c r="A144" s="1585" t="s">
        <v>2029</v>
      </c>
      <c r="B144" s="1681" t="s">
        <v>1313</v>
      </c>
      <c r="C144" s="1604">
        <f t="shared" si="0"/>
        <v>1486752</v>
      </c>
      <c r="D144" s="1626">
        <f t="shared" si="0"/>
        <v>0</v>
      </c>
      <c r="E144" s="1626">
        <f t="shared" si="0"/>
        <v>0</v>
      </c>
    </row>
    <row r="145" spans="1:5" ht="12.75">
      <c r="A145" s="1585" t="s">
        <v>2030</v>
      </c>
      <c r="B145" s="1681" t="s">
        <v>1009</v>
      </c>
      <c r="C145" s="1604">
        <f t="shared" si="0"/>
        <v>16953849</v>
      </c>
      <c r="D145" s="1632">
        <f t="shared" si="0"/>
        <v>1835640.48</v>
      </c>
      <c r="E145" s="1632">
        <f t="shared" si="0"/>
        <v>411687</v>
      </c>
    </row>
    <row r="146" spans="1:5" ht="12.75">
      <c r="A146" s="1585" t="s">
        <v>2031</v>
      </c>
      <c r="B146" s="1600" t="s">
        <v>2032</v>
      </c>
      <c r="C146" s="1654">
        <f t="shared" si="0"/>
        <v>6433080</v>
      </c>
      <c r="D146" s="1615">
        <f t="shared" si="0"/>
        <v>1352304</v>
      </c>
      <c r="E146" s="1615">
        <f t="shared" si="0"/>
        <v>0</v>
      </c>
    </row>
    <row r="147" spans="1:5" ht="12.75">
      <c r="A147" s="1585" t="s">
        <v>2033</v>
      </c>
      <c r="B147" s="1681" t="s">
        <v>2034</v>
      </c>
      <c r="C147" s="1604">
        <f t="shared" si="0"/>
        <v>5760446</v>
      </c>
      <c r="D147" s="1632">
        <f t="shared" si="0"/>
        <v>3233160</v>
      </c>
      <c r="E147" s="1626">
        <f t="shared" si="0"/>
        <v>0</v>
      </c>
    </row>
    <row r="148" spans="1:5" ht="12.75">
      <c r="A148" s="1585" t="s">
        <v>2035</v>
      </c>
      <c r="B148" s="1681" t="s">
        <v>2036</v>
      </c>
      <c r="C148" s="1604">
        <f t="shared" si="0"/>
        <v>5254601</v>
      </c>
      <c r="D148" s="1626">
        <f t="shared" si="0"/>
        <v>0</v>
      </c>
      <c r="E148" s="1626">
        <f t="shared" si="0"/>
        <v>0</v>
      </c>
    </row>
    <row r="149" spans="1:5" ht="12.75">
      <c r="A149" s="1585" t="s">
        <v>2037</v>
      </c>
      <c r="B149" s="1600" t="s">
        <v>2038</v>
      </c>
      <c r="C149" s="1654">
        <f t="shared" si="0"/>
        <v>1145000</v>
      </c>
      <c r="D149" s="1615">
        <f t="shared" si="0"/>
        <v>0</v>
      </c>
      <c r="E149" s="1615">
        <f t="shared" si="0"/>
        <v>0</v>
      </c>
    </row>
    <row r="150" spans="1:5" ht="12.75">
      <c r="A150" s="1585" t="s">
        <v>2040</v>
      </c>
      <c r="B150" s="1600" t="s">
        <v>2041</v>
      </c>
      <c r="C150" s="1654">
        <f t="shared" si="0"/>
        <v>0</v>
      </c>
      <c r="D150" s="1615">
        <f t="shared" si="0"/>
        <v>0</v>
      </c>
      <c r="E150" s="1615">
        <f t="shared" si="0"/>
        <v>0</v>
      </c>
    </row>
    <row r="151" spans="1:5" ht="12.75">
      <c r="A151" s="1585" t="s">
        <v>2042</v>
      </c>
      <c r="B151" s="1600" t="s">
        <v>1315</v>
      </c>
      <c r="C151" s="1654">
        <f t="shared" si="0"/>
        <v>0</v>
      </c>
      <c r="D151" s="1615">
        <f t="shared" si="0"/>
        <v>0</v>
      </c>
      <c r="E151" s="1615">
        <f t="shared" si="0"/>
        <v>0</v>
      </c>
    </row>
    <row r="152" spans="1:5" ht="12.75">
      <c r="A152" s="1585" t="s">
        <v>2043</v>
      </c>
      <c r="B152" s="1600" t="s">
        <v>1316</v>
      </c>
      <c r="C152" s="1654">
        <f t="shared" si="0"/>
        <v>0</v>
      </c>
      <c r="D152" s="1615">
        <f t="shared" si="0"/>
        <v>0</v>
      </c>
      <c r="E152" s="1615">
        <f t="shared" si="0"/>
        <v>0</v>
      </c>
    </row>
    <row r="153" spans="1:5" ht="12.75">
      <c r="B153" s="1655" t="s">
        <v>2145</v>
      </c>
      <c r="C153" s="1139">
        <f>SUM(C136:C152)</f>
        <v>98104629</v>
      </c>
      <c r="D153" s="1139">
        <f>SUM(D136:D152)</f>
        <v>10697121.32</v>
      </c>
      <c r="E153" s="1139">
        <f>SUM(E136:E152)</f>
        <v>1982169.15</v>
      </c>
    </row>
    <row r="155" spans="1:5" ht="12.75">
      <c r="A155" s="1585" t="s">
        <v>2039</v>
      </c>
      <c r="B155" s="1600" t="s">
        <v>1314</v>
      </c>
      <c r="C155" s="1639">
        <f>SUMIF($A$8:$A$125,$A155,C$8:C$125)</f>
        <v>4376625</v>
      </c>
      <c r="D155" s="1640">
        <f>SUMIF($A$8:$A$125,$A155,D$8:D$125)</f>
        <v>278000</v>
      </c>
      <c r="E155" s="1640">
        <f>SUMIF($A$8:$A$125,$A155,E$8:E$125)</f>
        <v>148982.17000000001</v>
      </c>
    </row>
    <row r="156" spans="1:5" ht="12.75">
      <c r="B156" s="1655" t="s">
        <v>2146</v>
      </c>
      <c r="C156" s="1587">
        <f>+C155/C153</f>
        <v>4.4611809295971139E-2</v>
      </c>
      <c r="D156" s="1587">
        <f>+D155/D153</f>
        <v>2.5988300186914212E-2</v>
      </c>
      <c r="E156" s="1587">
        <f>+E155/E153</f>
        <v>7.5161178852975297E-2</v>
      </c>
    </row>
    <row r="157" spans="1:5">
      <c r="B157" s="1656" t="s">
        <v>2147</v>
      </c>
      <c r="C157" s="1139">
        <f>+C148+C147+C145+C144</f>
        <v>29455648</v>
      </c>
      <c r="D157" s="1139">
        <f>+D147+D145</f>
        <v>5068800.4800000004</v>
      </c>
      <c r="E157" s="1139">
        <f>+E145</f>
        <v>411687</v>
      </c>
    </row>
    <row r="158" spans="1:5" ht="12.75">
      <c r="B158" s="645" t="s">
        <v>2148</v>
      </c>
      <c r="C158" s="1657">
        <f>+C157*C156</f>
        <v>1314069.7512652536</v>
      </c>
      <c r="D158" s="1657">
        <f>+D157*D156</f>
        <v>131729.50846181487</v>
      </c>
      <c r="E158" s="1657">
        <f>+E157*E156</f>
        <v>30942.880238444843</v>
      </c>
    </row>
  </sheetData>
  <mergeCells count="3">
    <mergeCell ref="G39:M39"/>
    <mergeCell ref="I57:J57"/>
    <mergeCell ref="I59:J59"/>
  </mergeCells>
  <pageMargins left="0.7" right="0.7" top="0.75" bottom="0.75" header="0.3" footer="0.3"/>
  <legacyDrawing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94"/>
  <sheetViews>
    <sheetView topLeftCell="F20" workbookViewId="0">
      <selection activeCell="M31" sqref="M31"/>
    </sheetView>
  </sheetViews>
  <sheetFormatPr defaultRowHeight="11.25"/>
  <cols>
    <col min="2" max="2" width="25.5" bestFit="1" customWidth="1"/>
    <col min="3" max="3" width="18.83203125" bestFit="1" customWidth="1"/>
    <col min="4" max="4" width="11" bestFit="1" customWidth="1"/>
    <col min="5" max="5" width="18.6640625" bestFit="1" customWidth="1"/>
    <col min="6" max="6" width="12" bestFit="1" customWidth="1"/>
    <col min="7" max="7" width="16.33203125" bestFit="1" customWidth="1"/>
    <col min="8" max="8" width="3.5" customWidth="1"/>
    <col min="9" max="9" width="26.5" customWidth="1"/>
    <col min="10" max="12" width="15" bestFit="1" customWidth="1"/>
    <col min="13" max="13" width="21.83203125" bestFit="1" customWidth="1"/>
    <col min="14" max="14" width="24.83203125" bestFit="1" customWidth="1"/>
    <col min="15" max="15" width="15" bestFit="1" customWidth="1"/>
    <col min="19" max="19" width="15.5" customWidth="1"/>
  </cols>
  <sheetData>
    <row r="1" spans="2:14">
      <c r="N1" t="s">
        <v>2259</v>
      </c>
    </row>
    <row r="2" spans="2:14">
      <c r="B2" s="2257" t="s">
        <v>2260</v>
      </c>
      <c r="C2" s="2257"/>
      <c r="D2" s="2257"/>
      <c r="E2" s="2257"/>
      <c r="F2" s="2257"/>
      <c r="G2" s="2257"/>
      <c r="H2" s="1745"/>
      <c r="I2" s="2258" t="s">
        <v>2261</v>
      </c>
      <c r="J2" s="2258"/>
      <c r="N2" t="s">
        <v>2262</v>
      </c>
    </row>
    <row r="3" spans="2:14">
      <c r="B3" s="1529" t="s">
        <v>1864</v>
      </c>
      <c r="C3" s="1529" t="str">
        <f>+C4</f>
        <v>FY   Fiscal 2010</v>
      </c>
      <c r="D3" t="s">
        <v>2263</v>
      </c>
      <c r="E3" t="s">
        <v>25</v>
      </c>
      <c r="F3" t="s">
        <v>1835</v>
      </c>
      <c r="G3" s="775">
        <f>+[25]Container!B85</f>
        <v>61583</v>
      </c>
    </row>
    <row r="4" spans="2:14">
      <c r="B4" s="1529" t="s">
        <v>1864</v>
      </c>
      <c r="C4" s="1529" t="s">
        <v>2264</v>
      </c>
      <c r="D4" t="s">
        <v>1833</v>
      </c>
      <c r="E4" t="s">
        <v>25</v>
      </c>
      <c r="F4" t="s">
        <v>1835</v>
      </c>
      <c r="G4" s="775">
        <f>+[25]Container!C85</f>
        <v>200422</v>
      </c>
      <c r="I4" t="s">
        <v>2265</v>
      </c>
      <c r="J4" s="1746">
        <f>+G4-G3+G5</f>
        <v>215082</v>
      </c>
    </row>
    <row r="5" spans="2:14">
      <c r="B5" s="1529" t="s">
        <v>1864</v>
      </c>
      <c r="C5" s="1529" t="str">
        <f>+C6</f>
        <v>FY   Fiscal 2011</v>
      </c>
      <c r="D5" t="str">
        <f>+D3</f>
        <v>Apr YTD</v>
      </c>
      <c r="E5" t="s">
        <v>25</v>
      </c>
      <c r="F5" t="s">
        <v>1835</v>
      </c>
      <c r="G5" s="775">
        <f>+[25]Container!D85</f>
        <v>76243</v>
      </c>
      <c r="J5" s="1746"/>
    </row>
    <row r="6" spans="2:14">
      <c r="B6" s="1529" t="s">
        <v>1864</v>
      </c>
      <c r="C6" s="1529" t="s">
        <v>2266</v>
      </c>
      <c r="D6" t="s">
        <v>1833</v>
      </c>
      <c r="E6" t="s">
        <v>25</v>
      </c>
      <c r="F6" t="s">
        <v>1835</v>
      </c>
      <c r="G6" s="775">
        <f>+[25]Container!E85</f>
        <v>250918</v>
      </c>
      <c r="I6" t="s">
        <v>2267</v>
      </c>
      <c r="J6" s="1746">
        <f>+G6-G5+G7</f>
        <v>242692</v>
      </c>
    </row>
    <row r="7" spans="2:14">
      <c r="B7" s="1529" t="s">
        <v>1864</v>
      </c>
      <c r="C7" s="1529" t="str">
        <f>+C8</f>
        <v>FY   Fiscal 2012</v>
      </c>
      <c r="D7" t="str">
        <f>+D5</f>
        <v>Apr YTD</v>
      </c>
      <c r="E7" t="s">
        <v>25</v>
      </c>
      <c r="F7" t="s">
        <v>1835</v>
      </c>
      <c r="G7" s="775">
        <f>+[25]Container!F85</f>
        <v>68017</v>
      </c>
      <c r="J7" s="1746"/>
    </row>
    <row r="8" spans="2:14" ht="15">
      <c r="B8" s="1529" t="s">
        <v>1864</v>
      </c>
      <c r="C8" s="1529" t="s">
        <v>2268</v>
      </c>
      <c r="D8" t="s">
        <v>1833</v>
      </c>
      <c r="E8" t="s">
        <v>25</v>
      </c>
      <c r="F8" t="s">
        <v>1835</v>
      </c>
      <c r="G8" s="775">
        <f>+[25]Container!G85</f>
        <v>222093</v>
      </c>
      <c r="I8" t="s">
        <v>2269</v>
      </c>
      <c r="J8" s="1746">
        <f>+G8-G7+G9</f>
        <v>189843</v>
      </c>
      <c r="K8" s="1747">
        <f>AVERAGE(J4:J8)</f>
        <v>215872.33333333334</v>
      </c>
      <c r="L8" t="s">
        <v>2270</v>
      </c>
    </row>
    <row r="9" spans="2:14" ht="15">
      <c r="B9" s="1529" t="s">
        <v>1864</v>
      </c>
      <c r="C9" s="1529" t="str">
        <f>+C10</f>
        <v>FY   Fiscal 2013</v>
      </c>
      <c r="D9" t="str">
        <f>+D7</f>
        <v>Apr YTD</v>
      </c>
      <c r="E9" t="s">
        <v>25</v>
      </c>
      <c r="F9" t="s">
        <v>1835</v>
      </c>
      <c r="G9" s="775">
        <f>+[25]Container!H85</f>
        <v>35767</v>
      </c>
      <c r="J9" s="1746"/>
      <c r="K9" s="1748">
        <f>+K8-$J$10</f>
        <v>83069.333333333343</v>
      </c>
      <c r="L9" t="s">
        <v>2271</v>
      </c>
    </row>
    <row r="10" spans="2:14">
      <c r="B10" s="1529" t="s">
        <v>1864</v>
      </c>
      <c r="C10" s="1529" t="s">
        <v>1832</v>
      </c>
      <c r="D10" t="s">
        <v>1833</v>
      </c>
      <c r="E10" t="s">
        <v>25</v>
      </c>
      <c r="F10" t="s">
        <v>1835</v>
      </c>
      <c r="G10" s="775">
        <f>+[25]Container!I85</f>
        <v>128665</v>
      </c>
      <c r="I10" t="s">
        <v>2272</v>
      </c>
      <c r="J10" s="1749">
        <f>+G10-G9+G11</f>
        <v>132803</v>
      </c>
    </row>
    <row r="11" spans="2:14">
      <c r="B11" s="1529" t="s">
        <v>1864</v>
      </c>
      <c r="C11" s="1529" t="str">
        <f>+C12</f>
        <v>FY   Fiscal 2014</v>
      </c>
      <c r="D11" t="str">
        <f>+D9</f>
        <v>Apr YTD</v>
      </c>
      <c r="E11" t="s">
        <v>25</v>
      </c>
      <c r="F11" t="s">
        <v>1835</v>
      </c>
      <c r="G11" s="775">
        <f>+[25]Container!J85</f>
        <v>39905</v>
      </c>
      <c r="J11" s="1746"/>
    </row>
    <row r="12" spans="2:14" ht="15">
      <c r="B12" s="1529" t="s">
        <v>1864</v>
      </c>
      <c r="C12" s="1529" t="s">
        <v>1876</v>
      </c>
      <c r="D12" t="s">
        <v>1833</v>
      </c>
      <c r="E12" t="s">
        <v>25</v>
      </c>
      <c r="F12" t="s">
        <v>1835</v>
      </c>
      <c r="G12" s="775">
        <f>+[25]Container!K85</f>
        <v>307758</v>
      </c>
      <c r="I12" t="s">
        <v>2273</v>
      </c>
      <c r="J12" s="1746">
        <f>+G12-G11+G13</f>
        <v>341843.4</v>
      </c>
      <c r="K12" s="1747">
        <f>AVERAGE(J4:J12)</f>
        <v>224452.68</v>
      </c>
      <c r="L12" t="s">
        <v>2274</v>
      </c>
    </row>
    <row r="13" spans="2:14" ht="15">
      <c r="B13" t="s">
        <v>2275</v>
      </c>
      <c r="G13" s="1054">
        <f>+AVERAGE(G4,G6,G8,G10,G12)/12*4</f>
        <v>73990.400000000009</v>
      </c>
      <c r="K13" s="1748">
        <f>+K12-$J$10</f>
        <v>91649.68</v>
      </c>
      <c r="L13" t="s">
        <v>2271</v>
      </c>
    </row>
    <row r="15" spans="2:14" ht="15">
      <c r="G15" s="1054"/>
      <c r="J15" s="635">
        <f>SUM(J4:J12)</f>
        <v>1122263.3999999999</v>
      </c>
      <c r="K15" s="1747">
        <f>AVERAGE(J4:J8,J12)</f>
        <v>247365.1</v>
      </c>
      <c r="L15" t="s">
        <v>2276</v>
      </c>
    </row>
    <row r="16" spans="2:14" ht="15">
      <c r="E16" s="1529"/>
      <c r="F16" s="1529"/>
      <c r="G16" s="1529"/>
      <c r="H16" s="1529"/>
      <c r="I16" s="1529"/>
      <c r="J16" s="1529"/>
      <c r="K16" s="1748">
        <f>+K15-$J$10</f>
        <v>114562.1</v>
      </c>
      <c r="L16" t="s">
        <v>2271</v>
      </c>
      <c r="M16" s="1529"/>
    </row>
    <row r="17" spans="3:23">
      <c r="E17" s="1529"/>
      <c r="F17" s="1529"/>
      <c r="G17" s="1529"/>
      <c r="H17" s="1529"/>
      <c r="I17" s="1529"/>
      <c r="J17" s="1529"/>
      <c r="K17" s="1529"/>
      <c r="L17" s="1529"/>
      <c r="M17" s="1529"/>
    </row>
    <row r="19" spans="3:23">
      <c r="C19" t="s">
        <v>2277</v>
      </c>
    </row>
    <row r="20" spans="3:23" ht="15">
      <c r="C20" s="1750" t="s">
        <v>2278</v>
      </c>
    </row>
    <row r="21" spans="3:23" ht="15">
      <c r="C21" s="1750" t="s">
        <v>2279</v>
      </c>
      <c r="E21" s="775"/>
      <c r="F21" s="775"/>
      <c r="G21" s="775"/>
      <c r="H21" s="775"/>
      <c r="I21" s="775"/>
      <c r="J21" s="775"/>
      <c r="K21" s="775"/>
      <c r="L21" s="775"/>
      <c r="M21" s="775"/>
    </row>
    <row r="22" spans="3:23" ht="15">
      <c r="C22" s="1750" t="s">
        <v>2280</v>
      </c>
    </row>
    <row r="23" spans="3:23" ht="12" thickBot="1"/>
    <row r="24" spans="3:23" ht="23.25">
      <c r="I24" s="1751" t="s">
        <v>2281</v>
      </c>
      <c r="J24" s="1752"/>
      <c r="K24" s="1752"/>
      <c r="L24" s="1752"/>
      <c r="M24" s="1752"/>
      <c r="N24" s="1752"/>
      <c r="O24" s="1753" t="s">
        <v>2282</v>
      </c>
      <c r="P24" s="1752"/>
      <c r="Q24" s="1752"/>
      <c r="R24" s="1752"/>
      <c r="S24" s="1754"/>
    </row>
    <row r="25" spans="3:23">
      <c r="I25" s="757" t="str">
        <f>+I8</f>
        <v>2012/13 Test Year</v>
      </c>
      <c r="J25" s="1755">
        <f>+J8</f>
        <v>189843</v>
      </c>
      <c r="K25" s="541"/>
      <c r="L25" s="541"/>
      <c r="M25" s="541"/>
      <c r="N25" s="541"/>
      <c r="O25" s="541"/>
      <c r="P25" s="541"/>
      <c r="Q25" s="541"/>
      <c r="R25" s="541"/>
      <c r="S25" s="1756"/>
    </row>
    <row r="26" spans="3:23">
      <c r="I26" s="757" t="str">
        <f>+I10</f>
        <v>2013/14 Test Year</v>
      </c>
      <c r="J26" s="1755">
        <f>+J10</f>
        <v>132803</v>
      </c>
      <c r="K26" s="1755"/>
      <c r="L26" s="541"/>
      <c r="M26" s="541"/>
      <c r="N26" s="541"/>
      <c r="O26" s="541"/>
      <c r="P26" s="541"/>
      <c r="Q26" s="541"/>
      <c r="R26" s="541"/>
      <c r="S26" s="1756"/>
    </row>
    <row r="27" spans="3:23">
      <c r="E27" s="1054"/>
      <c r="G27" s="1054"/>
      <c r="I27" s="1757" t="str">
        <f>+I12</f>
        <v>2014/15 Test Year</v>
      </c>
      <c r="J27" s="1755">
        <f>+M45</f>
        <v>342729.6428571429</v>
      </c>
      <c r="K27" s="1307" t="s">
        <v>2283</v>
      </c>
      <c r="L27" s="541"/>
      <c r="M27" s="541"/>
      <c r="N27" s="541"/>
      <c r="O27" s="541"/>
      <c r="P27" s="541"/>
      <c r="Q27" s="541"/>
      <c r="R27" s="541"/>
      <c r="S27" s="1756"/>
    </row>
    <row r="28" spans="3:23">
      <c r="I28" s="757"/>
      <c r="J28" s="541"/>
      <c r="K28" s="541"/>
      <c r="L28" s="541"/>
      <c r="M28" s="541"/>
      <c r="N28" s="541"/>
      <c r="O28" s="541"/>
      <c r="P28" s="541"/>
      <c r="Q28" s="541"/>
      <c r="R28" s="541"/>
      <c r="S28" s="1756"/>
    </row>
    <row r="29" spans="3:23" ht="15">
      <c r="I29" s="757" t="s">
        <v>2284</v>
      </c>
      <c r="J29" s="1755">
        <f>+AVERAGE(J25:J27)</f>
        <v>221791.88095238098</v>
      </c>
      <c r="K29" s="541"/>
      <c r="L29" s="541"/>
      <c r="M29" s="1758">
        <v>545035</v>
      </c>
      <c r="N29" s="1758">
        <v>545997</v>
      </c>
      <c r="O29" s="541" t="s">
        <v>2285</v>
      </c>
      <c r="P29" s="541"/>
      <c r="Q29" s="541"/>
      <c r="R29" s="541"/>
      <c r="S29" s="1756"/>
      <c r="T29" s="541"/>
      <c r="U29" s="541"/>
      <c r="V29" s="541"/>
      <c r="W29" s="541"/>
    </row>
    <row r="30" spans="3:23">
      <c r="I30" s="757" t="s">
        <v>2286</v>
      </c>
      <c r="J30" s="1755">
        <f>-J10</f>
        <v>-132803</v>
      </c>
      <c r="K30" s="541"/>
      <c r="L30" s="541"/>
      <c r="M30" s="541" t="s">
        <v>2287</v>
      </c>
      <c r="N30" s="541" t="s">
        <v>2288</v>
      </c>
      <c r="O30" s="541" t="s">
        <v>2289</v>
      </c>
      <c r="P30" s="541"/>
      <c r="Q30" s="541"/>
      <c r="R30" s="541"/>
      <c r="S30" s="1756"/>
      <c r="T30" s="541"/>
      <c r="U30" s="541"/>
      <c r="V30" s="541"/>
      <c r="W30" s="541"/>
    </row>
    <row r="31" spans="3:23" ht="18.75">
      <c r="I31" s="757"/>
      <c r="J31" s="1759">
        <f>SUM(J29:J30)</f>
        <v>88988.880952380976</v>
      </c>
      <c r="K31" s="1760" t="s">
        <v>2290</v>
      </c>
      <c r="L31" s="541"/>
      <c r="M31" s="1761">
        <f>+M32*J31</f>
        <v>70119.068007911264</v>
      </c>
      <c r="N31" s="1762">
        <f>+N32*J31</f>
        <v>18869.812944469715</v>
      </c>
      <c r="O31" s="1755">
        <f>SUM(M31:N31)</f>
        <v>88988.880952380976</v>
      </c>
      <c r="P31" s="541" t="s">
        <v>2291</v>
      </c>
      <c r="Q31" s="541"/>
      <c r="R31" s="541"/>
      <c r="S31" s="1756"/>
      <c r="T31" s="541"/>
      <c r="U31" s="541"/>
      <c r="V31" s="541"/>
      <c r="W31" s="541"/>
    </row>
    <row r="32" spans="3:23" ht="12" thickBot="1">
      <c r="I32" s="1763"/>
      <c r="J32" s="1764"/>
      <c r="K32" s="1764"/>
      <c r="L32" s="1764"/>
      <c r="M32" s="1765">
        <f>+K49</f>
        <v>0.78795313816152857</v>
      </c>
      <c r="N32" s="1765">
        <f>+L49</f>
        <v>0.21204686183847146</v>
      </c>
      <c r="O32" s="1764"/>
      <c r="P32" s="1764" t="s">
        <v>2292</v>
      </c>
      <c r="Q32" s="1764"/>
      <c r="R32" s="1764"/>
      <c r="S32" s="1766"/>
      <c r="T32" s="541"/>
      <c r="U32" s="541"/>
      <c r="V32" s="541"/>
      <c r="W32" s="541"/>
    </row>
    <row r="35" spans="2:15">
      <c r="G35" t="s">
        <v>2293</v>
      </c>
      <c r="I35" t="s">
        <v>2294</v>
      </c>
      <c r="K35" t="s">
        <v>2293</v>
      </c>
      <c r="L35" t="s">
        <v>2294</v>
      </c>
      <c r="M35" t="s">
        <v>347</v>
      </c>
    </row>
    <row r="36" spans="2:15">
      <c r="B36" s="1529" t="s">
        <v>1864</v>
      </c>
      <c r="C36" s="1529" t="str">
        <f>+C37</f>
        <v>FY   Fiscal 2010</v>
      </c>
      <c r="D36" t="s">
        <v>2263</v>
      </c>
      <c r="E36" t="s">
        <v>25</v>
      </c>
      <c r="F36" t="s">
        <v>1835</v>
      </c>
      <c r="G36" s="1746">
        <f>+[25]Container!B91</f>
        <v>29590</v>
      </c>
      <c r="H36" s="1746"/>
      <c r="I36" s="1746">
        <f>+[25]Container!B92</f>
        <v>31993</v>
      </c>
    </row>
    <row r="37" spans="2:15">
      <c r="B37" s="1529" t="s">
        <v>1864</v>
      </c>
      <c r="C37" s="1529" t="s">
        <v>2264</v>
      </c>
      <c r="D37" t="s">
        <v>1833</v>
      </c>
      <c r="E37" t="s">
        <v>25</v>
      </c>
      <c r="F37" t="s">
        <v>1835</v>
      </c>
      <c r="G37" s="1746">
        <f>+[25]Container!C91</f>
        <v>103270</v>
      </c>
      <c r="H37" s="1746"/>
      <c r="I37" s="1746">
        <f>+[25]Container!C92</f>
        <v>97152</v>
      </c>
      <c r="J37" t="s">
        <v>2265</v>
      </c>
      <c r="K37" s="1746">
        <f>+G37-G36+G38</f>
        <v>124637</v>
      </c>
      <c r="L37" s="635">
        <f>+I37-I36+I38</f>
        <v>90445</v>
      </c>
      <c r="M37" s="635">
        <f>+L37+K37</f>
        <v>215082</v>
      </c>
    </row>
    <row r="38" spans="2:15">
      <c r="B38" s="1529" t="s">
        <v>1864</v>
      </c>
      <c r="C38" s="1529" t="str">
        <f>+C39</f>
        <v>FY   Fiscal 2011</v>
      </c>
      <c r="D38" t="str">
        <f>+D36</f>
        <v>Apr YTD</v>
      </c>
      <c r="E38" t="s">
        <v>25</v>
      </c>
      <c r="F38" t="s">
        <v>1835</v>
      </c>
      <c r="G38" s="1746">
        <f>+[25]Container!D91</f>
        <v>50957</v>
      </c>
      <c r="H38" s="1746"/>
      <c r="I38" s="1746">
        <f>+[25]Container!D92</f>
        <v>25286</v>
      </c>
      <c r="K38" s="1746"/>
    </row>
    <row r="39" spans="2:15">
      <c r="B39" s="1529" t="s">
        <v>1864</v>
      </c>
      <c r="C39" s="1529" t="s">
        <v>2266</v>
      </c>
      <c r="D39" t="s">
        <v>1833</v>
      </c>
      <c r="E39" t="s">
        <v>25</v>
      </c>
      <c r="F39" t="s">
        <v>1835</v>
      </c>
      <c r="G39" s="1746">
        <f>+[25]Container!E91</f>
        <v>225619</v>
      </c>
      <c r="H39" s="1746"/>
      <c r="I39" s="1746">
        <f>+[25]Container!E92</f>
        <v>25298</v>
      </c>
      <c r="J39" t="s">
        <v>2267</v>
      </c>
      <c r="K39" s="1746">
        <f>+G39-G38+G40</f>
        <v>242680</v>
      </c>
      <c r="L39" s="635">
        <f>+I39-I38+I40</f>
        <v>12</v>
      </c>
      <c r="M39" s="635">
        <f>+L39+K39</f>
        <v>242692</v>
      </c>
    </row>
    <row r="40" spans="2:15">
      <c r="B40" s="1529" t="s">
        <v>1864</v>
      </c>
      <c r="C40" s="1529" t="str">
        <f>+C41</f>
        <v>FY   Fiscal 2012</v>
      </c>
      <c r="D40" t="str">
        <f>+D38</f>
        <v>Apr YTD</v>
      </c>
      <c r="E40" t="s">
        <v>25</v>
      </c>
      <c r="F40" t="s">
        <v>1835</v>
      </c>
      <c r="G40" s="1746">
        <f>+[25]Container!F91</f>
        <v>68018</v>
      </c>
      <c r="H40" s="1746"/>
      <c r="I40" s="1746">
        <f>+[25]Container!F92</f>
        <v>0</v>
      </c>
      <c r="K40" s="1746"/>
    </row>
    <row r="41" spans="2:15">
      <c r="B41" s="1529" t="s">
        <v>1864</v>
      </c>
      <c r="C41" s="1529" t="s">
        <v>2268</v>
      </c>
      <c r="D41" t="s">
        <v>1833</v>
      </c>
      <c r="E41" t="s">
        <v>25</v>
      </c>
      <c r="F41" t="s">
        <v>1835</v>
      </c>
      <c r="G41" s="1746">
        <f>+[25]Container!G91</f>
        <v>222094</v>
      </c>
      <c r="H41" s="1746"/>
      <c r="I41" s="1746">
        <f>+[25]Container!G92</f>
        <v>0</v>
      </c>
      <c r="J41" t="s">
        <v>2269</v>
      </c>
      <c r="K41" s="1746">
        <f>+G41-G40+G42</f>
        <v>183669</v>
      </c>
      <c r="L41" s="635">
        <f>+I41-I40+I42</f>
        <v>6174</v>
      </c>
      <c r="M41" s="635">
        <f>+L41+K41</f>
        <v>189843</v>
      </c>
    </row>
    <row r="42" spans="2:15">
      <c r="B42" s="1529" t="s">
        <v>1864</v>
      </c>
      <c r="C42" s="1529" t="str">
        <f>+C43</f>
        <v>FY   Fiscal 2013</v>
      </c>
      <c r="D42" t="str">
        <f>+D40</f>
        <v>Apr YTD</v>
      </c>
      <c r="E42" t="s">
        <v>25</v>
      </c>
      <c r="F42" t="s">
        <v>1835</v>
      </c>
      <c r="G42" s="1746">
        <f>+[25]Container!H91</f>
        <v>29593</v>
      </c>
      <c r="H42" s="1746"/>
      <c r="I42" s="1746">
        <f>+[25]Container!H92</f>
        <v>6174</v>
      </c>
      <c r="K42" s="1746"/>
    </row>
    <row r="43" spans="2:15">
      <c r="B43" s="1529" t="s">
        <v>1864</v>
      </c>
      <c r="C43" s="1529" t="s">
        <v>1832</v>
      </c>
      <c r="D43" t="s">
        <v>1833</v>
      </c>
      <c r="E43" t="s">
        <v>25</v>
      </c>
      <c r="F43" t="s">
        <v>1835</v>
      </c>
      <c r="G43" s="1746">
        <f>+[25]Container!I91</f>
        <v>82797</v>
      </c>
      <c r="H43" s="1746"/>
      <c r="I43" s="1746">
        <f>+[25]Container!I92</f>
        <v>45868</v>
      </c>
      <c r="J43" t="s">
        <v>2272</v>
      </c>
      <c r="K43" s="1749">
        <f>+G43-G42+G44</f>
        <v>67702</v>
      </c>
      <c r="L43" s="1767">
        <f>+I43-I42+I44</f>
        <v>65101</v>
      </c>
      <c r="M43" s="1767">
        <f>+L43+K43</f>
        <v>132803</v>
      </c>
    </row>
    <row r="44" spans="2:15">
      <c r="B44" s="1529" t="s">
        <v>1864</v>
      </c>
      <c r="C44" s="1529" t="str">
        <f>+C45</f>
        <v>FY   Fiscal 2014</v>
      </c>
      <c r="D44" t="str">
        <f>+D42</f>
        <v>Apr YTD</v>
      </c>
      <c r="E44" t="s">
        <v>25</v>
      </c>
      <c r="F44" t="s">
        <v>1835</v>
      </c>
      <c r="G44" s="1746">
        <f>+[25]Container!J91</f>
        <v>14498</v>
      </c>
      <c r="H44" s="1746"/>
      <c r="I44" s="1746">
        <f>+[25]Container!J92</f>
        <v>25407</v>
      </c>
      <c r="K44" s="1746"/>
    </row>
    <row r="45" spans="2:15">
      <c r="B45" s="1529" t="s">
        <v>1864</v>
      </c>
      <c r="C45" s="1529" t="s">
        <v>1876</v>
      </c>
      <c r="D45" t="s">
        <v>1833</v>
      </c>
      <c r="E45" t="s">
        <v>25</v>
      </c>
      <c r="F45" t="s">
        <v>1835</v>
      </c>
      <c r="G45" s="1746">
        <f>+[25]Container!K91</f>
        <v>221800</v>
      </c>
      <c r="H45" s="1746"/>
      <c r="I45" s="1746">
        <f>+[25]Container!K92</f>
        <v>85958</v>
      </c>
      <c r="J45" t="s">
        <v>2273</v>
      </c>
      <c r="K45" s="1746">
        <f>+G45-G44+G46</f>
        <v>266301.28571428574</v>
      </c>
      <c r="L45" s="635">
        <f>+I45-I44+I46</f>
        <v>76428.357142857145</v>
      </c>
      <c r="M45" s="635">
        <f>+L45+K45</f>
        <v>342729.6428571429</v>
      </c>
    </row>
    <row r="46" spans="2:15">
      <c r="E46" t="s">
        <v>2295</v>
      </c>
      <c r="G46" s="1768">
        <f>+K49*M49</f>
        <v>58999.285714285717</v>
      </c>
      <c r="I46" s="1769">
        <f>+L49*M49</f>
        <v>15877.357142857141</v>
      </c>
      <c r="M46" s="635"/>
    </row>
    <row r="47" spans="2:15" ht="12" thickBot="1">
      <c r="G47" s="635"/>
      <c r="H47" s="635"/>
      <c r="I47" s="635"/>
    </row>
    <row r="48" spans="2:15">
      <c r="K48" s="1770">
        <v>825990</v>
      </c>
      <c r="L48" s="1771">
        <v>222283</v>
      </c>
      <c r="M48" s="1772">
        <v>1048273</v>
      </c>
      <c r="N48" s="1752" t="s">
        <v>2296</v>
      </c>
      <c r="O48" s="1754"/>
    </row>
    <row r="49" spans="1:15">
      <c r="G49" s="1773" t="s">
        <v>2297</v>
      </c>
      <c r="H49" s="1773"/>
      <c r="I49" s="1773"/>
      <c r="K49" s="1774">
        <f>+K48/M48</f>
        <v>0.78795313816152857</v>
      </c>
      <c r="L49" s="1775">
        <f>+L48/M48</f>
        <v>0.21204686183847146</v>
      </c>
      <c r="M49" s="1776">
        <f>+M48/56*4</f>
        <v>74876.642857142855</v>
      </c>
      <c r="N49" s="541" t="s">
        <v>2298</v>
      </c>
      <c r="O49" s="1756"/>
    </row>
    <row r="50" spans="1:15" ht="12" thickBot="1">
      <c r="G50" s="1773" t="s">
        <v>2299</v>
      </c>
      <c r="H50" s="1773"/>
      <c r="I50" s="1773"/>
      <c r="K50" s="1763" t="s">
        <v>2300</v>
      </c>
      <c r="L50" s="1764"/>
      <c r="M50" s="1764"/>
      <c r="N50" s="1764"/>
      <c r="O50" s="1766"/>
    </row>
    <row r="58" spans="1:15">
      <c r="A58" t="s">
        <v>2301</v>
      </c>
      <c r="C58" t="s">
        <v>2302</v>
      </c>
    </row>
    <row r="61" spans="1:15">
      <c r="B61" t="s">
        <v>1864</v>
      </c>
      <c r="C61" t="s">
        <v>1864</v>
      </c>
      <c r="D61" t="s">
        <v>1864</v>
      </c>
      <c r="E61" t="s">
        <v>1864</v>
      </c>
      <c r="F61" t="s">
        <v>1864</v>
      </c>
      <c r="G61" t="s">
        <v>1864</v>
      </c>
      <c r="H61" t="s">
        <v>1864</v>
      </c>
      <c r="I61" t="s">
        <v>1864</v>
      </c>
      <c r="J61" t="s">
        <v>1864</v>
      </c>
      <c r="K61" t="s">
        <v>1864</v>
      </c>
    </row>
    <row r="62" spans="1:15">
      <c r="B62" t="s">
        <v>2264</v>
      </c>
      <c r="C62" t="s">
        <v>2264</v>
      </c>
      <c r="D62" t="s">
        <v>2266</v>
      </c>
      <c r="E62" t="s">
        <v>2266</v>
      </c>
      <c r="F62" t="s">
        <v>2268</v>
      </c>
      <c r="G62" t="s">
        <v>2268</v>
      </c>
      <c r="H62" t="s">
        <v>1832</v>
      </c>
      <c r="I62" t="s">
        <v>1832</v>
      </c>
      <c r="J62" t="s">
        <v>1876</v>
      </c>
      <c r="K62" t="s">
        <v>1876</v>
      </c>
    </row>
    <row r="63" spans="1:15">
      <c r="B63" t="s">
        <v>2263</v>
      </c>
      <c r="C63" t="s">
        <v>1833</v>
      </c>
      <c r="D63" t="s">
        <v>2263</v>
      </c>
      <c r="E63" t="s">
        <v>1833</v>
      </c>
      <c r="F63" t="s">
        <v>2263</v>
      </c>
      <c r="G63" t="s">
        <v>1833</v>
      </c>
      <c r="H63" t="s">
        <v>2263</v>
      </c>
      <c r="I63" t="s">
        <v>1833</v>
      </c>
      <c r="J63" t="s">
        <v>2263</v>
      </c>
      <c r="K63" t="s">
        <v>1833</v>
      </c>
    </row>
    <row r="64" spans="1:15">
      <c r="B64" t="s">
        <v>25</v>
      </c>
      <c r="C64" t="s">
        <v>25</v>
      </c>
      <c r="D64" t="s">
        <v>25</v>
      </c>
      <c r="E64" t="s">
        <v>25</v>
      </c>
      <c r="F64" t="s">
        <v>25</v>
      </c>
      <c r="G64" t="s">
        <v>25</v>
      </c>
      <c r="H64" t="s">
        <v>25</v>
      </c>
      <c r="I64" t="s">
        <v>25</v>
      </c>
      <c r="J64" t="s">
        <v>25</v>
      </c>
      <c r="K64" t="s">
        <v>25</v>
      </c>
    </row>
    <row r="65" spans="1:11">
      <c r="B65" t="s">
        <v>1835</v>
      </c>
      <c r="C65" t="s">
        <v>1835</v>
      </c>
      <c r="D65" t="s">
        <v>1835</v>
      </c>
      <c r="E65" t="s">
        <v>1835</v>
      </c>
      <c r="F65" t="s">
        <v>1835</v>
      </c>
      <c r="G65" t="s">
        <v>1835</v>
      </c>
      <c r="H65" t="s">
        <v>1835</v>
      </c>
      <c r="I65" t="s">
        <v>1835</v>
      </c>
      <c r="J65" t="s">
        <v>1835</v>
      </c>
      <c r="K65" t="s">
        <v>1835</v>
      </c>
    </row>
    <row r="66" spans="1:11">
      <c r="A66" s="1092" t="s">
        <v>1003</v>
      </c>
      <c r="B66" s="775">
        <v>7257</v>
      </c>
      <c r="C66" s="775">
        <v>38809</v>
      </c>
      <c r="D66" s="775">
        <v>28297</v>
      </c>
      <c r="E66" s="775">
        <v>46933</v>
      </c>
      <c r="F66" s="775">
        <v>4138</v>
      </c>
      <c r="G66" s="775">
        <v>5129</v>
      </c>
      <c r="H66" s="775" t="s">
        <v>2303</v>
      </c>
      <c r="I66" s="775">
        <v>27866</v>
      </c>
      <c r="J66" s="775">
        <v>5994</v>
      </c>
      <c r="K66" s="775">
        <v>49147</v>
      </c>
    </row>
    <row r="67" spans="1:11">
      <c r="A67" s="1092" t="s">
        <v>2304</v>
      </c>
      <c r="B67" s="775">
        <v>4488</v>
      </c>
      <c r="C67" s="775">
        <v>13956</v>
      </c>
      <c r="D67" s="775" t="s">
        <v>2303</v>
      </c>
      <c r="E67" s="775">
        <v>6910</v>
      </c>
      <c r="F67" s="775">
        <v>6834</v>
      </c>
      <c r="G67" s="775">
        <v>11195</v>
      </c>
      <c r="H67" s="775" t="s">
        <v>2303</v>
      </c>
      <c r="I67" s="775" t="s">
        <v>2303</v>
      </c>
      <c r="J67" s="775" t="s">
        <v>2303</v>
      </c>
      <c r="K67" s="775" t="s">
        <v>2303</v>
      </c>
    </row>
    <row r="68" spans="1:11">
      <c r="A68" s="1092" t="s">
        <v>2305</v>
      </c>
      <c r="B68" s="775" t="s">
        <v>2303</v>
      </c>
      <c r="C68" s="775" t="s">
        <v>2303</v>
      </c>
      <c r="D68" s="775">
        <v>79</v>
      </c>
      <c r="E68" s="775" t="s">
        <v>2303</v>
      </c>
      <c r="F68" s="775" t="s">
        <v>2303</v>
      </c>
      <c r="G68" s="775" t="s">
        <v>2303</v>
      </c>
      <c r="H68" s="775" t="s">
        <v>2303</v>
      </c>
      <c r="I68" s="775" t="s">
        <v>2303</v>
      </c>
      <c r="J68" s="775" t="s">
        <v>2303</v>
      </c>
      <c r="K68" s="775" t="s">
        <v>2303</v>
      </c>
    </row>
    <row r="69" spans="1:11">
      <c r="A69" s="1092" t="s">
        <v>2306</v>
      </c>
      <c r="B69" s="775">
        <v>960</v>
      </c>
      <c r="C69" s="775">
        <v>2885</v>
      </c>
      <c r="D69" s="775">
        <v>334</v>
      </c>
      <c r="E69" s="775">
        <v>3409</v>
      </c>
      <c r="F69" s="775" t="s">
        <v>2303</v>
      </c>
      <c r="G69" s="775" t="s">
        <v>2303</v>
      </c>
      <c r="H69" s="775" t="s">
        <v>2303</v>
      </c>
      <c r="I69" s="775" t="s">
        <v>2303</v>
      </c>
      <c r="J69" s="775" t="s">
        <v>2303</v>
      </c>
      <c r="K69" s="775" t="s">
        <v>2303</v>
      </c>
    </row>
    <row r="70" spans="1:11">
      <c r="A70" s="1092" t="s">
        <v>2307</v>
      </c>
      <c r="B70" s="775">
        <v>2717</v>
      </c>
      <c r="C70" s="775">
        <v>4032</v>
      </c>
      <c r="D70" s="775">
        <v>710</v>
      </c>
      <c r="E70" s="775">
        <v>2272</v>
      </c>
      <c r="F70" s="775" t="s">
        <v>2303</v>
      </c>
      <c r="G70" s="775" t="s">
        <v>2303</v>
      </c>
      <c r="H70" s="775" t="s">
        <v>2303</v>
      </c>
      <c r="I70" s="775" t="s">
        <v>2303</v>
      </c>
      <c r="J70" s="775" t="s">
        <v>2303</v>
      </c>
      <c r="K70" s="775" t="s">
        <v>2303</v>
      </c>
    </row>
    <row r="71" spans="1:11">
      <c r="A71" s="1092" t="s">
        <v>1004</v>
      </c>
      <c r="B71" s="775">
        <v>914</v>
      </c>
      <c r="C71" s="775">
        <v>4434</v>
      </c>
      <c r="D71" s="775">
        <v>5031</v>
      </c>
      <c r="E71" s="775">
        <v>5510</v>
      </c>
      <c r="F71" s="775">
        <v>221</v>
      </c>
      <c r="G71" s="775">
        <v>14680</v>
      </c>
      <c r="H71" s="775">
        <v>1054</v>
      </c>
      <c r="I71" s="775">
        <v>2746</v>
      </c>
      <c r="J71" s="775">
        <v>5531</v>
      </c>
      <c r="K71" s="775">
        <v>60647</v>
      </c>
    </row>
    <row r="72" spans="1:11">
      <c r="A72" s="1092" t="s">
        <v>1005</v>
      </c>
      <c r="B72" s="775">
        <v>7946</v>
      </c>
      <c r="C72" s="775">
        <v>24992</v>
      </c>
      <c r="D72" s="775">
        <v>18025</v>
      </c>
      <c r="E72" s="775">
        <v>157499</v>
      </c>
      <c r="F72" s="775">
        <v>58006</v>
      </c>
      <c r="G72" s="775">
        <v>194583</v>
      </c>
      <c r="H72" s="775">
        <v>24484</v>
      </c>
      <c r="I72" s="775">
        <v>41551</v>
      </c>
      <c r="J72" s="775" t="s">
        <v>2303</v>
      </c>
      <c r="K72" s="775">
        <v>35417</v>
      </c>
    </row>
    <row r="73" spans="1:11">
      <c r="A73" s="1777" t="s">
        <v>2308</v>
      </c>
      <c r="B73" s="775" t="s">
        <v>2303</v>
      </c>
      <c r="C73" s="775" t="s">
        <v>2303</v>
      </c>
      <c r="D73" s="775" t="s">
        <v>2303</v>
      </c>
      <c r="E73" s="775" t="s">
        <v>2303</v>
      </c>
      <c r="F73" s="775" t="s">
        <v>2303</v>
      </c>
      <c r="G73" s="775" t="s">
        <v>2303</v>
      </c>
      <c r="H73" s="775" t="s">
        <v>2303</v>
      </c>
      <c r="I73" s="775" t="s">
        <v>2303</v>
      </c>
      <c r="J73" s="775" t="s">
        <v>2303</v>
      </c>
      <c r="K73" s="775" t="s">
        <v>2303</v>
      </c>
    </row>
    <row r="74" spans="1:11">
      <c r="A74" s="1092" t="s">
        <v>2309</v>
      </c>
      <c r="B74" s="775" t="s">
        <v>2303</v>
      </c>
      <c r="C74" s="775" t="s">
        <v>2303</v>
      </c>
      <c r="D74" s="775" t="s">
        <v>2303</v>
      </c>
      <c r="E74" s="775" t="s">
        <v>2303</v>
      </c>
      <c r="F74" s="775" t="s">
        <v>2303</v>
      </c>
      <c r="G74" s="775" t="s">
        <v>2303</v>
      </c>
      <c r="H74" s="775" t="s">
        <v>2303</v>
      </c>
      <c r="I74" s="775" t="s">
        <v>2303</v>
      </c>
      <c r="J74" s="775" t="s">
        <v>2303</v>
      </c>
      <c r="K74" s="775" t="s">
        <v>2303</v>
      </c>
    </row>
    <row r="75" spans="1:11">
      <c r="A75" s="1092" t="s">
        <v>2310</v>
      </c>
      <c r="B75" s="775" t="s">
        <v>2303</v>
      </c>
      <c r="C75" s="775" t="s">
        <v>2303</v>
      </c>
      <c r="D75" s="775" t="s">
        <v>2303</v>
      </c>
      <c r="E75" s="775" t="s">
        <v>2303</v>
      </c>
      <c r="F75" s="775" t="s">
        <v>2303</v>
      </c>
      <c r="G75" s="775" t="s">
        <v>2303</v>
      </c>
      <c r="H75" s="775" t="s">
        <v>2303</v>
      </c>
      <c r="I75" s="775" t="s">
        <v>2303</v>
      </c>
      <c r="J75" s="775" t="s">
        <v>2303</v>
      </c>
      <c r="K75" s="775" t="s">
        <v>2303</v>
      </c>
    </row>
    <row r="76" spans="1:11">
      <c r="A76" s="1092" t="s">
        <v>1006</v>
      </c>
      <c r="B76" s="775">
        <v>5308</v>
      </c>
      <c r="C76" s="775">
        <v>14162</v>
      </c>
      <c r="D76" s="775">
        <v>2117</v>
      </c>
      <c r="E76" s="775">
        <v>11428</v>
      </c>
      <c r="F76" s="775">
        <v>1660</v>
      </c>
      <c r="G76" s="775">
        <v>9093</v>
      </c>
      <c r="H76" s="775">
        <v>4270</v>
      </c>
      <c r="I76" s="775">
        <v>10849</v>
      </c>
      <c r="J76" s="775">
        <v>3296</v>
      </c>
      <c r="K76" s="775">
        <v>9576</v>
      </c>
    </row>
    <row r="77" spans="1:11">
      <c r="A77" s="1092" t="s">
        <v>1238</v>
      </c>
      <c r="B77" s="775" t="s">
        <v>2303</v>
      </c>
      <c r="C77" s="775" t="s">
        <v>2303</v>
      </c>
      <c r="D77" s="775">
        <v>-3636</v>
      </c>
      <c r="E77" s="775">
        <v>-8342</v>
      </c>
      <c r="F77" s="775">
        <v>-2841</v>
      </c>
      <c r="G77" s="775">
        <v>-12586</v>
      </c>
      <c r="H77" s="775">
        <v>-215</v>
      </c>
      <c r="I77" s="775">
        <v>-215</v>
      </c>
      <c r="J77" s="775">
        <v>-323</v>
      </c>
      <c r="K77" s="775">
        <v>67013</v>
      </c>
    </row>
    <row r="78" spans="1:11">
      <c r="A78" s="1092" t="s">
        <v>2311</v>
      </c>
      <c r="B78" s="775" t="s">
        <v>2303</v>
      </c>
      <c r="C78" s="775" t="s">
        <v>2303</v>
      </c>
      <c r="D78" s="775" t="s">
        <v>2303</v>
      </c>
      <c r="E78" s="775" t="s">
        <v>2303</v>
      </c>
      <c r="F78" s="775" t="s">
        <v>2303</v>
      </c>
      <c r="G78" s="775" t="s">
        <v>2303</v>
      </c>
      <c r="H78" s="775" t="s">
        <v>2303</v>
      </c>
      <c r="I78" s="775" t="s">
        <v>2303</v>
      </c>
      <c r="J78" s="775" t="s">
        <v>2303</v>
      </c>
      <c r="K78" s="775" t="s">
        <v>2303</v>
      </c>
    </row>
    <row r="79" spans="1:11">
      <c r="A79" s="1092" t="s">
        <v>2312</v>
      </c>
      <c r="B79" s="775" t="s">
        <v>2303</v>
      </c>
      <c r="C79" s="775" t="s">
        <v>2303</v>
      </c>
      <c r="D79" s="775" t="s">
        <v>2303</v>
      </c>
      <c r="E79" s="775" t="s">
        <v>2303</v>
      </c>
      <c r="F79" s="775" t="s">
        <v>2303</v>
      </c>
      <c r="G79" s="775" t="s">
        <v>2303</v>
      </c>
      <c r="H79" s="775" t="s">
        <v>2303</v>
      </c>
      <c r="I79" s="775" t="s">
        <v>2303</v>
      </c>
      <c r="J79" s="775" t="s">
        <v>2303</v>
      </c>
      <c r="K79" s="775" t="s">
        <v>2303</v>
      </c>
    </row>
    <row r="80" spans="1:11">
      <c r="A80" s="1092" t="s">
        <v>2313</v>
      </c>
      <c r="B80" s="775" t="s">
        <v>2303</v>
      </c>
      <c r="C80" s="775" t="s">
        <v>2303</v>
      </c>
      <c r="D80" s="775" t="s">
        <v>2303</v>
      </c>
      <c r="E80" s="775" t="s">
        <v>2303</v>
      </c>
      <c r="F80" s="775" t="s">
        <v>2303</v>
      </c>
      <c r="G80" s="775" t="s">
        <v>2303</v>
      </c>
      <c r="H80" s="775" t="s">
        <v>2303</v>
      </c>
      <c r="I80" s="775" t="s">
        <v>2303</v>
      </c>
      <c r="J80" s="775" t="s">
        <v>2303</v>
      </c>
      <c r="K80" s="775" t="s">
        <v>2303</v>
      </c>
    </row>
    <row r="81" spans="1:13">
      <c r="A81" s="1777" t="s">
        <v>2314</v>
      </c>
      <c r="B81" s="775" t="s">
        <v>2303</v>
      </c>
      <c r="C81" s="775" t="s">
        <v>2303</v>
      </c>
      <c r="D81" s="775" t="s">
        <v>2303</v>
      </c>
      <c r="E81" s="775" t="s">
        <v>2303</v>
      </c>
      <c r="F81" s="775" t="s">
        <v>2303</v>
      </c>
      <c r="G81" s="775" t="s">
        <v>2303</v>
      </c>
      <c r="H81" s="775" t="s">
        <v>2303</v>
      </c>
      <c r="I81" s="775" t="s">
        <v>2303</v>
      </c>
      <c r="J81" s="775" t="s">
        <v>2303</v>
      </c>
      <c r="K81" s="775" t="s">
        <v>2303</v>
      </c>
    </row>
    <row r="82" spans="1:13">
      <c r="A82" s="1777" t="s">
        <v>2315</v>
      </c>
      <c r="B82" s="775">
        <v>31993</v>
      </c>
      <c r="C82" s="775">
        <v>97152</v>
      </c>
      <c r="D82" s="775">
        <v>25286</v>
      </c>
      <c r="E82" s="775">
        <v>25298</v>
      </c>
      <c r="F82" s="775" t="s">
        <v>2303</v>
      </c>
      <c r="G82" s="775" t="s">
        <v>2303</v>
      </c>
      <c r="H82" s="775">
        <v>6174</v>
      </c>
      <c r="I82" s="775">
        <v>45868</v>
      </c>
      <c r="J82" s="775">
        <v>25407</v>
      </c>
      <c r="K82" s="775">
        <v>85958</v>
      </c>
    </row>
    <row r="83" spans="1:13">
      <c r="A83" s="1777" t="s">
        <v>2316</v>
      </c>
      <c r="B83" s="775">
        <v>29590</v>
      </c>
      <c r="C83" s="775">
        <v>99493</v>
      </c>
      <c r="D83" s="775">
        <v>38172</v>
      </c>
      <c r="E83" s="775">
        <v>198966</v>
      </c>
      <c r="F83" s="775">
        <v>52620</v>
      </c>
      <c r="G83" s="775">
        <v>188958</v>
      </c>
      <c r="H83" s="775">
        <v>29592</v>
      </c>
      <c r="I83" s="775">
        <v>54833</v>
      </c>
      <c r="J83" s="775">
        <v>8827</v>
      </c>
      <c r="K83" s="775">
        <v>97158</v>
      </c>
    </row>
    <row r="84" spans="1:13">
      <c r="A84" s="1092" t="s">
        <v>1241</v>
      </c>
      <c r="B84" s="775">
        <v>-29590</v>
      </c>
      <c r="C84" s="775">
        <v>-99493</v>
      </c>
      <c r="D84" s="775">
        <v>-38172</v>
      </c>
      <c r="E84" s="775">
        <v>-198966</v>
      </c>
      <c r="F84" s="775">
        <v>-52620</v>
      </c>
      <c r="G84" s="775">
        <v>-188958</v>
      </c>
      <c r="H84" s="775">
        <v>-29592</v>
      </c>
      <c r="I84" s="775">
        <v>-54833</v>
      </c>
      <c r="J84" s="775">
        <v>-8827</v>
      </c>
      <c r="K84" s="775">
        <v>-97158</v>
      </c>
    </row>
    <row r="85" spans="1:13">
      <c r="A85" s="1778" t="s">
        <v>2260</v>
      </c>
      <c r="B85" s="1779">
        <v>61583</v>
      </c>
      <c r="C85" s="1779">
        <v>200422</v>
      </c>
      <c r="D85" s="1779">
        <v>76243</v>
      </c>
      <c r="E85" s="1779">
        <v>250918</v>
      </c>
      <c r="F85" s="1779">
        <v>68017</v>
      </c>
      <c r="G85" s="1779">
        <v>222093</v>
      </c>
      <c r="H85" s="1779">
        <v>35767</v>
      </c>
      <c r="I85" s="1779">
        <v>128665</v>
      </c>
      <c r="J85" s="1779">
        <v>39905</v>
      </c>
      <c r="K85" s="1779">
        <v>307758</v>
      </c>
      <c r="M85" s="1054"/>
    </row>
    <row r="87" spans="1:13">
      <c r="A87" t="s">
        <v>2317</v>
      </c>
      <c r="B87" s="775">
        <v>17934</v>
      </c>
      <c r="C87" s="775">
        <v>-543970</v>
      </c>
      <c r="D87" s="775">
        <v>405002</v>
      </c>
      <c r="E87" s="775">
        <v>-896450</v>
      </c>
      <c r="F87" s="775">
        <v>-775643</v>
      </c>
      <c r="G87" s="775">
        <v>-3462534</v>
      </c>
      <c r="H87" s="775">
        <v>-564682</v>
      </c>
      <c r="I87" s="775">
        <v>-2894356</v>
      </c>
      <c r="J87" s="775">
        <v>-773273</v>
      </c>
      <c r="K87" s="775">
        <v>-1633630</v>
      </c>
    </row>
    <row r="88" spans="1:13">
      <c r="B88" s="775"/>
      <c r="C88" s="775"/>
      <c r="D88" s="775"/>
      <c r="E88" s="775"/>
      <c r="F88" s="775"/>
      <c r="G88" s="775"/>
      <c r="H88" s="775"/>
      <c r="I88" s="775">
        <f>+I87-H87+J87</f>
        <v>-3102947</v>
      </c>
      <c r="J88" s="775"/>
      <c r="K88" s="775"/>
    </row>
    <row r="91" spans="1:13">
      <c r="A91" t="s">
        <v>2318</v>
      </c>
      <c r="B91" s="1054">
        <f t="shared" ref="B91:K91" si="0">SUM(B66:B80)</f>
        <v>29590</v>
      </c>
      <c r="C91" s="1054">
        <f t="shared" si="0"/>
        <v>103270</v>
      </c>
      <c r="D91" s="1054">
        <f t="shared" si="0"/>
        <v>50957</v>
      </c>
      <c r="E91" s="1054">
        <f t="shared" si="0"/>
        <v>225619</v>
      </c>
      <c r="F91" s="1054">
        <f t="shared" si="0"/>
        <v>68018</v>
      </c>
      <c r="G91" s="1054">
        <f t="shared" si="0"/>
        <v>222094</v>
      </c>
      <c r="H91" s="1054">
        <f t="shared" si="0"/>
        <v>29593</v>
      </c>
      <c r="I91" s="1054">
        <f t="shared" si="0"/>
        <v>82797</v>
      </c>
      <c r="J91" s="1054">
        <f t="shared" si="0"/>
        <v>14498</v>
      </c>
      <c r="K91" s="1054">
        <f t="shared" si="0"/>
        <v>221800</v>
      </c>
      <c r="M91" s="1054">
        <f>SUM(B91:L91)</f>
        <v>1048236</v>
      </c>
    </row>
    <row r="92" spans="1:13">
      <c r="A92" t="s">
        <v>2294</v>
      </c>
      <c r="B92" s="1054">
        <f t="shared" ref="B92:K92" si="1">SUM(B81:B84)</f>
        <v>31993</v>
      </c>
      <c r="C92" s="1054">
        <f t="shared" si="1"/>
        <v>97152</v>
      </c>
      <c r="D92" s="1054">
        <f t="shared" si="1"/>
        <v>25286</v>
      </c>
      <c r="E92" s="1054">
        <f t="shared" si="1"/>
        <v>25298</v>
      </c>
      <c r="F92" s="1054">
        <f t="shared" si="1"/>
        <v>0</v>
      </c>
      <c r="G92" s="1054">
        <f t="shared" si="1"/>
        <v>0</v>
      </c>
      <c r="H92" s="1054">
        <f t="shared" si="1"/>
        <v>6174</v>
      </c>
      <c r="I92" s="1054">
        <f t="shared" si="1"/>
        <v>45868</v>
      </c>
      <c r="J92" s="1054">
        <f t="shared" si="1"/>
        <v>25407</v>
      </c>
      <c r="K92" s="1054">
        <f t="shared" si="1"/>
        <v>85958</v>
      </c>
      <c r="M92" s="1054">
        <f>SUM(B92:L92)</f>
        <v>343136</v>
      </c>
    </row>
    <row r="94" spans="1:13">
      <c r="A94" t="s">
        <v>347</v>
      </c>
      <c r="B94" s="1054">
        <f t="shared" ref="B94:K94" si="2">SUM(B91:B92)</f>
        <v>61583</v>
      </c>
      <c r="C94" s="1054">
        <f t="shared" si="2"/>
        <v>200422</v>
      </c>
      <c r="D94" s="1054">
        <f t="shared" si="2"/>
        <v>76243</v>
      </c>
      <c r="E94" s="1054">
        <f t="shared" si="2"/>
        <v>250917</v>
      </c>
      <c r="F94" s="1054">
        <f t="shared" si="2"/>
        <v>68018</v>
      </c>
      <c r="G94" s="1054">
        <f t="shared" si="2"/>
        <v>222094</v>
      </c>
      <c r="H94" s="1054">
        <f t="shared" si="2"/>
        <v>35767</v>
      </c>
      <c r="I94" s="1054">
        <f t="shared" si="2"/>
        <v>128665</v>
      </c>
      <c r="J94" s="1054">
        <f t="shared" si="2"/>
        <v>39905</v>
      </c>
      <c r="K94" s="1054">
        <f t="shared" si="2"/>
        <v>307758</v>
      </c>
    </row>
  </sheetData>
  <mergeCells count="2">
    <mergeCell ref="B2:G2"/>
    <mergeCell ref="I2:J2"/>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N56"/>
  <sheetViews>
    <sheetView showGridLines="0" zoomScale="85" zoomScaleNormal="85" workbookViewId="0">
      <selection activeCell="H6" sqref="H6"/>
    </sheetView>
  </sheetViews>
  <sheetFormatPr defaultColWidth="16.33203125" defaultRowHeight="15"/>
  <cols>
    <col min="1" max="3" width="16.33203125" style="82"/>
    <col min="4" max="4" width="19.33203125" style="82" bestFit="1" customWidth="1"/>
    <col min="5" max="5" width="18" style="82" bestFit="1" customWidth="1"/>
    <col min="6" max="6" width="16.33203125" style="82"/>
    <col min="7" max="7" width="17.33203125" style="82" bestFit="1" customWidth="1"/>
    <col min="8" max="8" width="16.33203125" style="82"/>
    <col min="9" max="9" width="7.1640625" style="82" customWidth="1"/>
    <col min="10" max="10" width="16.33203125" style="82"/>
    <col min="11" max="11" width="18.6640625" style="82" bestFit="1" customWidth="1"/>
    <col min="12" max="16384" width="16.33203125" style="82"/>
  </cols>
  <sheetData>
    <row r="1" spans="1:40" ht="18">
      <c r="A1" s="79"/>
      <c r="B1" s="80" t="str">
        <f>Summary!C3</f>
        <v>Eastside</v>
      </c>
      <c r="C1" s="79"/>
      <c r="D1" s="79"/>
      <c r="E1" s="79"/>
      <c r="F1" s="81" t="s">
        <v>16</v>
      </c>
      <c r="G1" s="79"/>
      <c r="H1" s="79"/>
      <c r="I1" s="79"/>
      <c r="J1" s="79"/>
      <c r="K1" s="79"/>
      <c r="L1"/>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row>
    <row r="2" spans="1:40">
      <c r="A2" s="79"/>
      <c r="B2" s="83" t="s">
        <v>200</v>
      </c>
      <c r="C2" s="79"/>
      <c r="D2" s="79"/>
      <c r="E2" s="79"/>
      <c r="F2" s="79"/>
      <c r="G2" s="79"/>
      <c r="H2" s="79"/>
      <c r="I2" s="79"/>
      <c r="J2" s="79"/>
      <c r="K2" s="79"/>
      <c r="L2"/>
      <c r="M2" s="79"/>
      <c r="N2" s="79"/>
      <c r="O2" s="79"/>
      <c r="P2" s="79"/>
      <c r="Q2" s="79"/>
      <c r="R2" s="79"/>
      <c r="S2" s="79"/>
      <c r="T2" s="79"/>
      <c r="U2" s="79"/>
      <c r="V2" s="79"/>
      <c r="W2" s="79"/>
      <c r="X2" s="79"/>
      <c r="Y2" s="79"/>
      <c r="Z2" s="79"/>
      <c r="AA2" s="84" t="s">
        <v>201</v>
      </c>
      <c r="AB2" s="84" t="s">
        <v>202</v>
      </c>
      <c r="AC2" s="79"/>
      <c r="AD2" s="79"/>
      <c r="AE2" s="79" t="s">
        <v>203</v>
      </c>
      <c r="AF2" s="79"/>
      <c r="AG2" s="79"/>
      <c r="AH2" s="79"/>
      <c r="AI2" s="79"/>
      <c r="AJ2" s="79"/>
      <c r="AK2" s="79"/>
      <c r="AL2" s="79"/>
      <c r="AM2" s="79"/>
      <c r="AN2" s="79"/>
    </row>
    <row r="3" spans="1:40">
      <c r="A3" s="79"/>
      <c r="B3" s="83" t="str">
        <f>+' LG recycle'!B3</f>
        <v>For the test period ended April 30, 2014</v>
      </c>
      <c r="C3" s="79"/>
      <c r="D3" s="79"/>
      <c r="E3" s="79"/>
      <c r="F3" s="79"/>
      <c r="G3" s="79"/>
      <c r="H3" s="79"/>
      <c r="I3" s="79"/>
      <c r="J3" s="79"/>
      <c r="K3" s="79"/>
      <c r="L3"/>
      <c r="M3" s="79"/>
      <c r="N3" s="79"/>
      <c r="O3" s="79"/>
      <c r="P3" s="79"/>
      <c r="Q3" s="79"/>
      <c r="R3" s="79"/>
      <c r="S3" s="79"/>
      <c r="T3" s="79"/>
      <c r="U3" s="79"/>
      <c r="V3" s="79"/>
      <c r="W3" s="79"/>
      <c r="X3" s="79"/>
      <c r="Y3" s="79"/>
      <c r="Z3" s="79"/>
      <c r="AA3" s="84"/>
      <c r="AB3" s="84"/>
      <c r="AC3" s="79"/>
      <c r="AD3" s="79"/>
      <c r="AE3" s="79"/>
      <c r="AF3" s="79"/>
      <c r="AG3" s="79"/>
      <c r="AH3" s="79"/>
      <c r="AI3" s="79"/>
      <c r="AJ3" s="79"/>
      <c r="AK3" s="79"/>
      <c r="AL3" s="79"/>
      <c r="AM3" s="79"/>
      <c r="AN3" s="79"/>
    </row>
    <row r="4" spans="1:40">
      <c r="A4" s="79"/>
      <c r="B4" s="79"/>
      <c r="C4" s="79"/>
      <c r="D4" s="79"/>
      <c r="E4" s="79"/>
      <c r="F4" s="79"/>
      <c r="G4" s="79"/>
      <c r="H4" s="79"/>
      <c r="I4" s="79"/>
      <c r="J4" s="79" t="s">
        <v>204</v>
      </c>
      <c r="K4" s="79"/>
      <c r="L4"/>
      <c r="M4" s="79"/>
      <c r="N4" s="79"/>
      <c r="O4" s="79"/>
      <c r="P4" s="79"/>
      <c r="Q4" s="84" t="s">
        <v>205</v>
      </c>
      <c r="R4" s="84" t="s">
        <v>206</v>
      </c>
      <c r="S4" s="84" t="s">
        <v>207</v>
      </c>
      <c r="T4" s="84" t="s">
        <v>208</v>
      </c>
      <c r="U4" s="84" t="s">
        <v>209</v>
      </c>
      <c r="V4" s="79"/>
      <c r="W4" s="84" t="s">
        <v>210</v>
      </c>
      <c r="X4" s="79" t="s">
        <v>211</v>
      </c>
      <c r="Y4" s="84" t="s">
        <v>212</v>
      </c>
      <c r="Z4" s="84" t="s">
        <v>213</v>
      </c>
      <c r="AA4" s="84" t="s">
        <v>214</v>
      </c>
      <c r="AB4" s="79"/>
      <c r="AC4" s="79"/>
      <c r="AD4" s="79"/>
      <c r="AE4" s="79" t="s">
        <v>215</v>
      </c>
      <c r="AF4" s="79"/>
      <c r="AG4" s="79"/>
      <c r="AH4" s="79"/>
      <c r="AI4" s="79"/>
      <c r="AJ4" s="79"/>
      <c r="AK4" s="79"/>
      <c r="AL4" s="79"/>
      <c r="AM4" s="79"/>
      <c r="AN4" s="79"/>
    </row>
    <row r="5" spans="1:40">
      <c r="A5" s="85"/>
      <c r="B5" s="79" t="s">
        <v>216</v>
      </c>
      <c r="C5" s="79" t="s">
        <v>217</v>
      </c>
      <c r="D5" s="79"/>
      <c r="E5" s="86">
        <f>E7+E6</f>
        <v>1032190.1120877792</v>
      </c>
      <c r="F5" s="79" t="s">
        <v>218</v>
      </c>
      <c r="G5" s="79"/>
      <c r="H5" s="79"/>
      <c r="I5" s="79"/>
      <c r="J5" s="79" t="s">
        <v>219</v>
      </c>
      <c r="K5" s="79"/>
      <c r="L5"/>
      <c r="M5" s="79" t="s">
        <v>220</v>
      </c>
      <c r="N5" s="79"/>
      <c r="O5" s="79"/>
      <c r="P5" s="79"/>
      <c r="Q5" s="87">
        <f>$E$8*1.25</f>
        <v>1171007.3199102918</v>
      </c>
      <c r="R5" s="88">
        <f>100*(+Q5/$E$9)</f>
        <v>277.91337252985807</v>
      </c>
      <c r="S5" s="89">
        <f>EXP(5.7226-(0.68367*LN(+R5)))</f>
        <v>6.5232801801320113</v>
      </c>
      <c r="T5" s="89">
        <f>(+S5*R5)/100</f>
        <v>18.129067948176672</v>
      </c>
      <c r="U5" s="88">
        <f>100*((((T5/100)-((T5/100)-0.03574)*$E$21)-0.03574-0.00619)/0.344)</f>
        <v>27.479962267843771</v>
      </c>
      <c r="V5" s="79">
        <f>+$E$20</f>
        <v>0.25</v>
      </c>
      <c r="W5" s="88">
        <f>U5+V5</f>
        <v>27.729962267843771</v>
      </c>
      <c r="X5" s="88">
        <f>100*($E$17*$E$19+($E$18*(W5/100))/(1-$E$21))</f>
        <v>23.637147301201519</v>
      </c>
      <c r="Y5" s="89">
        <f>X5/R5</f>
        <v>8.505221280297344E-2</v>
      </c>
      <c r="Z5" s="87">
        <f>$E$8/(1-Y5)</f>
        <v>1023889.9629433171</v>
      </c>
      <c r="AA5" s="79" t="str">
        <f>IF(Z5=$Q$5,"yes","not yet")</f>
        <v>not yet</v>
      </c>
      <c r="AB5" s="88">
        <f>100*(1-Y5)</f>
        <v>91.494778719702651</v>
      </c>
      <c r="AC5" s="79"/>
      <c r="AD5" s="79"/>
      <c r="AE5" s="79">
        <v>0</v>
      </c>
      <c r="AF5" s="79">
        <v>1</v>
      </c>
      <c r="AG5" s="79"/>
      <c r="AH5" s="79"/>
      <c r="AI5" s="79"/>
      <c r="AJ5" s="79"/>
      <c r="AK5" s="79"/>
      <c r="AL5" s="79"/>
      <c r="AM5" s="79"/>
      <c r="AN5" s="79"/>
    </row>
    <row r="6" spans="1:40">
      <c r="A6" s="90" t="s">
        <v>11</v>
      </c>
      <c r="B6" s="79" t="s">
        <v>216</v>
      </c>
      <c r="C6" s="79" t="s">
        <v>221</v>
      </c>
      <c r="D6" s="79"/>
      <c r="E6" s="86">
        <f>(+E8-(($H15/100)*E7))/$H25</f>
        <v>139638.75208777931</v>
      </c>
      <c r="F6" s="91" t="s">
        <v>218</v>
      </c>
      <c r="G6" s="79"/>
      <c r="H6" s="508">
        <f>E6/E7</f>
        <v>0.15644898248519765</v>
      </c>
      <c r="I6" s="79"/>
      <c r="J6" s="79" t="s">
        <v>222</v>
      </c>
      <c r="K6" s="79"/>
      <c r="L6"/>
      <c r="M6" s="79" t="s">
        <v>223</v>
      </c>
      <c r="N6" s="79"/>
      <c r="O6" s="79"/>
      <c r="P6" s="79"/>
      <c r="Q6" s="87">
        <f>$E$8*1.25</f>
        <v>1171007.3199102918</v>
      </c>
      <c r="R6" s="88">
        <f>100*(+Q6/$E$9)</f>
        <v>277.91337252985807</v>
      </c>
      <c r="S6" s="89">
        <f>EXP(5.70827-(0.68367*LN(+R6)))</f>
        <v>6.4304681614959716</v>
      </c>
      <c r="T6" s="89">
        <f>(+S6*R6)/100</f>
        <v>17.871130937072213</v>
      </c>
      <c r="U6" s="88">
        <f>100*((((T6/100)-((T6/100)-0.03574)*$E$21)-0.03574-0.00619)/0.344)</f>
        <v>26.961088978063874</v>
      </c>
      <c r="V6" s="79">
        <f>+$E$20</f>
        <v>0.25</v>
      </c>
      <c r="W6" s="88">
        <f>U6+V6</f>
        <v>27.211088978063874</v>
      </c>
      <c r="X6" s="88">
        <f>100*($E$17*$E$19+($E$18*(W6/100))/(1-$E$21))</f>
        <v>23.240002441199838</v>
      </c>
      <c r="Y6" s="89">
        <f>X6/R6</f>
        <v>8.3623188872291532E-2</v>
      </c>
      <c r="Z6" s="87">
        <f>$E$8/(1-Y6)</f>
        <v>1022293.2799613128</v>
      </c>
      <c r="AA6" s="79" t="str">
        <f>IF(Z6=$Q$6,"yes","not yet")</f>
        <v>not yet</v>
      </c>
      <c r="AB6" s="88">
        <f>100*(1-Y6)</f>
        <v>91.637681112770835</v>
      </c>
      <c r="AC6" s="79"/>
      <c r="AD6" s="79"/>
      <c r="AE6" s="79">
        <v>50</v>
      </c>
      <c r="AF6" s="79">
        <v>2</v>
      </c>
      <c r="AG6" s="79"/>
      <c r="AH6" s="79"/>
      <c r="AI6" s="79"/>
      <c r="AJ6" s="79"/>
      <c r="AK6" s="79"/>
      <c r="AL6" s="79"/>
      <c r="AM6" s="79"/>
      <c r="AN6" s="79"/>
    </row>
    <row r="7" spans="1:40">
      <c r="A7" s="79"/>
      <c r="B7" s="92" t="s">
        <v>224</v>
      </c>
      <c r="C7" s="79" t="s">
        <v>13</v>
      </c>
      <c r="D7" s="92" t="s">
        <v>225</v>
      </c>
      <c r="E7" s="158">
        <f>+Proforma!O20</f>
        <v>892551.35999999987</v>
      </c>
      <c r="F7" s="79" t="s">
        <v>226</v>
      </c>
      <c r="G7" s="79"/>
      <c r="H7" s="79"/>
      <c r="I7" s="79"/>
      <c r="J7" s="79" t="s">
        <v>227</v>
      </c>
      <c r="K7" s="79"/>
      <c r="L7"/>
      <c r="M7" s="79" t="s">
        <v>228</v>
      </c>
      <c r="N7" s="79"/>
      <c r="O7" s="79"/>
      <c r="P7" s="79"/>
      <c r="Q7" s="87">
        <f>$E$8*1.25</f>
        <v>1171007.3199102918</v>
      </c>
      <c r="R7" s="88">
        <f>100*(+Q7/$E$9)</f>
        <v>277.91337252985807</v>
      </c>
      <c r="S7" s="89">
        <f>EXP(5.6985-(0.68367*LN(R7)))</f>
        <v>6.3679483939296881</v>
      </c>
      <c r="T7" s="89">
        <f>(+S7*R7)/100</f>
        <v>17.697380142530928</v>
      </c>
      <c r="U7" s="88">
        <f>100*((((T7/100)-((T7/100)-0.03574)*$E$21)-0.03574-0.00619)/0.344)</f>
        <v>26.611567030905235</v>
      </c>
      <c r="V7" s="79">
        <f>+$E$20</f>
        <v>0.25</v>
      </c>
      <c r="W7" s="88">
        <f>U7+V7</f>
        <v>26.861567030905235</v>
      </c>
      <c r="X7" s="88">
        <f>100*($E$17*$E$19+($E$18*(W7/100))/(1-$E$21))</f>
        <v>22.972478852096387</v>
      </c>
      <c r="Y7" s="89">
        <f>X7/R7</f>
        <v>8.2660573843485352E-2</v>
      </c>
      <c r="Z7" s="87">
        <f>$E$8/(1-Y7)</f>
        <v>1021220.5310451767</v>
      </c>
      <c r="AA7" s="79" t="str">
        <f>IF(Z7=$Q$7,"yes","not yet")</f>
        <v>not yet</v>
      </c>
      <c r="AB7" s="88">
        <f>100*(1-Y7)</f>
        <v>91.733942615651472</v>
      </c>
      <c r="AC7" s="79"/>
      <c r="AD7" s="79"/>
      <c r="AE7" s="79">
        <v>125</v>
      </c>
      <c r="AF7" s="79">
        <v>3</v>
      </c>
      <c r="AG7" s="79"/>
      <c r="AH7" s="79"/>
      <c r="AI7" s="79"/>
      <c r="AJ7" s="79"/>
      <c r="AK7" s="79"/>
      <c r="AL7" s="79"/>
      <c r="AM7" s="79"/>
      <c r="AN7" s="79"/>
    </row>
    <row r="8" spans="1:40">
      <c r="A8" s="79"/>
      <c r="B8" s="92" t="s">
        <v>224</v>
      </c>
      <c r="C8" s="79" t="s">
        <v>53</v>
      </c>
      <c r="D8" s="92" t="s">
        <v>225</v>
      </c>
      <c r="E8" s="93">
        <f>Proforma!O32+Proforma!O293</f>
        <v>936805.85592823348</v>
      </c>
      <c r="F8" s="79" t="s">
        <v>226</v>
      </c>
      <c r="G8" s="79"/>
      <c r="H8" s="79"/>
      <c r="I8" s="79"/>
      <c r="J8" s="79" t="s">
        <v>229</v>
      </c>
      <c r="K8" s="79"/>
      <c r="L8"/>
      <c r="M8" s="79" t="s">
        <v>230</v>
      </c>
      <c r="N8" s="79"/>
      <c r="O8" s="79"/>
      <c r="P8" s="79"/>
      <c r="Q8" s="87">
        <f>$E$8*1.25</f>
        <v>1171007.3199102918</v>
      </c>
      <c r="R8" s="88">
        <f>100*(+Q8/$E$9)</f>
        <v>277.91337252985807</v>
      </c>
      <c r="S8" s="89">
        <f>EXP(5.6922-(0.68367*LN(R8)))</f>
        <v>6.3279564260201902</v>
      </c>
      <c r="T8" s="89">
        <f>(+S8*R8)/100</f>
        <v>17.586237115772583</v>
      </c>
      <c r="U8" s="88">
        <f>100*((((T8/100)-((T8/100)-0.03574)*$E$21)-0.03574-0.00619)/0.344)</f>
        <v>26.387988616612297</v>
      </c>
      <c r="V8" s="79">
        <f>+$E$20</f>
        <v>0.25</v>
      </c>
      <c r="W8" s="88">
        <f>U8+V8</f>
        <v>26.637988616612297</v>
      </c>
      <c r="X8" s="88">
        <f>100*($E$17*$E$19+($E$18*(W8/100))/(1-$E$21))</f>
        <v>22.801352259549233</v>
      </c>
      <c r="Y8" s="89">
        <f>X8/R8</f>
        <v>8.204481868572025E-2</v>
      </c>
      <c r="Z8" s="87">
        <f>$E$8/(1-Y8)</f>
        <v>1020535.5065232753</v>
      </c>
      <c r="AA8" s="79" t="str">
        <f>IF(Z8=$Q$8,"yes","not yet")</f>
        <v>not yet</v>
      </c>
      <c r="AB8" s="88">
        <f>100*(1-Y8)</f>
        <v>91.795518131427983</v>
      </c>
      <c r="AC8" s="79"/>
      <c r="AD8" s="79"/>
      <c r="AE8" s="79">
        <v>401</v>
      </c>
      <c r="AF8" s="79">
        <v>4</v>
      </c>
      <c r="AG8" s="79"/>
      <c r="AH8" s="79"/>
      <c r="AI8" s="79"/>
      <c r="AJ8" s="79"/>
      <c r="AK8" s="79"/>
      <c r="AL8" s="79"/>
      <c r="AM8" s="79"/>
      <c r="AN8" s="79"/>
    </row>
    <row r="9" spans="1:40">
      <c r="A9" s="79"/>
      <c r="B9" s="92" t="s">
        <v>224</v>
      </c>
      <c r="C9" s="79" t="s">
        <v>231</v>
      </c>
      <c r="D9" s="79"/>
      <c r="E9" s="94">
        <f>'Summary (Staff)'!K47</f>
        <v>421356.95351776667</v>
      </c>
      <c r="F9" s="79" t="s">
        <v>226</v>
      </c>
      <c r="G9" s="79"/>
      <c r="H9" s="79"/>
      <c r="I9" s="79"/>
      <c r="J9" s="79"/>
      <c r="K9" s="79"/>
      <c r="L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row>
    <row r="10" spans="1:40">
      <c r="A10" s="79"/>
      <c r="B10" s="79"/>
      <c r="C10" s="79" t="s">
        <v>232</v>
      </c>
      <c r="D10" s="79"/>
      <c r="E10" s="88">
        <f>$R$5</f>
        <v>277.91337252985807</v>
      </c>
      <c r="F10" s="79" t="s">
        <v>233</v>
      </c>
      <c r="G10" s="79"/>
      <c r="H10" s="79"/>
      <c r="I10" s="79"/>
      <c r="J10" s="79"/>
      <c r="K10" s="79"/>
      <c r="L10"/>
      <c r="M10" s="79"/>
      <c r="N10" s="79"/>
      <c r="O10" s="79"/>
      <c r="P10" s="79"/>
      <c r="Q10" s="79"/>
      <c r="R10" s="84" t="s">
        <v>234</v>
      </c>
      <c r="S10" s="84" t="s">
        <v>207</v>
      </c>
      <c r="T10" s="84" t="s">
        <v>208</v>
      </c>
      <c r="U10" s="84" t="s">
        <v>209</v>
      </c>
      <c r="V10" s="79"/>
      <c r="W10" s="79"/>
      <c r="X10" s="79"/>
      <c r="Y10" s="79"/>
      <c r="Z10" s="79"/>
      <c r="AA10" s="79"/>
      <c r="AB10" s="79"/>
      <c r="AC10" s="79"/>
      <c r="AD10" s="79"/>
      <c r="AE10" s="79" t="s">
        <v>235</v>
      </c>
      <c r="AF10" s="79"/>
      <c r="AG10" s="79"/>
      <c r="AH10" s="79"/>
      <c r="AI10" s="79"/>
      <c r="AJ10" s="79"/>
      <c r="AK10" s="79"/>
      <c r="AL10" s="79"/>
      <c r="AM10" s="79"/>
      <c r="AN10" s="79"/>
    </row>
    <row r="11" spans="1:40">
      <c r="A11" s="79"/>
      <c r="B11" s="79"/>
      <c r="C11" s="79" t="s">
        <v>236</v>
      </c>
      <c r="D11" s="79"/>
      <c r="E11" s="88">
        <f>HLOOKUP($AF$34,$AF$28:$AN$32,$E$12+1)</f>
        <v>244.21146759516139</v>
      </c>
      <c r="F11" s="79" t="s">
        <v>233</v>
      </c>
      <c r="G11" s="79"/>
      <c r="H11" s="79"/>
      <c r="I11" s="79"/>
      <c r="J11" s="79"/>
      <c r="K11" s="79"/>
      <c r="L11"/>
      <c r="M11" s="79"/>
      <c r="N11" s="79"/>
      <c r="O11" s="79"/>
      <c r="P11" s="79"/>
      <c r="Q11" s="79"/>
      <c r="R11" s="88">
        <f>100*(+Z5/$E$9)</f>
        <v>242.99823567528819</v>
      </c>
      <c r="S11" s="95">
        <f>EXP(5.7226-(0.68367*LN(+R11)))</f>
        <v>7.1503667342977595</v>
      </c>
      <c r="T11" s="89">
        <f>(+S11*R11)/100</f>
        <v>17.375265008656278</v>
      </c>
      <c r="U11" s="88">
        <f>100*((((T11/100)-((T11/100)-0.03574)*$E$21)-0.03574-0.00619)/0.344)</f>
        <v>25.963591238343447</v>
      </c>
      <c r="V11" s="79">
        <f>+$E$20</f>
        <v>0.25</v>
      </c>
      <c r="W11" s="88">
        <f>U11+V11</f>
        <v>26.213591238343447</v>
      </c>
      <c r="X11" s="88">
        <f>100*($E$17*$E$19+($E$18*(W11/100))/(1-$E$21))</f>
        <v>22.476519124567165</v>
      </c>
      <c r="Y11" s="89">
        <f>X11/R11</f>
        <v>9.2496635056239312E-2</v>
      </c>
      <c r="Z11" s="87">
        <f>$E$8/(1-Y11)</f>
        <v>1032289.1265381575</v>
      </c>
      <c r="AA11" s="79" t="str">
        <f>IF(OR(OR(Z11=Z5,Z11=(Z5+1)),Z11=(Z8189-1)),"yes","not yet")</f>
        <v>not yet</v>
      </c>
      <c r="AB11" s="88">
        <f>100*(1-Y11)</f>
        <v>90.750336494376072</v>
      </c>
      <c r="AC11" s="79"/>
      <c r="AD11" s="79"/>
      <c r="AE11" s="79"/>
      <c r="AF11" s="79"/>
      <c r="AG11" s="79"/>
      <c r="AH11" s="79"/>
      <c r="AI11" s="79"/>
      <c r="AJ11" s="79"/>
      <c r="AK11" s="79"/>
      <c r="AL11" s="79"/>
      <c r="AM11" s="79"/>
      <c r="AN11" s="79"/>
    </row>
    <row r="12" spans="1:40">
      <c r="A12" s="79"/>
      <c r="B12" s="79"/>
      <c r="C12" s="79" t="s">
        <v>237</v>
      </c>
      <c r="D12" s="79"/>
      <c r="E12" s="79">
        <f>VLOOKUP(E10,$AE$5:$AF$8,2)</f>
        <v>3</v>
      </c>
      <c r="F12" s="79" t="s">
        <v>233</v>
      </c>
      <c r="G12" s="79"/>
      <c r="H12" s="79"/>
      <c r="I12" s="79"/>
      <c r="J12" s="79"/>
      <c r="K12" s="79"/>
      <c r="L12"/>
      <c r="M12" s="79"/>
      <c r="N12" s="79"/>
      <c r="O12" s="79"/>
      <c r="P12" s="79"/>
      <c r="Q12" s="79"/>
      <c r="R12" s="88">
        <f>100*(+Z6/$E$9)</f>
        <v>242.61929735027081</v>
      </c>
      <c r="S12" s="95">
        <f>EXP(5.70827-(0.68367*LN(+R12)))</f>
        <v>7.0561573130567989</v>
      </c>
      <c r="T12" s="89">
        <f>(+S12*R12)/100</f>
        <v>17.119599292868156</v>
      </c>
      <c r="U12" s="88">
        <f>100*((((T12/100)-((T12/100)-0.03574)*$E$21)-0.03574-0.00619)/0.344)</f>
        <v>25.449286949606879</v>
      </c>
      <c r="V12" s="79">
        <f>+$E$20</f>
        <v>0.25</v>
      </c>
      <c r="W12" s="88">
        <f>U12+V12</f>
        <v>25.699286949606879</v>
      </c>
      <c r="X12" s="88">
        <f>100*($E$17*$E$19+($E$18*(W12/100))/(1-$E$21))</f>
        <v>22.082871371307036</v>
      </c>
      <c r="Y12" s="89">
        <f>X12/R12</f>
        <v>9.1018610689593549E-2</v>
      </c>
      <c r="Z12" s="87">
        <f>$E$8/(1-Y12)</f>
        <v>1030610.6009925418</v>
      </c>
      <c r="AA12" s="79" t="str">
        <f>IF(OR(OR(Z12=Z6,Z12=(Z6+1)),Z12=(Z6-1)),"yes","not yet")</f>
        <v>not yet</v>
      </c>
      <c r="AB12" s="88">
        <f>100*(1-Y12)</f>
        <v>90.898138931040634</v>
      </c>
      <c r="AC12" s="79"/>
      <c r="AD12" s="79"/>
      <c r="AE12" s="79"/>
      <c r="AF12" s="79"/>
      <c r="AG12" s="79"/>
      <c r="AH12" s="79"/>
      <c r="AI12" s="79"/>
      <c r="AJ12" s="79"/>
      <c r="AK12" s="79"/>
      <c r="AL12" s="79"/>
      <c r="AM12" s="79"/>
      <c r="AN12" s="79"/>
    </row>
    <row r="13" spans="1:40">
      <c r="A13" s="79"/>
      <c r="B13" s="79"/>
      <c r="C13" s="79"/>
      <c r="D13" s="79"/>
      <c r="E13" s="79"/>
      <c r="F13" s="79"/>
      <c r="G13" s="79"/>
      <c r="H13" s="79"/>
      <c r="I13" s="79"/>
      <c r="J13" s="79"/>
      <c r="K13" s="79"/>
      <c r="L13"/>
      <c r="M13" s="79"/>
      <c r="N13" s="79"/>
      <c r="O13" s="79"/>
      <c r="P13" s="79"/>
      <c r="Q13" s="79"/>
      <c r="R13" s="88">
        <f>100*(+Z7/$E$9)</f>
        <v>242.36470349411633</v>
      </c>
      <c r="S13" s="95">
        <f>EXP(5.6985-(0.68367*LN(R13)))</f>
        <v>6.9925717206092903</v>
      </c>
      <c r="T13" s="89">
        <f>(+S13*R13)/100</f>
        <v>16.947525717268135</v>
      </c>
      <c r="U13" s="88">
        <f>100*((((T13/100)-((T13/100)-0.03574)*$E$21)-0.03574-0.00619)/0.344)</f>
        <v>25.103138942876608</v>
      </c>
      <c r="V13" s="79">
        <f>+$E$20</f>
        <v>0.25</v>
      </c>
      <c r="W13" s="88">
        <f>U13+V13</f>
        <v>25.353138942876608</v>
      </c>
      <c r="X13" s="88">
        <f>100*($E$17*$E$19+($E$18*(W13/100))/(1-$E$21))</f>
        <v>21.817930191291644</v>
      </c>
      <c r="Y13" s="89">
        <f>X13/R13</f>
        <v>9.0021071041894926E-2</v>
      </c>
      <c r="Z13" s="87">
        <f>$E$8/(1-Y13)</f>
        <v>1029480.8221557881</v>
      </c>
      <c r="AA13" s="79" t="str">
        <f>IF(OR(OR(Z13=Z7,Z13=(Z7+1)),Z13=(Z7-1)),"yes","not yet")</f>
        <v>not yet</v>
      </c>
      <c r="AB13" s="88">
        <f>100*(1-Y13)</f>
        <v>90.997892895810509</v>
      </c>
      <c r="AC13" s="79"/>
      <c r="AD13" s="79"/>
      <c r="AE13" s="79"/>
      <c r="AF13" s="79">
        <v>1</v>
      </c>
      <c r="AG13" s="79">
        <v>2</v>
      </c>
      <c r="AH13" s="79">
        <v>3</v>
      </c>
      <c r="AI13" s="79">
        <v>4</v>
      </c>
      <c r="AJ13" s="79">
        <v>5</v>
      </c>
      <c r="AK13" s="79">
        <v>6</v>
      </c>
      <c r="AL13" s="79">
        <v>7</v>
      </c>
      <c r="AM13" s="79">
        <v>8</v>
      </c>
      <c r="AN13" s="79">
        <v>9</v>
      </c>
    </row>
    <row r="14" spans="1:40">
      <c r="A14" s="79"/>
      <c r="B14" s="79"/>
      <c r="C14" s="79" t="s">
        <v>238</v>
      </c>
      <c r="D14" s="79"/>
      <c r="E14" s="79"/>
      <c r="F14" s="79"/>
      <c r="G14" s="79"/>
      <c r="H14" s="79"/>
      <c r="I14" s="79"/>
      <c r="J14" s="79"/>
      <c r="K14" s="79"/>
      <c r="L14" s="79"/>
      <c r="M14" s="79"/>
      <c r="N14" s="79"/>
      <c r="O14" s="79"/>
      <c r="P14" s="79"/>
      <c r="Q14" s="79"/>
      <c r="R14" s="88">
        <f>100*(+Z8/$E$9)</f>
        <v>242.20212767421293</v>
      </c>
      <c r="S14" s="95">
        <f>EXP(5.6922-(0.68367*LN(R14)))</f>
        <v>6.9518454431176275</v>
      </c>
      <c r="T14" s="89">
        <f>(+S14*R14)/100</f>
        <v>16.83751757585371</v>
      </c>
      <c r="U14" s="88">
        <f>100*((((T14/100)-((T14/100)-0.03574)*$E$21)-0.03574-0.00619)/0.344)</f>
        <v>24.881843495612699</v>
      </c>
      <c r="V14" s="79">
        <f>+$E$20</f>
        <v>0.25</v>
      </c>
      <c r="W14" s="88">
        <f>U14+V14</f>
        <v>25.131843495612699</v>
      </c>
      <c r="X14" s="88">
        <f>100*($E$17*$E$19+($E$18*(W14/100))/(1-$E$21))</f>
        <v>21.648550978382232</v>
      </c>
      <c r="Y14" s="89">
        <f>X14/R14</f>
        <v>8.9382166813587141E-2</v>
      </c>
      <c r="Z14" s="87">
        <f>$E$8/(1-Y14)</f>
        <v>1028758.5217282469</v>
      </c>
      <c r="AA14" s="79" t="str">
        <f>IF(OR(OR(Z14=Z8,Z14=(Z8+1)),Z14=(Z8-1)),"yes","not yet")</f>
        <v>not yet</v>
      </c>
      <c r="AB14" s="88">
        <f>100*(1-Y14)</f>
        <v>91.061783318641289</v>
      </c>
      <c r="AC14" s="79"/>
      <c r="AD14" s="79"/>
      <c r="AE14" s="79"/>
      <c r="AF14" s="79" t="str">
        <f>AA5</f>
        <v>not yet</v>
      </c>
      <c r="AG14" s="79" t="str">
        <f>AA11</f>
        <v>not yet</v>
      </c>
      <c r="AH14" s="79" t="str">
        <f>AA17</f>
        <v>not yet</v>
      </c>
      <c r="AI14" s="79" t="str">
        <f>AA23</f>
        <v>not yet</v>
      </c>
      <c r="AJ14" s="79" t="str">
        <f>AA29</f>
        <v>not yet</v>
      </c>
      <c r="AK14" s="79" t="str">
        <f>AA35</f>
        <v>not yet</v>
      </c>
      <c r="AL14" s="79" t="str">
        <f>AA41</f>
        <v>not yet</v>
      </c>
      <c r="AM14" s="79" t="str">
        <f>AA47</f>
        <v>yes</v>
      </c>
      <c r="AN14" s="79" t="str">
        <f>AA53</f>
        <v>not yet</v>
      </c>
    </row>
    <row r="15" spans="1:40">
      <c r="A15" s="79"/>
      <c r="B15" s="79"/>
      <c r="C15" s="79" t="s">
        <v>239</v>
      </c>
      <c r="D15" s="79"/>
      <c r="E15" s="92" t="s">
        <v>216</v>
      </c>
      <c r="F15" s="79" t="s">
        <v>240</v>
      </c>
      <c r="G15" s="79"/>
      <c r="H15" s="88">
        <f>HLOOKUP($AF$25,$AF$19:$AN$23,$E$12+1)</f>
        <v>91.040280204112804</v>
      </c>
      <c r="I15" s="79" t="s">
        <v>218</v>
      </c>
      <c r="J15" s="79"/>
      <c r="K15" s="79"/>
      <c r="L15" s="79"/>
      <c r="M15" s="79"/>
      <c r="N15" s="79"/>
      <c r="O15" s="79"/>
      <c r="P15" s="79"/>
      <c r="Q15" s="79"/>
      <c r="R15" s="79"/>
      <c r="S15" s="79"/>
      <c r="T15" s="79"/>
      <c r="U15" s="79"/>
      <c r="V15" s="79"/>
      <c r="W15" s="79"/>
      <c r="X15" s="79"/>
      <c r="Y15" s="79"/>
      <c r="Z15" s="79"/>
      <c r="AA15" s="79"/>
      <c r="AB15" s="79"/>
      <c r="AC15" s="79"/>
      <c r="AD15" s="79"/>
      <c r="AE15" s="79"/>
      <c r="AF15" s="79" t="str">
        <f>AA6</f>
        <v>not yet</v>
      </c>
      <c r="AG15" s="79" t="str">
        <f>AA12</f>
        <v>not yet</v>
      </c>
      <c r="AH15" s="79" t="str">
        <f>AA18</f>
        <v>not yet</v>
      </c>
      <c r="AI15" s="79" t="str">
        <f>AA24</f>
        <v>not yet</v>
      </c>
      <c r="AJ15" s="79" t="str">
        <f>AA30</f>
        <v>not yet</v>
      </c>
      <c r="AK15" s="79" t="str">
        <f>AA36</f>
        <v>not yet</v>
      </c>
      <c r="AL15" s="79" t="str">
        <f>AA42</f>
        <v>yes</v>
      </c>
      <c r="AM15" s="79" t="str">
        <f>AA48</f>
        <v>yes</v>
      </c>
      <c r="AN15" s="79" t="str">
        <f>AA54</f>
        <v>yes</v>
      </c>
    </row>
    <row r="16" spans="1:40">
      <c r="A16" s="79"/>
      <c r="B16" s="79"/>
      <c r="C16" s="96" t="s">
        <v>225</v>
      </c>
      <c r="D16" s="96" t="s">
        <v>225</v>
      </c>
      <c r="E16" s="79"/>
      <c r="F16" s="79"/>
      <c r="G16" s="79"/>
      <c r="H16" s="96" t="s">
        <v>241</v>
      </c>
      <c r="I16" s="79"/>
      <c r="J16" s="79"/>
      <c r="K16" s="107"/>
      <c r="L16" s="79"/>
      <c r="M16" s="79"/>
      <c r="N16" s="79"/>
      <c r="O16" s="79"/>
      <c r="P16" s="79"/>
      <c r="Q16" s="79"/>
      <c r="R16" s="79" t="s">
        <v>242</v>
      </c>
      <c r="S16" s="84" t="s">
        <v>207</v>
      </c>
      <c r="T16" s="84" t="s">
        <v>208</v>
      </c>
      <c r="U16" s="84" t="s">
        <v>209</v>
      </c>
      <c r="V16" s="79"/>
      <c r="W16" s="79"/>
      <c r="X16" s="79"/>
      <c r="Y16" s="79"/>
      <c r="Z16" s="79"/>
      <c r="AA16" s="79"/>
      <c r="AB16" s="79"/>
      <c r="AC16" s="79"/>
      <c r="AD16" s="79"/>
      <c r="AE16" s="79"/>
      <c r="AF16" s="79" t="str">
        <f>AA7</f>
        <v>not yet</v>
      </c>
      <c r="AG16" s="79" t="str">
        <f>AA13</f>
        <v>not yet</v>
      </c>
      <c r="AH16" s="79" t="str">
        <f>AA19</f>
        <v>not yet</v>
      </c>
      <c r="AI16" s="79" t="str">
        <f>AA25</f>
        <v>not yet</v>
      </c>
      <c r="AJ16" s="79" t="str">
        <f>AA31</f>
        <v>not yet</v>
      </c>
      <c r="AK16" s="79" t="str">
        <f>AA37</f>
        <v>not yet</v>
      </c>
      <c r="AL16" s="79" t="str">
        <f>AA43</f>
        <v>yes</v>
      </c>
      <c r="AM16" s="79" t="str">
        <f>AA49</f>
        <v>yes</v>
      </c>
      <c r="AN16" s="79" t="str">
        <f>AA55</f>
        <v>yes</v>
      </c>
    </row>
    <row r="17" spans="1:40">
      <c r="A17" s="79"/>
      <c r="B17" s="92" t="s">
        <v>224</v>
      </c>
      <c r="C17" s="79" t="s">
        <v>243</v>
      </c>
      <c r="D17" s="79"/>
      <c r="E17" s="97">
        <f>'Combined LG'!E17</f>
        <v>0.47034420824062401</v>
      </c>
      <c r="F17" s="79" t="s">
        <v>244</v>
      </c>
      <c r="G17" s="79"/>
      <c r="H17" s="79"/>
      <c r="I17" s="79"/>
      <c r="J17" s="79"/>
      <c r="K17" s="79"/>
      <c r="L17" s="79"/>
      <c r="M17" s="79"/>
      <c r="N17" s="79"/>
      <c r="O17" s="79"/>
      <c r="P17" s="79"/>
      <c r="Q17" s="79"/>
      <c r="R17" s="88">
        <f>100*(+Z11/$E$9)</f>
        <v>244.99159629855987</v>
      </c>
      <c r="S17" s="95">
        <f>EXP(5.7226-(0.68367*LN(+R17)))</f>
        <v>7.1105404248118731</v>
      </c>
      <c r="T17" s="89">
        <f>(+S17*R17)/100</f>
        <v>17.42022649220101</v>
      </c>
      <c r="U17" s="88">
        <f>100*((((T17/100)-((T17/100)-0.03574)*$E$21)-0.03574-0.00619)/0.344)</f>
        <v>26.054037013381105</v>
      </c>
      <c r="V17" s="79">
        <f>+$E$20</f>
        <v>0.25</v>
      </c>
      <c r="W17" s="88">
        <f>U17+V17</f>
        <v>26.304037013381105</v>
      </c>
      <c r="X17" s="88">
        <f>100*($E$17*$E$19+($E$18*(W17/100))/(1-$E$21))</f>
        <v>22.545746189001932</v>
      </c>
      <c r="Y17" s="89">
        <f>X17/R17</f>
        <v>9.2026610421063096E-2</v>
      </c>
      <c r="Z17" s="87">
        <f>$E$8/(1-Y17)</f>
        <v>1031754.7481899963</v>
      </c>
      <c r="AA17" s="79" t="str">
        <f>IF(OR(OR(Z17=Z11,Z17=(Z11+1)),Z17=(Z2-1)),"yes","not yet")</f>
        <v>not yet</v>
      </c>
      <c r="AB17" s="88">
        <f>100*(1-Y17)</f>
        <v>90.797338957893686</v>
      </c>
      <c r="AC17" s="79"/>
      <c r="AD17" s="79"/>
      <c r="AE17" s="79"/>
      <c r="AF17" s="79" t="str">
        <f>AA8</f>
        <v>not yet</v>
      </c>
      <c r="AG17" s="79" t="str">
        <f>AA14</f>
        <v>not yet</v>
      </c>
      <c r="AH17" s="79" t="str">
        <f>AA20</f>
        <v>not yet</v>
      </c>
      <c r="AI17" s="79" t="str">
        <f>AA26</f>
        <v>not yet</v>
      </c>
      <c r="AJ17" s="79" t="str">
        <f>AA32</f>
        <v>not yet</v>
      </c>
      <c r="AK17" s="79" t="str">
        <f>AA38</f>
        <v>not yet</v>
      </c>
      <c r="AL17" s="79" t="str">
        <f>AA44</f>
        <v>yes</v>
      </c>
      <c r="AM17" s="79" t="str">
        <f>AA50</f>
        <v>yes</v>
      </c>
      <c r="AN17" s="79" t="str">
        <f>AA56</f>
        <v>yes</v>
      </c>
    </row>
    <row r="18" spans="1:40">
      <c r="A18" s="79"/>
      <c r="B18" s="92" t="s">
        <v>224</v>
      </c>
      <c r="C18" s="79" t="s">
        <v>245</v>
      </c>
      <c r="D18" s="79"/>
      <c r="E18" s="97">
        <f>1-E17</f>
        <v>0.52965579175937605</v>
      </c>
      <c r="F18" s="79" t="s">
        <v>246</v>
      </c>
      <c r="G18" s="79"/>
      <c r="H18" s="99">
        <f>'Combined LG'!H18</f>
        <v>1.4999999999999999E-2</v>
      </c>
      <c r="I18" s="79" t="s">
        <v>224</v>
      </c>
      <c r="J18" s="79"/>
      <c r="K18" s="79"/>
      <c r="L18" s="79"/>
      <c r="M18" s="79"/>
      <c r="N18" s="79"/>
      <c r="O18" s="79"/>
      <c r="P18" s="79"/>
      <c r="Q18" s="79"/>
      <c r="R18" s="88">
        <f>100*(+Z12/$E$9)</f>
        <v>244.59323440335385</v>
      </c>
      <c r="S18" s="95">
        <f>EXP(5.70827-(0.68367*LN(+R18)))</f>
        <v>7.0171757182804031</v>
      </c>
      <c r="T18" s="89">
        <f>(+S18*R18)/100</f>
        <v>17.163537053108815</v>
      </c>
      <c r="U18" s="88">
        <f>100*((((T18/100)-((T18/100)-0.03574)*$E$21)-0.03574-0.00619)/0.344)</f>
        <v>25.537673374277038</v>
      </c>
      <c r="V18" s="79">
        <f>+$E$20</f>
        <v>0.25</v>
      </c>
      <c r="W18" s="88">
        <f>U18+V18</f>
        <v>25.787673374277038</v>
      </c>
      <c r="X18" s="88">
        <f>100*($E$17*$E$19+($E$18*(W18/100))/(1-$E$21))</f>
        <v>22.150522211970987</v>
      </c>
      <c r="Y18" s="89">
        <f>X18/R18</f>
        <v>9.0560649668023935E-2</v>
      </c>
      <c r="Z18" s="87">
        <f>$E$8/(1-Y18)</f>
        <v>1030091.6224773732</v>
      </c>
      <c r="AA18" s="79" t="str">
        <f>IF(OR(OR(Z18=Z12,Z18=(Z12+1)),Z18=(Z12-1)),"yes","not yet")</f>
        <v>not yet</v>
      </c>
      <c r="AB18" s="88">
        <f>100*(1-Y18)</f>
        <v>90.943935033197604</v>
      </c>
      <c r="AC18" s="79"/>
      <c r="AD18" s="79"/>
      <c r="AE18" s="79"/>
      <c r="AF18" s="79"/>
      <c r="AG18" s="79"/>
      <c r="AH18" s="79"/>
      <c r="AI18" s="79"/>
      <c r="AJ18" s="79"/>
      <c r="AK18" s="79"/>
      <c r="AL18" s="79"/>
      <c r="AM18" s="79"/>
      <c r="AN18" s="79"/>
    </row>
    <row r="19" spans="1:40">
      <c r="A19" s="79"/>
      <c r="B19" s="92" t="s">
        <v>224</v>
      </c>
      <c r="C19" s="79" t="s">
        <v>247</v>
      </c>
      <c r="D19" s="79"/>
      <c r="E19" s="97">
        <f>'Combined LG'!E19</f>
        <v>5.129593479716732E-2</v>
      </c>
      <c r="F19" s="79" t="s">
        <v>248</v>
      </c>
      <c r="G19" s="79"/>
      <c r="H19" s="99">
        <f>'Combined LG'!H19</f>
        <v>4.2750000000000002E-3</v>
      </c>
      <c r="I19" s="79" t="s">
        <v>224</v>
      </c>
      <c r="J19" s="79"/>
      <c r="K19" s="79"/>
      <c r="L19" s="79"/>
      <c r="M19" s="79"/>
      <c r="N19" s="79"/>
      <c r="O19" s="79"/>
      <c r="P19" s="79"/>
      <c r="Q19" s="79"/>
      <c r="R19" s="88">
        <f>100*(+Z13/$E$9)</f>
        <v>244.32510572354414</v>
      </c>
      <c r="S19" s="95">
        <f>EXP(5.6985-(0.68367*LN(R19)))</f>
        <v>6.9541644632943509</v>
      </c>
      <c r="T19" s="89">
        <f>(+S19*R19)/100</f>
        <v>16.990769677133059</v>
      </c>
      <c r="U19" s="88">
        <f>100*((((T19/100)-((T19/100)-0.03574)*$E$21)-0.03574-0.00619)/0.344)</f>
        <v>25.190129699349058</v>
      </c>
      <c r="V19" s="79">
        <f>+$E$20</f>
        <v>0.25</v>
      </c>
      <c r="W19" s="88">
        <f>U19+V19</f>
        <v>25.440129699349058</v>
      </c>
      <c r="X19" s="88">
        <f>100*($E$17*$E$19+($E$18*(W19/100))/(1-$E$21))</f>
        <v>21.884512789550548</v>
      </c>
      <c r="Y19" s="89">
        <f>X19/R19</f>
        <v>8.957128136603798E-2</v>
      </c>
      <c r="Z19" s="87">
        <f>$E$8/(1-Y19)</f>
        <v>1028972.2157862601</v>
      </c>
      <c r="AA19" s="79" t="str">
        <f>IF(OR(OR(Z19=Z13,Z19=(Z13+1)),Z19=(Z13-1)),"yes","not yet")</f>
        <v>not yet</v>
      </c>
      <c r="AB19" s="88">
        <f>100*(1-Y19)</f>
        <v>91.042871863396201</v>
      </c>
      <c r="AC19" s="79"/>
      <c r="AD19" s="79"/>
      <c r="AE19" s="79"/>
      <c r="AF19" s="79" t="str">
        <f>HLOOKUP(1,$AF$13:$AN$17,$E$12+1)</f>
        <v>not yet</v>
      </c>
      <c r="AG19" s="79" t="str">
        <f>HLOOKUP(2,$AF$13:$AN$17,$E$12+1)</f>
        <v>not yet</v>
      </c>
      <c r="AH19" s="79" t="str">
        <f>HLOOKUP(3,$AF$13:$AN$17,$E$12+1)</f>
        <v>not yet</v>
      </c>
      <c r="AI19" s="79" t="str">
        <f>HLOOKUP(4,$AF$13:$AN$17,$E$12+1)</f>
        <v>not yet</v>
      </c>
      <c r="AJ19" s="79" t="str">
        <f>HLOOKUP(5,$AF$13:$AN$17,$E$12+1)</f>
        <v>not yet</v>
      </c>
      <c r="AK19" s="79" t="str">
        <f>HLOOKUP(6,$AF$13:$AN$17,$E$12+1)</f>
        <v>not yet</v>
      </c>
      <c r="AL19" s="79" t="str">
        <f>HLOOKUP(7,$AF$13:$AN$17,$E$12+1)</f>
        <v>yes</v>
      </c>
      <c r="AM19" s="79" t="str">
        <f>HLOOKUP(8,$AF$13:$AN$17,$E$12+1)</f>
        <v>yes</v>
      </c>
      <c r="AN19" s="79" t="str">
        <f>HLOOKUP(9,$AF$13:$AN$17,$E$12+1)</f>
        <v>yes</v>
      </c>
    </row>
    <row r="20" spans="1:40">
      <c r="A20" s="79"/>
      <c r="B20" s="79"/>
      <c r="C20" s="79"/>
      <c r="D20" s="79"/>
      <c r="E20" s="79">
        <v>0.25</v>
      </c>
      <c r="F20" s="79" t="s">
        <v>249</v>
      </c>
      <c r="G20" s="79"/>
      <c r="H20" s="99">
        <f>'Combined LG'!H20</f>
        <v>0</v>
      </c>
      <c r="I20" s="79" t="s">
        <v>224</v>
      </c>
      <c r="J20" s="79"/>
      <c r="K20" s="79"/>
      <c r="L20" s="79"/>
      <c r="M20" s="79"/>
      <c r="N20" s="79"/>
      <c r="O20" s="79"/>
      <c r="P20" s="79"/>
      <c r="Q20" s="79"/>
      <c r="R20" s="88">
        <f>100*(+Z14/$E$9)</f>
        <v>244.15368327008494</v>
      </c>
      <c r="S20" s="95">
        <f>EXP(5.6922-(0.68367*LN(R20)))</f>
        <v>6.9138076847966055</v>
      </c>
      <c r="T20" s="89">
        <f>(+S20*R20)/100</f>
        <v>16.880316116641097</v>
      </c>
      <c r="U20" s="88">
        <f>100*((((T20/100)-((T20/100)-0.03574)*$E$21)-0.03574-0.00619)/0.344)</f>
        <v>24.967938234638485</v>
      </c>
      <c r="V20" s="79">
        <f>+$E$20</f>
        <v>0.25</v>
      </c>
      <c r="W20" s="88">
        <f>U20+V20</f>
        <v>25.217938234638485</v>
      </c>
      <c r="X20" s="88">
        <f>100*($E$17*$E$19+($E$18*(W20/100))/(1-$E$21))</f>
        <v>21.714447766192958</v>
      </c>
      <c r="Y20" s="89">
        <f>X20/R20</f>
        <v>8.8937621072757878E-2</v>
      </c>
      <c r="Z20" s="87">
        <f>$E$8/(1-Y20)</f>
        <v>1028256.5470778234</v>
      </c>
      <c r="AA20" s="79" t="str">
        <f>IF(OR(OR(Z20=Z14,Z20=(Z14+1)),Z20=(Z14-1)),"yes","not yet")</f>
        <v>not yet</v>
      </c>
      <c r="AB20" s="88">
        <f>100*(1-Y20)</f>
        <v>91.106237892724209</v>
      </c>
      <c r="AC20" s="79"/>
      <c r="AD20" s="79"/>
      <c r="AE20" s="79">
        <v>1</v>
      </c>
      <c r="AF20" s="88">
        <f>AB5</f>
        <v>91.494778719702651</v>
      </c>
      <c r="AG20" s="88">
        <f>AB11</f>
        <v>90.750336494376072</v>
      </c>
      <c r="AH20" s="88">
        <f>AB17</f>
        <v>90.797338957893686</v>
      </c>
      <c r="AI20" s="88">
        <f>AB23</f>
        <v>90.794366630266936</v>
      </c>
      <c r="AJ20" s="88">
        <f>AB29</f>
        <v>90.794554574621714</v>
      </c>
      <c r="AK20" s="88">
        <f>AB35</f>
        <v>90.79454269056707</v>
      </c>
      <c r="AL20" s="88">
        <f>AB41</f>
        <v>90.794546091082324</v>
      </c>
      <c r="AM20" s="88">
        <f>AB47</f>
        <v>90.794540526851947</v>
      </c>
      <c r="AN20" s="88">
        <f>AB53</f>
        <v>90.794546091082324</v>
      </c>
    </row>
    <row r="21" spans="1:40">
      <c r="A21" s="79"/>
      <c r="B21" s="92" t="s">
        <v>224</v>
      </c>
      <c r="C21" s="79" t="s">
        <v>250</v>
      </c>
      <c r="D21" s="79"/>
      <c r="E21" s="545">
        <f>'Combined LG'!E21</f>
        <v>0.308</v>
      </c>
      <c r="F21" s="79" t="s">
        <v>251</v>
      </c>
      <c r="G21" s="79"/>
      <c r="H21" s="99">
        <f>'Combined LG'!H21</f>
        <v>1.5137446158343015E-3</v>
      </c>
      <c r="I21" s="79" t="s">
        <v>224</v>
      </c>
      <c r="J21" s="79"/>
      <c r="K21" s="79"/>
      <c r="L21" s="79"/>
      <c r="M21" s="79"/>
      <c r="N21" s="79"/>
      <c r="O21" s="79"/>
      <c r="P21" s="79"/>
      <c r="Q21" s="79"/>
      <c r="R21" s="79"/>
      <c r="S21" s="79"/>
      <c r="T21" s="79"/>
      <c r="U21" s="79"/>
      <c r="V21" s="79"/>
      <c r="W21" s="79"/>
      <c r="X21" s="79"/>
      <c r="Y21" s="79"/>
      <c r="Z21" s="79"/>
      <c r="AA21" s="79"/>
      <c r="AB21" s="79"/>
      <c r="AC21" s="79"/>
      <c r="AD21" s="79"/>
      <c r="AE21" s="79">
        <v>2</v>
      </c>
      <c r="AF21" s="88">
        <f>AB6</f>
        <v>91.637681112770835</v>
      </c>
      <c r="AG21" s="88">
        <f>AB12</f>
        <v>90.898138931040634</v>
      </c>
      <c r="AH21" s="88">
        <f>AB18</f>
        <v>90.943935033197604</v>
      </c>
      <c r="AI21" s="88">
        <f>AB24</f>
        <v>90.941094637109401</v>
      </c>
      <c r="AJ21" s="88">
        <f>AB30</f>
        <v>90.941270788786369</v>
      </c>
      <c r="AK21" s="88">
        <f>AB36</f>
        <v>90.941259864393885</v>
      </c>
      <c r="AL21" s="88">
        <f>AB42</f>
        <v>90.941260957368002</v>
      </c>
      <c r="AM21" s="88">
        <f>AB48</f>
        <v>90.941260957368002</v>
      </c>
      <c r="AN21" s="88">
        <f>AB54</f>
        <v>90.941260957368002</v>
      </c>
    </row>
    <row r="22" spans="1:40">
      <c r="A22" s="79"/>
      <c r="B22" s="79"/>
      <c r="C22" s="79"/>
      <c r="D22" s="79"/>
      <c r="E22" s="79"/>
      <c r="F22" s="79"/>
      <c r="G22" s="79"/>
      <c r="H22" s="96" t="s">
        <v>225</v>
      </c>
      <c r="I22" s="79"/>
      <c r="J22" s="79"/>
      <c r="K22" s="79"/>
      <c r="L22" s="79"/>
      <c r="M22" s="79"/>
      <c r="N22" s="79"/>
      <c r="O22" s="79"/>
      <c r="P22" s="79"/>
      <c r="Q22" s="79"/>
      <c r="R22" s="79" t="s">
        <v>252</v>
      </c>
      <c r="S22" s="84" t="s">
        <v>207</v>
      </c>
      <c r="T22" s="84" t="s">
        <v>208</v>
      </c>
      <c r="U22" s="84" t="s">
        <v>209</v>
      </c>
      <c r="V22" s="79"/>
      <c r="W22" s="79"/>
      <c r="X22" s="79"/>
      <c r="Y22" s="79"/>
      <c r="Z22" s="79"/>
      <c r="AA22" s="79"/>
      <c r="AB22" s="79"/>
      <c r="AC22" s="79"/>
      <c r="AD22" s="79"/>
      <c r="AE22" s="79">
        <v>3</v>
      </c>
      <c r="AF22" s="88">
        <f>AB7</f>
        <v>91.733942615651472</v>
      </c>
      <c r="AG22" s="88">
        <f>AB13</f>
        <v>90.997892895810509</v>
      </c>
      <c r="AH22" s="88">
        <f>AB19</f>
        <v>91.042871863396201</v>
      </c>
      <c r="AI22" s="88">
        <f>AB25</f>
        <v>91.040118931800876</v>
      </c>
      <c r="AJ22" s="88">
        <f>AB31</f>
        <v>91.040287408358054</v>
      </c>
      <c r="AK22" s="88">
        <f>AB37</f>
        <v>91.040277097706721</v>
      </c>
      <c r="AL22" s="88">
        <f>AB43</f>
        <v>91.040280204112804</v>
      </c>
      <c r="AM22" s="88">
        <f>AB49</f>
        <v>91.040280204112804</v>
      </c>
      <c r="AN22" s="88">
        <f>AB55</f>
        <v>91.040280204112804</v>
      </c>
    </row>
    <row r="23" spans="1:40">
      <c r="A23" s="79"/>
      <c r="B23" s="79"/>
      <c r="C23" s="79"/>
      <c r="D23" s="79"/>
      <c r="E23" s="79"/>
      <c r="F23" s="79" t="s">
        <v>253</v>
      </c>
      <c r="G23" s="79"/>
      <c r="H23" s="100">
        <f>SUM(H18:H21)</f>
        <v>2.0788744615834302E-2</v>
      </c>
      <c r="I23" s="79"/>
      <c r="J23" s="79"/>
      <c r="K23" s="79"/>
      <c r="L23" s="79"/>
      <c r="M23" s="79"/>
      <c r="N23" s="79"/>
      <c r="O23" s="79"/>
      <c r="P23" s="79"/>
      <c r="Q23" s="79"/>
      <c r="R23" s="88">
        <f>100*(+Z17/$E$9)</f>
        <v>244.86477310418752</v>
      </c>
      <c r="S23" s="95">
        <f>EXP(5.7226-(0.68367*LN(+R23)))</f>
        <v>7.1130580202311204</v>
      </c>
      <c r="T23" s="89">
        <f>(+S23*R23)/100</f>
        <v>17.417373382008144</v>
      </c>
      <c r="U23" s="88">
        <f>100*((((T23/100)-((T23/100)-0.03574)*$E$21)-0.03574-0.00619)/0.344)</f>
        <v>26.048297617295464</v>
      </c>
      <c r="V23" s="79">
        <f>+$E$20</f>
        <v>0.25</v>
      </c>
      <c r="W23" s="88">
        <f>U23+V23</f>
        <v>26.298297617295464</v>
      </c>
      <c r="X23" s="88">
        <f>100*($E$17*$E$19+($E$18*(W23/100))/(1-$E$21))</f>
        <v>22.541353263600257</v>
      </c>
      <c r="Y23" s="89">
        <f>X23/R23</f>
        <v>9.2056333697330711E-2</v>
      </c>
      <c r="Z23" s="87">
        <f>$E$8/(1-Y23)</f>
        <v>1031788.5246593512</v>
      </c>
      <c r="AA23" s="79" t="str">
        <f>IF(OR(OR(Z23=Z17,Z23=(Z17+1)),Z23=(Z9-1)),"yes","not yet")</f>
        <v>not yet</v>
      </c>
      <c r="AB23" s="88">
        <f>100*(1-Y23)</f>
        <v>90.794366630266936</v>
      </c>
      <c r="AC23" s="79"/>
      <c r="AD23" s="79"/>
      <c r="AE23" s="79">
        <v>4</v>
      </c>
      <c r="AF23" s="88">
        <f>AB8</f>
        <v>91.795518131427983</v>
      </c>
      <c r="AG23" s="88">
        <f>AB14</f>
        <v>91.061783318641289</v>
      </c>
      <c r="AH23" s="88">
        <f>AB20</f>
        <v>91.106237892724209</v>
      </c>
      <c r="AI23" s="88">
        <f>AB26</f>
        <v>91.103540298938114</v>
      </c>
      <c r="AJ23" s="88">
        <f>AB32</f>
        <v>91.10370397877432</v>
      </c>
      <c r="AK23" s="88">
        <f>AB38</f>
        <v>91.103694047240467</v>
      </c>
      <c r="AL23" s="88">
        <f>AB44</f>
        <v>91.103693259666343</v>
      </c>
      <c r="AM23" s="88">
        <f>AB50</f>
        <v>91.103693259666343</v>
      </c>
      <c r="AN23" s="88">
        <f>AB56</f>
        <v>91.103693259666343</v>
      </c>
    </row>
    <row r="24" spans="1:40">
      <c r="A24" s="79"/>
      <c r="B24" s="79"/>
      <c r="C24" s="79"/>
      <c r="D24" s="79"/>
      <c r="E24" s="79"/>
      <c r="F24" s="79"/>
      <c r="G24" s="79"/>
      <c r="H24" s="79"/>
      <c r="I24" s="79"/>
      <c r="J24" s="79"/>
      <c r="K24" s="79"/>
      <c r="L24" s="79"/>
      <c r="M24" s="79"/>
      <c r="N24" s="79"/>
      <c r="O24" s="79"/>
      <c r="P24" s="79"/>
      <c r="Q24" s="79"/>
      <c r="R24" s="88">
        <f>100*(+Z18/$E$9)</f>
        <v>244.47006602774363</v>
      </c>
      <c r="S24" s="95">
        <f>EXP(5.70827-(0.68367*LN(+R24)))</f>
        <v>7.0195925577118343</v>
      </c>
      <c r="T24" s="89">
        <f>(+S24*R24)/100</f>
        <v>17.1608025607167</v>
      </c>
      <c r="U24" s="88">
        <f>100*((((T24/100)-((T24/100)-0.03574)*$E$21)-0.03574-0.00619)/0.344)</f>
        <v>25.532172593069646</v>
      </c>
      <c r="V24" s="79">
        <f>+$E$20</f>
        <v>0.25</v>
      </c>
      <c r="W24" s="88">
        <f>U24+V24</f>
        <v>25.782172593069646</v>
      </c>
      <c r="X24" s="88">
        <f>100*($E$17*$E$19+($E$18*(W24/100))/(1-$E$21))</f>
        <v>22.14631192204946</v>
      </c>
      <c r="Y24" s="89">
        <f>X24/R24</f>
        <v>9.0589053628905999E-2</v>
      </c>
      <c r="Z24" s="87">
        <f>$E$8/(1-Y24)</f>
        <v>1030123.7957014438</v>
      </c>
      <c r="AA24" s="79" t="str">
        <f>IF(OR(OR(Z24=Z18,Z24=(Z18+1)),Z24=(Z18-1)),"yes","not yet")</f>
        <v>not yet</v>
      </c>
      <c r="AB24" s="88">
        <f>100*(1-Y24)</f>
        <v>90.941094637109401</v>
      </c>
      <c r="AC24" s="79"/>
      <c r="AD24" s="79"/>
      <c r="AE24" s="79"/>
      <c r="AF24" s="79"/>
      <c r="AG24" s="79"/>
      <c r="AH24" s="79"/>
      <c r="AI24" s="79"/>
      <c r="AJ24" s="79"/>
      <c r="AK24" s="79"/>
      <c r="AL24" s="79"/>
      <c r="AM24" s="79"/>
      <c r="AN24" s="79"/>
    </row>
    <row r="25" spans="1:40">
      <c r="A25" s="79"/>
      <c r="B25" s="79"/>
      <c r="C25" s="79"/>
      <c r="D25" s="79"/>
      <c r="E25" s="79"/>
      <c r="F25" s="79" t="s">
        <v>254</v>
      </c>
      <c r="G25" s="79"/>
      <c r="H25" s="89">
        <f>((+H15/100)-H23)</f>
        <v>0.88961405742529365</v>
      </c>
      <c r="I25" s="79"/>
      <c r="J25" s="79"/>
      <c r="K25" s="79"/>
      <c r="L25" s="79"/>
      <c r="M25" s="79"/>
      <c r="N25" s="79"/>
      <c r="O25" s="79"/>
      <c r="P25" s="79"/>
      <c r="Q25" s="79"/>
      <c r="R25" s="88">
        <f>100*(+Z19/$E$9)</f>
        <v>244.20439895336224</v>
      </c>
      <c r="S25" s="95">
        <f>EXP(5.6985-(0.68367*LN(R25)))</f>
        <v>6.9565142891631027</v>
      </c>
      <c r="T25" s="89">
        <f>(+S25*R25)/100</f>
        <v>16.988113907955515</v>
      </c>
      <c r="U25" s="88">
        <f>100*((((T25/100)-((T25/100)-0.03574)*$E$21)-0.03574-0.00619)/0.344)</f>
        <v>25.184787279957028</v>
      </c>
      <c r="V25" s="79">
        <f>+$E$20</f>
        <v>0.25</v>
      </c>
      <c r="W25" s="88">
        <f>U25+V25</f>
        <v>25.434787279957028</v>
      </c>
      <c r="X25" s="88">
        <f>100*($E$17*$E$19+($E$18*(W25/100))/(1-$E$21))</f>
        <v>21.880423709531765</v>
      </c>
      <c r="Y25" s="89">
        <f>X25/R25</f>
        <v>8.9598810681991242E-2</v>
      </c>
      <c r="Z25" s="87">
        <f>$E$8/(1-Y25)</f>
        <v>1029003.3305316799</v>
      </c>
      <c r="AA25" s="79" t="str">
        <f>IF(OR(OR(Z25=Z19,Z25=(Z19+1)),Z25=(Z19-1)),"yes","not yet")</f>
        <v>not yet</v>
      </c>
      <c r="AB25" s="88">
        <f>100*(1-Y25)</f>
        <v>91.040118931800876</v>
      </c>
      <c r="AC25" s="79"/>
      <c r="AD25" s="79"/>
      <c r="AE25" s="79"/>
      <c r="AF25" s="79" t="s">
        <v>255</v>
      </c>
      <c r="AG25" s="79"/>
      <c r="AH25" s="79"/>
      <c r="AI25" s="79"/>
      <c r="AJ25" s="79"/>
      <c r="AK25" s="79"/>
      <c r="AL25" s="79"/>
      <c r="AM25" s="79"/>
      <c r="AN25" s="79"/>
    </row>
    <row r="26" spans="1:40">
      <c r="A26" s="79"/>
      <c r="B26" s="79"/>
      <c r="C26" s="79"/>
      <c r="D26" s="79"/>
      <c r="E26" s="79"/>
      <c r="F26" s="79"/>
      <c r="G26" s="79"/>
      <c r="H26" s="79"/>
      <c r="I26" s="79"/>
      <c r="J26" s="79"/>
      <c r="K26" s="79"/>
      <c r="L26" s="79"/>
      <c r="M26" s="79"/>
      <c r="N26" s="79"/>
      <c r="O26" s="79"/>
      <c r="P26" s="79"/>
      <c r="Q26" s="79"/>
      <c r="R26" s="88">
        <f>100*(+Z20/$E$9)</f>
        <v>244.03455039563423</v>
      </c>
      <c r="S26" s="95">
        <f>EXP(5.6922-(0.68367*LN(R26)))</f>
        <v>6.9161150194746126</v>
      </c>
      <c r="T26" s="89">
        <f>(+S26*R26)/100</f>
        <v>16.877710192619801</v>
      </c>
      <c r="U26" s="88">
        <f>100*((((T26/100)-((T26/100)-0.03574)*$E$21)-0.03574-0.00619)/0.344)</f>
        <v>24.962696085153794</v>
      </c>
      <c r="V26" s="79">
        <f>+$E$20</f>
        <v>0.25</v>
      </c>
      <c r="W26" s="88">
        <f>U26+V26</f>
        <v>25.212696085153794</v>
      </c>
      <c r="X26" s="88">
        <f>100*($E$17*$E$19+($E$18*(W26/100))/(1-$E$21))</f>
        <v>21.71043543261516</v>
      </c>
      <c r="Y26" s="89">
        <f>X26/R26</f>
        <v>8.8964597010618873E-2</v>
      </c>
      <c r="Z26" s="87">
        <f>$E$8/(1-Y26)</f>
        <v>1028286.9939568668</v>
      </c>
      <c r="AA26" s="79" t="str">
        <f>IF(OR(OR(Z26=Z20,Z26=(Z20+1)),Z26=(Z20-1)),"yes","not yet")</f>
        <v>not yet</v>
      </c>
      <c r="AB26" s="88">
        <f>100*(1-Y26)</f>
        <v>91.103540298938114</v>
      </c>
      <c r="AC26" s="79"/>
      <c r="AD26" s="79"/>
      <c r="AE26" s="79"/>
      <c r="AF26" s="88">
        <f>HLOOKUP($AF$25,$AF$19:$AN$23,$E$12+1)</f>
        <v>91.040280204112804</v>
      </c>
      <c r="AG26" s="79"/>
      <c r="AH26" s="79"/>
      <c r="AI26" s="79"/>
      <c r="AJ26" s="79"/>
      <c r="AK26" s="79"/>
      <c r="AL26" s="79"/>
      <c r="AM26" s="79"/>
      <c r="AN26" s="79"/>
    </row>
    <row r="27" spans="1:40">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row>
    <row r="28" spans="1:40">
      <c r="H28" s="79"/>
      <c r="I28" s="79"/>
      <c r="J28" s="79"/>
      <c r="K28" s="79"/>
      <c r="L28" s="79"/>
      <c r="M28" s="79"/>
      <c r="N28" s="79"/>
      <c r="O28" s="79"/>
      <c r="P28" s="79"/>
      <c r="Q28" s="79"/>
      <c r="R28" s="79" t="s">
        <v>259</v>
      </c>
      <c r="S28" s="84" t="s">
        <v>207</v>
      </c>
      <c r="T28" s="84" t="s">
        <v>208</v>
      </c>
      <c r="U28" s="84" t="s">
        <v>209</v>
      </c>
      <c r="V28" s="79"/>
      <c r="W28" s="79"/>
      <c r="X28" s="79"/>
      <c r="Y28" s="79"/>
      <c r="Z28" s="79"/>
      <c r="AA28" s="79"/>
      <c r="AB28" s="79"/>
      <c r="AC28" s="79"/>
      <c r="AD28" s="79"/>
      <c r="AE28" s="79"/>
      <c r="AF28" s="79" t="str">
        <f>HLOOKUP(1,$AF$13:$AN$17,$E$12+1)</f>
        <v>not yet</v>
      </c>
      <c r="AG28" s="79" t="str">
        <f>HLOOKUP(2,$AF$13:$AN$17,$E$12+1)</f>
        <v>not yet</v>
      </c>
      <c r="AH28" s="79" t="str">
        <f>HLOOKUP(3,$AF$13:$AN$17,$E$12+1)</f>
        <v>not yet</v>
      </c>
      <c r="AI28" s="79" t="str">
        <f>HLOOKUP(4,$AF$13:$AN$17,$E$12+1)</f>
        <v>not yet</v>
      </c>
      <c r="AJ28" s="79" t="str">
        <f>HLOOKUP(5,$AF$13:$AN$17,$E$12+1)</f>
        <v>not yet</v>
      </c>
      <c r="AK28" s="79" t="str">
        <f>HLOOKUP(6,$AF$13:$AN$17,$E$12+1)</f>
        <v>not yet</v>
      </c>
      <c r="AL28" s="79" t="str">
        <f>HLOOKUP(7,$AF$13:$AN$17,$E$12+1)</f>
        <v>yes</v>
      </c>
      <c r="AM28" s="79" t="str">
        <f>HLOOKUP(8,$AF$13:$AN$17,$E$12+1)</f>
        <v>yes</v>
      </c>
      <c r="AN28" s="79" t="str">
        <f>HLOOKUP(9,$AF$13:$AN$17,$E$12+1)</f>
        <v>yes</v>
      </c>
    </row>
    <row r="29" spans="1:40">
      <c r="C29" s="528" t="s">
        <v>256</v>
      </c>
      <c r="D29" s="528" t="s">
        <v>510</v>
      </c>
      <c r="E29" s="529"/>
      <c r="F29" s="528" t="s">
        <v>511</v>
      </c>
      <c r="G29" s="529" t="s">
        <v>39</v>
      </c>
      <c r="H29" s="79"/>
      <c r="I29" s="79"/>
      <c r="J29" s="79"/>
      <c r="K29" s="79"/>
      <c r="L29" s="79"/>
      <c r="M29" s="79"/>
      <c r="N29" s="79"/>
      <c r="O29" s="79"/>
      <c r="P29" s="79"/>
      <c r="Q29" s="79"/>
      <c r="R29" s="88">
        <f>100*(+Z23/$E$9)</f>
        <v>244.87278922189319</v>
      </c>
      <c r="S29" s="95">
        <f>EXP(5.7226-(0.68367*LN(+R29)))</f>
        <v>7.1128988255034082</v>
      </c>
      <c r="T29" s="89">
        <f>(+S29*R29)/100</f>
        <v>17.417553748541476</v>
      </c>
      <c r="U29" s="88">
        <f>100*((((T29/100)-((T29/100)-0.03574)*$E$21)-0.03574-0.00619)/0.344)</f>
        <v>26.048660447647393</v>
      </c>
      <c r="V29" s="79">
        <f>+$E$20</f>
        <v>0.25</v>
      </c>
      <c r="W29" s="88">
        <f>U29+V29</f>
        <v>26.298660447647393</v>
      </c>
      <c r="X29" s="88">
        <f>100*($E$17*$E$19+($E$18*(W29/100))/(1-$E$21))</f>
        <v>22.541630973422979</v>
      </c>
      <c r="Y29" s="89">
        <f>X29/R29</f>
        <v>9.2054454253782864E-2</v>
      </c>
      <c r="Z29" s="87">
        <f>$E$8/(1-Y29)</f>
        <v>1031786.3888613461</v>
      </c>
      <c r="AA29" s="79" t="str">
        <f>IF(OR(OR(Z29=Z23,Z29=(Z23+1)),Z29=(Z15-1)),"yes","not yet")</f>
        <v>not yet</v>
      </c>
      <c r="AB29" s="88">
        <f>100*(1-Y29)</f>
        <v>90.794554574621714</v>
      </c>
      <c r="AC29" s="79"/>
      <c r="AD29" s="79"/>
      <c r="AE29" s="79">
        <v>1</v>
      </c>
      <c r="AF29" s="88">
        <f>R5</f>
        <v>277.91337252985807</v>
      </c>
      <c r="AG29" s="88">
        <f>R11</f>
        <v>242.99823567528819</v>
      </c>
      <c r="AH29" s="88">
        <f>R17</f>
        <v>244.99159629855987</v>
      </c>
      <c r="AI29" s="88">
        <f>R23</f>
        <v>244.86477310418752</v>
      </c>
      <c r="AJ29" s="88">
        <f>R29</f>
        <v>244.87278922189319</v>
      </c>
      <c r="AK29" s="88">
        <f>R35</f>
        <v>244.87228233622596</v>
      </c>
      <c r="AL29" s="88">
        <f>R41</f>
        <v>244.8724273768261</v>
      </c>
      <c r="AM29" s="88">
        <f>R47</f>
        <v>244.87219004835868</v>
      </c>
      <c r="AN29" s="88">
        <f>R53</f>
        <v>244.8724273768261</v>
      </c>
    </row>
    <row r="30" spans="1:40">
      <c r="C30" s="528" t="s">
        <v>264</v>
      </c>
      <c r="D30" s="528" t="s">
        <v>258</v>
      </c>
      <c r="E30" s="530"/>
      <c r="F30" s="528" t="s">
        <v>258</v>
      </c>
      <c r="G30" s="529" t="s">
        <v>13</v>
      </c>
      <c r="H30" s="79"/>
      <c r="I30" s="79"/>
      <c r="J30" s="79"/>
      <c r="K30" s="79"/>
      <c r="L30" s="79"/>
      <c r="M30" s="79"/>
      <c r="N30" s="79"/>
      <c r="O30" s="79"/>
      <c r="P30" s="79"/>
      <c r="Q30" s="79"/>
      <c r="R30" s="88">
        <f>100*(+Z24/$E$9)</f>
        <v>244.47770164970311</v>
      </c>
      <c r="S30" s="95">
        <f>EXP(5.70827-(0.68367*LN(+R30)))</f>
        <v>7.0194426701008492</v>
      </c>
      <c r="T30" s="89">
        <f>(+S30*R30)/100</f>
        <v>17.160972108481108</v>
      </c>
      <c r="U30" s="88">
        <f>100*((((T30/100)-((T30/100)-0.03574)*$E$21)-0.03574-0.00619)/0.344)</f>
        <v>25.532513660084096</v>
      </c>
      <c r="V30" s="79">
        <f>+$E$20</f>
        <v>0.25</v>
      </c>
      <c r="W30" s="88">
        <f>U30+V30</f>
        <v>25.782513660084096</v>
      </c>
      <c r="X30" s="88">
        <f>100*($E$17*$E$19+($E$18*(W30/100))/(1-$E$21))</f>
        <v>22.14657297424538</v>
      </c>
      <c r="Y30" s="89">
        <f>X30/R30</f>
        <v>9.0587292112136369E-2</v>
      </c>
      <c r="Z30" s="87">
        <f>$E$8/(1-Y30)</f>
        <v>1030121.8003693738</v>
      </c>
      <c r="AA30" s="79" t="str">
        <f>IF(OR(OR(Z30=Z24,Z30=(Z24+1)),Z30=(Z24-1)),"yes","not yet")</f>
        <v>not yet</v>
      </c>
      <c r="AB30" s="88">
        <f>100*(1-Y30)</f>
        <v>90.941270788786369</v>
      </c>
      <c r="AC30" s="79"/>
      <c r="AD30" s="79"/>
      <c r="AE30" s="79">
        <v>2</v>
      </c>
      <c r="AF30" s="88">
        <f>R6</f>
        <v>277.91337252985807</v>
      </c>
      <c r="AG30" s="88">
        <f>R12</f>
        <v>242.61929735027081</v>
      </c>
      <c r="AH30" s="88">
        <f>R18</f>
        <v>244.59323440335385</v>
      </c>
      <c r="AI30" s="88">
        <f>R24</f>
        <v>244.47006602774363</v>
      </c>
      <c r="AJ30" s="88">
        <f>R30</f>
        <v>244.47770164970311</v>
      </c>
      <c r="AK30" s="88">
        <f>R36</f>
        <v>244.477228100601</v>
      </c>
      <c r="AL30" s="88">
        <f>R42</f>
        <v>244.47727547863155</v>
      </c>
      <c r="AM30" s="88">
        <f>R48</f>
        <v>244.47727547863155</v>
      </c>
      <c r="AN30" s="88">
        <f>R54</f>
        <v>244.47727547863155</v>
      </c>
    </row>
    <row r="31" spans="1:40">
      <c r="A31" s="79" t="s">
        <v>341</v>
      </c>
      <c r="B31" s="79" t="s">
        <v>512</v>
      </c>
      <c r="C31" s="527">
        <f>'Resi Price Out'!B68+'Resi Price Out'!B69</f>
        <v>4771</v>
      </c>
      <c r="D31" s="107">
        <f>+'Resi Price Out'!D68</f>
        <v>8</v>
      </c>
      <c r="E31" s="86">
        <f>+C31*D31*12</f>
        <v>458016</v>
      </c>
      <c r="F31" s="107">
        <f>MROUND(D31*(1+$H$6),0.05)</f>
        <v>9.25</v>
      </c>
      <c r="G31" s="533">
        <f>C31*F31*12</f>
        <v>529581</v>
      </c>
      <c r="H31" s="79"/>
      <c r="I31" s="79"/>
      <c r="J31" s="79"/>
      <c r="K31" s="79"/>
      <c r="L31" s="79"/>
      <c r="M31" s="79"/>
      <c r="N31" s="79"/>
      <c r="O31" s="79"/>
      <c r="P31" s="79"/>
      <c r="Q31" s="79"/>
      <c r="R31" s="88">
        <f>100*(+Z25/$E$9)</f>
        <v>244.21178336820577</v>
      </c>
      <c r="S31" s="95">
        <f>EXP(5.6985-(0.68367*LN(R31)))</f>
        <v>6.9563704789422527</v>
      </c>
      <c r="T31" s="89">
        <f>(+S31*R31)/100</f>
        <v>16.988276404324271</v>
      </c>
      <c r="U31" s="88">
        <f>100*((((T31/100)-((T31/100)-0.03574)*$E$21)-0.03574-0.00619)/0.344)</f>
        <v>25.185114162187201</v>
      </c>
      <c r="V31" s="79">
        <f>+$E$20</f>
        <v>0.25</v>
      </c>
      <c r="W31" s="88">
        <f>U31+V31</f>
        <v>25.435114162187201</v>
      </c>
      <c r="X31" s="88">
        <f>100*($E$17*$E$19+($E$18*(W31/100))/(1-$E$21))</f>
        <v>21.880673904714477</v>
      </c>
      <c r="Y31" s="89">
        <f>X31/R31</f>
        <v>8.9597125916419426E-2</v>
      </c>
      <c r="Z31" s="87">
        <f>$E$8/(1-Y31)</f>
        <v>1029001.4262874888</v>
      </c>
      <c r="AA31" s="79" t="str">
        <f>IF(OR(OR(Z31=Z25,Z31=(Z25+1)),Z31=(Z25-1)),"yes","not yet")</f>
        <v>not yet</v>
      </c>
      <c r="AB31" s="88">
        <f>100*(1-Y31)</f>
        <v>91.040287408358054</v>
      </c>
      <c r="AC31" s="79"/>
      <c r="AD31" s="79"/>
      <c r="AE31" s="79">
        <v>3</v>
      </c>
      <c r="AF31" s="88">
        <f>R7</f>
        <v>277.91337252985807</v>
      </c>
      <c r="AG31" s="88">
        <f>R13</f>
        <v>242.36470349411633</v>
      </c>
      <c r="AH31" s="88">
        <f>R19</f>
        <v>244.32510572354414</v>
      </c>
      <c r="AI31" s="88">
        <f>R25</f>
        <v>244.20439895336224</v>
      </c>
      <c r="AJ31" s="88">
        <f>R31</f>
        <v>244.21178336820577</v>
      </c>
      <c r="AK31" s="88">
        <f>R37</f>
        <v>244.21133143685037</v>
      </c>
      <c r="AL31" s="88">
        <f>R43</f>
        <v>244.21146759516139</v>
      </c>
      <c r="AM31" s="88">
        <f>R49</f>
        <v>244.21146759516139</v>
      </c>
      <c r="AN31" s="88">
        <f>R55</f>
        <v>244.21146759516139</v>
      </c>
    </row>
    <row r="32" spans="1:40">
      <c r="A32" s="79" t="s">
        <v>342</v>
      </c>
      <c r="B32" s="79" t="s">
        <v>513</v>
      </c>
      <c r="C32" s="527">
        <f>'Resi Price Out'!B69+'Resi Price Out'!B70</f>
        <v>2122.9166666666665</v>
      </c>
      <c r="D32" s="107">
        <f>+'Resi Price Out'!D69</f>
        <v>9</v>
      </c>
      <c r="E32" s="86">
        <f>+C32*D32*12</f>
        <v>229275</v>
      </c>
      <c r="F32" s="107">
        <f>MROUND(D32*(1+$H$6),0.05)</f>
        <v>10.4</v>
      </c>
      <c r="G32" s="533">
        <f>C32*F32*12</f>
        <v>264940</v>
      </c>
      <c r="H32" s="79"/>
      <c r="I32" s="79"/>
      <c r="J32" s="79"/>
      <c r="K32" s="79"/>
      <c r="L32" s="79"/>
      <c r="M32" s="79"/>
      <c r="N32" s="79"/>
      <c r="O32" s="79"/>
      <c r="P32" s="79"/>
      <c r="Q32" s="79"/>
      <c r="R32" s="88">
        <f>100*(+Z26/$E$9)</f>
        <v>244.04177630677424</v>
      </c>
      <c r="S32" s="95">
        <f>EXP(5.6922-(0.68367*LN(R32)))</f>
        <v>6.9159750158745164</v>
      </c>
      <c r="T32" s="89">
        <f>(+S32*R32)/100</f>
        <v>16.877868277672881</v>
      </c>
      <c r="U32" s="88">
        <f>100*((((T32/100)-((T32/100)-0.03574)*$E$21)-0.03574-0.00619)/0.344)</f>
        <v>24.963014093458238</v>
      </c>
      <c r="V32" s="79">
        <f>+$E$20</f>
        <v>0.25</v>
      </c>
      <c r="W32" s="88">
        <f>U32+V32</f>
        <v>25.213014093458238</v>
      </c>
      <c r="X32" s="88">
        <f>100*($E$17*$E$19+($E$18*(W32/100))/(1-$E$21))</f>
        <v>21.710678835708038</v>
      </c>
      <c r="Y32" s="89">
        <f>X32/R32</f>
        <v>8.8962960212256831E-2</v>
      </c>
      <c r="Z32" s="87">
        <f>$E$8/(1-Y32)</f>
        <v>1028285.146503477</v>
      </c>
      <c r="AA32" s="79" t="str">
        <f>IF(OR(OR(Z32=Z26,Z32=(Z26+1)),Z32=(Z26-1)),"yes","not yet")</f>
        <v>not yet</v>
      </c>
      <c r="AB32" s="88">
        <f>100*(1-Y32)</f>
        <v>91.10370397877432</v>
      </c>
      <c r="AC32" s="79"/>
      <c r="AD32" s="79"/>
      <c r="AE32" s="79">
        <v>4</v>
      </c>
      <c r="AF32" s="88">
        <f>R8</f>
        <v>277.91337252985807</v>
      </c>
      <c r="AG32" s="88">
        <f>R14</f>
        <v>242.20212767421293</v>
      </c>
      <c r="AH32" s="88">
        <f>R20</f>
        <v>244.15368327008494</v>
      </c>
      <c r="AI32" s="88">
        <f>R26</f>
        <v>244.03455039563423</v>
      </c>
      <c r="AJ32" s="88">
        <f>R32</f>
        <v>244.04177630677424</v>
      </c>
      <c r="AK32" s="88">
        <f>R38</f>
        <v>244.04133785349265</v>
      </c>
      <c r="AL32" s="88">
        <f>R44</f>
        <v>244.041303084047</v>
      </c>
      <c r="AM32" s="88">
        <f>R50</f>
        <v>244.041303084047</v>
      </c>
      <c r="AN32" s="88">
        <f>R56</f>
        <v>244.041303084047</v>
      </c>
    </row>
    <row r="33" spans="1:40">
      <c r="A33" s="536" t="s">
        <v>514</v>
      </c>
      <c r="C33" s="537">
        <f>+'Resi Price Out'!B73</f>
        <v>7358</v>
      </c>
      <c r="D33" s="538">
        <f>+'Resi Price Out'!D73</f>
        <v>1.76</v>
      </c>
      <c r="E33" s="539">
        <f>+C33*D33*12</f>
        <v>155400.95999999999</v>
      </c>
      <c r="F33" s="107">
        <f>+'Resi Price Out'!G73</f>
        <v>1.8503377784629995</v>
      </c>
      <c r="G33" s="534">
        <f>C33*F33*12</f>
        <v>163377.42448716902</v>
      </c>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row>
    <row r="34" spans="1:40">
      <c r="C34" s="531">
        <f>SUM(C31:C32)</f>
        <v>6893.9166666666661</v>
      </c>
      <c r="D34" s="92"/>
      <c r="E34" s="532">
        <f>SUM(E31:E33)</f>
        <v>842691.96</v>
      </c>
      <c r="F34" s="79"/>
      <c r="G34" s="532">
        <f>SUM(G31:G33)</f>
        <v>957898.42448716902</v>
      </c>
      <c r="H34" s="532">
        <f>+G34-E34</f>
        <v>115206.46448716905</v>
      </c>
      <c r="I34" s="79"/>
      <c r="J34" s="79"/>
      <c r="K34" s="79"/>
      <c r="L34" s="79"/>
      <c r="M34" s="79"/>
      <c r="N34" s="79"/>
      <c r="O34" s="79"/>
      <c r="P34" s="79"/>
      <c r="Q34" s="79"/>
      <c r="R34" s="79" t="s">
        <v>260</v>
      </c>
      <c r="S34" s="84" t="s">
        <v>207</v>
      </c>
      <c r="T34" s="84" t="s">
        <v>208</v>
      </c>
      <c r="U34" s="84" t="s">
        <v>209</v>
      </c>
      <c r="V34" s="79"/>
      <c r="W34" s="79"/>
      <c r="X34" s="79"/>
      <c r="Y34" s="79"/>
      <c r="Z34" s="79"/>
      <c r="AA34" s="79"/>
      <c r="AB34" s="79"/>
      <c r="AC34" s="79"/>
      <c r="AD34" s="79"/>
      <c r="AE34" s="79"/>
      <c r="AF34" s="79" t="s">
        <v>255</v>
      </c>
      <c r="AG34" s="79"/>
      <c r="AH34" s="79"/>
      <c r="AI34" s="79"/>
      <c r="AJ34" s="79"/>
      <c r="AK34" s="79"/>
      <c r="AL34" s="79"/>
      <c r="AM34" s="79"/>
      <c r="AN34" s="79"/>
    </row>
    <row r="35" spans="1:40">
      <c r="A35" s="79"/>
      <c r="B35" s="79"/>
      <c r="C35" s="90"/>
      <c r="D35" s="79"/>
      <c r="E35" s="88"/>
      <c r="F35" s="104"/>
      <c r="G35" s="79"/>
      <c r="H35" s="79"/>
      <c r="I35" s="79"/>
      <c r="J35" s="79"/>
      <c r="K35" s="79"/>
      <c r="L35" s="79"/>
      <c r="M35" s="79"/>
      <c r="N35" s="79"/>
      <c r="O35" s="79"/>
      <c r="P35" s="79"/>
      <c r="Q35" s="79"/>
      <c r="R35" s="88">
        <f>100*(+Z29/$E$9)</f>
        <v>244.87228233622596</v>
      </c>
      <c r="S35" s="95">
        <f>EXP(5.7226-(0.68367*LN(+R35)))</f>
        <v>7.1129088916533281</v>
      </c>
      <c r="T35" s="89">
        <f>(+S35*R35)/100</f>
        <v>17.417542343487856</v>
      </c>
      <c r="U35" s="88">
        <f>100*((((T35/100)-((T35/100)-0.03574)*$E$21)-0.03574-0.00619)/0.344)</f>
        <v>26.048637504923249</v>
      </c>
      <c r="V35" s="79">
        <f>+$E$20</f>
        <v>0.25</v>
      </c>
      <c r="W35" s="88">
        <f>U35+V35</f>
        <v>26.298637504923249</v>
      </c>
      <c r="X35" s="88">
        <f>100*($E$17*$E$19+($E$18*(W35/100))/(1-$E$21))</f>
        <v>22.541613413095348</v>
      </c>
      <c r="Y35" s="89">
        <f>X35/R35</f>
        <v>9.2054573094329267E-2</v>
      </c>
      <c r="Z35" s="87">
        <f>ROUND($E$8/(1-Y35),0)</f>
        <v>1031787</v>
      </c>
      <c r="AA35" s="79" t="str">
        <f>IF(OR(OR(Z35=Z29,Z35=(Z29+1)),Z35=(Z21-1)),"yes","not yet")</f>
        <v>not yet</v>
      </c>
      <c r="AB35" s="88">
        <f>100*(1-Y35)</f>
        <v>90.79454269056707</v>
      </c>
      <c r="AC35" s="79"/>
      <c r="AD35" s="79"/>
      <c r="AE35" s="79"/>
      <c r="AF35" s="88">
        <f>HLOOKUP($AF$34,$AF$28:$AN$32,$E$12+1)</f>
        <v>244.21146759516139</v>
      </c>
      <c r="AG35" s="79"/>
      <c r="AH35" s="79"/>
      <c r="AI35" s="79"/>
      <c r="AJ35" s="79"/>
      <c r="AK35" s="79"/>
      <c r="AL35" s="79"/>
      <c r="AM35" s="79"/>
      <c r="AN35" s="79"/>
    </row>
    <row r="36" spans="1:40">
      <c r="A36" s="79"/>
      <c r="B36" s="79"/>
      <c r="C36" s="90"/>
      <c r="D36" s="721"/>
      <c r="E36" s="88"/>
      <c r="F36" s="104"/>
      <c r="G36" s="79"/>
      <c r="H36" s="79"/>
      <c r="I36" s="79"/>
      <c r="J36" s="79"/>
      <c r="K36" s="79"/>
      <c r="L36" s="79"/>
      <c r="M36" s="79"/>
      <c r="N36" s="79"/>
      <c r="O36" s="79"/>
      <c r="P36" s="79"/>
      <c r="Q36" s="79"/>
      <c r="R36" s="88">
        <f>100*(+Z30/$E$9)</f>
        <v>244.477228100601</v>
      </c>
      <c r="S36" s="95">
        <f>EXP(5.70827-(0.68367*LN(+R36)))</f>
        <v>7.019451965662296</v>
      </c>
      <c r="T36" s="89">
        <f>(+S36*R36)/100</f>
        <v>17.160961593504332</v>
      </c>
      <c r="U36" s="88">
        <f>100*((((T36/100)-((T36/100)-0.03574)*$E$21)-0.03574-0.00619)/0.344)</f>
        <v>25.53249250786337</v>
      </c>
      <c r="V36" s="79">
        <f>+$E$20</f>
        <v>0.25</v>
      </c>
      <c r="W36" s="88">
        <f>U36+V36</f>
        <v>25.78249250786337</v>
      </c>
      <c r="X36" s="88">
        <f>100*($E$17*$E$19+($E$18*(W36/100))/(1-$E$21))</f>
        <v>22.14655678436646</v>
      </c>
      <c r="Y36" s="89">
        <f>X36/R36</f>
        <v>9.0587401356061178E-2</v>
      </c>
      <c r="Z36" s="87">
        <f>ROUND($E$8/(1-Y36),0)</f>
        <v>1030122</v>
      </c>
      <c r="AA36" s="79" t="str">
        <f>IF(OR(OR(Z36=Z30,Z36=(Z30+1)),Z36=(Z30-1)),"yes","not yet")</f>
        <v>not yet</v>
      </c>
      <c r="AB36" s="88">
        <f>100*(1-Y36)</f>
        <v>90.941259864393885</v>
      </c>
      <c r="AC36" s="79"/>
      <c r="AD36" s="79"/>
      <c r="AE36" s="79"/>
      <c r="AF36" s="79"/>
      <c r="AG36" s="79"/>
      <c r="AH36" s="79"/>
      <c r="AI36" s="79"/>
      <c r="AJ36" s="79"/>
      <c r="AK36" s="79"/>
      <c r="AL36" s="79"/>
      <c r="AM36" s="79"/>
      <c r="AN36" s="79"/>
    </row>
    <row r="37" spans="1:40">
      <c r="A37" s="79"/>
      <c r="B37" s="79"/>
      <c r="C37" s="90"/>
      <c r="D37" s="79"/>
      <c r="E37" s="79"/>
      <c r="F37" s="508"/>
      <c r="G37" s="79"/>
      <c r="H37" s="79"/>
      <c r="I37" s="79"/>
      <c r="J37" s="79"/>
      <c r="K37" s="79"/>
      <c r="L37" s="79"/>
      <c r="M37" s="79"/>
      <c r="N37" s="79"/>
      <c r="O37" s="79"/>
      <c r="P37" s="79"/>
      <c r="Q37" s="79"/>
      <c r="R37" s="88">
        <f>100*(+Z31/$E$9)</f>
        <v>244.21133143685037</v>
      </c>
      <c r="S37" s="95">
        <f>EXP(5.6985-(0.68367*LN(R37)))</f>
        <v>6.9563792800180657</v>
      </c>
      <c r="T37" s="89">
        <f>(+S37*R37)/100</f>
        <v>16.988266459529303</v>
      </c>
      <c r="U37" s="88">
        <f>100*((((T37/100)-((T37/100)-0.03574)*$E$21)-0.03574-0.00619)/0.344)</f>
        <v>25.185094156960115</v>
      </c>
      <c r="V37" s="79">
        <f>+$E$20</f>
        <v>0.25</v>
      </c>
      <c r="W37" s="88">
        <f>U37+V37</f>
        <v>25.435094156960115</v>
      </c>
      <c r="X37" s="88">
        <f>100*($E$17*$E$19+($E$18*(W37/100))/(1-$E$21))</f>
        <v>21.880658592742812</v>
      </c>
      <c r="Y37" s="89">
        <f>X37/R37</f>
        <v>8.9597229022932726E-2</v>
      </c>
      <c r="Z37" s="87">
        <f>ROUND($E$8/(1-Y37),0)</f>
        <v>1029002</v>
      </c>
      <c r="AA37" s="79" t="str">
        <f>IF(OR(OR(Z37=Z31,Z37=(Z31+1)),Z37=(Z31-1)),"yes","not yet")</f>
        <v>not yet</v>
      </c>
      <c r="AB37" s="88">
        <f>100*(1-Y37)</f>
        <v>91.040277097706721</v>
      </c>
      <c r="AC37" s="79"/>
      <c r="AD37" s="79"/>
      <c r="AE37" s="79"/>
      <c r="AF37" s="79" t="str">
        <f>HLOOKUP(1,$AF$13:$AN$17,$E$12+1)</f>
        <v>not yet</v>
      </c>
      <c r="AG37" s="79" t="str">
        <f>HLOOKUP(2,$AF$13:$AN$17,$E$12+1)</f>
        <v>not yet</v>
      </c>
      <c r="AH37" s="79" t="str">
        <f>HLOOKUP(3,$AF$13:$AN$17,$E$12+1)</f>
        <v>not yet</v>
      </c>
      <c r="AI37" s="79" t="str">
        <f>HLOOKUP(4,$AF$13:$AN$17,$E$12+1)</f>
        <v>not yet</v>
      </c>
      <c r="AJ37" s="79" t="str">
        <f>HLOOKUP(5,$AF$13:$AN$17,$E$12+1)</f>
        <v>not yet</v>
      </c>
      <c r="AK37" s="79" t="str">
        <f>HLOOKUP(6,$AF$13:$AN$17,$E$12+1)</f>
        <v>not yet</v>
      </c>
      <c r="AL37" s="79" t="str">
        <f>HLOOKUP(7,$AF$13:$AN$17,$E$12+1)</f>
        <v>yes</v>
      </c>
      <c r="AM37" s="79" t="str">
        <f>HLOOKUP(8,$AF$13:$AN$17,$E$12+1)</f>
        <v>yes</v>
      </c>
      <c r="AN37" s="79" t="str">
        <f>HLOOKUP(9,$AF$13:$AN$17,$E$12+1)</f>
        <v>yes</v>
      </c>
    </row>
    <row r="38" spans="1:40">
      <c r="A38" s="79"/>
      <c r="B38" s="79"/>
      <c r="C38" s="90"/>
      <c r="D38" s="79"/>
      <c r="E38" s="79"/>
      <c r="F38" s="104"/>
      <c r="G38" s="79"/>
      <c r="H38" s="79"/>
      <c r="I38" s="79"/>
      <c r="J38" s="79"/>
      <c r="K38" s="79"/>
      <c r="L38" s="79"/>
      <c r="M38" s="79"/>
      <c r="N38" s="79"/>
      <c r="O38" s="79"/>
      <c r="P38" s="79"/>
      <c r="Q38" s="79"/>
      <c r="R38" s="88">
        <f>100*(+Z32/$E$9)</f>
        <v>244.04133785349265</v>
      </c>
      <c r="S38" s="95">
        <f>EXP(5.6922-(0.68367*LN(R38)))</f>
        <v>6.9159835108033141</v>
      </c>
      <c r="T38" s="89">
        <f>(+S38*R38)/100</f>
        <v>16.877858685491358</v>
      </c>
      <c r="U38" s="88">
        <f>100*((((T38/100)-((T38/100)-0.03574)*$E$21)-0.03574-0.00619)/0.344)</f>
        <v>24.962994797558196</v>
      </c>
      <c r="V38" s="79">
        <f>+$E$20</f>
        <v>0.25</v>
      </c>
      <c r="W38" s="88">
        <f>U38+V38</f>
        <v>25.212994797558196</v>
      </c>
      <c r="X38" s="88">
        <f>100*($E$17*$E$19+($E$18*(W38/100))/(1-$E$21))</f>
        <v>21.710664066654264</v>
      </c>
      <c r="Y38" s="89">
        <f>X38/R38</f>
        <v>8.8963059527595298E-2</v>
      </c>
      <c r="Z38" s="87">
        <f>ROUND($E$8/(1-Y38),0)</f>
        <v>1028285</v>
      </c>
      <c r="AA38" s="79" t="str">
        <f>IF(OR(OR(Z38=Z32,Z38=(Z32+1)),Z38=(Z32-1)),"yes","not yet")</f>
        <v>not yet</v>
      </c>
      <c r="AB38" s="88">
        <f>100*(1-Y38)</f>
        <v>91.103694047240467</v>
      </c>
      <c r="AC38" s="79"/>
      <c r="AD38" s="79"/>
      <c r="AE38" s="79">
        <v>1</v>
      </c>
      <c r="AF38" s="87">
        <f>Z5</f>
        <v>1023889.9629433171</v>
      </c>
      <c r="AG38" s="87">
        <f>Z11</f>
        <v>1032289.1265381575</v>
      </c>
      <c r="AH38" s="87">
        <f>Z17</f>
        <v>1031754.7481899963</v>
      </c>
      <c r="AI38" s="87">
        <f>Z23</f>
        <v>1031788.5246593512</v>
      </c>
      <c r="AJ38" s="87">
        <f>Z29</f>
        <v>1031786.3888613461</v>
      </c>
      <c r="AK38" s="87">
        <f>Z35</f>
        <v>1031787</v>
      </c>
      <c r="AL38" s="87">
        <f>Z41</f>
        <v>1031786</v>
      </c>
      <c r="AM38" s="87">
        <f>Z47</f>
        <v>1031787</v>
      </c>
      <c r="AN38" s="87">
        <f>Z53</f>
        <v>1031786</v>
      </c>
    </row>
    <row r="39" spans="1:40">
      <c r="A39" s="79"/>
      <c r="B39" s="79"/>
      <c r="C39" s="90"/>
      <c r="D39" s="79"/>
      <c r="E39" s="79"/>
      <c r="F39" s="104"/>
      <c r="G39" s="79"/>
      <c r="H39" s="88"/>
      <c r="I39" s="79"/>
      <c r="J39" s="79"/>
      <c r="K39" s="79"/>
      <c r="L39" s="79"/>
      <c r="M39" s="79"/>
      <c r="N39" s="79"/>
      <c r="O39" s="79"/>
      <c r="P39" s="79"/>
      <c r="Q39" s="79"/>
      <c r="R39" s="79"/>
      <c r="S39" s="79"/>
      <c r="T39" s="79"/>
      <c r="U39" s="79"/>
      <c r="V39" s="79"/>
      <c r="W39" s="79"/>
      <c r="X39" s="79"/>
      <c r="Y39" s="79"/>
      <c r="Z39" s="79"/>
      <c r="AA39" s="79"/>
      <c r="AB39" s="79"/>
      <c r="AC39" s="79"/>
      <c r="AD39" s="79"/>
      <c r="AE39" s="79">
        <v>2</v>
      </c>
      <c r="AF39" s="87">
        <f>Z6</f>
        <v>1022293.2799613128</v>
      </c>
      <c r="AG39" s="87">
        <f>Z12</f>
        <v>1030610.6009925418</v>
      </c>
      <c r="AH39" s="87">
        <f>Z18</f>
        <v>1030091.6224773732</v>
      </c>
      <c r="AI39" s="87">
        <f>Z24</f>
        <v>1030123.7957014438</v>
      </c>
      <c r="AJ39" s="87">
        <f>Z30</f>
        <v>1030121.8003693738</v>
      </c>
      <c r="AK39" s="87">
        <f>Z36</f>
        <v>1030122</v>
      </c>
      <c r="AL39" s="87">
        <f>Z42</f>
        <v>1030122</v>
      </c>
      <c r="AM39" s="87">
        <f>Z48</f>
        <v>1030122</v>
      </c>
      <c r="AN39" s="87">
        <f>Z54</f>
        <v>1030122</v>
      </c>
    </row>
    <row r="40" spans="1:40">
      <c r="A40" s="79"/>
      <c r="B40" s="79"/>
      <c r="C40" s="90"/>
      <c r="D40" s="79"/>
      <c r="E40" s="92"/>
      <c r="F40" s="104"/>
      <c r="G40" s="79"/>
      <c r="H40" s="96"/>
      <c r="I40" s="79"/>
      <c r="J40" s="79"/>
      <c r="K40" s="79"/>
      <c r="L40" s="79"/>
      <c r="M40" s="79"/>
      <c r="N40" s="79"/>
      <c r="O40" s="79"/>
      <c r="P40" s="79"/>
      <c r="Q40" s="79"/>
      <c r="R40" s="79" t="s">
        <v>261</v>
      </c>
      <c r="S40" s="84" t="s">
        <v>207</v>
      </c>
      <c r="T40" s="84" t="s">
        <v>208</v>
      </c>
      <c r="U40" s="84" t="s">
        <v>209</v>
      </c>
      <c r="V40" s="79"/>
      <c r="W40" s="79"/>
      <c r="X40" s="79"/>
      <c r="Y40" s="79"/>
      <c r="Z40" s="79"/>
      <c r="AA40" s="79"/>
      <c r="AB40" s="79"/>
      <c r="AC40" s="79"/>
      <c r="AD40" s="79"/>
      <c r="AE40" s="79">
        <v>3</v>
      </c>
      <c r="AF40" s="87">
        <f>Z7</f>
        <v>1021220.5310451767</v>
      </c>
      <c r="AG40" s="87">
        <f>Z13</f>
        <v>1029480.8221557881</v>
      </c>
      <c r="AH40" s="87">
        <f>Z19</f>
        <v>1028972.2157862601</v>
      </c>
      <c r="AI40" s="87">
        <f>Z25</f>
        <v>1029003.3305316799</v>
      </c>
      <c r="AJ40" s="87">
        <f>Z31</f>
        <v>1029001.4262874888</v>
      </c>
      <c r="AK40" s="87">
        <f>Z37</f>
        <v>1029002</v>
      </c>
      <c r="AL40" s="87">
        <f>Z43</f>
        <v>1029002</v>
      </c>
      <c r="AM40" s="87">
        <f>Z49</f>
        <v>1029002</v>
      </c>
      <c r="AN40" s="87">
        <f>Z55</f>
        <v>1029002</v>
      </c>
    </row>
    <row r="41" spans="1:40">
      <c r="A41" s="79"/>
      <c r="B41" s="79"/>
      <c r="C41" s="105"/>
      <c r="D41" s="96"/>
      <c r="E41" s="79"/>
      <c r="F41" s="104"/>
      <c r="G41" s="79"/>
      <c r="H41" s="79"/>
      <c r="I41" s="79"/>
      <c r="J41" s="79"/>
      <c r="K41" s="79"/>
      <c r="L41" s="79"/>
      <c r="M41" s="79"/>
      <c r="N41" s="79"/>
      <c r="O41" s="79"/>
      <c r="P41" s="79"/>
      <c r="Q41" s="79"/>
      <c r="R41" s="88">
        <f>100*(+Z35/$E$9)</f>
        <v>244.8724273768261</v>
      </c>
      <c r="S41" s="95">
        <f>EXP(5.7226-(0.68367*LN(+R41)))</f>
        <v>7.1129060113149469</v>
      </c>
      <c r="T41" s="89">
        <f>(+S41*R41)/100</f>
        <v>17.41754560693909</v>
      </c>
      <c r="U41" s="88">
        <f>100*((((T41/100)-((T41/100)-0.03574)*$E$21)-0.03574-0.00619)/0.344)</f>
        <v>26.04864406977282</v>
      </c>
      <c r="V41" s="79">
        <f>+$E$20</f>
        <v>0.25</v>
      </c>
      <c r="W41" s="88">
        <f>U41+V41</f>
        <v>26.29864406977282</v>
      </c>
      <c r="X41" s="88">
        <f>100*($E$17*$E$19+($E$18*(W41/100))/(1-$E$21))</f>
        <v>22.541618437821644</v>
      </c>
      <c r="Y41" s="89">
        <f>X41/R41</f>
        <v>9.2054539089176796E-2</v>
      </c>
      <c r="Z41" s="87">
        <f>ROUND($E$8/(1-Y41),0)</f>
        <v>1031786</v>
      </c>
      <c r="AA41" s="79" t="str">
        <f>IF(OR(OR(Z41=Z35,Z41=(Z35+1)),Z41=(Z27-1)),"yes","not yet")</f>
        <v>not yet</v>
      </c>
      <c r="AB41" s="88">
        <f>100*(1-Y41)</f>
        <v>90.794546091082324</v>
      </c>
      <c r="AC41" s="79"/>
      <c r="AD41" s="79"/>
      <c r="AE41" s="79">
        <v>4</v>
      </c>
      <c r="AF41" s="87">
        <f>Z8</f>
        <v>1020535.5065232753</v>
      </c>
      <c r="AG41" s="87">
        <f>Z14</f>
        <v>1028758.5217282469</v>
      </c>
      <c r="AH41" s="87">
        <f>Z20</f>
        <v>1028256.5470778234</v>
      </c>
      <c r="AI41" s="87">
        <f>Z26</f>
        <v>1028286.9939568668</v>
      </c>
      <c r="AJ41" s="87">
        <f>Z32</f>
        <v>1028285.146503477</v>
      </c>
      <c r="AK41" s="87">
        <f>Z38</f>
        <v>1028285</v>
      </c>
      <c r="AL41" s="87">
        <f>Z44</f>
        <v>1028285</v>
      </c>
      <c r="AM41" s="87">
        <f>Z50</f>
        <v>1028285</v>
      </c>
      <c r="AN41" s="87">
        <f>Z56</f>
        <v>1028285</v>
      </c>
    </row>
    <row r="42" spans="1:40">
      <c r="A42" s="79"/>
      <c r="B42" s="79"/>
      <c r="C42" s="106"/>
      <c r="D42" s="96"/>
      <c r="E42" s="79"/>
      <c r="F42" s="104"/>
      <c r="G42" s="79"/>
      <c r="H42" s="95"/>
      <c r="I42" s="79"/>
      <c r="J42" s="79"/>
      <c r="K42" s="79"/>
      <c r="L42" s="79"/>
      <c r="M42" s="79"/>
      <c r="N42" s="79"/>
      <c r="O42" s="79"/>
      <c r="P42" s="79"/>
      <c r="Q42" s="79"/>
      <c r="R42" s="88">
        <f>100*(+Z36/$E$9)</f>
        <v>244.47727547863155</v>
      </c>
      <c r="S42" s="95">
        <f>EXP(5.70827-(0.68367*LN(+R42)))</f>
        <v>7.0194510356509463</v>
      </c>
      <c r="T42" s="89">
        <f>(+S42*R42)/100</f>
        <v>17.160962645516019</v>
      </c>
      <c r="U42" s="88">
        <f>100*((((T42/100)-((T42/100)-0.03574)*$E$21)-0.03574-0.00619)/0.344)</f>
        <v>25.532494624119444</v>
      </c>
      <c r="V42" s="79">
        <f>+$E$20</f>
        <v>0.25</v>
      </c>
      <c r="W42" s="88">
        <f>U42+V42</f>
        <v>25.782494624119444</v>
      </c>
      <c r="X42" s="88">
        <f>100*($E$17*$E$19+($E$18*(W42/100))/(1-$E$21))</f>
        <v>22.146558404145775</v>
      </c>
      <c r="Y42" s="89">
        <f>X42/R42</f>
        <v>9.0587390426319955E-2</v>
      </c>
      <c r="Z42" s="87">
        <f>ROUND($E$8/(1-Y42),0)</f>
        <v>1030122</v>
      </c>
      <c r="AA42" s="79" t="str">
        <f>IF(OR(OR(Z42=Z36,Z42=(Z36+1)),Z42=(Z36-1)),"yes","not yet")</f>
        <v>yes</v>
      </c>
      <c r="AB42" s="88">
        <f>100*(1-Y42)</f>
        <v>90.941260957368002</v>
      </c>
      <c r="AC42" s="79"/>
      <c r="AD42" s="79"/>
      <c r="AE42" s="79"/>
      <c r="AF42" s="79"/>
      <c r="AG42" s="79"/>
      <c r="AH42" s="79"/>
      <c r="AI42" s="79"/>
      <c r="AJ42" s="79"/>
      <c r="AK42" s="79"/>
      <c r="AL42" s="79"/>
      <c r="AM42" s="79"/>
      <c r="AN42" s="79"/>
    </row>
    <row r="43" spans="1:40">
      <c r="A43" s="79"/>
      <c r="B43" s="79"/>
      <c r="C43" s="90"/>
      <c r="D43" s="79"/>
      <c r="E43" s="98"/>
      <c r="F43" s="104"/>
      <c r="G43" s="79"/>
      <c r="H43" s="95"/>
      <c r="I43" s="79"/>
      <c r="J43" s="79"/>
      <c r="K43" s="79"/>
      <c r="L43" s="79"/>
      <c r="M43" s="79"/>
      <c r="N43" s="79"/>
      <c r="O43" s="79"/>
      <c r="P43" s="79"/>
      <c r="Q43" s="79"/>
      <c r="R43" s="88">
        <f>100*(+Z37/$E$9)</f>
        <v>244.21146759516139</v>
      </c>
      <c r="S43" s="95">
        <f>EXP(5.6985-(0.68367*LN(R43)))</f>
        <v>6.9563766284186412</v>
      </c>
      <c r="T43" s="89">
        <f>(+S43*R43)/100</f>
        <v>16.988269455707972</v>
      </c>
      <c r="U43" s="88">
        <f>100*((((T43/100)-((T43/100)-0.03574)*$E$21)-0.03574-0.00619)/0.344)</f>
        <v>25.185100184156735</v>
      </c>
      <c r="V43" s="79">
        <f>+$E$20</f>
        <v>0.25</v>
      </c>
      <c r="W43" s="88">
        <f>U43+V43</f>
        <v>25.435100184156735</v>
      </c>
      <c r="X43" s="88">
        <f>100*($E$17*$E$19+($E$18*(W43/100))/(1-$E$21))</f>
        <v>21.880663205950324</v>
      </c>
      <c r="Y43" s="89">
        <f>X43/R43</f>
        <v>8.9597197958871971E-2</v>
      </c>
      <c r="Z43" s="87">
        <f>ROUND($E$8/(1-Y43),0)</f>
        <v>1029002</v>
      </c>
      <c r="AA43" s="79" t="str">
        <f>IF(OR(OR(Z43=Z37,Z43=(Z37+1)),Z43=(Z37-1)),"yes","not yet")</f>
        <v>yes</v>
      </c>
      <c r="AB43" s="88">
        <f>100*(1-Y43)</f>
        <v>91.040280204112804</v>
      </c>
      <c r="AC43" s="79"/>
      <c r="AD43" s="79"/>
      <c r="AE43" s="79"/>
      <c r="AF43" s="79" t="s">
        <v>255</v>
      </c>
      <c r="AG43" s="79"/>
      <c r="AH43" s="79"/>
      <c r="AI43" s="79"/>
      <c r="AJ43" s="79"/>
      <c r="AK43" s="79"/>
      <c r="AL43" s="79"/>
      <c r="AM43" s="79"/>
      <c r="AN43" s="79"/>
    </row>
    <row r="44" spans="1:40">
      <c r="A44" s="79"/>
      <c r="B44" s="79"/>
      <c r="C44" s="90"/>
      <c r="D44" s="79"/>
      <c r="E44" s="98"/>
      <c r="F44" s="104"/>
      <c r="G44" s="79"/>
      <c r="H44" s="95"/>
      <c r="I44" s="79"/>
      <c r="J44" s="79"/>
      <c r="K44" s="79"/>
      <c r="L44" s="79"/>
      <c r="M44" s="79"/>
      <c r="N44" s="79"/>
      <c r="O44" s="79"/>
      <c r="P44" s="79"/>
      <c r="Q44" s="79"/>
      <c r="R44" s="88">
        <f>100*(+Z38/$E$9)</f>
        <v>244.041303084047</v>
      </c>
      <c r="S44" s="95">
        <f>EXP(5.6922-(0.68367*LN(R44)))</f>
        <v>6.9159841844542145</v>
      </c>
      <c r="T44" s="89">
        <f>(+S44*R44)/100</f>
        <v>16.877857924828664</v>
      </c>
      <c r="U44" s="88">
        <f>100*((((T44/100)-((T44/100)-0.03574)*$E$21)-0.03574-0.00619)/0.344)</f>
        <v>24.962993267387905</v>
      </c>
      <c r="V44" s="79">
        <f>+$E$20</f>
        <v>0.25</v>
      </c>
      <c r="W44" s="88">
        <f>U44+V44</f>
        <v>25.212993267387905</v>
      </c>
      <c r="X44" s="88">
        <f>100*($E$17*$E$19+($E$18*(W44/100))/(1-$E$21))</f>
        <v>21.710662895464154</v>
      </c>
      <c r="Y44" s="89">
        <f>X44/R44</f>
        <v>8.8963067403336538E-2</v>
      </c>
      <c r="Z44" s="87">
        <f>ROUND($E$8/(1-Y44),0)</f>
        <v>1028285</v>
      </c>
      <c r="AA44" s="79" t="str">
        <f>IF(OR(OR(Z44=Z38,Z44=(Z38+1)),Z44=(Z38-1)),"yes","not yet")</f>
        <v>yes</v>
      </c>
      <c r="AB44" s="88">
        <f>100*(1-Y44)</f>
        <v>91.103693259666343</v>
      </c>
      <c r="AC44" s="79"/>
      <c r="AD44" s="79"/>
      <c r="AE44" s="79"/>
      <c r="AF44" s="87">
        <f>HLOOKUP($AF$34,$AF$37:$AN$41,$E$12+1)</f>
        <v>1029002</v>
      </c>
      <c r="AG44" s="79"/>
      <c r="AH44" s="79"/>
      <c r="AI44" s="79"/>
      <c r="AJ44" s="79"/>
      <c r="AK44" s="79"/>
      <c r="AL44" s="79"/>
      <c r="AM44" s="79"/>
      <c r="AN44" s="79"/>
    </row>
    <row r="45" spans="1:40">
      <c r="A45" s="79"/>
      <c r="B45" s="79"/>
      <c r="C45" s="79"/>
      <c r="D45" s="79"/>
      <c r="E45" s="98"/>
      <c r="F45" s="79"/>
      <c r="G45" s="79"/>
      <c r="H45" s="95"/>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row>
    <row r="46" spans="1:40">
      <c r="A46" s="79"/>
      <c r="B46" s="79"/>
      <c r="C46" s="79"/>
      <c r="D46" s="79"/>
      <c r="E46" s="79"/>
      <c r="F46" s="79"/>
      <c r="G46" s="79"/>
      <c r="H46" s="96"/>
      <c r="I46" s="79"/>
      <c r="J46" s="79"/>
      <c r="K46" s="79"/>
      <c r="L46" s="79"/>
      <c r="M46" s="79"/>
      <c r="N46" s="79"/>
      <c r="O46" s="79"/>
      <c r="P46" s="79"/>
      <c r="Q46" s="79"/>
      <c r="R46" s="79" t="s">
        <v>262</v>
      </c>
      <c r="S46" s="84" t="s">
        <v>207</v>
      </c>
      <c r="T46" s="84" t="s">
        <v>208</v>
      </c>
      <c r="U46" s="84" t="s">
        <v>209</v>
      </c>
      <c r="V46" s="79"/>
      <c r="W46" s="79"/>
      <c r="X46" s="79"/>
      <c r="Y46" s="79"/>
      <c r="Z46" s="79"/>
      <c r="AA46" s="79"/>
      <c r="AB46" s="79"/>
      <c r="AC46" s="79"/>
      <c r="AD46" s="79"/>
      <c r="AE46" s="79"/>
      <c r="AF46" s="79"/>
      <c r="AG46" s="79"/>
      <c r="AH46" s="79"/>
      <c r="AI46" s="79"/>
      <c r="AJ46" s="79"/>
      <c r="AK46" s="79"/>
      <c r="AL46" s="79"/>
      <c r="AM46" s="79"/>
      <c r="AN46" s="79"/>
    </row>
    <row r="47" spans="1:40">
      <c r="A47" s="79"/>
      <c r="B47" s="79"/>
      <c r="C47" s="79"/>
      <c r="D47" s="79"/>
      <c r="E47" s="79"/>
      <c r="F47" s="79"/>
      <c r="G47" s="79"/>
      <c r="H47" s="100"/>
      <c r="I47" s="79"/>
      <c r="J47" s="79"/>
      <c r="K47" s="79"/>
      <c r="L47" s="79"/>
      <c r="M47" s="79"/>
      <c r="N47" s="79"/>
      <c r="O47" s="79"/>
      <c r="P47" s="79"/>
      <c r="Q47" s="79"/>
      <c r="R47" s="88">
        <f>100*(+Z41/$E$9)</f>
        <v>244.87219004835868</v>
      </c>
      <c r="S47" s="95">
        <f>EXP(5.7226-(0.68367*LN(+R47)))</f>
        <v>7.1129107243850109</v>
      </c>
      <c r="T47" s="89">
        <f>(+S47*R47)/100</f>
        <v>17.417540266986151</v>
      </c>
      <c r="U47" s="88">
        <f>100*((((T47/100)-((T47/100)-0.03574)*$E$21)-0.03574-0.00619)/0.344)</f>
        <v>26.048633327774468</v>
      </c>
      <c r="V47" s="79">
        <f>+$E$20</f>
        <v>0.25</v>
      </c>
      <c r="W47" s="88">
        <f>U47+V47</f>
        <v>26.298633327774468</v>
      </c>
      <c r="X47" s="88">
        <f>100*($E$17*$E$19+($E$18*(W47/100))/(1-$E$21))</f>
        <v>22.541610215911756</v>
      </c>
      <c r="Y47" s="89">
        <f>X47/R47</f>
        <v>9.2054594731480602E-2</v>
      </c>
      <c r="Z47" s="87">
        <f>ROUND($E$8/(1-Y47),0)</f>
        <v>1031787</v>
      </c>
      <c r="AA47" s="79" t="str">
        <f>IF(OR(OR(Z47=Z41,Z47=(Z41+1)),Z47=(Z33-1)),"yes","not yet")</f>
        <v>yes</v>
      </c>
      <c r="AB47" s="88">
        <f>100*(1-Y47)</f>
        <v>90.794540526851947</v>
      </c>
      <c r="AC47" s="79"/>
      <c r="AD47" s="79"/>
      <c r="AE47" s="79"/>
      <c r="AF47" s="79"/>
      <c r="AG47" s="79"/>
      <c r="AH47" s="79"/>
      <c r="AI47" s="79"/>
      <c r="AJ47" s="79"/>
      <c r="AK47" s="79"/>
      <c r="AL47" s="79"/>
      <c r="AM47" s="79"/>
      <c r="AN47" s="79"/>
    </row>
    <row r="48" spans="1:40">
      <c r="A48" s="79"/>
      <c r="B48" s="79"/>
      <c r="C48" s="79"/>
      <c r="D48" s="79"/>
      <c r="E48" s="79"/>
      <c r="F48" s="79"/>
      <c r="G48" s="79"/>
      <c r="H48" s="79"/>
      <c r="I48" s="79"/>
      <c r="J48" s="79"/>
      <c r="K48" s="79"/>
      <c r="L48" s="79"/>
      <c r="M48" s="79"/>
      <c r="N48" s="79"/>
      <c r="O48" s="79"/>
      <c r="P48" s="79"/>
      <c r="Q48" s="79"/>
      <c r="R48" s="88">
        <f>100*(+Z42/$E$9)</f>
        <v>244.47727547863155</v>
      </c>
      <c r="S48" s="95">
        <f>EXP(5.70827-(0.68367*LN(+R48)))</f>
        <v>7.0194510356509463</v>
      </c>
      <c r="T48" s="89">
        <f>(+S48*R48)/100</f>
        <v>17.160962645516019</v>
      </c>
      <c r="U48" s="88">
        <f>100*((((T48/100)-((T48/100)-0.03574)*$E$21)-0.03574-0.00619)/0.344)</f>
        <v>25.532494624119444</v>
      </c>
      <c r="V48" s="79">
        <f>+$E$20</f>
        <v>0.25</v>
      </c>
      <c r="W48" s="88">
        <f>U48+V48</f>
        <v>25.782494624119444</v>
      </c>
      <c r="X48" s="88">
        <f>100*($E$17*$E$19+($E$18*(W48/100))/(1-$E$21))</f>
        <v>22.146558404145775</v>
      </c>
      <c r="Y48" s="89">
        <f>X48/R48</f>
        <v>9.0587390426319955E-2</v>
      </c>
      <c r="Z48" s="87">
        <f>ROUND($E$8/(1-Y48),0)</f>
        <v>1030122</v>
      </c>
      <c r="AA48" s="79" t="str">
        <f>IF(OR(OR(Z48=Z42,Z48=(Z42+1)),Z48=(Z42-1)),"yes","not yet")</f>
        <v>yes</v>
      </c>
      <c r="AB48" s="88">
        <f>100*(1-Y48)</f>
        <v>90.941260957368002</v>
      </c>
      <c r="AC48" s="79"/>
      <c r="AD48" s="79"/>
      <c r="AE48" s="79"/>
      <c r="AF48" s="79"/>
      <c r="AG48" s="79"/>
      <c r="AH48" s="79"/>
      <c r="AI48" s="79"/>
      <c r="AJ48" s="79"/>
      <c r="AK48" s="79"/>
      <c r="AL48" s="79"/>
      <c r="AM48" s="79"/>
      <c r="AN48" s="79"/>
    </row>
    <row r="49" spans="1:40">
      <c r="A49" s="79"/>
      <c r="B49" s="79"/>
      <c r="C49" s="79"/>
      <c r="D49" s="79"/>
      <c r="E49" s="79"/>
      <c r="F49" s="79"/>
      <c r="G49" s="79"/>
      <c r="H49" s="89"/>
      <c r="I49" s="79"/>
      <c r="J49" s="79"/>
      <c r="K49" s="79"/>
      <c r="L49" s="79"/>
      <c r="M49" s="79"/>
      <c r="N49" s="79"/>
      <c r="O49" s="79"/>
      <c r="P49" s="79"/>
      <c r="Q49" s="79"/>
      <c r="R49" s="88">
        <f>100*(+Z43/$E$9)</f>
        <v>244.21146759516139</v>
      </c>
      <c r="S49" s="95">
        <f>EXP(5.6985-(0.68367*LN(R49)))</f>
        <v>6.9563766284186412</v>
      </c>
      <c r="T49" s="89">
        <f>(+S49*R49)/100</f>
        <v>16.988269455707972</v>
      </c>
      <c r="U49" s="88">
        <f>100*((((T49/100)-((T49/100)-0.03574)*$E$21)-0.03574-0.00619)/0.344)</f>
        <v>25.185100184156735</v>
      </c>
      <c r="V49" s="79">
        <f>+$E$20</f>
        <v>0.25</v>
      </c>
      <c r="W49" s="88">
        <f>U49+V49</f>
        <v>25.435100184156735</v>
      </c>
      <c r="X49" s="88">
        <f>100*($E$17*$E$19+($E$18*(W49/100))/(1-$E$21))</f>
        <v>21.880663205950324</v>
      </c>
      <c r="Y49" s="89">
        <f>X49/R49</f>
        <v>8.9597197958871971E-2</v>
      </c>
      <c r="Z49" s="87">
        <f>ROUND($E$8/(1-Y49),0)</f>
        <v>1029002</v>
      </c>
      <c r="AA49" s="79" t="str">
        <f>IF(OR(OR(Z49=Z43,Z49=(Z43+1)),Z49=(Z43-1)),"yes","not yet")</f>
        <v>yes</v>
      </c>
      <c r="AB49" s="88">
        <f>100*(1-Y49)</f>
        <v>91.040280204112804</v>
      </c>
      <c r="AC49" s="79"/>
      <c r="AD49" s="79"/>
      <c r="AE49" s="79"/>
      <c r="AF49" s="79"/>
      <c r="AG49" s="79"/>
      <c r="AH49" s="79"/>
      <c r="AI49" s="79"/>
      <c r="AJ49" s="79"/>
      <c r="AK49" s="79"/>
      <c r="AL49" s="79"/>
      <c r="AM49" s="79"/>
      <c r="AN49" s="79"/>
    </row>
    <row r="50" spans="1:40">
      <c r="A50" s="79"/>
      <c r="B50" s="79"/>
      <c r="C50" s="79"/>
      <c r="D50" s="79"/>
      <c r="E50" s="79"/>
      <c r="F50" s="79"/>
      <c r="G50" s="79"/>
      <c r="H50" s="79"/>
      <c r="I50" s="79"/>
      <c r="J50" s="79"/>
      <c r="K50" s="79"/>
      <c r="L50" s="79"/>
      <c r="M50" s="79"/>
      <c r="N50" s="79"/>
      <c r="O50" s="79"/>
      <c r="P50" s="79"/>
      <c r="Q50" s="79"/>
      <c r="R50" s="88">
        <f>100*(+Z44/$E$9)</f>
        <v>244.041303084047</v>
      </c>
      <c r="S50" s="95">
        <f>EXP(5.6922-(0.68367*LN(R50)))</f>
        <v>6.9159841844542145</v>
      </c>
      <c r="T50" s="89">
        <f>(+S50*R50)/100</f>
        <v>16.877857924828664</v>
      </c>
      <c r="U50" s="88">
        <f>100*((((T50/100)-((T50/100)-0.03574)*$E$21)-0.03574-0.00619)/0.344)</f>
        <v>24.962993267387905</v>
      </c>
      <c r="V50" s="79">
        <f>+$E$20</f>
        <v>0.25</v>
      </c>
      <c r="W50" s="88">
        <f>U50+V50</f>
        <v>25.212993267387905</v>
      </c>
      <c r="X50" s="88">
        <f>100*($E$17*$E$19+($E$18*(W50/100))/(1-$E$21))</f>
        <v>21.710662895464154</v>
      </c>
      <c r="Y50" s="89">
        <f>X50/R50</f>
        <v>8.8963067403336538E-2</v>
      </c>
      <c r="Z50" s="87">
        <f>ROUND($E$8/(1-Y50),0)</f>
        <v>1028285</v>
      </c>
      <c r="AA50" s="79" t="str">
        <f>IF(OR(OR(Z50=Z44,Z50=(Z44+1)),Z50=(Z44-1)),"yes","not yet")</f>
        <v>yes</v>
      </c>
      <c r="AB50" s="88">
        <f>100*(1-Y50)</f>
        <v>91.103693259666343</v>
      </c>
      <c r="AC50" s="79"/>
      <c r="AD50" s="79"/>
      <c r="AE50" s="79"/>
      <c r="AF50" s="79"/>
      <c r="AG50" s="79"/>
      <c r="AH50" s="79"/>
      <c r="AI50" s="79"/>
      <c r="AJ50" s="79"/>
      <c r="AK50" s="79"/>
      <c r="AL50" s="79"/>
      <c r="AM50" s="79"/>
      <c r="AN50" s="79"/>
    </row>
    <row r="51" spans="1:40">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row>
    <row r="52" spans="1:40">
      <c r="A52" s="79"/>
      <c r="B52" s="79"/>
      <c r="C52" s="79"/>
      <c r="D52" s="79"/>
      <c r="E52" s="79"/>
      <c r="F52" s="79"/>
      <c r="G52" s="79"/>
      <c r="H52" s="79"/>
      <c r="I52" s="79"/>
      <c r="J52" s="79"/>
      <c r="K52" s="79"/>
      <c r="L52" s="79"/>
      <c r="M52" s="79"/>
      <c r="N52" s="79"/>
      <c r="O52" s="79"/>
      <c r="P52" s="79"/>
      <c r="Q52" s="79"/>
      <c r="R52" s="79" t="s">
        <v>263</v>
      </c>
      <c r="S52" s="84" t="s">
        <v>207</v>
      </c>
      <c r="T52" s="84" t="s">
        <v>208</v>
      </c>
      <c r="U52" s="84" t="s">
        <v>209</v>
      </c>
      <c r="V52" s="79"/>
      <c r="W52" s="79"/>
      <c r="X52" s="79"/>
      <c r="Y52" s="79"/>
      <c r="Z52" s="79"/>
      <c r="AA52" s="79"/>
      <c r="AB52" s="79"/>
      <c r="AC52" s="79"/>
      <c r="AD52" s="79"/>
      <c r="AE52" s="79"/>
      <c r="AF52" s="79"/>
      <c r="AG52" s="79"/>
      <c r="AH52" s="79"/>
      <c r="AI52" s="79"/>
      <c r="AJ52" s="79"/>
      <c r="AK52" s="79"/>
      <c r="AL52" s="79"/>
      <c r="AM52" s="79"/>
      <c r="AN52" s="79"/>
    </row>
    <row r="53" spans="1:40">
      <c r="A53" s="79"/>
      <c r="B53" s="79"/>
      <c r="C53" s="79"/>
      <c r="D53" s="79"/>
      <c r="E53" s="79"/>
      <c r="F53" s="79"/>
      <c r="G53" s="79"/>
      <c r="H53" s="79"/>
      <c r="I53" s="79"/>
      <c r="J53" s="79"/>
      <c r="K53" s="79"/>
      <c r="L53" s="79"/>
      <c r="M53" s="79"/>
      <c r="N53" s="79"/>
      <c r="O53" s="79"/>
      <c r="P53" s="79"/>
      <c r="Q53" s="79"/>
      <c r="R53" s="88">
        <f>100*(+Z47/$E$9)</f>
        <v>244.8724273768261</v>
      </c>
      <c r="S53" s="95">
        <f>EXP(5.7226-(0.68367*LN(+R53)))</f>
        <v>7.1129060113149469</v>
      </c>
      <c r="T53" s="89">
        <f>(+S53*R53)/100</f>
        <v>17.41754560693909</v>
      </c>
      <c r="U53" s="88">
        <f>100*((((T53/100)-((T53/100)-0.03574)*$E$21)-0.03574-0.00619)/0.344)</f>
        <v>26.04864406977282</v>
      </c>
      <c r="V53" s="79">
        <f>+$E$20</f>
        <v>0.25</v>
      </c>
      <c r="W53" s="88">
        <f>U53+V53</f>
        <v>26.29864406977282</v>
      </c>
      <c r="X53" s="88">
        <f>100*($E$17*$E$19+($E$18*(W53/100))/(1-$E$21))</f>
        <v>22.541618437821644</v>
      </c>
      <c r="Y53" s="89">
        <f>X53/R53</f>
        <v>9.2054539089176796E-2</v>
      </c>
      <c r="Z53" s="87">
        <f>ROUND($E$8/(1-Y53),0)</f>
        <v>1031786</v>
      </c>
      <c r="AA53" s="79" t="str">
        <f>IF(OR(OR(Z53=Z47,Z53=(Z47+1)),Z53=(Z39-1)),"yes","not yet")</f>
        <v>not yet</v>
      </c>
      <c r="AB53" s="88">
        <f>100*(1-Y53)</f>
        <v>90.794546091082324</v>
      </c>
      <c r="AC53" s="79"/>
      <c r="AD53" s="79"/>
      <c r="AE53" s="79"/>
      <c r="AF53" s="79"/>
      <c r="AG53" s="79"/>
      <c r="AH53" s="79"/>
      <c r="AI53" s="79"/>
      <c r="AJ53" s="79"/>
      <c r="AK53" s="79"/>
      <c r="AL53" s="79"/>
      <c r="AM53" s="79"/>
      <c r="AN53" s="79"/>
    </row>
    <row r="54" spans="1:40">
      <c r="A54" s="79"/>
      <c r="B54" s="79"/>
      <c r="C54" s="79"/>
      <c r="D54" s="79"/>
      <c r="E54" s="79"/>
      <c r="F54" s="79"/>
      <c r="G54" s="79"/>
      <c r="H54" s="79"/>
      <c r="I54" s="79"/>
      <c r="J54" s="79"/>
      <c r="K54" s="79"/>
      <c r="L54" s="79"/>
      <c r="M54" s="79"/>
      <c r="N54" s="79"/>
      <c r="O54" s="79"/>
      <c r="P54" s="79"/>
      <c r="Q54" s="79"/>
      <c r="R54" s="88">
        <f>100*(+Z48/$E$9)</f>
        <v>244.47727547863155</v>
      </c>
      <c r="S54" s="95">
        <f>EXP(5.70827-(0.68367*LN(+R54)))</f>
        <v>7.0194510356509463</v>
      </c>
      <c r="T54" s="89">
        <f>(+S54*R54)/100</f>
        <v>17.160962645516019</v>
      </c>
      <c r="U54" s="88">
        <f>100*((((T54/100)-((T54/100)-0.03574)*$E$21)-0.03574-0.00619)/0.344)</f>
        <v>25.532494624119444</v>
      </c>
      <c r="V54" s="79">
        <f>+$E$20</f>
        <v>0.25</v>
      </c>
      <c r="W54" s="88">
        <f>U54+V54</f>
        <v>25.782494624119444</v>
      </c>
      <c r="X54" s="88">
        <f>100*($E$17*$E$19+($E$18*(W54/100))/(1-$E$21))</f>
        <v>22.146558404145775</v>
      </c>
      <c r="Y54" s="89">
        <f>X54/R54</f>
        <v>9.0587390426319955E-2</v>
      </c>
      <c r="Z54" s="87">
        <f>ROUND($E$8/(1-Y54),0)</f>
        <v>1030122</v>
      </c>
      <c r="AA54" s="79" t="str">
        <f>IF(OR(OR(Z54=Z48,Z54=(Z48+1)),Z54=(Z48-1)),"yes","not yet")</f>
        <v>yes</v>
      </c>
      <c r="AB54" s="88">
        <f>100*(1-Y54)</f>
        <v>90.941260957368002</v>
      </c>
      <c r="AC54" s="79"/>
      <c r="AD54" s="79"/>
      <c r="AE54" s="79"/>
      <c r="AF54" s="79"/>
      <c r="AG54" s="79"/>
      <c r="AH54" s="79"/>
      <c r="AI54" s="79"/>
      <c r="AJ54" s="79"/>
      <c r="AK54" s="79"/>
      <c r="AL54" s="79"/>
      <c r="AM54" s="79"/>
      <c r="AN54" s="79"/>
    </row>
    <row r="55" spans="1:40">
      <c r="A55" s="79"/>
      <c r="B55" s="79"/>
      <c r="C55" s="79"/>
      <c r="D55" s="79"/>
      <c r="E55" s="79"/>
      <c r="F55" s="79"/>
      <c r="G55" s="79"/>
      <c r="H55" s="79"/>
      <c r="I55" s="79"/>
      <c r="J55" s="79"/>
      <c r="K55" s="79"/>
      <c r="L55" s="79"/>
      <c r="M55" s="79"/>
      <c r="N55" s="79"/>
      <c r="O55" s="79"/>
      <c r="P55" s="79"/>
      <c r="Q55" s="79"/>
      <c r="R55" s="88">
        <f>100*(+Z49/$E$9)</f>
        <v>244.21146759516139</v>
      </c>
      <c r="S55" s="95">
        <f>EXP(5.6985-(0.68367*LN(R55)))</f>
        <v>6.9563766284186412</v>
      </c>
      <c r="T55" s="89">
        <f>(+S55*R55)/100</f>
        <v>16.988269455707972</v>
      </c>
      <c r="U55" s="88">
        <f>100*((((T55/100)-((T55/100)-0.03574)*$E$21)-0.03574-0.00619)/0.344)</f>
        <v>25.185100184156735</v>
      </c>
      <c r="V55" s="79">
        <f>+$E$20</f>
        <v>0.25</v>
      </c>
      <c r="W55" s="88">
        <f>U55+V55</f>
        <v>25.435100184156735</v>
      </c>
      <c r="X55" s="88">
        <f>100*($E$17*$E$19+($E$18*(W55/100))/(1-$E$21))</f>
        <v>21.880663205950324</v>
      </c>
      <c r="Y55" s="89">
        <f>X55/R55</f>
        <v>8.9597197958871971E-2</v>
      </c>
      <c r="Z55" s="87">
        <f>ROUND($E$8/(1-Y55),0)</f>
        <v>1029002</v>
      </c>
      <c r="AA55" s="79" t="str">
        <f>IF(OR(OR(Z55=Z49,Z55=(Z49+1)),Z55=(Z49-1)),"yes","not yet")</f>
        <v>yes</v>
      </c>
      <c r="AB55" s="88">
        <f>100*(1-Y55)</f>
        <v>91.040280204112804</v>
      </c>
      <c r="AC55" s="79"/>
      <c r="AD55" s="79"/>
      <c r="AE55" s="79"/>
      <c r="AF55" s="79"/>
      <c r="AG55" s="79"/>
      <c r="AH55" s="79"/>
      <c r="AI55" s="79"/>
      <c r="AJ55" s="79"/>
      <c r="AK55" s="79"/>
      <c r="AL55" s="79"/>
      <c r="AM55" s="79"/>
      <c r="AN55" s="79"/>
    </row>
    <row r="56" spans="1:40">
      <c r="A56" s="79"/>
      <c r="B56" s="79"/>
      <c r="C56" s="79"/>
      <c r="D56" s="79"/>
      <c r="E56" s="79"/>
      <c r="F56" s="79"/>
      <c r="G56" s="79"/>
      <c r="H56" s="79"/>
      <c r="I56" s="79"/>
      <c r="J56" s="79"/>
      <c r="K56" s="79"/>
      <c r="L56" s="79"/>
      <c r="M56" s="79"/>
      <c r="N56" s="79"/>
      <c r="O56" s="79"/>
      <c r="P56" s="79"/>
      <c r="Q56" s="79"/>
      <c r="R56" s="88">
        <f>100*(+Z50/$E$9)</f>
        <v>244.041303084047</v>
      </c>
      <c r="S56" s="95">
        <f>EXP(5.6922-(0.68367*LN(R56)))</f>
        <v>6.9159841844542145</v>
      </c>
      <c r="T56" s="89">
        <f>(+S56*R56)/100</f>
        <v>16.877857924828664</v>
      </c>
      <c r="U56" s="88">
        <f>100*((((T56/100)-((T56/100)-0.03574)*$E$21)-0.03574-0.00619)/0.344)</f>
        <v>24.962993267387905</v>
      </c>
      <c r="V56" s="79">
        <f>+$E$20</f>
        <v>0.25</v>
      </c>
      <c r="W56" s="88">
        <f>U56+V56</f>
        <v>25.212993267387905</v>
      </c>
      <c r="X56" s="88">
        <f>100*($E$17*$E$19+($E$18*(W56/100))/(1-$E$21))</f>
        <v>21.710662895464154</v>
      </c>
      <c r="Y56" s="89">
        <f>X56/R56</f>
        <v>8.8963067403336538E-2</v>
      </c>
      <c r="Z56" s="87">
        <f>ROUND($E$8/(1-Y56),0)</f>
        <v>1028285</v>
      </c>
      <c r="AA56" s="79" t="str">
        <f>IF(OR(OR(Z56=Z50,Z56=(Z50+1)),Z56=(Z50-1)),"yes","not yet")</f>
        <v>yes</v>
      </c>
      <c r="AB56" s="88">
        <f>100*(1-Y56)</f>
        <v>91.103693259666343</v>
      </c>
      <c r="AC56" s="79"/>
      <c r="AD56" s="79"/>
      <c r="AE56" s="79"/>
      <c r="AF56" s="79"/>
      <c r="AG56" s="79"/>
      <c r="AH56" s="79"/>
      <c r="AI56" s="79"/>
      <c r="AJ56" s="79"/>
      <c r="AK56" s="79"/>
      <c r="AL56" s="79"/>
      <c r="AM56" s="79"/>
      <c r="AN56" s="79"/>
    </row>
  </sheetData>
  <customSheetViews>
    <customSheetView guid="{3B54C4DD-9207-4EC3-9D58-6DDE29113D77}" scale="75" showPageBreaks="1" showGridLines="0" fitToPage="1" printArea="1" showRuler="0">
      <selection activeCell="D21" sqref="D21"/>
      <pageMargins left="0.75" right="0.75" top="1" bottom="1" header="0.5" footer="0.5"/>
      <pageSetup scale="98" orientation="landscape" horizontalDpi="1200" verticalDpi="1200" r:id="rId1"/>
      <headerFooter alignWithMargins="0">
        <oddHeader>&amp;L&amp;12&amp;A</oddHeader>
      </headerFooter>
    </customSheetView>
    <customSheetView guid="{F69ABAD1-EF76-489D-B027-1BD1F4CFE8A6}" scale="75" showGridLines="0" fitToPage="1">
      <selection activeCell="D21" sqref="D21"/>
      <pageMargins left="0.75" right="0.75" top="1" bottom="1" header="0.5" footer="0.5"/>
      <pageSetup scale="97" orientation="landscape" horizontalDpi="1200" verticalDpi="1200" r:id="rId2"/>
      <headerFooter alignWithMargins="0">
        <oddHeader>&amp;L&amp;12&amp;A</oddHeader>
      </headerFooter>
    </customSheetView>
  </customSheetViews>
  <phoneticPr fontId="0" type="noConversion"/>
  <pageMargins left="0.75" right="0.75" top="1" bottom="1" header="0.5" footer="0.5"/>
  <pageSetup scale="97" orientation="landscape" r:id="rId3"/>
  <headerFooter alignWithMargins="0">
    <oddHeader>&amp;L&amp;12&amp;A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N56"/>
  <sheetViews>
    <sheetView showGridLines="0" zoomScale="80" zoomScaleNormal="80" workbookViewId="0">
      <selection activeCell="E8" sqref="E8"/>
    </sheetView>
  </sheetViews>
  <sheetFormatPr defaultColWidth="16.33203125" defaultRowHeight="15"/>
  <cols>
    <col min="1" max="3" width="16.33203125" style="82"/>
    <col min="4" max="4" width="18.33203125" style="82" bestFit="1" customWidth="1"/>
    <col min="5" max="5" width="18" style="82" bestFit="1" customWidth="1"/>
    <col min="6" max="6" width="18.33203125" style="82" bestFit="1" customWidth="1"/>
    <col min="7" max="8" width="16.33203125" style="82"/>
    <col min="9" max="9" width="8.5" style="82" customWidth="1"/>
    <col min="10" max="16384" width="16.33203125" style="82"/>
  </cols>
  <sheetData>
    <row r="1" spans="1:40" ht="18">
      <c r="A1" s="79"/>
      <c r="B1" s="80" t="str">
        <f>Summary!C3</f>
        <v>Eastside</v>
      </c>
      <c r="C1" s="79"/>
      <c r="D1" s="79"/>
      <c r="E1" s="79"/>
      <c r="F1" s="81" t="s">
        <v>148</v>
      </c>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row>
    <row r="2" spans="1:40">
      <c r="A2" s="79"/>
      <c r="B2" s="83" t="s">
        <v>200</v>
      </c>
      <c r="C2" s="79"/>
      <c r="D2" s="79"/>
      <c r="E2" s="79"/>
      <c r="F2" s="79"/>
      <c r="G2" s="79"/>
      <c r="H2" s="79"/>
      <c r="I2" s="79"/>
      <c r="J2" s="79"/>
      <c r="K2" s="79"/>
      <c r="L2" s="79"/>
      <c r="M2" s="79"/>
      <c r="N2" s="79"/>
      <c r="O2" s="79"/>
      <c r="P2" s="79"/>
      <c r="Q2" s="79"/>
      <c r="R2" s="79"/>
      <c r="S2" s="79"/>
      <c r="T2" s="79"/>
      <c r="U2" s="79"/>
      <c r="V2" s="79"/>
      <c r="W2" s="79"/>
      <c r="X2" s="79"/>
      <c r="Y2" s="79"/>
      <c r="Z2" s="79"/>
      <c r="AA2" s="84" t="s">
        <v>201</v>
      </c>
      <c r="AB2" s="84" t="s">
        <v>202</v>
      </c>
      <c r="AC2" s="79"/>
      <c r="AD2" s="79"/>
      <c r="AE2" s="79" t="s">
        <v>203</v>
      </c>
      <c r="AF2" s="79"/>
      <c r="AG2" s="79"/>
      <c r="AH2" s="79"/>
      <c r="AI2" s="79"/>
      <c r="AJ2" s="79"/>
      <c r="AK2" s="79"/>
      <c r="AL2" s="79"/>
      <c r="AM2" s="79"/>
      <c r="AN2" s="79"/>
    </row>
    <row r="3" spans="1:40">
      <c r="A3" s="79"/>
      <c r="B3" s="83" t="str">
        <f>+'LG Yardwaste'!B3</f>
        <v>For the test period ended April 30, 2014</v>
      </c>
      <c r="C3" s="79"/>
      <c r="D3" s="79"/>
      <c r="E3" s="79"/>
      <c r="F3" s="79"/>
      <c r="G3" s="79"/>
      <c r="H3" s="79"/>
      <c r="I3" s="79"/>
      <c r="J3" s="79"/>
      <c r="K3" s="79"/>
      <c r="L3" s="79"/>
      <c r="M3" s="79"/>
      <c r="N3" s="79"/>
      <c r="O3" s="79"/>
      <c r="P3" s="79"/>
      <c r="Q3" s="79"/>
      <c r="R3" s="79"/>
      <c r="S3" s="79"/>
      <c r="T3" s="79"/>
      <c r="U3" s="79"/>
      <c r="V3" s="79"/>
      <c r="W3" s="79"/>
      <c r="X3" s="79"/>
      <c r="Y3" s="79"/>
      <c r="Z3" s="79"/>
      <c r="AA3" s="84"/>
      <c r="AB3" s="84"/>
      <c r="AC3" s="79"/>
      <c r="AD3" s="79"/>
      <c r="AE3" s="79"/>
      <c r="AF3" s="79"/>
      <c r="AG3" s="79"/>
      <c r="AH3" s="79"/>
      <c r="AI3" s="79"/>
      <c r="AJ3" s="79"/>
      <c r="AK3" s="79"/>
      <c r="AL3" s="79"/>
      <c r="AM3" s="79"/>
      <c r="AN3" s="79"/>
    </row>
    <row r="4" spans="1:40">
      <c r="A4" s="79"/>
      <c r="B4" s="79"/>
      <c r="C4" s="79"/>
      <c r="D4" s="79"/>
      <c r="E4" s="79"/>
      <c r="F4" s="79"/>
      <c r="G4" s="79"/>
      <c r="H4" s="79"/>
      <c r="I4" s="79"/>
      <c r="J4" s="79" t="s">
        <v>204</v>
      </c>
      <c r="K4" s="79"/>
      <c r="L4" s="79"/>
      <c r="M4" s="79"/>
      <c r="N4" s="79"/>
      <c r="O4" s="79"/>
      <c r="P4" s="79"/>
      <c r="Q4" s="84" t="s">
        <v>205</v>
      </c>
      <c r="R4" s="84" t="s">
        <v>206</v>
      </c>
      <c r="S4" s="84" t="s">
        <v>207</v>
      </c>
      <c r="T4" s="84" t="s">
        <v>208</v>
      </c>
      <c r="U4" s="84" t="s">
        <v>209</v>
      </c>
      <c r="V4" s="79"/>
      <c r="W4" s="84" t="s">
        <v>210</v>
      </c>
      <c r="X4" s="79" t="s">
        <v>211</v>
      </c>
      <c r="Y4" s="84" t="s">
        <v>212</v>
      </c>
      <c r="Z4" s="84" t="s">
        <v>213</v>
      </c>
      <c r="AA4" s="84" t="s">
        <v>214</v>
      </c>
      <c r="AB4" s="79"/>
      <c r="AC4" s="79"/>
      <c r="AD4" s="79"/>
      <c r="AE4" s="79" t="s">
        <v>215</v>
      </c>
      <c r="AF4" s="79"/>
      <c r="AG4" s="79"/>
      <c r="AH4" s="79"/>
      <c r="AI4" s="79"/>
      <c r="AJ4" s="79"/>
      <c r="AK4" s="79"/>
      <c r="AL4" s="79"/>
      <c r="AM4" s="79"/>
      <c r="AN4" s="79"/>
    </row>
    <row r="5" spans="1:40">
      <c r="A5" s="85"/>
      <c r="B5" s="79" t="s">
        <v>216</v>
      </c>
      <c r="C5" s="79" t="s">
        <v>217</v>
      </c>
      <c r="D5" s="79"/>
      <c r="E5" s="86">
        <f>E7+E6</f>
        <v>159668.66357866229</v>
      </c>
      <c r="F5" s="79" t="s">
        <v>218</v>
      </c>
      <c r="G5" s="79"/>
      <c r="H5" s="79"/>
      <c r="I5" s="79"/>
      <c r="J5" s="79" t="s">
        <v>219</v>
      </c>
      <c r="K5" s="79"/>
      <c r="L5" s="79"/>
      <c r="M5" s="79" t="s">
        <v>220</v>
      </c>
      <c r="N5" s="79"/>
      <c r="O5" s="79"/>
      <c r="P5" s="79"/>
      <c r="Q5" s="87">
        <f>$E$8*1.25</f>
        <v>189614.60815808008</v>
      </c>
      <c r="R5" s="88">
        <f>100*(+Q5/$E$9)</f>
        <v>873.22129167240621</v>
      </c>
      <c r="S5" s="89">
        <f>EXP(5.7226-(0.68367*LN(+R5)))</f>
        <v>2.9821888400584742</v>
      </c>
      <c r="T5" s="89">
        <f>(+S5*R5)/100</f>
        <v>26.041107909268959</v>
      </c>
      <c r="U5" s="88">
        <f>100*((((T5/100)-((T5/100)-0.03574)*$E$21)-0.03574-0.00619)/0.344)</f>
        <v>43.396042654692209</v>
      </c>
      <c r="V5" s="79">
        <f>+$E$20</f>
        <v>0.25</v>
      </c>
      <c r="W5" s="88">
        <f>U5+V5</f>
        <v>43.646042654692209</v>
      </c>
      <c r="X5" s="88">
        <f>100*($E$17*$E$19+($E$18*(W5/100))/(1-$E$21))</f>
        <v>35.819292039643841</v>
      </c>
      <c r="Y5" s="89">
        <f>X5/R5</f>
        <v>4.101971903484191E-2</v>
      </c>
      <c r="Z5" s="87">
        <f>$E$8/(1-Y5)</f>
        <v>158180.19362587432</v>
      </c>
      <c r="AA5" s="79" t="str">
        <f>IF(Z5=$Q$5,"yes","not yet")</f>
        <v>not yet</v>
      </c>
      <c r="AB5" s="88">
        <f>100*(1-Y5)</f>
        <v>95.898028096515802</v>
      </c>
      <c r="AC5" s="79"/>
      <c r="AD5" s="79"/>
      <c r="AE5" s="79">
        <v>0</v>
      </c>
      <c r="AF5" s="79">
        <v>1</v>
      </c>
      <c r="AG5" s="79"/>
      <c r="AH5" s="79"/>
      <c r="AI5" s="79"/>
      <c r="AJ5" s="79"/>
      <c r="AK5" s="79"/>
      <c r="AL5" s="79"/>
      <c r="AM5" s="79"/>
      <c r="AN5" s="79"/>
    </row>
    <row r="6" spans="1:40">
      <c r="A6" s="90" t="s">
        <v>11</v>
      </c>
      <c r="B6" s="79" t="s">
        <v>216</v>
      </c>
      <c r="C6" s="79" t="s">
        <v>221</v>
      </c>
      <c r="D6" s="79"/>
      <c r="E6" s="86">
        <f>(+E8-(($H15/100)*E7))/$H25</f>
        <v>42348.84676666226</v>
      </c>
      <c r="F6" s="91" t="s">
        <v>218</v>
      </c>
      <c r="G6" s="79"/>
      <c r="H6" s="508">
        <f>E6/E7</f>
        <v>0.36096925410755171</v>
      </c>
      <c r="I6" s="79"/>
      <c r="J6" s="79" t="s">
        <v>222</v>
      </c>
      <c r="K6" s="79"/>
      <c r="L6" s="79"/>
      <c r="M6" s="79" t="s">
        <v>223</v>
      </c>
      <c r="N6" s="79"/>
      <c r="O6" s="79"/>
      <c r="P6" s="79"/>
      <c r="Q6" s="87">
        <f>$E$8*1.25</f>
        <v>189614.60815808008</v>
      </c>
      <c r="R6" s="88">
        <f>100*(+Q6/$E$9)</f>
        <v>873.22129167240621</v>
      </c>
      <c r="S6" s="89">
        <f>EXP(5.70827-(0.68367*LN(+R6)))</f>
        <v>2.9397588112145963</v>
      </c>
      <c r="T6" s="89">
        <f>(+S6*R6)/100</f>
        <v>25.670599863341472</v>
      </c>
      <c r="U6" s="88">
        <f>100*((((T6/100)-((T6/100)-0.03574)*$E$21)-0.03574-0.00619)/0.344)</f>
        <v>42.650718329745061</v>
      </c>
      <c r="V6" s="79">
        <f>+$E$20</f>
        <v>0.25</v>
      </c>
      <c r="W6" s="88">
        <f>U6+V6</f>
        <v>42.900718329745061</v>
      </c>
      <c r="X6" s="88">
        <f>100*($E$17*$E$19+($E$18*(W6/100))/(1-$E$21))</f>
        <v>35.248821887263198</v>
      </c>
      <c r="Y6" s="89">
        <f>X6/R6</f>
        <v>4.0366425124328038E-2</v>
      </c>
      <c r="Z6" s="87">
        <f>$E$8/(1-Y6)</f>
        <v>158072.50860946265</v>
      </c>
      <c r="AA6" s="79" t="str">
        <f>IF(Z6=$Q$6,"yes","not yet")</f>
        <v>not yet</v>
      </c>
      <c r="AB6" s="88">
        <f>100*(1-Y6)</f>
        <v>95.963357487567194</v>
      </c>
      <c r="AC6" s="79"/>
      <c r="AD6" s="79"/>
      <c r="AE6" s="79">
        <v>50</v>
      </c>
      <c r="AF6" s="79">
        <v>2</v>
      </c>
      <c r="AG6" s="79"/>
      <c r="AH6" s="79"/>
      <c r="AI6" s="79"/>
      <c r="AJ6" s="79"/>
      <c r="AK6" s="79"/>
      <c r="AL6" s="79"/>
      <c r="AM6" s="79"/>
      <c r="AN6" s="79"/>
    </row>
    <row r="7" spans="1:40">
      <c r="A7" s="79"/>
      <c r="B7" s="92" t="s">
        <v>224</v>
      </c>
      <c r="C7" s="79" t="s">
        <v>13</v>
      </c>
      <c r="D7" s="92" t="s">
        <v>225</v>
      </c>
      <c r="E7" s="158">
        <f>+Proforma!P20</f>
        <v>117319.81681200003</v>
      </c>
      <c r="F7" s="79" t="s">
        <v>226</v>
      </c>
      <c r="G7" s="79"/>
      <c r="H7" s="79"/>
      <c r="I7" s="79"/>
      <c r="J7" s="79" t="s">
        <v>227</v>
      </c>
      <c r="K7" s="79"/>
      <c r="L7" s="79"/>
      <c r="M7" s="79" t="s">
        <v>228</v>
      </c>
      <c r="N7" s="79"/>
      <c r="O7" s="79"/>
      <c r="P7" s="79"/>
      <c r="Q7" s="87">
        <f>$E$8*1.25</f>
        <v>189614.60815808008</v>
      </c>
      <c r="R7" s="88">
        <f>100*(+Q7/$E$9)</f>
        <v>873.22129167240621</v>
      </c>
      <c r="S7" s="89">
        <f>EXP(5.6985-(0.68367*LN(R7)))</f>
        <v>2.9111772160706257</v>
      </c>
      <c r="T7" s="89">
        <f>(+S7*R7)/100</f>
        <v>25.421019289044715</v>
      </c>
      <c r="U7" s="88">
        <f>100*((((T7/100)-((T7/100)-0.03574)*$E$21)-0.03574-0.00619)/0.344)</f>
        <v>42.148655081450428</v>
      </c>
      <c r="V7" s="79">
        <f>+$E$20</f>
        <v>0.25</v>
      </c>
      <c r="W7" s="88">
        <f>U7+V7</f>
        <v>42.398655081450428</v>
      </c>
      <c r="X7" s="88">
        <f>100*($E$17*$E$19+($E$18*(W7/100))/(1-$E$21))</f>
        <v>34.864543408522195</v>
      </c>
      <c r="Y7" s="89">
        <f>X7/R7</f>
        <v>3.9926355141603469E-2</v>
      </c>
      <c r="Z7" s="87">
        <f>$E$8/(1-Y7)</f>
        <v>158000.05274474274</v>
      </c>
      <c r="AA7" s="79" t="str">
        <f>IF(Z7=$Q$7,"yes","not yet")</f>
        <v>not yet</v>
      </c>
      <c r="AB7" s="88">
        <f>100*(1-Y7)</f>
        <v>96.007364485839659</v>
      </c>
      <c r="AC7" s="79"/>
      <c r="AD7" s="79"/>
      <c r="AE7" s="79">
        <v>125</v>
      </c>
      <c r="AF7" s="79">
        <v>3</v>
      </c>
      <c r="AG7" s="79"/>
      <c r="AH7" s="79"/>
      <c r="AI7" s="79"/>
      <c r="AJ7" s="79"/>
      <c r="AK7" s="79"/>
      <c r="AL7" s="79"/>
      <c r="AM7" s="79"/>
      <c r="AN7" s="79"/>
    </row>
    <row r="8" spans="1:40">
      <c r="A8" s="79"/>
      <c r="B8" s="92" t="s">
        <v>224</v>
      </c>
      <c r="C8" s="79" t="s">
        <v>53</v>
      </c>
      <c r="D8" s="92" t="s">
        <v>225</v>
      </c>
      <c r="E8" s="93">
        <f>Proforma!P32+Proforma!P293</f>
        <v>151691.68652646407</v>
      </c>
      <c r="F8" s="79" t="s">
        <v>226</v>
      </c>
      <c r="G8" s="79"/>
      <c r="H8" s="79"/>
      <c r="I8" s="79"/>
      <c r="J8" s="79" t="s">
        <v>229</v>
      </c>
      <c r="K8" s="79"/>
      <c r="L8" s="79"/>
      <c r="M8" s="79" t="s">
        <v>230</v>
      </c>
      <c r="N8" s="79"/>
      <c r="O8" s="79"/>
      <c r="P8" s="79"/>
      <c r="Q8" s="87">
        <f>$E$8*1.25</f>
        <v>189614.60815808008</v>
      </c>
      <c r="R8" s="88">
        <f>100*(+Q8/$E$9)</f>
        <v>873.22129167240621</v>
      </c>
      <c r="S8" s="89">
        <f>EXP(5.6922-(0.68367*LN(R8)))</f>
        <v>2.8928944507902195</v>
      </c>
      <c r="T8" s="89">
        <f>(+S8*R8)/100</f>
        <v>25.261370289909713</v>
      </c>
      <c r="U8" s="88">
        <f>100*((((T8/100)-((T8/100)-0.03574)*$E$21)-0.03574-0.00619)/0.344)</f>
        <v>41.827500699469539</v>
      </c>
      <c r="V8" s="79">
        <f>+$E$20</f>
        <v>0.25</v>
      </c>
      <c r="W8" s="88">
        <f>U8+V8</f>
        <v>42.077500699469539</v>
      </c>
      <c r="X8" s="88">
        <f>100*($E$17*$E$19+($E$18*(W8/100))/(1-$E$21))</f>
        <v>34.618732312474386</v>
      </c>
      <c r="Y8" s="89">
        <f>X8/R8</f>
        <v>3.9644855940436451E-2</v>
      </c>
      <c r="Z8" s="87">
        <f>$E$8/(1-Y8)</f>
        <v>157953.73978551396</v>
      </c>
      <c r="AA8" s="79" t="str">
        <f>IF(Z8=$Q$8,"yes","not yet")</f>
        <v>not yet</v>
      </c>
      <c r="AB8" s="88">
        <f>100*(1-Y8)</f>
        <v>96.035514405956363</v>
      </c>
      <c r="AC8" s="79"/>
      <c r="AD8" s="79"/>
      <c r="AE8" s="79">
        <v>401</v>
      </c>
      <c r="AF8" s="79">
        <v>4</v>
      </c>
      <c r="AG8" s="79"/>
      <c r="AH8" s="79"/>
      <c r="AI8" s="79"/>
      <c r="AJ8" s="79"/>
      <c r="AK8" s="79"/>
      <c r="AL8" s="79"/>
      <c r="AM8" s="79"/>
      <c r="AN8" s="79"/>
    </row>
    <row r="9" spans="1:40">
      <c r="A9" s="79"/>
      <c r="B9" s="92" t="s">
        <v>224</v>
      </c>
      <c r="C9" s="79" t="s">
        <v>231</v>
      </c>
      <c r="D9" s="79"/>
      <c r="E9" s="94">
        <f>'Summary (Staff)'!L47</f>
        <v>21714.382135017277</v>
      </c>
      <c r="F9" s="79" t="s">
        <v>226</v>
      </c>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row>
    <row r="10" spans="1:40">
      <c r="A10" s="79"/>
      <c r="B10" s="79"/>
      <c r="C10" s="79" t="s">
        <v>232</v>
      </c>
      <c r="D10" s="79"/>
      <c r="E10" s="88">
        <f>$R$5</f>
        <v>873.22129167240621</v>
      </c>
      <c r="F10" s="79" t="s">
        <v>233</v>
      </c>
      <c r="G10" s="79"/>
      <c r="H10" s="79"/>
      <c r="I10" s="79"/>
      <c r="J10" s="79"/>
      <c r="K10" s="79"/>
      <c r="L10" s="79"/>
      <c r="M10" s="79"/>
      <c r="N10" s="79"/>
      <c r="O10" s="79"/>
      <c r="P10" s="79"/>
      <c r="Q10" s="79"/>
      <c r="R10" s="84" t="s">
        <v>234</v>
      </c>
      <c r="S10" s="84" t="s">
        <v>207</v>
      </c>
      <c r="T10" s="84" t="s">
        <v>208</v>
      </c>
      <c r="U10" s="84" t="s">
        <v>209</v>
      </c>
      <c r="V10" s="79"/>
      <c r="W10" s="79"/>
      <c r="X10" s="79"/>
      <c r="Y10" s="79"/>
      <c r="Z10" s="79"/>
      <c r="AA10" s="79"/>
      <c r="AB10" s="79"/>
      <c r="AC10" s="79"/>
      <c r="AD10" s="79"/>
      <c r="AE10" s="79" t="s">
        <v>235</v>
      </c>
      <c r="AF10" s="79"/>
      <c r="AG10" s="79"/>
      <c r="AH10" s="79"/>
      <c r="AI10" s="79"/>
      <c r="AJ10" s="79"/>
      <c r="AK10" s="79"/>
      <c r="AL10" s="79"/>
      <c r="AM10" s="79"/>
      <c r="AN10" s="79"/>
    </row>
    <row r="11" spans="1:40">
      <c r="A11" s="79"/>
      <c r="B11" s="79"/>
      <c r="C11" s="79" t="s">
        <v>236</v>
      </c>
      <c r="D11" s="79"/>
      <c r="E11" s="88">
        <f>HLOOKUP($AF$34,$AF$28:$AN$32,$E$12+1)</f>
        <v>731.06846426912477</v>
      </c>
      <c r="F11" s="79" t="s">
        <v>233</v>
      </c>
      <c r="G11" s="79"/>
      <c r="H11" s="79"/>
      <c r="I11" s="79"/>
      <c r="J11" s="79"/>
      <c r="K11" s="79"/>
      <c r="L11" s="79"/>
      <c r="M11" s="79"/>
      <c r="N11" s="79"/>
      <c r="O11" s="79"/>
      <c r="P11" s="79"/>
      <c r="Q11" s="79"/>
      <c r="R11" s="88">
        <f>100*(+Z5/$E$9)</f>
        <v>728.45818334746957</v>
      </c>
      <c r="S11" s="95">
        <f>EXP(5.7226-(0.68367*LN(+R11)))</f>
        <v>3.3756190660193215</v>
      </c>
      <c r="T11" s="89">
        <f>(+S11*R11)/100</f>
        <v>24.589973325055169</v>
      </c>
      <c r="U11" s="88">
        <f>100*((((T11/100)-((T11/100)-0.03574)*$E$21)-0.03574-0.00619)/0.344)</f>
        <v>40.47689982830866</v>
      </c>
      <c r="V11" s="79">
        <f>+$E$20</f>
        <v>0.25</v>
      </c>
      <c r="W11" s="88">
        <f>U11+V11</f>
        <v>40.72689982830866</v>
      </c>
      <c r="X11" s="88">
        <f>100*($E$17*$E$19+($E$18*(W11/100))/(1-$E$21))</f>
        <v>33.584984373506728</v>
      </c>
      <c r="Y11" s="89">
        <f>X11/R11</f>
        <v>4.6104203564814539E-2</v>
      </c>
      <c r="Z11" s="87">
        <f>$E$8/(1-Y11)</f>
        <v>159023.33052871469</v>
      </c>
      <c r="AA11" s="79" t="str">
        <f>IF(OR(OR(Z11=Z5,Z11=(Z5+1)),Z11=(Z8189-1)),"yes","not yet")</f>
        <v>not yet</v>
      </c>
      <c r="AB11" s="88">
        <f>100*(1-Y11)</f>
        <v>95.389579643518545</v>
      </c>
      <c r="AC11" s="79"/>
      <c r="AD11" s="79"/>
      <c r="AE11" s="79"/>
      <c r="AF11" s="79"/>
      <c r="AG11" s="79"/>
      <c r="AH11" s="79"/>
      <c r="AI11" s="79"/>
      <c r="AJ11" s="79"/>
      <c r="AK11" s="79"/>
      <c r="AL11" s="79"/>
      <c r="AM11" s="79"/>
      <c r="AN11" s="79"/>
    </row>
    <row r="12" spans="1:40">
      <c r="A12" s="79"/>
      <c r="B12" s="79"/>
      <c r="C12" s="79" t="s">
        <v>237</v>
      </c>
      <c r="D12" s="79"/>
      <c r="E12" s="79">
        <f>VLOOKUP(E10,$AE$5:$AF$8,2)</f>
        <v>4</v>
      </c>
      <c r="F12" s="79" t="s">
        <v>233</v>
      </c>
      <c r="G12" s="79"/>
      <c r="H12" s="79"/>
      <c r="I12" s="79"/>
      <c r="J12" s="79"/>
      <c r="K12" s="79"/>
      <c r="L12" s="79"/>
      <c r="M12" s="79"/>
      <c r="N12" s="79"/>
      <c r="O12" s="79"/>
      <c r="P12" s="79"/>
      <c r="Q12" s="79"/>
      <c r="R12" s="88">
        <f>100*(+Z6/$E$9)</f>
        <v>727.96226771080944</v>
      </c>
      <c r="S12" s="95">
        <f>EXP(5.70827-(0.68367*LN(+R12)))</f>
        <v>3.3291410173197589</v>
      </c>
      <c r="T12" s="89">
        <f>(+S12*R12)/100</f>
        <v>24.234890444971629</v>
      </c>
      <c r="U12" s="88">
        <f>100*((((T12/100)-((T12/100)-0.03574)*$E$21)-0.03574-0.00619)/0.344)</f>
        <v>39.76260519744293</v>
      </c>
      <c r="V12" s="79">
        <f>+$E$20</f>
        <v>0.25</v>
      </c>
      <c r="W12" s="88">
        <f>U12+V12</f>
        <v>40.01260519744293</v>
      </c>
      <c r="X12" s="88">
        <f>100*($E$17*$E$19+($E$18*(W12/100))/(1-$E$21))</f>
        <v>33.038264303765892</v>
      </c>
      <c r="Y12" s="89">
        <f>X12/R12</f>
        <v>4.5384583472519599E-2</v>
      </c>
      <c r="Z12" s="87">
        <f>$E$8/(1-Y12)</f>
        <v>158903.45357951522</v>
      </c>
      <c r="AA12" s="79" t="str">
        <f>IF(OR(OR(Z12=Z6,Z12=(Z6+1)),Z12=(Z6-1)),"yes","not yet")</f>
        <v>not yet</v>
      </c>
      <c r="AB12" s="88">
        <f>100*(1-Y12)</f>
        <v>95.461541652748039</v>
      </c>
      <c r="AC12" s="79"/>
      <c r="AD12" s="79"/>
      <c r="AE12" s="79"/>
      <c r="AF12" s="79"/>
      <c r="AG12" s="79"/>
      <c r="AH12" s="79"/>
      <c r="AI12" s="79"/>
      <c r="AJ12" s="79"/>
      <c r="AK12" s="79"/>
      <c r="AL12" s="79"/>
      <c r="AM12" s="79"/>
      <c r="AN12" s="79"/>
    </row>
    <row r="13" spans="1:40">
      <c r="A13" s="79"/>
      <c r="B13" s="79"/>
      <c r="C13" s="79"/>
      <c r="D13" s="79"/>
      <c r="E13" s="79"/>
      <c r="F13" s="79"/>
      <c r="G13" s="79"/>
      <c r="H13" s="79"/>
      <c r="I13" s="79"/>
      <c r="J13" s="79"/>
      <c r="K13" s="79"/>
      <c r="L13" s="79"/>
      <c r="M13" s="79"/>
      <c r="N13" s="79"/>
      <c r="O13" s="79"/>
      <c r="P13" s="79"/>
      <c r="Q13" s="79"/>
      <c r="R13" s="88">
        <f>100*(+Z7/$E$9)</f>
        <v>727.62859086810965</v>
      </c>
      <c r="S13" s="95">
        <f>EXP(5.6985-(0.68367*LN(R13)))</f>
        <v>3.2978072052613925</v>
      </c>
      <c r="T13" s="89">
        <f>(+S13*R13)/100</f>
        <v>23.995788097190456</v>
      </c>
      <c r="U13" s="88">
        <f>100*((((T13/100)-((T13/100)-0.03574)*$E$21)-0.03574-0.00619)/0.344)</f>
        <v>39.281620242022662</v>
      </c>
      <c r="V13" s="79">
        <f>+$E$20</f>
        <v>0.25</v>
      </c>
      <c r="W13" s="88">
        <f>U13+V13</f>
        <v>39.531620242022662</v>
      </c>
      <c r="X13" s="88">
        <f>100*($E$17*$E$19+($E$18*(W13/100))/(1-$E$21))</f>
        <v>32.670119119679953</v>
      </c>
      <c r="Y13" s="89">
        <f>X13/R13</f>
        <v>4.4899443932930549E-2</v>
      </c>
      <c r="Z13" s="87">
        <f>$E$8/(1-Y13)</f>
        <v>158822.73920047001</v>
      </c>
      <c r="AA13" s="79" t="str">
        <f>IF(OR(OR(Z13=Z7,Z13=(Z7+1)),Z13=(Z7-1)),"yes","not yet")</f>
        <v>not yet</v>
      </c>
      <c r="AB13" s="88">
        <f>100*(1-Y13)</f>
        <v>95.510055606706942</v>
      </c>
      <c r="AC13" s="79"/>
      <c r="AD13" s="79"/>
      <c r="AE13" s="79"/>
      <c r="AF13" s="79">
        <v>1</v>
      </c>
      <c r="AG13" s="79">
        <v>2</v>
      </c>
      <c r="AH13" s="79">
        <v>3</v>
      </c>
      <c r="AI13" s="79">
        <v>4</v>
      </c>
      <c r="AJ13" s="79">
        <v>5</v>
      </c>
      <c r="AK13" s="79">
        <v>6</v>
      </c>
      <c r="AL13" s="79">
        <v>7</v>
      </c>
      <c r="AM13" s="79">
        <v>8</v>
      </c>
      <c r="AN13" s="79">
        <v>9</v>
      </c>
    </row>
    <row r="14" spans="1:40">
      <c r="A14" s="79"/>
      <c r="B14" s="79"/>
      <c r="C14" s="79" t="s">
        <v>238</v>
      </c>
      <c r="D14" s="79"/>
      <c r="E14" s="79"/>
      <c r="F14" s="79"/>
      <c r="G14" s="79"/>
      <c r="H14" s="79"/>
      <c r="I14" s="79"/>
      <c r="J14" s="79"/>
      <c r="K14" s="79"/>
      <c r="L14" s="79"/>
      <c r="M14" s="79"/>
      <c r="N14" s="79"/>
      <c r="O14" s="79"/>
      <c r="P14" s="79"/>
      <c r="Q14" s="79"/>
      <c r="R14" s="88">
        <f>100*(+Z8/$E$9)</f>
        <v>727.41530845030547</v>
      </c>
      <c r="S14" s="95">
        <f>EXP(5.6922-(0.68367*LN(R14)))</f>
        <v>3.2777532109189473</v>
      </c>
      <c r="T14" s="89">
        <f>(+S14*R14)/100</f>
        <v>23.842878629445853</v>
      </c>
      <c r="U14" s="88">
        <f>100*((((T14/100)-((T14/100)-0.03574)*$E$21)-0.03574-0.00619)/0.344)</f>
        <v>38.974023289466665</v>
      </c>
      <c r="V14" s="79">
        <f>+$E$20</f>
        <v>0.25</v>
      </c>
      <c r="W14" s="88">
        <f>U14+V14</f>
        <v>39.224023289466665</v>
      </c>
      <c r="X14" s="88">
        <f>100*($E$17*$E$19+($E$18*(W14/100))/(1-$E$21))</f>
        <v>32.434684860360846</v>
      </c>
      <c r="Y14" s="89">
        <f>X14/R14</f>
        <v>4.4588950058612457E-2</v>
      </c>
      <c r="Z14" s="87">
        <f>$E$8/(1-Y14)</f>
        <v>158771.12425669562</v>
      </c>
      <c r="AA14" s="79" t="str">
        <f>IF(OR(OR(Z14=Z8,Z14=(Z8+1)),Z14=(Z8-1)),"yes","not yet")</f>
        <v>not yet</v>
      </c>
      <c r="AB14" s="88">
        <f>100*(1-Y14)</f>
        <v>95.541104994138763</v>
      </c>
      <c r="AC14" s="79"/>
      <c r="AD14" s="79"/>
      <c r="AE14" s="79"/>
      <c r="AF14" s="79" t="str">
        <f>AA5</f>
        <v>not yet</v>
      </c>
      <c r="AG14" s="79" t="str">
        <f>AA11</f>
        <v>not yet</v>
      </c>
      <c r="AH14" s="79" t="str">
        <f>AA17</f>
        <v>not yet</v>
      </c>
      <c r="AI14" s="79" t="str">
        <f>AA23</f>
        <v>not yet</v>
      </c>
      <c r="AJ14" s="79" t="str">
        <f>AA29</f>
        <v>not yet</v>
      </c>
      <c r="AK14" s="79" t="str">
        <f>AA35</f>
        <v>not yet</v>
      </c>
      <c r="AL14" s="79" t="str">
        <f>AA41</f>
        <v>yes</v>
      </c>
      <c r="AM14" s="79" t="str">
        <f>AA47</f>
        <v>yes</v>
      </c>
      <c r="AN14" s="79" t="str">
        <f>AA53</f>
        <v>yes</v>
      </c>
    </row>
    <row r="15" spans="1:40">
      <c r="A15" s="79"/>
      <c r="B15" s="79"/>
      <c r="C15" s="79" t="s">
        <v>239</v>
      </c>
      <c r="D15" s="79"/>
      <c r="E15" s="92" t="s">
        <v>216</v>
      </c>
      <c r="F15" s="79" t="s">
        <v>240</v>
      </c>
      <c r="G15" s="79"/>
      <c r="H15" s="88">
        <f>HLOOKUP($AF$25,$AF$19:$AN$23,$E$12+1)</f>
        <v>95.555422377231352</v>
      </c>
      <c r="I15" s="79" t="s">
        <v>218</v>
      </c>
      <c r="J15" s="79"/>
      <c r="K15" s="79"/>
      <c r="L15" s="79"/>
      <c r="M15" s="79"/>
      <c r="N15" s="79"/>
      <c r="O15" s="79"/>
      <c r="P15" s="79"/>
      <c r="Q15" s="79"/>
      <c r="R15" s="79"/>
      <c r="S15" s="79"/>
      <c r="T15" s="79"/>
      <c r="U15" s="79"/>
      <c r="V15" s="79"/>
      <c r="W15" s="79"/>
      <c r="X15" s="79"/>
      <c r="Y15" s="79"/>
      <c r="Z15" s="79"/>
      <c r="AA15" s="79"/>
      <c r="AB15" s="79"/>
      <c r="AC15" s="79"/>
      <c r="AD15" s="79"/>
      <c r="AE15" s="79"/>
      <c r="AF15" s="79" t="str">
        <f>AA6</f>
        <v>not yet</v>
      </c>
      <c r="AG15" s="79" t="str">
        <f>AA12</f>
        <v>not yet</v>
      </c>
      <c r="AH15" s="79" t="str">
        <f>AA18</f>
        <v>not yet</v>
      </c>
      <c r="AI15" s="79" t="str">
        <f>AA24</f>
        <v>not yet</v>
      </c>
      <c r="AJ15" s="79" t="str">
        <f>AA30</f>
        <v>not yet</v>
      </c>
      <c r="AK15" s="79" t="str">
        <f>AA36</f>
        <v>not yet</v>
      </c>
      <c r="AL15" s="79" t="str">
        <f>AA42</f>
        <v>yes</v>
      </c>
      <c r="AM15" s="79" t="str">
        <f>AA48</f>
        <v>yes</v>
      </c>
      <c r="AN15" s="79" t="str">
        <f>AA54</f>
        <v>yes</v>
      </c>
    </row>
    <row r="16" spans="1:40">
      <c r="A16" s="79"/>
      <c r="B16" s="79"/>
      <c r="C16" s="96" t="s">
        <v>225</v>
      </c>
      <c r="D16" s="96" t="s">
        <v>225</v>
      </c>
      <c r="E16" s="79"/>
      <c r="F16" s="79"/>
      <c r="G16" s="79"/>
      <c r="H16" s="96" t="s">
        <v>241</v>
      </c>
      <c r="I16" s="79"/>
      <c r="J16" s="79"/>
      <c r="K16" s="79"/>
      <c r="L16" s="79"/>
      <c r="M16" s="79"/>
      <c r="N16" s="79"/>
      <c r="O16" s="79"/>
      <c r="P16" s="79"/>
      <c r="Q16" s="79"/>
      <c r="R16" s="79" t="s">
        <v>242</v>
      </c>
      <c r="S16" s="84" t="s">
        <v>207</v>
      </c>
      <c r="T16" s="84" t="s">
        <v>208</v>
      </c>
      <c r="U16" s="84" t="s">
        <v>209</v>
      </c>
      <c r="V16" s="79"/>
      <c r="W16" s="79"/>
      <c r="X16" s="79"/>
      <c r="Y16" s="79"/>
      <c r="Z16" s="79"/>
      <c r="AA16" s="79"/>
      <c r="AB16" s="79"/>
      <c r="AC16" s="79"/>
      <c r="AD16" s="79"/>
      <c r="AE16" s="79"/>
      <c r="AF16" s="79" t="str">
        <f>AA7</f>
        <v>not yet</v>
      </c>
      <c r="AG16" s="79" t="str">
        <f>AA13</f>
        <v>not yet</v>
      </c>
      <c r="AH16" s="79" t="str">
        <f>AA19</f>
        <v>not yet</v>
      </c>
      <c r="AI16" s="79" t="str">
        <f>AA25</f>
        <v>not yet</v>
      </c>
      <c r="AJ16" s="79" t="str">
        <f>AA31</f>
        <v>not yet</v>
      </c>
      <c r="AK16" s="79" t="str">
        <f>AA37</f>
        <v>not yet</v>
      </c>
      <c r="AL16" s="79" t="str">
        <f>AA43</f>
        <v>yes</v>
      </c>
      <c r="AM16" s="79" t="str">
        <f>AA49</f>
        <v>yes</v>
      </c>
      <c r="AN16" s="79" t="str">
        <f>AA55</f>
        <v>yes</v>
      </c>
    </row>
    <row r="17" spans="1:40">
      <c r="A17" s="79"/>
      <c r="B17" s="92" t="s">
        <v>224</v>
      </c>
      <c r="C17" s="79" t="s">
        <v>243</v>
      </c>
      <c r="D17" s="79"/>
      <c r="E17" s="97">
        <f>'Combined LG'!E17</f>
        <v>0.47034420824062401</v>
      </c>
      <c r="F17" s="79" t="s">
        <v>244</v>
      </c>
      <c r="G17" s="79"/>
      <c r="H17" s="79"/>
      <c r="I17" s="79"/>
      <c r="J17" s="79"/>
      <c r="K17" s="79"/>
      <c r="L17" s="79"/>
      <c r="M17" s="79"/>
      <c r="N17" s="79"/>
      <c r="O17" s="79"/>
      <c r="P17" s="79"/>
      <c r="Q17" s="79"/>
      <c r="R17" s="88">
        <f>100*(+Z11/$E$9)</f>
        <v>732.34103342166395</v>
      </c>
      <c r="S17" s="95">
        <f>EXP(5.7226-(0.68367*LN(+R17)))</f>
        <v>3.3633728448860447</v>
      </c>
      <c r="T17" s="89">
        <f>(+S17*R17)/100</f>
        <v>24.631359450062078</v>
      </c>
      <c r="U17" s="88">
        <f>100*((((T17/100)-((T17/100)-0.03574)*$E$21)-0.03574-0.00619)/0.344)</f>
        <v>40.560153312334194</v>
      </c>
      <c r="V17" s="79">
        <f>+$E$20</f>
        <v>0.25</v>
      </c>
      <c r="W17" s="88">
        <f>U17+V17</f>
        <v>40.810153312334194</v>
      </c>
      <c r="X17" s="88">
        <f>100*($E$17*$E$19+($E$18*(W17/100))/(1-$E$21))</f>
        <v>33.648706468879951</v>
      </c>
      <c r="Y17" s="89">
        <f>X17/R17</f>
        <v>4.5946771972704491E-2</v>
      </c>
      <c r="Z17" s="87">
        <f>$E$8/(1-Y17)</f>
        <v>158997.08954406908</v>
      </c>
      <c r="AA17" s="79" t="str">
        <f>IF(OR(OR(Z17=Z11,Z17=(Z11+1)),Z17=(Z2-1)),"yes","not yet")</f>
        <v>not yet</v>
      </c>
      <c r="AB17" s="88">
        <f>100*(1-Y17)</f>
        <v>95.405322802729557</v>
      </c>
      <c r="AC17" s="79"/>
      <c r="AD17" s="79"/>
      <c r="AE17" s="79"/>
      <c r="AF17" s="79" t="str">
        <f>AA8</f>
        <v>not yet</v>
      </c>
      <c r="AG17" s="79" t="str">
        <f>AA14</f>
        <v>not yet</v>
      </c>
      <c r="AH17" s="79" t="str">
        <f>AA20</f>
        <v>not yet</v>
      </c>
      <c r="AI17" s="79" t="str">
        <f>AA26</f>
        <v>not yet</v>
      </c>
      <c r="AJ17" s="79" t="str">
        <f>AA32</f>
        <v>not yet</v>
      </c>
      <c r="AK17" s="79" t="str">
        <f>AA38</f>
        <v>not yet</v>
      </c>
      <c r="AL17" s="79" t="str">
        <f>AA44</f>
        <v>yes</v>
      </c>
      <c r="AM17" s="79" t="str">
        <f>AA50</f>
        <v>yes</v>
      </c>
      <c r="AN17" s="79" t="str">
        <f>AA56</f>
        <v>yes</v>
      </c>
    </row>
    <row r="18" spans="1:40">
      <c r="A18" s="79"/>
      <c r="B18" s="92" t="s">
        <v>224</v>
      </c>
      <c r="C18" s="79" t="s">
        <v>245</v>
      </c>
      <c r="D18" s="79"/>
      <c r="E18" s="97">
        <f>1-E17</f>
        <v>0.52965579175937605</v>
      </c>
      <c r="F18" s="79" t="s">
        <v>246</v>
      </c>
      <c r="G18" s="79"/>
      <c r="H18" s="99">
        <f>'Combined LG'!H18</f>
        <v>1.4999999999999999E-2</v>
      </c>
      <c r="I18" s="79" t="s">
        <v>224</v>
      </c>
      <c r="J18" s="79"/>
      <c r="K18" s="79"/>
      <c r="L18" s="79"/>
      <c r="M18" s="79"/>
      <c r="N18" s="79"/>
      <c r="O18" s="79"/>
      <c r="P18" s="79"/>
      <c r="Q18" s="79"/>
      <c r="R18" s="88">
        <f>100*(+Z12/$E$9)</f>
        <v>731.78897097542858</v>
      </c>
      <c r="S18" s="95">
        <f>EXP(5.70827-(0.68367*LN(+R18)))</f>
        <v>3.317229213915641</v>
      </c>
      <c r="T18" s="89">
        <f>(+S18*R18)/100</f>
        <v>24.275117529409567</v>
      </c>
      <c r="U18" s="88">
        <f>100*((((T18/100)-((T18/100)-0.03574)*$E$21)-0.03574-0.00619)/0.344)</f>
        <v>39.843527123114598</v>
      </c>
      <c r="V18" s="79">
        <f>+$E$20</f>
        <v>0.25</v>
      </c>
      <c r="W18" s="88">
        <f>U18+V18</f>
        <v>40.093527123114598</v>
      </c>
      <c r="X18" s="88">
        <f>100*($E$17*$E$19+($E$18*(W18/100))/(1-$E$21))</f>
        <v>33.100201827772139</v>
      </c>
      <c r="Y18" s="89">
        <f>X18/R18</f>
        <v>4.5231894904963731E-2</v>
      </c>
      <c r="Z18" s="87">
        <f>$E$8/(1-Y18)</f>
        <v>158878.04139766993</v>
      </c>
      <c r="AA18" s="79" t="str">
        <f>IF(OR(OR(Z18=Z12,Z18=(Z12+1)),Z18=(Z12-1)),"yes","not yet")</f>
        <v>not yet</v>
      </c>
      <c r="AB18" s="88">
        <f>100*(1-Y18)</f>
        <v>95.476810509503622</v>
      </c>
      <c r="AC18" s="79"/>
      <c r="AD18" s="79"/>
      <c r="AE18" s="79"/>
      <c r="AF18" s="79"/>
      <c r="AG18" s="79"/>
      <c r="AH18" s="79"/>
      <c r="AI18" s="79"/>
      <c r="AJ18" s="79"/>
      <c r="AK18" s="79"/>
      <c r="AL18" s="79"/>
      <c r="AM18" s="79"/>
      <c r="AN18" s="79"/>
    </row>
    <row r="19" spans="1:40">
      <c r="A19" s="79"/>
      <c r="B19" s="92" t="s">
        <v>224</v>
      </c>
      <c r="C19" s="79" t="s">
        <v>247</v>
      </c>
      <c r="D19" s="79"/>
      <c r="E19" s="97">
        <f>'Combined LG'!E19</f>
        <v>5.129593479716732E-2</v>
      </c>
      <c r="F19" s="79" t="s">
        <v>248</v>
      </c>
      <c r="G19" s="79"/>
      <c r="H19" s="99">
        <f>'Combined LG'!H19</f>
        <v>4.2750000000000002E-3</v>
      </c>
      <c r="I19" s="79" t="s">
        <v>224</v>
      </c>
      <c r="J19" s="79"/>
      <c r="K19" s="79"/>
      <c r="L19" s="79"/>
      <c r="M19" s="79"/>
      <c r="N19" s="79"/>
      <c r="O19" s="79"/>
      <c r="P19" s="79"/>
      <c r="Q19" s="79"/>
      <c r="R19" s="88">
        <f>100*(+Z13/$E$9)</f>
        <v>731.41726166984779</v>
      </c>
      <c r="S19" s="95">
        <f>EXP(5.6985-(0.68367*LN(R19)))</f>
        <v>3.2861189436289044</v>
      </c>
      <c r="T19" s="89">
        <f>(+S19*R19)/100</f>
        <v>24.03524119270466</v>
      </c>
      <c r="U19" s="88">
        <f>100*((((T19/100)-((T19/100)-0.03574)*$E$21)-0.03574-0.00619)/0.344)</f>
        <v>39.360985189975658</v>
      </c>
      <c r="V19" s="79">
        <f>+$E$20</f>
        <v>0.25</v>
      </c>
      <c r="W19" s="88">
        <f>U19+V19</f>
        <v>39.610985189975658</v>
      </c>
      <c r="X19" s="88">
        <f>100*($E$17*$E$19+($E$18*(W19/100))/(1-$E$21))</f>
        <v>32.730864935208828</v>
      </c>
      <c r="Y19" s="89">
        <f>X19/R19</f>
        <v>4.4749921351983503E-2</v>
      </c>
      <c r="Z19" s="87">
        <f>$E$8/(1-Y19)</f>
        <v>158797.87912831808</v>
      </c>
      <c r="AA19" s="79" t="str">
        <f>IF(OR(OR(Z19=Z13,Z19=(Z13+1)),Z19=(Z13-1)),"yes","not yet")</f>
        <v>not yet</v>
      </c>
      <c r="AB19" s="88">
        <f>100*(1-Y19)</f>
        <v>95.525007864801651</v>
      </c>
      <c r="AC19" s="79"/>
      <c r="AD19" s="79"/>
      <c r="AE19" s="79"/>
      <c r="AF19" s="79" t="str">
        <f>HLOOKUP(1,$AF$13:$AN$17,$E$12+1)</f>
        <v>not yet</v>
      </c>
      <c r="AG19" s="79" t="str">
        <f>HLOOKUP(2,$AF$13:$AN$17,$E$12+1)</f>
        <v>not yet</v>
      </c>
      <c r="AH19" s="79" t="str">
        <f>HLOOKUP(3,$AF$13:$AN$17,$E$12+1)</f>
        <v>not yet</v>
      </c>
      <c r="AI19" s="79" t="str">
        <f>HLOOKUP(4,$AF$13:$AN$17,$E$12+1)</f>
        <v>not yet</v>
      </c>
      <c r="AJ19" s="79" t="str">
        <f>HLOOKUP(5,$AF$13:$AN$17,$E$12+1)</f>
        <v>not yet</v>
      </c>
      <c r="AK19" s="79" t="str">
        <f>HLOOKUP(6,$AF$13:$AN$17,$E$12+1)</f>
        <v>not yet</v>
      </c>
      <c r="AL19" s="79" t="str">
        <f>HLOOKUP(7,$AF$13:$AN$17,$E$12+1)</f>
        <v>yes</v>
      </c>
      <c r="AM19" s="79" t="str">
        <f>HLOOKUP(8,$AF$13:$AN$17,$E$12+1)</f>
        <v>yes</v>
      </c>
      <c r="AN19" s="79" t="str">
        <f>HLOOKUP(9,$AF$13:$AN$17,$E$12+1)</f>
        <v>yes</v>
      </c>
    </row>
    <row r="20" spans="1:40">
      <c r="A20" s="79"/>
      <c r="B20" s="79"/>
      <c r="C20" s="79"/>
      <c r="D20" s="79"/>
      <c r="E20" s="79">
        <v>0.25</v>
      </c>
      <c r="F20" s="79" t="s">
        <v>249</v>
      </c>
      <c r="G20" s="79"/>
      <c r="H20" s="99">
        <f>'Combined LG'!H20</f>
        <v>0</v>
      </c>
      <c r="I20" s="79" t="s">
        <v>224</v>
      </c>
      <c r="J20" s="79"/>
      <c r="K20" s="79"/>
      <c r="L20" s="79"/>
      <c r="M20" s="79"/>
      <c r="N20" s="79"/>
      <c r="O20" s="79"/>
      <c r="P20" s="79"/>
      <c r="Q20" s="79"/>
      <c r="R20" s="88">
        <f>100*(+Z14/$E$9)</f>
        <v>731.1795623263738</v>
      </c>
      <c r="S20" s="95">
        <f>EXP(5.6922-(0.68367*LN(R20)))</f>
        <v>3.266207201052719</v>
      </c>
      <c r="T20" s="89">
        <f>(+S20*R20)/100</f>
        <v>23.881839517329777</v>
      </c>
      <c r="U20" s="88">
        <f>100*((((T20/100)-((T20/100)-0.03574)*$E$21)-0.03574-0.00619)/0.344)</f>
        <v>39.05239809881455</v>
      </c>
      <c r="V20" s="79">
        <f>+$E$20</f>
        <v>0.25</v>
      </c>
      <c r="W20" s="88">
        <f>U20+V20</f>
        <v>39.30239809881455</v>
      </c>
      <c r="X20" s="88">
        <f>100*($E$17*$E$19+($E$18*(W20/100))/(1-$E$21))</f>
        <v>32.49467282524401</v>
      </c>
      <c r="Y20" s="89">
        <f>X20/R20</f>
        <v>4.4441440241924444E-2</v>
      </c>
      <c r="Z20" s="87">
        <f>$E$8/(1-Y20)</f>
        <v>158746.61471806475</v>
      </c>
      <c r="AA20" s="79" t="str">
        <f>IF(OR(OR(Z20=Z14,Z20=(Z14+1)),Z20=(Z14-1)),"yes","not yet")</f>
        <v>not yet</v>
      </c>
      <c r="AB20" s="88">
        <f>100*(1-Y20)</f>
        <v>95.55585597580756</v>
      </c>
      <c r="AC20" s="79"/>
      <c r="AD20" s="79"/>
      <c r="AE20" s="79">
        <v>1</v>
      </c>
      <c r="AF20" s="88">
        <f>AB5</f>
        <v>95.898028096515802</v>
      </c>
      <c r="AG20" s="88">
        <f>AB11</f>
        <v>95.389579643518545</v>
      </c>
      <c r="AH20" s="88">
        <f>AB17</f>
        <v>95.405322802729557</v>
      </c>
      <c r="AI20" s="88">
        <f>AB23</f>
        <v>95.404834868920076</v>
      </c>
      <c r="AJ20" s="88">
        <f>AB29</f>
        <v>95.404849991182928</v>
      </c>
      <c r="AK20" s="88">
        <f>AB35</f>
        <v>95.404849522506566</v>
      </c>
      <c r="AL20" s="88">
        <f>AB41</f>
        <v>95.404851800434088</v>
      </c>
      <c r="AM20" s="88">
        <f>AB47</f>
        <v>95.404851800434088</v>
      </c>
      <c r="AN20" s="88">
        <f>AB53</f>
        <v>95.404851800434088</v>
      </c>
    </row>
    <row r="21" spans="1:40">
      <c r="A21" s="79"/>
      <c r="B21" s="92" t="s">
        <v>224</v>
      </c>
      <c r="C21" s="79" t="s">
        <v>250</v>
      </c>
      <c r="D21" s="79"/>
      <c r="E21" s="545">
        <f>'Combined LG'!E21</f>
        <v>0.308</v>
      </c>
      <c r="F21" s="79" t="s">
        <v>251</v>
      </c>
      <c r="G21" s="79"/>
      <c r="H21" s="99">
        <f>'Combined LG'!H21</f>
        <v>1.5137446158343015E-3</v>
      </c>
      <c r="I21" s="79" t="s">
        <v>224</v>
      </c>
      <c r="J21" s="79"/>
      <c r="K21" s="79"/>
      <c r="L21" s="79"/>
      <c r="M21" s="79"/>
      <c r="N21" s="79"/>
      <c r="O21" s="79"/>
      <c r="P21" s="79"/>
      <c r="Q21" s="79"/>
      <c r="R21" s="79"/>
      <c r="S21" s="79"/>
      <c r="T21" s="79"/>
      <c r="U21" s="79"/>
      <c r="V21" s="79"/>
      <c r="W21" s="79"/>
      <c r="X21" s="79"/>
      <c r="Y21" s="79"/>
      <c r="Z21" s="79"/>
      <c r="AA21" s="79"/>
      <c r="AB21" s="79"/>
      <c r="AC21" s="79"/>
      <c r="AD21" s="79"/>
      <c r="AE21" s="79">
        <v>2</v>
      </c>
      <c r="AF21" s="88">
        <f>AB6</f>
        <v>95.963357487567194</v>
      </c>
      <c r="AG21" s="88">
        <f>AB12</f>
        <v>95.461541652748039</v>
      </c>
      <c r="AH21" s="88">
        <f>AB18</f>
        <v>95.476810509503622</v>
      </c>
      <c r="AI21" s="88">
        <f>AB24</f>
        <v>95.476345471592111</v>
      </c>
      <c r="AJ21" s="88">
        <f>AB30</f>
        <v>95.476359634662259</v>
      </c>
      <c r="AK21" s="88">
        <f>AB36</f>
        <v>95.476359203315198</v>
      </c>
      <c r="AL21" s="88">
        <f>AB42</f>
        <v>95.476363016012613</v>
      </c>
      <c r="AM21" s="88">
        <f>AB48</f>
        <v>95.476363016012613</v>
      </c>
      <c r="AN21" s="88">
        <f>AB54</f>
        <v>95.476363016012613</v>
      </c>
    </row>
    <row r="22" spans="1:40">
      <c r="A22" s="79"/>
      <c r="B22" s="79"/>
      <c r="C22" s="79"/>
      <c r="D22" s="79"/>
      <c r="E22" s="79"/>
      <c r="F22" s="79"/>
      <c r="G22" s="79"/>
      <c r="H22" s="96" t="s">
        <v>225</v>
      </c>
      <c r="I22" s="79"/>
      <c r="J22" s="79"/>
      <c r="K22" s="79"/>
      <c r="L22" s="79"/>
      <c r="M22" s="79"/>
      <c r="N22" s="79"/>
      <c r="O22" s="79"/>
      <c r="P22" s="79"/>
      <c r="Q22" s="79"/>
      <c r="R22" s="79" t="s">
        <v>252</v>
      </c>
      <c r="S22" s="84" t="s">
        <v>207</v>
      </c>
      <c r="T22" s="84" t="s">
        <v>208</v>
      </c>
      <c r="U22" s="84" t="s">
        <v>209</v>
      </c>
      <c r="V22" s="79"/>
      <c r="W22" s="79"/>
      <c r="X22" s="79"/>
      <c r="Y22" s="79"/>
      <c r="Z22" s="79"/>
      <c r="AA22" s="79"/>
      <c r="AB22" s="79"/>
      <c r="AC22" s="79"/>
      <c r="AD22" s="79"/>
      <c r="AE22" s="79">
        <v>3</v>
      </c>
      <c r="AF22" s="88">
        <f>AB7</f>
        <v>96.007364485839659</v>
      </c>
      <c r="AG22" s="88">
        <f>AB13</f>
        <v>95.510055606706942</v>
      </c>
      <c r="AH22" s="88">
        <f>AB19</f>
        <v>95.525007864801651</v>
      </c>
      <c r="AI22" s="88">
        <f>AB25</f>
        <v>95.524557873567488</v>
      </c>
      <c r="AJ22" s="88">
        <f>AB31</f>
        <v>95.524571415753428</v>
      </c>
      <c r="AK22" s="88">
        <f>AB37</f>
        <v>95.524571008210017</v>
      </c>
      <c r="AL22" s="88">
        <f>AB43</f>
        <v>95.5245781648795</v>
      </c>
      <c r="AM22" s="88">
        <f>AB49</f>
        <v>95.5245781648795</v>
      </c>
      <c r="AN22" s="88">
        <f>AB55</f>
        <v>95.5245781648795</v>
      </c>
    </row>
    <row r="23" spans="1:40">
      <c r="A23" s="79"/>
      <c r="B23" s="79"/>
      <c r="C23" s="79"/>
      <c r="D23" s="79"/>
      <c r="E23" s="79"/>
      <c r="F23" s="79" t="s">
        <v>253</v>
      </c>
      <c r="G23" s="79"/>
      <c r="H23" s="100">
        <f>SUM(H18:H21)</f>
        <v>2.0788744615834302E-2</v>
      </c>
      <c r="I23" s="79"/>
      <c r="J23" s="79"/>
      <c r="K23" s="79"/>
      <c r="L23" s="79"/>
      <c r="M23" s="79"/>
      <c r="N23" s="79"/>
      <c r="O23" s="79"/>
      <c r="P23" s="79"/>
      <c r="Q23" s="79"/>
      <c r="R23" s="88">
        <f>100*(+Z17/$E$9)</f>
        <v>732.22018731845708</v>
      </c>
      <c r="S23" s="95">
        <f>EXP(5.7226-(0.68367*LN(+R23)))</f>
        <v>3.3637523355998566</v>
      </c>
      <c r="T23" s="89">
        <f>(+S23*R23)/100</f>
        <v>24.630073652658243</v>
      </c>
      <c r="U23" s="88">
        <f>100*((((T23/100)-((T23/100)-0.03574)*$E$21)-0.03574-0.00619)/0.344)</f>
        <v>40.557566766393919</v>
      </c>
      <c r="V23" s="79">
        <f>+$E$20</f>
        <v>0.25</v>
      </c>
      <c r="W23" s="88">
        <f>U23+V23</f>
        <v>40.807566766393919</v>
      </c>
      <c r="X23" s="88">
        <f>100*($E$17*$E$19+($E$18*(W23/100))/(1-$E$21))</f>
        <v>33.646726730385851</v>
      </c>
      <c r="Y23" s="89">
        <f>X23/R23</f>
        <v>4.5951651310799251E-2</v>
      </c>
      <c r="Z23" s="87">
        <f>$E$8/(1-Y23)</f>
        <v>158997.90271098775</v>
      </c>
      <c r="AA23" s="79" t="str">
        <f>IF(OR(OR(Z23=Z17,Z23=(Z17+1)),Z23=(Z9-1)),"yes","not yet")</f>
        <v>not yet</v>
      </c>
      <c r="AB23" s="88">
        <f>100*(1-Y23)</f>
        <v>95.404834868920076</v>
      </c>
      <c r="AC23" s="79"/>
      <c r="AD23" s="79"/>
      <c r="AE23" s="79">
        <v>4</v>
      </c>
      <c r="AF23" s="88">
        <f>AB8</f>
        <v>96.035514405956363</v>
      </c>
      <c r="AG23" s="88">
        <f>AB14</f>
        <v>95.541104994138763</v>
      </c>
      <c r="AH23" s="88">
        <f>AB20</f>
        <v>95.55585597580756</v>
      </c>
      <c r="AI23" s="88">
        <f>AB26</f>
        <v>95.555415451481153</v>
      </c>
      <c r="AJ23" s="88">
        <f>AB32</f>
        <v>95.55542860695428</v>
      </c>
      <c r="AK23" s="88">
        <f>AB38</f>
        <v>95.555428214089204</v>
      </c>
      <c r="AL23" s="88">
        <f>AB44</f>
        <v>95.555422377231352</v>
      </c>
      <c r="AM23" s="88">
        <f>AB50</f>
        <v>95.555422377231352</v>
      </c>
      <c r="AN23" s="88">
        <f>AB56</f>
        <v>95.555422377231352</v>
      </c>
    </row>
    <row r="24" spans="1:40">
      <c r="A24" s="79"/>
      <c r="B24" s="79"/>
      <c r="C24" s="79"/>
      <c r="D24" s="79"/>
      <c r="E24" s="79"/>
      <c r="F24" s="79"/>
      <c r="G24" s="79"/>
      <c r="H24" s="79"/>
      <c r="I24" s="79"/>
      <c r="J24" s="79"/>
      <c r="K24" s="79"/>
      <c r="L24" s="79"/>
      <c r="M24" s="79"/>
      <c r="N24" s="79"/>
      <c r="O24" s="79"/>
      <c r="P24" s="79"/>
      <c r="Q24" s="79"/>
      <c r="R24" s="88">
        <f>100*(+Z18/$E$9)</f>
        <v>731.67194171027484</v>
      </c>
      <c r="S24" s="95">
        <f>EXP(5.70827-(0.68367*LN(+R24)))</f>
        <v>3.3175919486092109</v>
      </c>
      <c r="T24" s="89">
        <f>(+S24*R24)/100</f>
        <v>24.273889428412758</v>
      </c>
      <c r="U24" s="88">
        <f>100*((((T24/100)-((T24/100)-0.03574)*$E$21)-0.03574-0.00619)/0.344)</f>
        <v>39.841056640876836</v>
      </c>
      <c r="V24" s="79">
        <f>+$E$20</f>
        <v>0.25</v>
      </c>
      <c r="W24" s="88">
        <f>U24+V24</f>
        <v>40.091056640876836</v>
      </c>
      <c r="X24" s="88">
        <f>100*($E$17*$E$19+($E$18*(W24/100))/(1-$E$21))</f>
        <v>33.098310924266833</v>
      </c>
      <c r="Y24" s="89">
        <f>X24/R24</f>
        <v>4.5236545284078965E-2</v>
      </c>
      <c r="Z24" s="87">
        <f>$E$8/(1-Y24)</f>
        <v>158878.81524706891</v>
      </c>
      <c r="AA24" s="79" t="str">
        <f>IF(OR(OR(Z24=Z18,Z24=(Z18+1)),Z24=(Z18-1)),"yes","not yet")</f>
        <v>not yet</v>
      </c>
      <c r="AB24" s="88">
        <f>100*(1-Y24)</f>
        <v>95.476345471592111</v>
      </c>
      <c r="AC24" s="79"/>
      <c r="AD24" s="79"/>
      <c r="AE24" s="79"/>
      <c r="AF24" s="79"/>
      <c r="AG24" s="79"/>
      <c r="AH24" s="79"/>
      <c r="AI24" s="79"/>
      <c r="AJ24" s="79"/>
      <c r="AK24" s="79"/>
      <c r="AL24" s="79"/>
      <c r="AM24" s="79"/>
      <c r="AN24" s="79"/>
    </row>
    <row r="25" spans="1:40">
      <c r="A25" s="79"/>
      <c r="B25" s="79"/>
      <c r="C25" s="79"/>
      <c r="D25" s="79"/>
      <c r="E25" s="79"/>
      <c r="F25" s="79" t="s">
        <v>254</v>
      </c>
      <c r="G25" s="79"/>
      <c r="H25" s="89">
        <f>((+H15/100)-H23)</f>
        <v>0.93476547915647912</v>
      </c>
      <c r="I25" s="79"/>
      <c r="J25" s="79"/>
      <c r="K25" s="79"/>
      <c r="L25" s="79"/>
      <c r="M25" s="79"/>
      <c r="N25" s="79"/>
      <c r="O25" s="79"/>
      <c r="P25" s="79"/>
      <c r="Q25" s="79"/>
      <c r="R25" s="88">
        <f>100*(+Z19/$E$9)</f>
        <v>731.30277500383386</v>
      </c>
      <c r="S25" s="95">
        <f>EXP(5.6985-(0.68367*LN(R25)))</f>
        <v>3.2864706471660834</v>
      </c>
      <c r="T25" s="89">
        <f>(+S25*R25)/100</f>
        <v>24.034051042412024</v>
      </c>
      <c r="U25" s="88">
        <f>100*((((T25/100)-((T25/100)-0.03574)*$E$21)-0.03574-0.00619)/0.344)</f>
        <v>39.358591050433489</v>
      </c>
      <c r="V25" s="79">
        <f>+$E$20</f>
        <v>0.25</v>
      </c>
      <c r="W25" s="88">
        <f>U25+V25</f>
        <v>39.608591050433489</v>
      </c>
      <c r="X25" s="88">
        <f>100*($E$17*$E$19+($E$18*(W25/100))/(1-$E$21))</f>
        <v>32.729032464291507</v>
      </c>
      <c r="Y25" s="89">
        <f>X25/R25</f>
        <v>4.4754421264325057E-2</v>
      </c>
      <c r="Z25" s="87">
        <f>$E$8/(1-Y25)</f>
        <v>158798.62718363706</v>
      </c>
      <c r="AA25" s="79" t="str">
        <f>IF(OR(OR(Z25=Z19,Z25=(Z19+1)),Z25=(Z19-1)),"yes","not yet")</f>
        <v>not yet</v>
      </c>
      <c r="AB25" s="88">
        <f>100*(1-Y25)</f>
        <v>95.524557873567488</v>
      </c>
      <c r="AC25" s="79"/>
      <c r="AD25" s="79"/>
      <c r="AE25" s="79"/>
      <c r="AF25" s="79" t="s">
        <v>255</v>
      </c>
      <c r="AG25" s="79"/>
      <c r="AH25" s="79"/>
      <c r="AI25" s="79"/>
      <c r="AJ25" s="79"/>
      <c r="AK25" s="79"/>
      <c r="AL25" s="79"/>
      <c r="AM25" s="79"/>
      <c r="AN25" s="79"/>
    </row>
    <row r="26" spans="1:40">
      <c r="A26" s="79"/>
      <c r="B26" s="79"/>
      <c r="C26" s="79"/>
      <c r="D26" s="79"/>
      <c r="E26" s="79"/>
      <c r="F26" s="79"/>
      <c r="G26" s="79"/>
      <c r="H26" s="79"/>
      <c r="I26" s="79"/>
      <c r="J26" s="79"/>
      <c r="K26" s="79"/>
      <c r="L26" s="79"/>
      <c r="M26" s="79"/>
      <c r="N26" s="79"/>
      <c r="O26" s="79"/>
      <c r="P26" s="79"/>
      <c r="Q26" s="79"/>
      <c r="R26" s="88">
        <f>100*(+Z20/$E$9)</f>
        <v>731.06668995230177</v>
      </c>
      <c r="S26" s="95">
        <f>EXP(5.6922-(0.68367*LN(R26)))</f>
        <v>3.2665519558465386</v>
      </c>
      <c r="T26" s="89">
        <f>(+S26*R26)/100</f>
        <v>23.88067325917946</v>
      </c>
      <c r="U26" s="88">
        <f>100*((((T26/100)-((T26/100)-0.03574)*$E$21)-0.03574-0.00619)/0.344)</f>
        <v>39.050052021372636</v>
      </c>
      <c r="V26" s="79">
        <f>+$E$20</f>
        <v>0.25</v>
      </c>
      <c r="W26" s="88">
        <f>U26+V26</f>
        <v>39.300052021372636</v>
      </c>
      <c r="X26" s="88">
        <f>100*($E$17*$E$19+($E$18*(W26/100))/(1-$E$21))</f>
        <v>32.492877140988192</v>
      </c>
      <c r="Y26" s="89">
        <f>X26/R26</f>
        <v>4.444584548518847E-2</v>
      </c>
      <c r="Z26" s="87">
        <f>$E$8/(1-Y26)</f>
        <v>158747.3465629862</v>
      </c>
      <c r="AA26" s="79" t="str">
        <f>IF(OR(OR(Z26=Z20,Z26=(Z20+1)),Z26=(Z20-1)),"yes","not yet")</f>
        <v>not yet</v>
      </c>
      <c r="AB26" s="88">
        <f>100*(1-Y26)</f>
        <v>95.555415451481153</v>
      </c>
      <c r="AC26" s="79"/>
      <c r="AD26" s="79"/>
      <c r="AE26" s="79"/>
      <c r="AF26" s="88">
        <f>HLOOKUP($AF$25,$AF$19:$AN$23,$E$12+1)</f>
        <v>95.555422377231352</v>
      </c>
      <c r="AG26" s="79"/>
      <c r="AH26" s="79"/>
      <c r="AI26" s="79"/>
      <c r="AJ26" s="79"/>
      <c r="AK26" s="79"/>
      <c r="AL26" s="79"/>
      <c r="AM26" s="79"/>
      <c r="AN26" s="79"/>
    </row>
    <row r="27" spans="1:40">
      <c r="A27" s="84" t="s">
        <v>256</v>
      </c>
      <c r="B27" s="84"/>
      <c r="C27" s="84" t="s">
        <v>55</v>
      </c>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row>
    <row r="28" spans="1:40">
      <c r="A28" s="84" t="s">
        <v>257</v>
      </c>
      <c r="B28" s="84"/>
      <c r="C28" s="79" t="s">
        <v>258</v>
      </c>
      <c r="D28" s="79"/>
      <c r="E28" s="86"/>
      <c r="F28" s="79"/>
      <c r="G28" s="79"/>
      <c r="H28" s="79"/>
      <c r="I28" s="79"/>
      <c r="J28" s="79"/>
      <c r="K28" s="79"/>
      <c r="L28" s="79"/>
      <c r="M28" s="79"/>
      <c r="N28" s="79"/>
      <c r="O28" s="79"/>
      <c r="P28" s="79"/>
      <c r="Q28" s="79"/>
      <c r="R28" s="79" t="s">
        <v>259</v>
      </c>
      <c r="S28" s="84" t="s">
        <v>207</v>
      </c>
      <c r="T28" s="84" t="s">
        <v>208</v>
      </c>
      <c r="U28" s="84" t="s">
        <v>209</v>
      </c>
      <c r="V28" s="79"/>
      <c r="W28" s="79"/>
      <c r="X28" s="79"/>
      <c r="Y28" s="79"/>
      <c r="Z28" s="79"/>
      <c r="AA28" s="79"/>
      <c r="AB28" s="79"/>
      <c r="AC28" s="79"/>
      <c r="AD28" s="79"/>
      <c r="AE28" s="79"/>
      <c r="AF28" s="79" t="str">
        <f>HLOOKUP(1,$AF$13:$AN$17,$E$12+1)</f>
        <v>not yet</v>
      </c>
      <c r="AG28" s="79" t="str">
        <f>HLOOKUP(2,$AF$13:$AN$17,$E$12+1)</f>
        <v>not yet</v>
      </c>
      <c r="AH28" s="79" t="str">
        <f>HLOOKUP(3,$AF$13:$AN$17,$E$12+1)</f>
        <v>not yet</v>
      </c>
      <c r="AI28" s="79" t="str">
        <f>HLOOKUP(4,$AF$13:$AN$17,$E$12+1)</f>
        <v>not yet</v>
      </c>
      <c r="AJ28" s="79" t="str">
        <f>HLOOKUP(5,$AF$13:$AN$17,$E$12+1)</f>
        <v>not yet</v>
      </c>
      <c r="AK28" s="79" t="str">
        <f>HLOOKUP(6,$AF$13:$AN$17,$E$12+1)</f>
        <v>not yet</v>
      </c>
      <c r="AL28" s="79" t="str">
        <f>HLOOKUP(7,$AF$13:$AN$17,$E$12+1)</f>
        <v>yes</v>
      </c>
      <c r="AM28" s="79" t="str">
        <f>HLOOKUP(8,$AF$13:$AN$17,$E$12+1)</f>
        <v>yes</v>
      </c>
      <c r="AN28" s="79" t="str">
        <f>HLOOKUP(9,$AF$13:$AN$17,$E$12+1)</f>
        <v>yes</v>
      </c>
    </row>
    <row r="29" spans="1:40">
      <c r="A29" s="101">
        <f>'MF Recy Price Out'!E65+'Drop Box Price Out'!I94/12</f>
        <v>3652.7570684000002</v>
      </c>
      <c r="B29" s="79"/>
      <c r="C29" s="102">
        <f>+E5/A29/12</f>
        <v>3.6426517602269031</v>
      </c>
      <c r="D29" s="103">
        <f>+A29*C29*12</f>
        <v>159668.66357866226</v>
      </c>
      <c r="E29" s="86"/>
      <c r="F29" s="79"/>
      <c r="G29" s="1075"/>
      <c r="H29" s="79"/>
      <c r="I29" s="79"/>
      <c r="J29" s="79"/>
      <c r="K29" s="79"/>
      <c r="L29" s="79"/>
      <c r="M29" s="79"/>
      <c r="N29" s="79"/>
      <c r="O29" s="79"/>
      <c r="P29" s="79"/>
      <c r="Q29" s="79"/>
      <c r="R29" s="88">
        <f>100*(+Z23/$E$9)</f>
        <v>732.22393214948022</v>
      </c>
      <c r="S29" s="95">
        <f>EXP(5.7226-(0.68367*LN(+R29)))</f>
        <v>3.3637405741951736</v>
      </c>
      <c r="T29" s="89">
        <f>(+S29*R29)/100</f>
        <v>24.630113499679407</v>
      </c>
      <c r="U29" s="88">
        <f>100*((((T29/100)-((T29/100)-0.03574)*$E$21)-0.03574-0.00619)/0.344)</f>
        <v>40.557646923773696</v>
      </c>
      <c r="V29" s="79">
        <f>+$E$20</f>
        <v>0.25</v>
      </c>
      <c r="W29" s="88">
        <f>U29+V29</f>
        <v>40.807646923773696</v>
      </c>
      <c r="X29" s="88">
        <f>100*($E$17*$E$19+($E$18*(W29/100))/(1-$E$21))</f>
        <v>33.646788082727539</v>
      </c>
      <c r="Y29" s="89">
        <f>X29/R29</f>
        <v>4.5951500088170706E-2</v>
      </c>
      <c r="Z29" s="87">
        <f>$E$8/(1-Y29)</f>
        <v>158997.87750883002</v>
      </c>
      <c r="AA29" s="79" t="str">
        <f>IF(OR(OR(Z29=Z23,Z29=(Z23+1)),Z29=(Z15-1)),"yes","not yet")</f>
        <v>not yet</v>
      </c>
      <c r="AB29" s="88">
        <f>100*(1-Y29)</f>
        <v>95.404849991182928</v>
      </c>
      <c r="AC29" s="79"/>
      <c r="AD29" s="79"/>
      <c r="AE29" s="79">
        <v>1</v>
      </c>
      <c r="AF29" s="88">
        <f>R5</f>
        <v>873.22129167240621</v>
      </c>
      <c r="AG29" s="88">
        <f>R11</f>
        <v>728.45818334746957</v>
      </c>
      <c r="AH29" s="88">
        <f>R17</f>
        <v>732.34103342166395</v>
      </c>
      <c r="AI29" s="88">
        <f>R23</f>
        <v>732.22018731845708</v>
      </c>
      <c r="AJ29" s="88">
        <f>R29</f>
        <v>732.22393214948022</v>
      </c>
      <c r="AK29" s="88">
        <f>R35</f>
        <v>732.22381608742705</v>
      </c>
      <c r="AL29" s="88">
        <f>R41</f>
        <v>732.22438018899447</v>
      </c>
      <c r="AM29" s="88">
        <f>R47</f>
        <v>732.22438018899447</v>
      </c>
      <c r="AN29" s="88">
        <f>R53</f>
        <v>732.22438018899447</v>
      </c>
    </row>
    <row r="30" spans="1:40">
      <c r="A30" s="79"/>
      <c r="B30" s="79"/>
      <c r="C30" s="79"/>
      <c r="D30" s="79"/>
      <c r="E30" s="86"/>
      <c r="F30" s="91"/>
      <c r="G30" s="1075"/>
      <c r="H30" s="79"/>
      <c r="I30" s="79"/>
      <c r="J30" s="79"/>
      <c r="K30" s="79"/>
      <c r="L30" s="79"/>
      <c r="M30" s="79"/>
      <c r="N30" s="79"/>
      <c r="O30" s="79"/>
      <c r="P30" s="79"/>
      <c r="Q30" s="79"/>
      <c r="R30" s="88">
        <f>100*(+Z24/$E$9)</f>
        <v>731.67550547457699</v>
      </c>
      <c r="S30" s="95">
        <f>EXP(5.70827-(0.68367*LN(+R30)))</f>
        <v>3.3175809012040238</v>
      </c>
      <c r="T30" s="89">
        <f>(+S30*R30)/100</f>
        <v>24.27392682841257</v>
      </c>
      <c r="U30" s="88">
        <f>100*((((T30/100)-((T30/100)-0.03574)*$E$21)-0.03574-0.00619)/0.344)</f>
        <v>39.841131875760169</v>
      </c>
      <c r="V30" s="79">
        <f>+$E$20</f>
        <v>0.25</v>
      </c>
      <c r="W30" s="88">
        <f>U30+V30</f>
        <v>40.091131875760169</v>
      </c>
      <c r="X30" s="88">
        <f>100*($E$17*$E$19+($E$18*(W30/100))/(1-$E$21))</f>
        <v>33.098368508936915</v>
      </c>
      <c r="Y30" s="89">
        <f>X30/R30</f>
        <v>4.5236403653377402E-2</v>
      </c>
      <c r="Z30" s="87">
        <f>$E$8/(1-Y30)</f>
        <v>158878.79167880747</v>
      </c>
      <c r="AA30" s="79" t="str">
        <f>IF(OR(OR(Z30=Z24,Z30=(Z24+1)),Z30=(Z24-1)),"yes","not yet")</f>
        <v>not yet</v>
      </c>
      <c r="AB30" s="88">
        <f>100*(1-Y30)</f>
        <v>95.476359634662259</v>
      </c>
      <c r="AC30" s="79"/>
      <c r="AD30" s="79"/>
      <c r="AE30" s="79">
        <v>2</v>
      </c>
      <c r="AF30" s="88">
        <f>R6</f>
        <v>873.22129167240621</v>
      </c>
      <c r="AG30" s="88">
        <f>R12</f>
        <v>727.96226771080944</v>
      </c>
      <c r="AH30" s="88">
        <f>R18</f>
        <v>731.78897097542858</v>
      </c>
      <c r="AI30" s="88">
        <f>R24</f>
        <v>731.67194171027484</v>
      </c>
      <c r="AJ30" s="88">
        <f>R30</f>
        <v>731.67550547457699</v>
      </c>
      <c r="AK30" s="88">
        <f>R36</f>
        <v>731.67539693701281</v>
      </c>
      <c r="AL30" s="88">
        <f>R42</f>
        <v>731.67635630666587</v>
      </c>
      <c r="AM30" s="88">
        <f>R48</f>
        <v>731.67635630666587</v>
      </c>
      <c r="AN30" s="88">
        <f>R54</f>
        <v>731.67635630666587</v>
      </c>
    </row>
    <row r="31" spans="1:40">
      <c r="A31" s="79"/>
      <c r="B31" s="79"/>
      <c r="C31" s="79"/>
      <c r="D31" s="84" t="s">
        <v>41</v>
      </c>
      <c r="E31" s="84" t="s">
        <v>39</v>
      </c>
      <c r="F31" s="79"/>
      <c r="G31" s="1075"/>
      <c r="H31" s="79"/>
      <c r="I31" s="79"/>
      <c r="J31" s="79"/>
      <c r="K31" s="79"/>
      <c r="L31" s="79"/>
      <c r="M31" s="79"/>
      <c r="N31" s="79"/>
      <c r="O31" s="79"/>
      <c r="P31" s="79"/>
      <c r="Q31" s="79"/>
      <c r="R31" s="88">
        <f>100*(+Z25/$E$9)</f>
        <v>731.30621998013726</v>
      </c>
      <c r="S31" s="95">
        <f>EXP(5.6985-(0.68367*LN(R31)))</f>
        <v>3.2864600628311047</v>
      </c>
      <c r="T31" s="89">
        <f>(+S31*R31)/100</f>
        <v>24.034086856646994</v>
      </c>
      <c r="U31" s="88">
        <f>100*((((T31/100)-((T31/100)-0.03574)*$E$21)-0.03574-0.00619)/0.344)</f>
        <v>39.358663095348021</v>
      </c>
      <c r="V31" s="79">
        <f>+$E$20</f>
        <v>0.25</v>
      </c>
      <c r="W31" s="88">
        <f>U31+V31</f>
        <v>39.608663095348021</v>
      </c>
      <c r="X31" s="88">
        <f>100*($E$17*$E$19+($E$18*(W31/100))/(1-$E$21))</f>
        <v>32.729087607364121</v>
      </c>
      <c r="Y31" s="89">
        <f>X31/R31</f>
        <v>4.4754285842465644E-2</v>
      </c>
      <c r="Z31" s="87">
        <f>$E$8/(1-Y31)</f>
        <v>158798.60467130851</v>
      </c>
      <c r="AA31" s="79" t="str">
        <f>IF(OR(OR(Z31=Z25,Z31=(Z25+1)),Z31=(Z25-1)),"yes","not yet")</f>
        <v>not yet</v>
      </c>
      <c r="AB31" s="88">
        <f>100*(1-Y31)</f>
        <v>95.524571415753428</v>
      </c>
      <c r="AC31" s="79"/>
      <c r="AD31" s="79"/>
      <c r="AE31" s="79">
        <v>3</v>
      </c>
      <c r="AF31" s="88">
        <f>R7</f>
        <v>873.22129167240621</v>
      </c>
      <c r="AG31" s="88">
        <f>R13</f>
        <v>727.62859086810965</v>
      </c>
      <c r="AH31" s="88">
        <f>R19</f>
        <v>731.41726166984779</v>
      </c>
      <c r="AI31" s="88">
        <f>R25</f>
        <v>731.30277500383386</v>
      </c>
      <c r="AJ31" s="88">
        <f>R31</f>
        <v>731.30621998013726</v>
      </c>
      <c r="AK31" s="88">
        <f>R37</f>
        <v>731.30611630540022</v>
      </c>
      <c r="AL31" s="88">
        <f>R43</f>
        <v>731.30793688997426</v>
      </c>
      <c r="AM31" s="88">
        <f>R49</f>
        <v>731.30793688997426</v>
      </c>
      <c r="AN31" s="88">
        <f>R55</f>
        <v>731.30793688997426</v>
      </c>
    </row>
    <row r="32" spans="1:40">
      <c r="A32" s="79"/>
      <c r="B32" s="79"/>
      <c r="C32" s="86" t="s">
        <v>282</v>
      </c>
      <c r="D32" s="84" t="s">
        <v>13</v>
      </c>
      <c r="E32" s="84" t="s">
        <v>13</v>
      </c>
      <c r="F32" s="79"/>
      <c r="G32" s="1075"/>
      <c r="H32" s="79"/>
      <c r="I32" s="79"/>
      <c r="J32" s="79"/>
      <c r="K32" s="79"/>
      <c r="L32" s="79"/>
      <c r="M32" s="79"/>
      <c r="N32" s="79"/>
      <c r="O32" s="79"/>
      <c r="P32" s="79"/>
      <c r="Q32" s="79"/>
      <c r="R32" s="88">
        <f>100*(+Z26/$E$9)</f>
        <v>731.07006027579007</v>
      </c>
      <c r="S32" s="95">
        <f>EXP(5.6922-(0.68367*LN(R32)))</f>
        <v>3.2665416603096573</v>
      </c>
      <c r="T32" s="89">
        <f>(+S32*R32)/100</f>
        <v>23.880708084959608</v>
      </c>
      <c r="U32" s="88">
        <f>100*((((T32/100)-((T32/100)-0.03574)*$E$21)-0.03574-0.00619)/0.344)</f>
        <v>39.050122077883863</v>
      </c>
      <c r="V32" s="79">
        <f>+$E$20</f>
        <v>0.25</v>
      </c>
      <c r="W32" s="88">
        <f>U32+V32</f>
        <v>39.300122077883863</v>
      </c>
      <c r="X32" s="88">
        <f>100*($E$17*$E$19+($E$18*(W32/100))/(1-$E$21))</f>
        <v>32.492930762139807</v>
      </c>
      <c r="Y32" s="89">
        <f>X32/R32</f>
        <v>4.4445713930457119E-2</v>
      </c>
      <c r="Z32" s="87">
        <f>$E$8/(1-Y32)</f>
        <v>158747.32470764546</v>
      </c>
      <c r="AA32" s="79" t="str">
        <f>IF(OR(OR(Z32=Z26,Z32=(Z26+1)),Z32=(Z26-1)),"yes","not yet")</f>
        <v>not yet</v>
      </c>
      <c r="AB32" s="88">
        <f>100*(1-Y32)</f>
        <v>95.55542860695428</v>
      </c>
      <c r="AC32" s="79"/>
      <c r="AD32" s="79"/>
      <c r="AE32" s="79">
        <v>4</v>
      </c>
      <c r="AF32" s="88">
        <f>R8</f>
        <v>873.22129167240621</v>
      </c>
      <c r="AG32" s="88">
        <f>R14</f>
        <v>727.41530845030547</v>
      </c>
      <c r="AH32" s="88">
        <f>R20</f>
        <v>731.1795623263738</v>
      </c>
      <c r="AI32" s="88">
        <f>R26</f>
        <v>731.06668995230177</v>
      </c>
      <c r="AJ32" s="88">
        <f>R32</f>
        <v>731.07006027579007</v>
      </c>
      <c r="AK32" s="88">
        <f>R38</f>
        <v>731.06995962664143</v>
      </c>
      <c r="AL32" s="88">
        <f>R44</f>
        <v>731.06846426912477</v>
      </c>
      <c r="AM32" s="88">
        <f>R50</f>
        <v>731.06846426912477</v>
      </c>
      <c r="AN32" s="88">
        <f>R56</f>
        <v>731.06846426912477</v>
      </c>
    </row>
    <row r="33" spans="1:40">
      <c r="A33" s="79" t="s">
        <v>507</v>
      </c>
      <c r="B33" s="79"/>
      <c r="C33" s="525">
        <f>'MF Recy Price Out'!E65*12</f>
        <v>27453.084820800002</v>
      </c>
      <c r="D33" s="526">
        <f>'MF Recy Price Out'!L65</f>
        <v>65413.936812000029</v>
      </c>
      <c r="E33" s="526">
        <f>'MF Recy Price Out'!M65</f>
        <v>100002.0277461456</v>
      </c>
      <c r="F33" s="526">
        <f>C33*C29</f>
        <v>100002.0277461456</v>
      </c>
      <c r="G33" s="1074"/>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row>
    <row r="34" spans="1:40">
      <c r="A34" s="79" t="s">
        <v>508</v>
      </c>
      <c r="B34" s="79"/>
      <c r="C34" s="525">
        <f>'Drop Box Price Out'!I94</f>
        <v>16380</v>
      </c>
      <c r="D34" s="526">
        <f>+'Drop Box Price Out'!H94</f>
        <v>51905.88</v>
      </c>
      <c r="E34" s="526">
        <f>'Drop Box Price Out'!L38+'Drop Box Price Out'!L44+'Drop Box Price Out'!L50</f>
        <v>59666.635832516673</v>
      </c>
      <c r="F34" s="526">
        <f>C34*C29</f>
        <v>59666.635832516673</v>
      </c>
      <c r="G34" s="1074"/>
      <c r="H34" s="79"/>
      <c r="I34" s="79"/>
      <c r="J34" s="79"/>
      <c r="K34" s="79"/>
      <c r="L34" s="79"/>
      <c r="M34" s="79"/>
      <c r="N34" s="79"/>
      <c r="O34" s="79"/>
      <c r="P34" s="79"/>
      <c r="Q34" s="79"/>
      <c r="R34" s="79" t="s">
        <v>260</v>
      </c>
      <c r="S34" s="84" t="s">
        <v>207</v>
      </c>
      <c r="T34" s="84" t="s">
        <v>208</v>
      </c>
      <c r="U34" s="84" t="s">
        <v>209</v>
      </c>
      <c r="V34" s="79"/>
      <c r="W34" s="79"/>
      <c r="X34" s="79"/>
      <c r="Y34" s="79"/>
      <c r="Z34" s="79"/>
      <c r="AA34" s="79"/>
      <c r="AB34" s="79"/>
      <c r="AC34" s="79"/>
      <c r="AD34" s="79"/>
      <c r="AE34" s="79"/>
      <c r="AF34" s="79" t="s">
        <v>255</v>
      </c>
      <c r="AG34" s="79"/>
      <c r="AH34" s="79"/>
      <c r="AI34" s="79"/>
      <c r="AJ34" s="79"/>
      <c r="AK34" s="79"/>
      <c r="AL34" s="79"/>
      <c r="AM34" s="79"/>
      <c r="AN34" s="79"/>
    </row>
    <row r="35" spans="1:40">
      <c r="A35" s="79"/>
      <c r="B35" s="79"/>
      <c r="C35" s="525"/>
      <c r="D35" s="526"/>
      <c r="E35" s="526"/>
      <c r="F35" s="104"/>
      <c r="G35" s="1074"/>
      <c r="H35" s="79"/>
      <c r="I35" s="79"/>
      <c r="J35" s="79"/>
      <c r="K35" s="79"/>
      <c r="L35" s="79"/>
      <c r="M35" s="79"/>
      <c r="N35" s="79"/>
      <c r="O35" s="79"/>
      <c r="P35" s="79"/>
      <c r="Q35" s="79"/>
      <c r="R35" s="88">
        <f>100*(+Z29/$E$9)</f>
        <v>732.22381608742705</v>
      </c>
      <c r="S35" s="95">
        <f>EXP(5.7226-(0.68367*LN(+R35)))</f>
        <v>3.3637409387101718</v>
      </c>
      <c r="T35" s="89">
        <f>(+S35*R35)/100</f>
        <v>24.630112264718658</v>
      </c>
      <c r="U35" s="88">
        <f>100*((((T35/100)-((T35/100)-0.03574)*$E$21)-0.03574-0.00619)/0.344)</f>
        <v>40.557644439492194</v>
      </c>
      <c r="V35" s="79">
        <f>+$E$20</f>
        <v>0.25</v>
      </c>
      <c r="W35" s="88">
        <f>U35+V35</f>
        <v>40.807644439492194</v>
      </c>
      <c r="X35" s="88">
        <f>100*($E$17*$E$19+($E$18*(W35/100))/(1-$E$21))</f>
        <v>33.646786181262101</v>
      </c>
      <c r="Y35" s="89">
        <f>X35/R35</f>
        <v>4.5951504774934412E-2</v>
      </c>
      <c r="Z35" s="87">
        <f>ROUND($E$8/(1-Y35),0)</f>
        <v>158998</v>
      </c>
      <c r="AA35" s="79" t="str">
        <f>IF(OR(OR(Z35=Z29,Z35=(Z29+1)),Z35=(Z21-1)),"yes","not yet")</f>
        <v>not yet</v>
      </c>
      <c r="AB35" s="88">
        <f>100*(1-Y35)</f>
        <v>95.404849522506566</v>
      </c>
      <c r="AC35" s="79"/>
      <c r="AD35" s="79"/>
      <c r="AE35" s="79"/>
      <c r="AF35" s="88">
        <f>HLOOKUP($AF$34,$AF$28:$AN$32,$E$12+1)</f>
        <v>731.06846426912477</v>
      </c>
      <c r="AG35" s="79"/>
      <c r="AH35" s="79"/>
      <c r="AI35" s="79"/>
      <c r="AJ35" s="79"/>
      <c r="AK35" s="79"/>
      <c r="AL35" s="79"/>
      <c r="AM35" s="79"/>
      <c r="AN35" s="79"/>
    </row>
    <row r="36" spans="1:40">
      <c r="A36" s="79" t="s">
        <v>27</v>
      </c>
      <c r="B36" s="79"/>
      <c r="C36" s="525">
        <f>SUM(C33:C35)</f>
        <v>43833.084820800002</v>
      </c>
      <c r="D36" s="526">
        <f>SUM(D33:D35)</f>
        <v>117319.81681200003</v>
      </c>
      <c r="E36" s="526">
        <f>SUM(E33:E35)</f>
        <v>159668.66357866226</v>
      </c>
      <c r="F36" s="526">
        <f>SUM(F33:F35)</f>
        <v>159668.66357866226</v>
      </c>
      <c r="G36" s="1074"/>
      <c r="H36" s="79"/>
      <c r="I36" s="79"/>
      <c r="J36" s="79"/>
      <c r="K36" s="79"/>
      <c r="L36" s="79"/>
      <c r="M36" s="79"/>
      <c r="N36" s="79"/>
      <c r="O36" s="79"/>
      <c r="P36" s="79"/>
      <c r="Q36" s="79"/>
      <c r="R36" s="88">
        <f>100*(+Z30/$E$9)</f>
        <v>731.67539693701281</v>
      </c>
      <c r="S36" s="95">
        <f>EXP(5.70827-(0.68367*LN(+R36)))</f>
        <v>3.3175812376610896</v>
      </c>
      <c r="T36" s="89">
        <f>(+S36*R36)/100</f>
        <v>24.273925689364642</v>
      </c>
      <c r="U36" s="88">
        <f>100*((((T36/100)-((T36/100)-0.03574)*$E$21)-0.03574-0.00619)/0.344)</f>
        <v>39.841129584419576</v>
      </c>
      <c r="V36" s="79">
        <f>+$E$20</f>
        <v>0.25</v>
      </c>
      <c r="W36" s="88">
        <f>U36+V36</f>
        <v>40.091129584419576</v>
      </c>
      <c r="X36" s="88">
        <f>100*($E$17*$E$19+($E$18*(W36/100))/(1-$E$21))</f>
        <v>33.09836675514817</v>
      </c>
      <c r="Y36" s="89">
        <f>X36/R36</f>
        <v>4.5236407966848018E-2</v>
      </c>
      <c r="Z36" s="87">
        <f>ROUND($E$8/(1-Y36),0)</f>
        <v>158879</v>
      </c>
      <c r="AA36" s="79" t="str">
        <f>IF(OR(OR(Z36=Z30,Z36=(Z30+1)),Z36=(Z30-1)),"yes","not yet")</f>
        <v>not yet</v>
      </c>
      <c r="AB36" s="88">
        <f>100*(1-Y36)</f>
        <v>95.476359203315198</v>
      </c>
      <c r="AC36" s="79"/>
      <c r="AD36" s="79"/>
      <c r="AE36" s="79"/>
      <c r="AF36" s="79"/>
      <c r="AG36" s="79"/>
      <c r="AH36" s="79"/>
      <c r="AI36" s="79"/>
      <c r="AJ36" s="79"/>
      <c r="AK36" s="79"/>
      <c r="AL36" s="79"/>
      <c r="AM36" s="79"/>
      <c r="AN36" s="79"/>
    </row>
    <row r="37" spans="1:40">
      <c r="A37" s="79"/>
      <c r="B37" s="79"/>
      <c r="C37" s="90"/>
      <c r="D37" s="79"/>
      <c r="E37" s="79"/>
      <c r="F37" s="104"/>
      <c r="G37" s="1075"/>
      <c r="H37" s="79"/>
      <c r="I37" s="79"/>
      <c r="J37" s="79"/>
      <c r="K37" s="79"/>
      <c r="L37" s="79"/>
      <c r="M37" s="79"/>
      <c r="N37" s="79"/>
      <c r="O37" s="79"/>
      <c r="P37" s="79"/>
      <c r="Q37" s="79"/>
      <c r="R37" s="88">
        <f>100*(+Z31/$E$9)</f>
        <v>731.30611630540022</v>
      </c>
      <c r="S37" s="95">
        <f>EXP(5.6985-(0.68367*LN(R37)))</f>
        <v>3.2864603813598352</v>
      </c>
      <c r="T37" s="89">
        <f>(+S37*R37)/100</f>
        <v>24.034085778838257</v>
      </c>
      <c r="U37" s="88">
        <f>100*((((T37/100)-((T37/100)-0.03574)*$E$21)-0.03574-0.00619)/0.344)</f>
        <v>39.358660927197896</v>
      </c>
      <c r="V37" s="79">
        <f>+$E$20</f>
        <v>0.25</v>
      </c>
      <c r="W37" s="88">
        <f>U37+V37</f>
        <v>39.608660927197896</v>
      </c>
      <c r="X37" s="88">
        <f>100*($E$17*$E$19+($E$18*(W37/100))/(1-$E$21))</f>
        <v>32.72908594786518</v>
      </c>
      <c r="Y37" s="89">
        <f>X37/R37</f>
        <v>4.4754289917899731E-2</v>
      </c>
      <c r="Z37" s="87">
        <f>ROUND($E$8/(1-Y37),0)</f>
        <v>158799</v>
      </c>
      <c r="AA37" s="79" t="str">
        <f>IF(OR(OR(Z37=Z31,Z37=(Z31+1)),Z37=(Z31-1)),"yes","not yet")</f>
        <v>not yet</v>
      </c>
      <c r="AB37" s="88">
        <f>100*(1-Y37)</f>
        <v>95.524571008210017</v>
      </c>
      <c r="AC37" s="79"/>
      <c r="AD37" s="79"/>
      <c r="AE37" s="79"/>
      <c r="AF37" s="79" t="str">
        <f>HLOOKUP(1,$AF$13:$AN$17,$E$12+1)</f>
        <v>not yet</v>
      </c>
      <c r="AG37" s="79" t="str">
        <f>HLOOKUP(2,$AF$13:$AN$17,$E$12+1)</f>
        <v>not yet</v>
      </c>
      <c r="AH37" s="79" t="str">
        <f>HLOOKUP(3,$AF$13:$AN$17,$E$12+1)</f>
        <v>not yet</v>
      </c>
      <c r="AI37" s="79" t="str">
        <f>HLOOKUP(4,$AF$13:$AN$17,$E$12+1)</f>
        <v>not yet</v>
      </c>
      <c r="AJ37" s="79" t="str">
        <f>HLOOKUP(5,$AF$13:$AN$17,$E$12+1)</f>
        <v>not yet</v>
      </c>
      <c r="AK37" s="79" t="str">
        <f>HLOOKUP(6,$AF$13:$AN$17,$E$12+1)</f>
        <v>not yet</v>
      </c>
      <c r="AL37" s="79" t="str">
        <f>HLOOKUP(7,$AF$13:$AN$17,$E$12+1)</f>
        <v>yes</v>
      </c>
      <c r="AM37" s="79" t="str">
        <f>HLOOKUP(8,$AF$13:$AN$17,$E$12+1)</f>
        <v>yes</v>
      </c>
      <c r="AN37" s="79" t="str">
        <f>HLOOKUP(9,$AF$13:$AN$17,$E$12+1)</f>
        <v>yes</v>
      </c>
    </row>
    <row r="38" spans="1:40">
      <c r="A38" s="79"/>
      <c r="B38" s="79"/>
      <c r="C38" s="90"/>
      <c r="D38" s="79"/>
      <c r="E38" s="79"/>
      <c r="F38" s="104"/>
      <c r="G38" s="1076"/>
      <c r="H38" s="79"/>
      <c r="I38" s="79"/>
      <c r="J38" s="79"/>
      <c r="K38" s="79"/>
      <c r="L38" s="79"/>
      <c r="M38" s="79"/>
      <c r="N38" s="79"/>
      <c r="O38" s="79"/>
      <c r="P38" s="79"/>
      <c r="Q38" s="79"/>
      <c r="R38" s="88">
        <f>100*(+Z32/$E$9)</f>
        <v>731.06995962664143</v>
      </c>
      <c r="S38" s="95">
        <f>EXP(5.6922-(0.68367*LN(R38)))</f>
        <v>3.266541967767719</v>
      </c>
      <c r="T38" s="89">
        <f>(+S38*R38)/100</f>
        <v>23.88070704494676</v>
      </c>
      <c r="U38" s="88">
        <f>100*((((T38/100)-((T38/100)-0.03574)*$E$21)-0.03574-0.00619)/0.344)</f>
        <v>39.050119985765008</v>
      </c>
      <c r="V38" s="79">
        <f>+$E$20</f>
        <v>0.25</v>
      </c>
      <c r="W38" s="88">
        <f>U38+V38</f>
        <v>39.300119985765008</v>
      </c>
      <c r="X38" s="88">
        <f>100*($E$17*$E$19+($E$18*(W38/100))/(1-$E$21))</f>
        <v>32.492929160835089</v>
      </c>
      <c r="Y38" s="89">
        <f>X38/R38</f>
        <v>4.4445717859107871E-2</v>
      </c>
      <c r="Z38" s="87">
        <f>ROUND($E$8/(1-Y38),0)</f>
        <v>158747</v>
      </c>
      <c r="AA38" s="79" t="str">
        <f>IF(OR(OR(Z38=Z32,Z38=(Z32+1)),Z38=(Z32-1)),"yes","not yet")</f>
        <v>not yet</v>
      </c>
      <c r="AB38" s="88">
        <f>100*(1-Y38)</f>
        <v>95.555428214089204</v>
      </c>
      <c r="AC38" s="79"/>
      <c r="AD38" s="79"/>
      <c r="AE38" s="79">
        <v>1</v>
      </c>
      <c r="AF38" s="87">
        <f>Z5</f>
        <v>158180.19362587432</v>
      </c>
      <c r="AG38" s="87">
        <f>Z11</f>
        <v>159023.33052871469</v>
      </c>
      <c r="AH38" s="87">
        <f>Z17</f>
        <v>158997.08954406908</v>
      </c>
      <c r="AI38" s="87">
        <f>Z23</f>
        <v>158997.90271098775</v>
      </c>
      <c r="AJ38" s="87">
        <f>Z29</f>
        <v>158997.87750883002</v>
      </c>
      <c r="AK38" s="87">
        <f>Z35</f>
        <v>158998</v>
      </c>
      <c r="AL38" s="87">
        <f>Z41</f>
        <v>158998</v>
      </c>
      <c r="AM38" s="87">
        <f>Z47</f>
        <v>158998</v>
      </c>
      <c r="AN38" s="87">
        <f>Z53</f>
        <v>158998</v>
      </c>
    </row>
    <row r="39" spans="1:40">
      <c r="A39" s="79"/>
      <c r="B39" s="79"/>
      <c r="C39" s="90"/>
      <c r="D39" s="79"/>
      <c r="E39" s="79"/>
      <c r="F39" s="104"/>
      <c r="G39" s="1076"/>
      <c r="H39" s="88"/>
      <c r="I39" s="79"/>
      <c r="J39" s="79"/>
      <c r="K39" s="79"/>
      <c r="L39" s="79"/>
      <c r="M39" s="79"/>
      <c r="N39" s="79"/>
      <c r="O39" s="79"/>
      <c r="P39" s="79"/>
      <c r="Q39" s="79"/>
      <c r="R39" s="79"/>
      <c r="S39" s="79"/>
      <c r="T39" s="79"/>
      <c r="U39" s="79"/>
      <c r="V39" s="79"/>
      <c r="W39" s="79"/>
      <c r="X39" s="79"/>
      <c r="Y39" s="79"/>
      <c r="Z39" s="79"/>
      <c r="AA39" s="79"/>
      <c r="AB39" s="79"/>
      <c r="AC39" s="79"/>
      <c r="AD39" s="79"/>
      <c r="AE39" s="79">
        <v>2</v>
      </c>
      <c r="AF39" s="87">
        <f>Z6</f>
        <v>158072.50860946265</v>
      </c>
      <c r="AG39" s="87">
        <f>Z12</f>
        <v>158903.45357951522</v>
      </c>
      <c r="AH39" s="87">
        <f>Z18</f>
        <v>158878.04139766993</v>
      </c>
      <c r="AI39" s="87">
        <f>Z24</f>
        <v>158878.81524706891</v>
      </c>
      <c r="AJ39" s="87">
        <f>Z30</f>
        <v>158878.79167880747</v>
      </c>
      <c r="AK39" s="87">
        <f>Z36</f>
        <v>158879</v>
      </c>
      <c r="AL39" s="87">
        <f>Z42</f>
        <v>158879</v>
      </c>
      <c r="AM39" s="87">
        <f>Z48</f>
        <v>158879</v>
      </c>
      <c r="AN39" s="87">
        <f>Z54</f>
        <v>158879</v>
      </c>
    </row>
    <row r="40" spans="1:40">
      <c r="A40" s="79"/>
      <c r="B40" s="79"/>
      <c r="C40" s="90"/>
      <c r="D40" s="79"/>
      <c r="E40" s="92"/>
      <c r="F40" s="104"/>
      <c r="G40" s="1076"/>
      <c r="H40" s="96"/>
      <c r="I40" s="79"/>
      <c r="J40" s="79"/>
      <c r="K40" s="79"/>
      <c r="L40" s="79"/>
      <c r="M40" s="79"/>
      <c r="N40" s="79"/>
      <c r="O40" s="79"/>
      <c r="P40" s="79"/>
      <c r="Q40" s="79"/>
      <c r="R40" s="79" t="s">
        <v>261</v>
      </c>
      <c r="S40" s="84" t="s">
        <v>207</v>
      </c>
      <c r="T40" s="84" t="s">
        <v>208</v>
      </c>
      <c r="U40" s="84" t="s">
        <v>209</v>
      </c>
      <c r="V40" s="79"/>
      <c r="W40" s="79"/>
      <c r="X40" s="79"/>
      <c r="Y40" s="79"/>
      <c r="Z40" s="79"/>
      <c r="AA40" s="79"/>
      <c r="AB40" s="79"/>
      <c r="AC40" s="79"/>
      <c r="AD40" s="79"/>
      <c r="AE40" s="79">
        <v>3</v>
      </c>
      <c r="AF40" s="87">
        <f>Z7</f>
        <v>158000.05274474274</v>
      </c>
      <c r="AG40" s="87">
        <f>Z13</f>
        <v>158822.73920047001</v>
      </c>
      <c r="AH40" s="87">
        <f>Z19</f>
        <v>158797.87912831808</v>
      </c>
      <c r="AI40" s="87">
        <f>Z25</f>
        <v>158798.62718363706</v>
      </c>
      <c r="AJ40" s="87">
        <f>Z31</f>
        <v>158798.60467130851</v>
      </c>
      <c r="AK40" s="87">
        <f>Z37</f>
        <v>158799</v>
      </c>
      <c r="AL40" s="87">
        <f>Z43</f>
        <v>158799</v>
      </c>
      <c r="AM40" s="87">
        <f>Z49</f>
        <v>158799</v>
      </c>
      <c r="AN40" s="87">
        <f>Z55</f>
        <v>158799</v>
      </c>
    </row>
    <row r="41" spans="1:40">
      <c r="A41" s="79"/>
      <c r="B41" s="79"/>
      <c r="C41" s="105"/>
      <c r="D41" s="96"/>
      <c r="E41" s="79"/>
      <c r="F41" s="104"/>
      <c r="G41" s="79"/>
      <c r="H41" s="79"/>
      <c r="I41" s="79"/>
      <c r="J41" s="79"/>
      <c r="K41" s="79"/>
      <c r="L41" s="79"/>
      <c r="M41" s="79"/>
      <c r="N41" s="79"/>
      <c r="O41" s="79"/>
      <c r="P41" s="79"/>
      <c r="Q41" s="79"/>
      <c r="R41" s="88">
        <f>100*(+Z35/$E$9)</f>
        <v>732.22438018899447</v>
      </c>
      <c r="S41" s="95">
        <f>EXP(5.7226-(0.68367*LN(+R41)))</f>
        <v>3.3637391670425907</v>
      </c>
      <c r="T41" s="89">
        <f>(+S41*R41)/100</f>
        <v>24.630118267052055</v>
      </c>
      <c r="U41" s="88">
        <f>100*((((T41/100)-((T41/100)-0.03574)*$E$21)-0.03574-0.00619)/0.344)</f>
        <v>40.557656513953553</v>
      </c>
      <c r="V41" s="79">
        <f>+$E$20</f>
        <v>0.25</v>
      </c>
      <c r="W41" s="88">
        <f>U41+V41</f>
        <v>40.807656513953553</v>
      </c>
      <c r="X41" s="88">
        <f>100*($E$17*$E$19+($E$18*(W41/100))/(1-$E$21))</f>
        <v>33.646795423037233</v>
      </c>
      <c r="Y41" s="89">
        <f>X41/R41</f>
        <v>4.5951481995659113E-2</v>
      </c>
      <c r="Z41" s="87">
        <f>ROUND($E$8/(1-Y41),0)</f>
        <v>158998</v>
      </c>
      <c r="AA41" s="79" t="str">
        <f>IF(OR(OR(Z41=Z35,Z41=(Z35+1)),Z41=(Z27-1)),"yes","not yet")</f>
        <v>yes</v>
      </c>
      <c r="AB41" s="88">
        <f>100*(1-Y41)</f>
        <v>95.404851800434088</v>
      </c>
      <c r="AC41" s="79"/>
      <c r="AD41" s="79"/>
      <c r="AE41" s="79">
        <v>4</v>
      </c>
      <c r="AF41" s="87">
        <f>Z8</f>
        <v>157953.73978551396</v>
      </c>
      <c r="AG41" s="87">
        <f>Z14</f>
        <v>158771.12425669562</v>
      </c>
      <c r="AH41" s="87">
        <f>Z20</f>
        <v>158746.61471806475</v>
      </c>
      <c r="AI41" s="87">
        <f>Z26</f>
        <v>158747.3465629862</v>
      </c>
      <c r="AJ41" s="87">
        <f>Z32</f>
        <v>158747.32470764546</v>
      </c>
      <c r="AK41" s="87">
        <f>Z38</f>
        <v>158747</v>
      </c>
      <c r="AL41" s="87">
        <f>Z44</f>
        <v>158747</v>
      </c>
      <c r="AM41" s="87">
        <f>Z50</f>
        <v>158747</v>
      </c>
      <c r="AN41" s="87">
        <f>Z56</f>
        <v>158747</v>
      </c>
    </row>
    <row r="42" spans="1:40">
      <c r="A42" s="79"/>
      <c r="B42" s="79"/>
      <c r="C42" s="106"/>
      <c r="D42" s="96"/>
      <c r="E42" s="79"/>
      <c r="F42" s="104"/>
      <c r="G42" s="79"/>
      <c r="H42" s="95"/>
      <c r="I42" s="79"/>
      <c r="J42" s="79"/>
      <c r="K42" s="79"/>
      <c r="L42" s="79"/>
      <c r="M42" s="79"/>
      <c r="N42" s="79"/>
      <c r="O42" s="79"/>
      <c r="P42" s="79"/>
      <c r="Q42" s="79"/>
      <c r="R42" s="88">
        <f>100*(+Z36/$E$9)</f>
        <v>731.67635630666587</v>
      </c>
      <c r="S42" s="95">
        <f>EXP(5.70827-(0.68367*LN(+R42)))</f>
        <v>3.3175782637010083</v>
      </c>
      <c r="T42" s="89">
        <f>(+S42*R42)/100</f>
        <v>24.273935757469488</v>
      </c>
      <c r="U42" s="88">
        <f>100*((((T42/100)-((T42/100)-0.03574)*$E$21)-0.03574-0.00619)/0.344)</f>
        <v>39.841149837700257</v>
      </c>
      <c r="V42" s="79">
        <f>+$E$20</f>
        <v>0.25</v>
      </c>
      <c r="W42" s="88">
        <f>U42+V42</f>
        <v>40.091149837700257</v>
      </c>
      <c r="X42" s="88">
        <f>100*($E$17*$E$19+($E$18*(W42/100))/(1-$E$21))</f>
        <v>33.09838225697969</v>
      </c>
      <c r="Y42" s="89">
        <f>X42/R42</f>
        <v>4.5236369839873898E-2</v>
      </c>
      <c r="Z42" s="87">
        <f>ROUND($E$8/(1-Y42),0)</f>
        <v>158879</v>
      </c>
      <c r="AA42" s="79" t="str">
        <f>IF(OR(OR(Z42=Z36,Z42=(Z36+1)),Z42=(Z36-1)),"yes","not yet")</f>
        <v>yes</v>
      </c>
      <c r="AB42" s="88">
        <f>100*(1-Y42)</f>
        <v>95.476363016012613</v>
      </c>
      <c r="AC42" s="79"/>
      <c r="AD42" s="79"/>
      <c r="AE42" s="79"/>
      <c r="AF42" s="79"/>
      <c r="AG42" s="79"/>
      <c r="AH42" s="79"/>
      <c r="AI42" s="79"/>
      <c r="AJ42" s="79"/>
      <c r="AK42" s="79"/>
      <c r="AL42" s="79"/>
      <c r="AM42" s="79"/>
      <c r="AN42" s="79"/>
    </row>
    <row r="43" spans="1:40">
      <c r="A43" s="79"/>
      <c r="B43" s="79"/>
      <c r="C43" s="90"/>
      <c r="D43" s="79"/>
      <c r="E43" s="98"/>
      <c r="F43" s="104"/>
      <c r="G43" s="79"/>
      <c r="H43" s="95"/>
      <c r="I43" s="79"/>
      <c r="J43" s="79"/>
      <c r="K43" s="79"/>
      <c r="L43" s="79"/>
      <c r="M43" s="79"/>
      <c r="N43" s="79"/>
      <c r="O43" s="79"/>
      <c r="P43" s="79"/>
      <c r="Q43" s="79"/>
      <c r="R43" s="88">
        <f>100*(+Z37/$E$9)</f>
        <v>731.30793688997426</v>
      </c>
      <c r="S43" s="95">
        <f>EXP(5.6985-(0.68367*LN(R43)))</f>
        <v>3.28645478783376</v>
      </c>
      <c r="T43" s="89">
        <f>(+S43*R43)/100</f>
        <v>24.034104705728851</v>
      </c>
      <c r="U43" s="88">
        <f>100*((((T43/100)-((T43/100)-0.03574)*$E$21)-0.03574-0.00619)/0.344)</f>
        <v>39.358699001059207</v>
      </c>
      <c r="V43" s="79">
        <f>+$E$20</f>
        <v>0.25</v>
      </c>
      <c r="W43" s="88">
        <f>U43+V43</f>
        <v>39.608699001059207</v>
      </c>
      <c r="X43" s="88">
        <f>100*($E$17*$E$19+($E$18*(W43/100))/(1-$E$21))</f>
        <v>32.72911508954315</v>
      </c>
      <c r="Y43" s="89">
        <f>X43/R43</f>
        <v>4.4754218351204994E-2</v>
      </c>
      <c r="Z43" s="87">
        <f>ROUND($E$8/(1-Y43),0)</f>
        <v>158799</v>
      </c>
      <c r="AA43" s="79" t="str">
        <f>IF(OR(OR(Z43=Z37,Z43=(Z37+1)),Z43=(Z37-1)),"yes","not yet")</f>
        <v>yes</v>
      </c>
      <c r="AB43" s="88">
        <f>100*(1-Y43)</f>
        <v>95.5245781648795</v>
      </c>
      <c r="AC43" s="79"/>
      <c r="AD43" s="79"/>
      <c r="AE43" s="79"/>
      <c r="AF43" s="79" t="s">
        <v>255</v>
      </c>
      <c r="AG43" s="79"/>
      <c r="AH43" s="79"/>
      <c r="AI43" s="79"/>
      <c r="AJ43" s="79"/>
      <c r="AK43" s="79"/>
      <c r="AL43" s="79"/>
      <c r="AM43" s="79"/>
      <c r="AN43" s="79"/>
    </row>
    <row r="44" spans="1:40">
      <c r="A44" s="79"/>
      <c r="B44" s="79"/>
      <c r="C44" s="90"/>
      <c r="D44" s="79"/>
      <c r="E44" s="98"/>
      <c r="F44" s="104"/>
      <c r="G44" s="79"/>
      <c r="H44" s="95"/>
      <c r="I44" s="79"/>
      <c r="J44" s="79"/>
      <c r="K44" s="79"/>
      <c r="L44" s="79"/>
      <c r="M44" s="79"/>
      <c r="N44" s="79"/>
      <c r="O44" s="79"/>
      <c r="P44" s="79"/>
      <c r="Q44" s="79"/>
      <c r="R44" s="88">
        <f>100*(+Z38/$E$9)</f>
        <v>731.06846426912477</v>
      </c>
      <c r="S44" s="95">
        <f>EXP(5.6922-(0.68367*LN(R44)))</f>
        <v>3.2665465357205683</v>
      </c>
      <c r="T44" s="89">
        <f>(+S44*R44)/100</f>
        <v>23.880691593328656</v>
      </c>
      <c r="U44" s="88">
        <f>100*((((T44/100)-((T44/100)-0.03574)*$E$21)-0.03574-0.00619)/0.344)</f>
        <v>39.050088902858811</v>
      </c>
      <c r="V44" s="79">
        <f>+$E$20</f>
        <v>0.25</v>
      </c>
      <c r="W44" s="88">
        <f>U44+V44</f>
        <v>39.300088902858811</v>
      </c>
      <c r="X44" s="88">
        <f>100*($E$17*$E$19+($E$18*(W44/100))/(1-$E$21))</f>
        <v>32.492905370023969</v>
      </c>
      <c r="Y44" s="89">
        <f>X44/R44</f>
        <v>4.4445776227686536E-2</v>
      </c>
      <c r="Z44" s="87">
        <f>ROUND($E$8/(1-Y44),0)</f>
        <v>158747</v>
      </c>
      <c r="AA44" s="79" t="str">
        <f>IF(OR(OR(Z44=Z38,Z44=(Z38+1)),Z44=(Z38-1)),"yes","not yet")</f>
        <v>yes</v>
      </c>
      <c r="AB44" s="88">
        <f>100*(1-Y44)</f>
        <v>95.555422377231352</v>
      </c>
      <c r="AC44" s="79"/>
      <c r="AD44" s="79"/>
      <c r="AE44" s="79"/>
      <c r="AF44" s="87">
        <f>HLOOKUP($AF$34,$AF$37:$AN$41,$E$12+1)</f>
        <v>158747</v>
      </c>
      <c r="AG44" s="79"/>
      <c r="AH44" s="79"/>
      <c r="AI44" s="79"/>
      <c r="AJ44" s="79"/>
      <c r="AK44" s="79"/>
      <c r="AL44" s="79"/>
      <c r="AM44" s="79"/>
      <c r="AN44" s="79"/>
    </row>
    <row r="45" spans="1:40">
      <c r="A45" s="79"/>
      <c r="B45" s="79"/>
      <c r="C45" s="79"/>
      <c r="D45" s="79"/>
      <c r="E45" s="98"/>
      <c r="F45" s="79"/>
      <c r="G45" s="79"/>
      <c r="H45" s="95"/>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row>
    <row r="46" spans="1:40">
      <c r="A46" s="79"/>
      <c r="B46" s="79"/>
      <c r="C46" s="79"/>
      <c r="D46" s="79"/>
      <c r="E46" s="79"/>
      <c r="F46" s="79"/>
      <c r="G46" s="79"/>
      <c r="H46" s="96"/>
      <c r="I46" s="79"/>
      <c r="J46" s="79"/>
      <c r="K46" s="79"/>
      <c r="L46" s="79"/>
      <c r="M46" s="79"/>
      <c r="N46" s="79"/>
      <c r="O46" s="79"/>
      <c r="P46" s="79"/>
      <c r="Q46" s="79"/>
      <c r="R46" s="79" t="s">
        <v>262</v>
      </c>
      <c r="S46" s="84" t="s">
        <v>207</v>
      </c>
      <c r="T46" s="84" t="s">
        <v>208</v>
      </c>
      <c r="U46" s="84" t="s">
        <v>209</v>
      </c>
      <c r="V46" s="79"/>
      <c r="W46" s="79"/>
      <c r="X46" s="79"/>
      <c r="Y46" s="79"/>
      <c r="Z46" s="79"/>
      <c r="AA46" s="79"/>
      <c r="AB46" s="79"/>
      <c r="AC46" s="79"/>
      <c r="AD46" s="79"/>
      <c r="AE46" s="79"/>
      <c r="AF46" s="79"/>
      <c r="AG46" s="79"/>
      <c r="AH46" s="79"/>
      <c r="AI46" s="79"/>
      <c r="AJ46" s="79"/>
      <c r="AK46" s="79"/>
      <c r="AL46" s="79"/>
      <c r="AM46" s="79"/>
      <c r="AN46" s="79"/>
    </row>
    <row r="47" spans="1:40">
      <c r="A47" s="79"/>
      <c r="B47" s="79"/>
      <c r="C47" s="79"/>
      <c r="D47" s="79"/>
      <c r="E47" s="79"/>
      <c r="F47" s="79"/>
      <c r="G47" s="79"/>
      <c r="H47" s="100"/>
      <c r="I47" s="79"/>
      <c r="J47" s="79"/>
      <c r="K47" s="79"/>
      <c r="L47" s="79"/>
      <c r="M47" s="79"/>
      <c r="N47" s="79"/>
      <c r="O47" s="79"/>
      <c r="P47" s="79"/>
      <c r="Q47" s="79"/>
      <c r="R47" s="88">
        <f>100*(+Z41/$E$9)</f>
        <v>732.22438018899447</v>
      </c>
      <c r="S47" s="95">
        <f>EXP(5.7226-(0.68367*LN(+R47)))</f>
        <v>3.3637391670425907</v>
      </c>
      <c r="T47" s="89">
        <f>(+S47*R47)/100</f>
        <v>24.630118267052055</v>
      </c>
      <c r="U47" s="88">
        <f>100*((((T47/100)-((T47/100)-0.03574)*$E$21)-0.03574-0.00619)/0.344)</f>
        <v>40.557656513953553</v>
      </c>
      <c r="V47" s="79">
        <f>+$E$20</f>
        <v>0.25</v>
      </c>
      <c r="W47" s="88">
        <f>U47+V47</f>
        <v>40.807656513953553</v>
      </c>
      <c r="X47" s="88">
        <f>100*($E$17*$E$19+($E$18*(W47/100))/(1-$E$21))</f>
        <v>33.646795423037233</v>
      </c>
      <c r="Y47" s="89">
        <f>X47/R47</f>
        <v>4.5951481995659113E-2</v>
      </c>
      <c r="Z47" s="87">
        <f>ROUND($E$8/(1-Y47),0)</f>
        <v>158998</v>
      </c>
      <c r="AA47" s="79" t="str">
        <f>IF(OR(OR(Z47=Z41,Z47=(Z41+1)),Z47=(Z33-1)),"yes","not yet")</f>
        <v>yes</v>
      </c>
      <c r="AB47" s="88">
        <f>100*(1-Y47)</f>
        <v>95.404851800434088</v>
      </c>
      <c r="AC47" s="79"/>
      <c r="AD47" s="79"/>
      <c r="AE47" s="79"/>
      <c r="AF47" s="79"/>
      <c r="AG47" s="79"/>
      <c r="AH47" s="79"/>
      <c r="AI47" s="79"/>
      <c r="AJ47" s="79"/>
      <c r="AK47" s="79"/>
      <c r="AL47" s="79"/>
      <c r="AM47" s="79"/>
      <c r="AN47" s="79"/>
    </row>
    <row r="48" spans="1:40">
      <c r="A48" s="79"/>
      <c r="B48" s="79"/>
      <c r="C48" s="79"/>
      <c r="D48" s="79"/>
      <c r="E48" s="79"/>
      <c r="F48" s="79"/>
      <c r="G48" s="79"/>
      <c r="H48" s="79"/>
      <c r="I48" s="79"/>
      <c r="J48" s="79"/>
      <c r="K48" s="79"/>
      <c r="L48" s="79"/>
      <c r="M48" s="79"/>
      <c r="N48" s="79"/>
      <c r="O48" s="79"/>
      <c r="P48" s="79"/>
      <c r="Q48" s="79"/>
      <c r="R48" s="88">
        <f>100*(+Z42/$E$9)</f>
        <v>731.67635630666587</v>
      </c>
      <c r="S48" s="95">
        <f>EXP(5.70827-(0.68367*LN(+R48)))</f>
        <v>3.3175782637010083</v>
      </c>
      <c r="T48" s="89">
        <f>(+S48*R48)/100</f>
        <v>24.273935757469488</v>
      </c>
      <c r="U48" s="88">
        <f>100*((((T48/100)-((T48/100)-0.03574)*$E$21)-0.03574-0.00619)/0.344)</f>
        <v>39.841149837700257</v>
      </c>
      <c r="V48" s="79">
        <f>+$E$20</f>
        <v>0.25</v>
      </c>
      <c r="W48" s="88">
        <f>U48+V48</f>
        <v>40.091149837700257</v>
      </c>
      <c r="X48" s="88">
        <f>100*($E$17*$E$19+($E$18*(W48/100))/(1-$E$21))</f>
        <v>33.09838225697969</v>
      </c>
      <c r="Y48" s="89">
        <f>X48/R48</f>
        <v>4.5236369839873898E-2</v>
      </c>
      <c r="Z48" s="87">
        <f>ROUND($E$8/(1-Y48),0)</f>
        <v>158879</v>
      </c>
      <c r="AA48" s="79" t="str">
        <f>IF(OR(OR(Z48=Z42,Z48=(Z42+1)),Z48=(Z42-1)),"yes","not yet")</f>
        <v>yes</v>
      </c>
      <c r="AB48" s="88">
        <f>100*(1-Y48)</f>
        <v>95.476363016012613</v>
      </c>
      <c r="AC48" s="79"/>
      <c r="AD48" s="79"/>
      <c r="AE48" s="79"/>
      <c r="AF48" s="79"/>
      <c r="AG48" s="79"/>
      <c r="AH48" s="79"/>
      <c r="AI48" s="79"/>
      <c r="AJ48" s="79"/>
      <c r="AK48" s="79"/>
      <c r="AL48" s="79"/>
      <c r="AM48" s="79"/>
      <c r="AN48" s="79"/>
    </row>
    <row r="49" spans="1:40">
      <c r="A49" s="79"/>
      <c r="B49" s="79"/>
      <c r="C49" s="79"/>
      <c r="D49" s="79"/>
      <c r="E49" s="79"/>
      <c r="F49" s="79"/>
      <c r="G49" s="79"/>
      <c r="H49" s="89"/>
      <c r="I49" s="79"/>
      <c r="J49" s="79"/>
      <c r="K49" s="79"/>
      <c r="L49" s="79"/>
      <c r="M49" s="79"/>
      <c r="N49" s="79"/>
      <c r="O49" s="79"/>
      <c r="P49" s="79"/>
      <c r="Q49" s="79"/>
      <c r="R49" s="88">
        <f>100*(+Z43/$E$9)</f>
        <v>731.30793688997426</v>
      </c>
      <c r="S49" s="95">
        <f>EXP(5.6985-(0.68367*LN(R49)))</f>
        <v>3.28645478783376</v>
      </c>
      <c r="T49" s="89">
        <f>(+S49*R49)/100</f>
        <v>24.034104705728851</v>
      </c>
      <c r="U49" s="88">
        <f>100*((((T49/100)-((T49/100)-0.03574)*$E$21)-0.03574-0.00619)/0.344)</f>
        <v>39.358699001059207</v>
      </c>
      <c r="V49" s="79">
        <f>+$E$20</f>
        <v>0.25</v>
      </c>
      <c r="W49" s="88">
        <f>U49+V49</f>
        <v>39.608699001059207</v>
      </c>
      <c r="X49" s="88">
        <f>100*($E$17*$E$19+($E$18*(W49/100))/(1-$E$21))</f>
        <v>32.72911508954315</v>
      </c>
      <c r="Y49" s="89">
        <f>X49/R49</f>
        <v>4.4754218351204994E-2</v>
      </c>
      <c r="Z49" s="87">
        <f>ROUND($E$8/(1-Y49),0)</f>
        <v>158799</v>
      </c>
      <c r="AA49" s="79" t="str">
        <f>IF(OR(OR(Z49=Z43,Z49=(Z43+1)),Z49=(Z43-1)),"yes","not yet")</f>
        <v>yes</v>
      </c>
      <c r="AB49" s="88">
        <f>100*(1-Y49)</f>
        <v>95.5245781648795</v>
      </c>
      <c r="AC49" s="79"/>
      <c r="AD49" s="79"/>
      <c r="AE49" s="79"/>
      <c r="AF49" s="79"/>
      <c r="AG49" s="79"/>
      <c r="AH49" s="79"/>
      <c r="AI49" s="79"/>
      <c r="AJ49" s="79"/>
      <c r="AK49" s="79"/>
      <c r="AL49" s="79"/>
      <c r="AM49" s="79"/>
      <c r="AN49" s="79"/>
    </row>
    <row r="50" spans="1:40">
      <c r="A50" s="79"/>
      <c r="B50" s="79"/>
      <c r="C50" s="79"/>
      <c r="D50" s="79"/>
      <c r="E50" s="79"/>
      <c r="F50" s="79"/>
      <c r="G50" s="79"/>
      <c r="H50" s="79"/>
      <c r="I50" s="79"/>
      <c r="J50" s="79"/>
      <c r="K50" s="79"/>
      <c r="L50" s="79"/>
      <c r="M50" s="79"/>
      <c r="N50" s="79"/>
      <c r="O50" s="79"/>
      <c r="P50" s="79"/>
      <c r="Q50" s="79"/>
      <c r="R50" s="88">
        <f>100*(+Z44/$E$9)</f>
        <v>731.06846426912477</v>
      </c>
      <c r="S50" s="95">
        <f>EXP(5.6922-(0.68367*LN(R50)))</f>
        <v>3.2665465357205683</v>
      </c>
      <c r="T50" s="89">
        <f>(+S50*R50)/100</f>
        <v>23.880691593328656</v>
      </c>
      <c r="U50" s="88">
        <f>100*((((T50/100)-((T50/100)-0.03574)*$E$21)-0.03574-0.00619)/0.344)</f>
        <v>39.050088902858811</v>
      </c>
      <c r="V50" s="79">
        <f>+$E$20</f>
        <v>0.25</v>
      </c>
      <c r="W50" s="88">
        <f>U50+V50</f>
        <v>39.300088902858811</v>
      </c>
      <c r="X50" s="88">
        <f>100*($E$17*$E$19+($E$18*(W50/100))/(1-$E$21))</f>
        <v>32.492905370023969</v>
      </c>
      <c r="Y50" s="89">
        <f>X50/R50</f>
        <v>4.4445776227686536E-2</v>
      </c>
      <c r="Z50" s="87">
        <f>ROUND($E$8/(1-Y50),0)</f>
        <v>158747</v>
      </c>
      <c r="AA50" s="79" t="str">
        <f>IF(OR(OR(Z50=Z44,Z50=(Z44+1)),Z50=(Z44-1)),"yes","not yet")</f>
        <v>yes</v>
      </c>
      <c r="AB50" s="88">
        <f>100*(1-Y50)</f>
        <v>95.555422377231352</v>
      </c>
      <c r="AC50" s="79"/>
      <c r="AD50" s="79"/>
      <c r="AE50" s="79"/>
      <c r="AF50" s="79"/>
      <c r="AG50" s="79"/>
      <c r="AH50" s="79"/>
      <c r="AI50" s="79"/>
      <c r="AJ50" s="79"/>
      <c r="AK50" s="79"/>
      <c r="AL50" s="79"/>
      <c r="AM50" s="79"/>
      <c r="AN50" s="79"/>
    </row>
    <row r="51" spans="1:40">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79"/>
      <c r="AH51" s="79"/>
      <c r="AI51" s="79"/>
      <c r="AJ51" s="79"/>
      <c r="AK51" s="79"/>
      <c r="AL51" s="79"/>
      <c r="AM51" s="79"/>
      <c r="AN51" s="79"/>
    </row>
    <row r="52" spans="1:40">
      <c r="A52" s="79"/>
      <c r="B52" s="79"/>
      <c r="C52" s="79"/>
      <c r="D52" s="79"/>
      <c r="E52" s="79"/>
      <c r="F52" s="79"/>
      <c r="G52" s="79"/>
      <c r="H52" s="79"/>
      <c r="I52" s="79"/>
      <c r="J52" s="79"/>
      <c r="K52" s="79"/>
      <c r="L52" s="79"/>
      <c r="M52" s="79"/>
      <c r="N52" s="79"/>
      <c r="O52" s="79"/>
      <c r="P52" s="79"/>
      <c r="Q52" s="79"/>
      <c r="R52" s="79" t="s">
        <v>263</v>
      </c>
      <c r="S52" s="84" t="s">
        <v>207</v>
      </c>
      <c r="T52" s="84" t="s">
        <v>208</v>
      </c>
      <c r="U52" s="84" t="s">
        <v>209</v>
      </c>
      <c r="V52" s="79"/>
      <c r="W52" s="79"/>
      <c r="X52" s="79"/>
      <c r="Y52" s="79"/>
      <c r="Z52" s="79"/>
      <c r="AA52" s="79"/>
      <c r="AB52" s="79"/>
      <c r="AC52" s="79"/>
      <c r="AD52" s="79"/>
      <c r="AE52" s="79"/>
      <c r="AF52" s="79"/>
      <c r="AG52" s="79"/>
      <c r="AH52" s="79"/>
      <c r="AI52" s="79"/>
      <c r="AJ52" s="79"/>
      <c r="AK52" s="79"/>
      <c r="AL52" s="79"/>
      <c r="AM52" s="79"/>
      <c r="AN52" s="79"/>
    </row>
    <row r="53" spans="1:40">
      <c r="A53" s="79"/>
      <c r="B53" s="79"/>
      <c r="C53" s="79"/>
      <c r="D53" s="79"/>
      <c r="E53" s="79"/>
      <c r="F53" s="79"/>
      <c r="G53" s="79"/>
      <c r="H53" s="79"/>
      <c r="I53" s="79"/>
      <c r="J53" s="79"/>
      <c r="K53" s="79"/>
      <c r="L53" s="79"/>
      <c r="M53" s="79"/>
      <c r="N53" s="79"/>
      <c r="O53" s="79"/>
      <c r="P53" s="79"/>
      <c r="Q53" s="79"/>
      <c r="R53" s="88">
        <f>100*(+Z47/$E$9)</f>
        <v>732.22438018899447</v>
      </c>
      <c r="S53" s="95">
        <f>EXP(5.7226-(0.68367*LN(+R53)))</f>
        <v>3.3637391670425907</v>
      </c>
      <c r="T53" s="89">
        <f>(+S53*R53)/100</f>
        <v>24.630118267052055</v>
      </c>
      <c r="U53" s="88">
        <f>100*((((T53/100)-((T53/100)-0.03574)*$E$21)-0.03574-0.00619)/0.344)</f>
        <v>40.557656513953553</v>
      </c>
      <c r="V53" s="79">
        <f>+$E$20</f>
        <v>0.25</v>
      </c>
      <c r="W53" s="88">
        <f>U53+V53</f>
        <v>40.807656513953553</v>
      </c>
      <c r="X53" s="88">
        <f>100*($E$17*$E$19+($E$18*(W53/100))/(1-$E$21))</f>
        <v>33.646795423037233</v>
      </c>
      <c r="Y53" s="89">
        <f>X53/R53</f>
        <v>4.5951481995659113E-2</v>
      </c>
      <c r="Z53" s="87">
        <f>ROUND($E$8/(1-Y53),0)</f>
        <v>158998</v>
      </c>
      <c r="AA53" s="79" t="str">
        <f>IF(OR(OR(Z53=Z47,Z53=(Z47+1)),Z53=(Z39-1)),"yes","not yet")</f>
        <v>yes</v>
      </c>
      <c r="AB53" s="88">
        <f>100*(1-Y53)</f>
        <v>95.404851800434088</v>
      </c>
      <c r="AC53" s="79"/>
      <c r="AD53" s="79"/>
      <c r="AE53" s="79"/>
      <c r="AF53" s="79"/>
      <c r="AG53" s="79"/>
      <c r="AH53" s="79"/>
      <c r="AI53" s="79"/>
      <c r="AJ53" s="79"/>
      <c r="AK53" s="79"/>
      <c r="AL53" s="79"/>
      <c r="AM53" s="79"/>
      <c r="AN53" s="79"/>
    </row>
    <row r="54" spans="1:40">
      <c r="A54" s="79"/>
      <c r="B54" s="79"/>
      <c r="C54" s="79"/>
      <c r="D54" s="79"/>
      <c r="E54" s="79"/>
      <c r="F54" s="79"/>
      <c r="G54" s="79"/>
      <c r="H54" s="79"/>
      <c r="I54" s="79"/>
      <c r="J54" s="79"/>
      <c r="K54" s="79"/>
      <c r="L54" s="79"/>
      <c r="M54" s="79"/>
      <c r="N54" s="79"/>
      <c r="O54" s="79"/>
      <c r="P54" s="79"/>
      <c r="Q54" s="79"/>
      <c r="R54" s="88">
        <f>100*(+Z48/$E$9)</f>
        <v>731.67635630666587</v>
      </c>
      <c r="S54" s="95">
        <f>EXP(5.70827-(0.68367*LN(+R54)))</f>
        <v>3.3175782637010083</v>
      </c>
      <c r="T54" s="89">
        <f>(+S54*R54)/100</f>
        <v>24.273935757469488</v>
      </c>
      <c r="U54" s="88">
        <f>100*((((T54/100)-((T54/100)-0.03574)*$E$21)-0.03574-0.00619)/0.344)</f>
        <v>39.841149837700257</v>
      </c>
      <c r="V54" s="79">
        <f>+$E$20</f>
        <v>0.25</v>
      </c>
      <c r="W54" s="88">
        <f>U54+V54</f>
        <v>40.091149837700257</v>
      </c>
      <c r="X54" s="88">
        <f>100*($E$17*$E$19+($E$18*(W54/100))/(1-$E$21))</f>
        <v>33.09838225697969</v>
      </c>
      <c r="Y54" s="89">
        <f>X54/R54</f>
        <v>4.5236369839873898E-2</v>
      </c>
      <c r="Z54" s="87">
        <f>ROUND($E$8/(1-Y54),0)</f>
        <v>158879</v>
      </c>
      <c r="AA54" s="79" t="str">
        <f>IF(OR(OR(Z54=Z48,Z54=(Z48+1)),Z54=(Z48-1)),"yes","not yet")</f>
        <v>yes</v>
      </c>
      <c r="AB54" s="88">
        <f>100*(1-Y54)</f>
        <v>95.476363016012613</v>
      </c>
      <c r="AC54" s="79"/>
      <c r="AD54" s="79"/>
      <c r="AE54" s="79"/>
      <c r="AF54" s="79"/>
      <c r="AG54" s="79"/>
      <c r="AH54" s="79"/>
      <c r="AI54" s="79"/>
      <c r="AJ54" s="79"/>
      <c r="AK54" s="79"/>
      <c r="AL54" s="79"/>
      <c r="AM54" s="79"/>
      <c r="AN54" s="79"/>
    </row>
    <row r="55" spans="1:40">
      <c r="A55" s="79"/>
      <c r="B55" s="79"/>
      <c r="C55" s="79"/>
      <c r="D55" s="79"/>
      <c r="E55" s="79"/>
      <c r="F55" s="79"/>
      <c r="G55" s="79"/>
      <c r="H55" s="79"/>
      <c r="I55" s="79"/>
      <c r="J55" s="79"/>
      <c r="K55" s="79"/>
      <c r="L55" s="79"/>
      <c r="M55" s="79"/>
      <c r="N55" s="79"/>
      <c r="O55" s="79"/>
      <c r="P55" s="79"/>
      <c r="Q55" s="79"/>
      <c r="R55" s="88">
        <f>100*(+Z49/$E$9)</f>
        <v>731.30793688997426</v>
      </c>
      <c r="S55" s="95">
        <f>EXP(5.6985-(0.68367*LN(R55)))</f>
        <v>3.28645478783376</v>
      </c>
      <c r="T55" s="89">
        <f>(+S55*R55)/100</f>
        <v>24.034104705728851</v>
      </c>
      <c r="U55" s="88">
        <f>100*((((T55/100)-((T55/100)-0.03574)*$E$21)-0.03574-0.00619)/0.344)</f>
        <v>39.358699001059207</v>
      </c>
      <c r="V55" s="79">
        <f>+$E$20</f>
        <v>0.25</v>
      </c>
      <c r="W55" s="88">
        <f>U55+V55</f>
        <v>39.608699001059207</v>
      </c>
      <c r="X55" s="88">
        <f>100*($E$17*$E$19+($E$18*(W55/100))/(1-$E$21))</f>
        <v>32.72911508954315</v>
      </c>
      <c r="Y55" s="89">
        <f>X55/R55</f>
        <v>4.4754218351204994E-2</v>
      </c>
      <c r="Z55" s="87">
        <f>ROUND($E$8/(1-Y55),0)</f>
        <v>158799</v>
      </c>
      <c r="AA55" s="79" t="str">
        <f>IF(OR(OR(Z55=Z49,Z55=(Z49+1)),Z55=(Z49-1)),"yes","not yet")</f>
        <v>yes</v>
      </c>
      <c r="AB55" s="88">
        <f>100*(1-Y55)</f>
        <v>95.5245781648795</v>
      </c>
      <c r="AC55" s="79"/>
      <c r="AD55" s="79"/>
      <c r="AE55" s="79"/>
      <c r="AF55" s="79"/>
      <c r="AG55" s="79"/>
      <c r="AH55" s="79"/>
      <c r="AI55" s="79"/>
      <c r="AJ55" s="79"/>
      <c r="AK55" s="79"/>
      <c r="AL55" s="79"/>
      <c r="AM55" s="79"/>
      <c r="AN55" s="79"/>
    </row>
    <row r="56" spans="1:40">
      <c r="A56" s="79"/>
      <c r="B56" s="79"/>
      <c r="C56" s="79"/>
      <c r="D56" s="79"/>
      <c r="E56" s="79"/>
      <c r="F56" s="79"/>
      <c r="G56" s="79"/>
      <c r="H56" s="79"/>
      <c r="I56" s="79"/>
      <c r="J56" s="79"/>
      <c r="K56" s="79"/>
      <c r="L56" s="79"/>
      <c r="M56" s="79"/>
      <c r="N56" s="79"/>
      <c r="O56" s="79"/>
      <c r="P56" s="79"/>
      <c r="Q56" s="79"/>
      <c r="R56" s="88">
        <f>100*(+Z50/$E$9)</f>
        <v>731.06846426912477</v>
      </c>
      <c r="S56" s="95">
        <f>EXP(5.6922-(0.68367*LN(R56)))</f>
        <v>3.2665465357205683</v>
      </c>
      <c r="T56" s="89">
        <f>(+S56*R56)/100</f>
        <v>23.880691593328656</v>
      </c>
      <c r="U56" s="88">
        <f>100*((((T56/100)-((T56/100)-0.03574)*$E$21)-0.03574-0.00619)/0.344)</f>
        <v>39.050088902858811</v>
      </c>
      <c r="V56" s="79">
        <f>+$E$20</f>
        <v>0.25</v>
      </c>
      <c r="W56" s="88">
        <f>U56+V56</f>
        <v>39.300088902858811</v>
      </c>
      <c r="X56" s="88">
        <f>100*($E$17*$E$19+($E$18*(W56/100))/(1-$E$21))</f>
        <v>32.492905370023969</v>
      </c>
      <c r="Y56" s="89">
        <f>X56/R56</f>
        <v>4.4445776227686536E-2</v>
      </c>
      <c r="Z56" s="87">
        <f>ROUND($E$8/(1-Y56),0)</f>
        <v>158747</v>
      </c>
      <c r="AA56" s="79" t="str">
        <f>IF(OR(OR(Z56=Z50,Z56=(Z50+1)),Z56=(Z50-1)),"yes","not yet")</f>
        <v>yes</v>
      </c>
      <c r="AB56" s="88">
        <f>100*(1-Y56)</f>
        <v>95.555422377231352</v>
      </c>
      <c r="AC56" s="79"/>
      <c r="AD56" s="79"/>
      <c r="AE56" s="79"/>
      <c r="AF56" s="79"/>
      <c r="AG56" s="79"/>
      <c r="AH56" s="79"/>
      <c r="AI56" s="79"/>
      <c r="AJ56" s="79"/>
      <c r="AK56" s="79"/>
      <c r="AL56" s="79"/>
      <c r="AM56" s="79"/>
      <c r="AN56" s="79"/>
    </row>
  </sheetData>
  <customSheetViews>
    <customSheetView guid="{3B54C4DD-9207-4EC3-9D58-6DDE29113D77}" showPageBreaks="1" showGridLines="0" fitToPage="1" printArea="1" showRuler="0">
      <selection activeCell="D21" sqref="D21"/>
      <pageMargins left="0.75" right="0.75" top="1" bottom="1" header="0.5" footer="0.5"/>
      <pageSetup scale="95" orientation="landscape" horizontalDpi="1200" verticalDpi="1200" r:id="rId1"/>
      <headerFooter alignWithMargins="0">
        <oddHeader>&amp;L&amp;12&amp;A</oddHeader>
      </headerFooter>
    </customSheetView>
    <customSheetView guid="{F69ABAD1-EF76-489D-B027-1BD1F4CFE8A6}" showGridLines="0" fitToPage="1">
      <selection activeCell="D21" sqref="D21"/>
      <pageMargins left="0.75" right="0.75" top="1" bottom="1" header="0.5" footer="0.5"/>
      <pageSetup scale="95" orientation="landscape" horizontalDpi="1200" verticalDpi="1200" r:id="rId2"/>
      <headerFooter alignWithMargins="0">
        <oddHeader>&amp;L&amp;12&amp;A</oddHeader>
      </headerFooter>
    </customSheetView>
  </customSheetViews>
  <phoneticPr fontId="0" type="noConversion"/>
  <pageMargins left="0.75" right="0.75" top="1" bottom="1" header="0.5" footer="0.5"/>
  <pageSetup scale="95" orientation="landscape" r:id="rId3"/>
  <headerFooter alignWithMargins="0">
    <oddHeader>&amp;L&amp;12&amp;A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autoPageBreaks="0" fitToPage="1"/>
  </sheetPr>
  <dimension ref="A3:L26"/>
  <sheetViews>
    <sheetView showGridLines="0" zoomScale="90" zoomScaleNormal="90" workbookViewId="0">
      <selection activeCell="D32" sqref="D32"/>
    </sheetView>
  </sheetViews>
  <sheetFormatPr defaultRowHeight="14.25" outlineLevelCol="1"/>
  <cols>
    <col min="1" max="1" width="9.33203125" style="1"/>
    <col min="2" max="2" width="26.6640625" style="1" bestFit="1" customWidth="1"/>
    <col min="3" max="8" width="20.83203125" style="1" customWidth="1"/>
    <col min="9" max="9" width="1.5" style="1" customWidth="1"/>
    <col min="10" max="10" width="16.1640625" style="1" hidden="1" customWidth="1" outlineLevel="1"/>
    <col min="11" max="11" width="9.33203125" style="1" collapsed="1"/>
    <col min="12" max="16384" width="9.33203125" style="1"/>
  </cols>
  <sheetData>
    <row r="3" spans="2:10" ht="15">
      <c r="B3" s="2" t="s">
        <v>7</v>
      </c>
      <c r="C3" s="3" t="s">
        <v>277</v>
      </c>
      <c r="J3" s="1" t="s">
        <v>277</v>
      </c>
    </row>
    <row r="4" spans="2:10" ht="15">
      <c r="B4" s="2"/>
      <c r="J4" s="1" t="s">
        <v>274</v>
      </c>
    </row>
    <row r="5" spans="2:10" ht="15">
      <c r="B5" s="2" t="s">
        <v>8</v>
      </c>
      <c r="C5" s="4">
        <v>41759</v>
      </c>
      <c r="J5" s="1" t="s">
        <v>275</v>
      </c>
    </row>
    <row r="6" spans="2:10">
      <c r="J6" s="1" t="s">
        <v>276</v>
      </c>
    </row>
    <row r="7" spans="2:10" ht="15" thickBot="1">
      <c r="C7" s="5"/>
    </row>
    <row r="8" spans="2:10" ht="15.75" thickBot="1">
      <c r="B8" s="2187" t="s">
        <v>9</v>
      </c>
      <c r="C8" s="2188"/>
      <c r="D8" s="2188"/>
      <c r="E8" s="2188"/>
      <c r="F8" s="2188"/>
      <c r="G8" s="2189"/>
      <c r="H8" s="2190"/>
    </row>
    <row r="9" spans="2:10" ht="25.5">
      <c r="B9" s="6"/>
      <c r="C9" s="7" t="s">
        <v>10</v>
      </c>
      <c r="D9" s="153" t="s">
        <v>1583</v>
      </c>
      <c r="E9" s="346"/>
      <c r="F9" s="346" t="s">
        <v>344</v>
      </c>
      <c r="G9" s="153" t="s">
        <v>13</v>
      </c>
      <c r="H9" s="1311" t="s">
        <v>14</v>
      </c>
    </row>
    <row r="10" spans="2:10">
      <c r="B10" s="10" t="s">
        <v>11</v>
      </c>
      <c r="C10" s="11">
        <f>+[3]Summary!$F$22</f>
        <v>0.14344888907984618</v>
      </c>
      <c r="D10" s="12">
        <f>SUMIF(Proforma!$R$37:$R$293,$D$13,Proforma!$L$37:$L$293)/SUMIF(Proforma!$R$37:$R$293,"Actual",Proforma!$I$37:$I$293)</f>
        <v>3.6721767158084402E-2</v>
      </c>
      <c r="E10" s="12"/>
      <c r="F10" s="11">
        <f>'Cont Summ'!E55</f>
        <v>0.17803514994970926</v>
      </c>
      <c r="G10" s="12">
        <f>Proforma!$L$6</f>
        <v>0.12699356418875865</v>
      </c>
      <c r="H10" s="16">
        <v>0.14499999999999999</v>
      </c>
    </row>
    <row r="11" spans="2:10">
      <c r="B11" s="10" t="s">
        <v>12</v>
      </c>
      <c r="C11" s="12">
        <f>1-C10</f>
        <v>0.85655111092015379</v>
      </c>
      <c r="D11" s="12">
        <f>1-D10</f>
        <v>0.9632782328419156</v>
      </c>
      <c r="E11" s="12"/>
      <c r="F11" s="12">
        <f>1-F10</f>
        <v>0.82196485005029074</v>
      </c>
      <c r="G11" s="12">
        <f>1-G10</f>
        <v>0.87300643581124138</v>
      </c>
      <c r="H11" s="16">
        <f>1-H10</f>
        <v>0.85499999999999998</v>
      </c>
    </row>
    <row r="12" spans="2:10">
      <c r="B12" s="6"/>
      <c r="C12" s="1326"/>
      <c r="D12" s="8"/>
      <c r="E12" s="8"/>
      <c r="F12" s="8"/>
      <c r="G12" s="8"/>
      <c r="H12" s="9"/>
    </row>
    <row r="13" spans="2:10" ht="25.5">
      <c r="B13" s="13"/>
      <c r="C13" s="153" t="s">
        <v>10</v>
      </c>
      <c r="D13" s="153" t="s">
        <v>25</v>
      </c>
      <c r="E13" s="153" t="s">
        <v>119</v>
      </c>
      <c r="F13" s="153" t="s">
        <v>344</v>
      </c>
      <c r="G13" s="153" t="s">
        <v>13</v>
      </c>
      <c r="H13" s="154" t="s">
        <v>14</v>
      </c>
    </row>
    <row r="14" spans="2:10">
      <c r="B14" s="10" t="s">
        <v>15</v>
      </c>
      <c r="C14" s="14">
        <f>+[3]Summary!D27</f>
        <v>0.26161891668393106</v>
      </c>
      <c r="D14" s="15">
        <f>SUMIF(Proforma!$S$21:$S$293,$D$13,Proforma!$N$21:$N$293)/SUMIF(Proforma!$S$21:$S$293,$D$13,Proforma!$L$21:$L$293)</f>
        <v>0.15579264386652739</v>
      </c>
      <c r="E14" s="14">
        <f>+[3]Summary!G$36</f>
        <v>0.23635453981543936</v>
      </c>
      <c r="F14" s="14">
        <f>+'Cont Summ'!G20</f>
        <v>0.36006552116066054</v>
      </c>
      <c r="G14" s="15">
        <f>Proforma!N$20/Proforma!$L$20</f>
        <v>0.20620614019703276</v>
      </c>
      <c r="H14" s="16">
        <v>0.20399999999999999</v>
      </c>
    </row>
    <row r="15" spans="2:10">
      <c r="B15" s="10" t="s">
        <v>16</v>
      </c>
      <c r="C15" s="14">
        <f>+[3]Summary!D28</f>
        <v>0.20955271180292639</v>
      </c>
      <c r="D15" s="15">
        <f>SUMIF(Proforma!$S$21:$S$293,$D$13,Proforma!$O$21:$O$293)/SUMIF(Proforma!$S$21:$S$293,$D$13,Proforma!$L$21:$L$293)</f>
        <v>0.14681339799174969</v>
      </c>
      <c r="E15" s="14">
        <f>+[3]Summary!H$36</f>
        <v>0.18931633611607324</v>
      </c>
      <c r="F15" s="14">
        <f>+'Cont Summ'!G21</f>
        <v>0.2465400815671592</v>
      </c>
      <c r="G15" s="15">
        <f>Proforma!O$20/Proforma!$L$20</f>
        <v>0.16196384419410775</v>
      </c>
      <c r="H15" s="16">
        <v>0.17100000000000001</v>
      </c>
    </row>
    <row r="16" spans="2:10">
      <c r="B16" s="10" t="s">
        <v>17</v>
      </c>
      <c r="C16" s="14">
        <f>+[3]Summary!D29</f>
        <v>4.6325004851723577E-2</v>
      </c>
      <c r="D16" s="15">
        <f>SUMIF(Proforma!$S$21:$S$293,$D$13,Proforma!$P$21:$P$293)/SUMIF(Proforma!$S$21:$S$293,$D$13,Proforma!$L$21:$L$293)</f>
        <v>1.6608610727260456E-2</v>
      </c>
      <c r="E16" s="14">
        <f>+[3]Summary!I$36</f>
        <v>4.1851427803689965E-2</v>
      </c>
      <c r="F16" s="14">
        <f>+'Cont Summ'!G22</f>
        <v>1.597914020191215E-2</v>
      </c>
      <c r="G16" s="15">
        <f>Proforma!P$20/Proforma!$L$20</f>
        <v>2.1289047759694233E-2</v>
      </c>
      <c r="H16" s="16">
        <v>2.5000000000000001E-2</v>
      </c>
    </row>
    <row r="17" spans="1:12" ht="15" thickBot="1">
      <c r="B17" s="10" t="s">
        <v>18</v>
      </c>
      <c r="C17" s="14">
        <f>+[3]Summary!D30</f>
        <v>0.48250336666141902</v>
      </c>
      <c r="D17" s="15">
        <f>SUMIF(Proforma!$S$21:$S$293,$D$13,Proforma!$Q$21:$Q$293)/SUMIF(Proforma!$S$21:$S$293,$D$13,Proforma!$L$21:$L$293)</f>
        <v>0.68078534741446228</v>
      </c>
      <c r="E17" s="14">
        <f>+[3]Summary!J$36</f>
        <v>0.53247769626479735</v>
      </c>
      <c r="F17" s="14">
        <f>+'Cont Summ'!G18+'Cont Summ'!G19</f>
        <v>0.37741525707026813</v>
      </c>
      <c r="G17" s="15">
        <f>Proforma!Q$20/Proforma!$L$20</f>
        <v>0.61054096784916534</v>
      </c>
      <c r="H17" s="1312">
        <v>0.6</v>
      </c>
    </row>
    <row r="18" spans="1:12">
      <c r="B18" s="1324"/>
      <c r="C18" s="1327"/>
      <c r="D18" s="1327"/>
      <c r="E18" s="1327"/>
      <c r="F18" s="1327"/>
      <c r="G18" s="1327"/>
      <c r="H18" s="1327"/>
    </row>
    <row r="19" spans="1:12">
      <c r="A19" s="597"/>
      <c r="B19" s="597"/>
      <c r="C19" s="597"/>
      <c r="D19" s="597"/>
      <c r="E19" s="597"/>
      <c r="F19" s="597"/>
      <c r="G19" s="597"/>
      <c r="H19" s="597"/>
      <c r="I19" s="597"/>
      <c r="J19" s="597"/>
      <c r="K19" s="597"/>
      <c r="L19" s="597"/>
    </row>
    <row r="20" spans="1:12">
      <c r="D20" s="597"/>
      <c r="E20" s="597"/>
    </row>
    <row r="21" spans="1:12">
      <c r="D21" s="597"/>
      <c r="E21" s="597"/>
    </row>
    <row r="22" spans="1:12">
      <c r="D22" s="597"/>
      <c r="E22" s="597"/>
    </row>
    <row r="23" spans="1:12">
      <c r="D23" s="597"/>
      <c r="E23" s="597"/>
    </row>
    <row r="26" spans="1:12">
      <c r="D26" s="347"/>
      <c r="E26" s="347"/>
      <c r="F26" s="347"/>
    </row>
  </sheetData>
  <customSheetViews>
    <customSheetView guid="{3B54C4DD-9207-4EC3-9D58-6DDE29113D77}" showGridLines="0" hiddenColumns="1" showRuler="0">
      <selection activeCell="C6" sqref="C6"/>
      <pageMargins left="0.75" right="0.75" top="1" bottom="1" header="0.5" footer="0.5"/>
      <pageSetup orientation="landscape" r:id="rId1"/>
      <headerFooter alignWithMargins="0"/>
    </customSheetView>
    <customSheetView guid="{F69ABAD1-EF76-489D-B027-1BD1F4CFE8A6}" showGridLines="0" hiddenColumns="1">
      <selection activeCell="C14" sqref="C14:E17"/>
      <pageMargins left="0.75" right="0.75" top="1" bottom="1" header="0.5" footer="0.5"/>
      <pageSetup orientation="landscape" r:id="rId2"/>
      <headerFooter alignWithMargins="0"/>
    </customSheetView>
  </customSheetViews>
  <mergeCells count="1">
    <mergeCell ref="B8:H8"/>
  </mergeCells>
  <phoneticPr fontId="0" type="noConversion"/>
  <dataValidations disablePrompts="1" count="1">
    <dataValidation type="list" allowBlank="1" showInputMessage="1" showErrorMessage="1" sqref="C3">
      <formula1>$J$3:$J$6</formula1>
    </dataValidation>
  </dataValidations>
  <pageMargins left="0.75" right="0.75" top="1" bottom="1" header="0.5" footer="0.5"/>
  <pageSetup scale="95" orientation="landscape" horizontalDpi="4294967295" verticalDpi="4294967295" r:id="rId3"/>
  <headerFooter alignWithMargins="0"/>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E3FCA2C8EA651D4B8223E7FDCC209C5F" ma:contentTypeVersion="104" ma:contentTypeDescription="" ma:contentTypeScope="" ma:versionID="720cccf12e59bc39e00f062dfdcd055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c67bbc6b01ef53d9eb67ed595f238ae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2016-11-15T08:00:00+00:00</OpenedDate>
    <Date1 xmlns="dc463f71-b30c-4ab2-9473-d307f9d35888">2016-11-15T08:00:00+00:00</Date1>
    <IsDocumentOrder xmlns="dc463f71-b30c-4ab2-9473-d307f9d35888" xsi:nil="true"/>
    <IsHighlyConfidential xmlns="dc463f71-b30c-4ab2-9473-d307f9d35888">false</IsHighlyConfidential>
    <CaseCompanyNames xmlns="dc463f71-b30c-4ab2-9473-d307f9d35888">RABANCO LTD</CaseCompanyNames>
    <DocketNumber xmlns="dc463f71-b30c-4ab2-9473-d307f9d35888">161214</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00074A86-356D-4A50-8309-1FBC0092BF1C}"/>
</file>

<file path=customXml/itemProps2.xml><?xml version="1.0" encoding="utf-8"?>
<ds:datastoreItem xmlns:ds="http://schemas.openxmlformats.org/officeDocument/2006/customXml" ds:itemID="{054D9A85-A3EF-4740-A349-E318DA407B38}">
  <ds:schemaRefs>
    <ds:schemaRef ds:uri="http://purl.org/dc/terms/"/>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CF25AA4F-8E62-471C-8C3A-B51B2853F44B}">
  <ds:schemaRefs>
    <ds:schemaRef ds:uri="http://schemas.microsoft.com/sharepoint/v3/contenttype/forms"/>
  </ds:schemaRefs>
</ds:datastoreItem>
</file>

<file path=customXml/itemProps4.xml><?xml version="1.0" encoding="utf-8"?>
<ds:datastoreItem xmlns:ds="http://schemas.openxmlformats.org/officeDocument/2006/customXml" ds:itemID="{3A600F3F-38E1-4965-AB5D-44A8312F24A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21</vt:i4>
      </vt:variant>
    </vt:vector>
  </HeadingPairs>
  <TitlesOfParts>
    <vt:vector size="84" baseType="lpstr">
      <vt:lpstr>Total G-12 Financial</vt:lpstr>
      <vt:lpstr>Cap Struct.</vt:lpstr>
      <vt:lpstr>LG Check</vt:lpstr>
      <vt:lpstr>Combined LG</vt:lpstr>
      <vt:lpstr>LG Garbage</vt:lpstr>
      <vt:lpstr> LG recycle</vt:lpstr>
      <vt:lpstr>LG Yardwaste</vt:lpstr>
      <vt:lpstr>LG MF Recycle</vt:lpstr>
      <vt:lpstr>Summary</vt:lpstr>
      <vt:lpstr>Income Statement</vt:lpstr>
      <vt:lpstr>Proforma</vt:lpstr>
      <vt:lpstr>ReviewAccts</vt:lpstr>
      <vt:lpstr>Lease-Rent Adj</vt:lpstr>
      <vt:lpstr>Legal Exp Adj</vt:lpstr>
      <vt:lpstr>Staff L&amp;I Retro Adjustment</vt:lpstr>
      <vt:lpstr>Staff Depreciation</vt:lpstr>
      <vt:lpstr>Summary (Staff)</vt:lpstr>
      <vt:lpstr>Adj - Restating</vt:lpstr>
      <vt:lpstr>Adj - Proforma</vt:lpstr>
      <vt:lpstr>Matrix</vt:lpstr>
      <vt:lpstr>COS</vt:lpstr>
      <vt:lpstr>Meeks +</vt:lpstr>
      <vt:lpstr>Matrix (Rec)</vt:lpstr>
      <vt:lpstr>COS (Rec)</vt:lpstr>
      <vt:lpstr>Matrix (YW)</vt:lpstr>
      <vt:lpstr>COS (YW)</vt:lpstr>
      <vt:lpstr>Resi Price Out</vt:lpstr>
      <vt:lpstr>Company Price Out Summary</vt:lpstr>
      <vt:lpstr>Price Out Summary</vt:lpstr>
      <vt:lpstr>Resi Price Out Staff</vt:lpstr>
      <vt:lpstr>Comm Price Out</vt:lpstr>
      <vt:lpstr>Comm Price Out Staff</vt:lpstr>
      <vt:lpstr>MF Recy Price Out</vt:lpstr>
      <vt:lpstr> MF Recy Price Out Staff</vt:lpstr>
      <vt:lpstr>Drop Box Price Out</vt:lpstr>
      <vt:lpstr>Drop Box Price Out Staff</vt:lpstr>
      <vt:lpstr>WUTC Revenue</vt:lpstr>
      <vt:lpstr>Disposal</vt:lpstr>
      <vt:lpstr>Yardwaste Analysis</vt:lpstr>
      <vt:lpstr>Roll Off Average Cost</vt:lpstr>
      <vt:lpstr>Staff Fuel Summary</vt:lpstr>
      <vt:lpstr>Fuel PF Adj</vt:lpstr>
      <vt:lpstr>Staff Fuel Detail</vt:lpstr>
      <vt:lpstr>Fuel Detail</vt:lpstr>
      <vt:lpstr>Staff CNG Detail</vt:lpstr>
      <vt:lpstr>CNG Detail</vt:lpstr>
      <vt:lpstr>Cont Summ</vt:lpstr>
      <vt:lpstr>Cont Regulated Acct (Non-MF)</vt:lpstr>
      <vt:lpstr>Cont Regulated Accounts (MF).</vt:lpstr>
      <vt:lpstr>Cont All Regulated Accounts</vt:lpstr>
      <vt:lpstr>Cont Unregulated Acct (non-MF).</vt:lpstr>
      <vt:lpstr>Cont Unregulated Accounts (MF).</vt:lpstr>
      <vt:lpstr>Cont All Unregulated Accounts</vt:lpstr>
      <vt:lpstr>Cont Detail</vt:lpstr>
      <vt:lpstr>Roll-off Stats</vt:lpstr>
      <vt:lpstr>Comm Stats</vt:lpstr>
      <vt:lpstr>Resi Stats</vt:lpstr>
      <vt:lpstr>Essbase Mgmt Fee</vt:lpstr>
      <vt:lpstr>2014 A53 Division Expense</vt:lpstr>
      <vt:lpstr>2014 BUD CC Pull</vt:lpstr>
      <vt:lpstr>MgtFee</vt:lpstr>
      <vt:lpstr>MgtFee Staff</vt:lpstr>
      <vt:lpstr>Container Maint</vt:lpstr>
      <vt:lpstr>Matrix!MATRIX</vt:lpstr>
      <vt:lpstr>'Matrix (Rec)'!MATRIX</vt:lpstr>
      <vt:lpstr>'Matrix (YW)'!MATRIX</vt:lpstr>
      <vt:lpstr>' LG recycle'!Print_Area</vt:lpstr>
      <vt:lpstr>'Combined LG'!Print_Area</vt:lpstr>
      <vt:lpstr>Disposal!Print_Area</vt:lpstr>
      <vt:lpstr>'LG Garbage'!Print_Area</vt:lpstr>
      <vt:lpstr>'LG MF Recycle'!Print_Area</vt:lpstr>
      <vt:lpstr>'LG Yardwaste'!Print_Area</vt:lpstr>
      <vt:lpstr>Matrix!Print_Area</vt:lpstr>
      <vt:lpstr>'Matrix (Rec)'!Print_Area</vt:lpstr>
      <vt:lpstr>'Matrix (YW)'!Print_Area</vt:lpstr>
      <vt:lpstr>Proforma!Print_Area</vt:lpstr>
      <vt:lpstr>ReviewAccts!Print_Area</vt:lpstr>
      <vt:lpstr>'Total G-12 Financial'!Print_Area</vt:lpstr>
      <vt:lpstr>'Yardwaste Analysis'!Print_Area</vt:lpstr>
      <vt:lpstr>'Adj - Proforma'!Print_Titles</vt:lpstr>
      <vt:lpstr>'Adj - Restating'!Print_Titles</vt:lpstr>
      <vt:lpstr>'Cont Detail'!Print_Titles</vt:lpstr>
      <vt:lpstr>'Fuel Detail'!Print_Titles</vt:lpstr>
      <vt:lpstr>'Total G-12 Financial'!Print_Titles</vt:lpstr>
    </vt:vector>
  </TitlesOfParts>
  <Company>Republic Services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Brenner</dc:creator>
  <cp:lastModifiedBy>Daniel, Jessica (UTC)</cp:lastModifiedBy>
  <cp:lastPrinted>2015-02-25T23:54:20Z</cp:lastPrinted>
  <dcterms:created xsi:type="dcterms:W3CDTF">2009-08-31T19:37:58Z</dcterms:created>
  <dcterms:modified xsi:type="dcterms:W3CDTF">2016-11-16T17:10:08Z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0x0101006E56B4D1795A2E4DB2F0B01679ED314A00E3FCA2C8EA651D4B8223E7FDCC209C5F</vt:lpwstr>
  </property>
  <property fmtid="{D5CDD505-2E9C-101B-9397-08002B2CF9AE}" pid="3" name="_docset_NoMedatataSyncRequired">
    <vt:lpwstr>False</vt:lpwstr>
  </property>
</Properties>
</file>